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Bag.PEMBELIAN\Jurnal Pembelian 2023\LAP. PEMBELIAN 2023\"/>
    </mc:Choice>
  </mc:AlternateContent>
  <xr:revisionPtr revIDLastSave="0" documentId="13_ncr:1_{E1721875-451E-4632-A1EA-F0AA596FB0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r Suplier" sheetId="7" r:id="rId1"/>
    <sheet name="PU+Cetak" sheetId="2" r:id="rId2"/>
    <sheet name="Cetak" sheetId="3" r:id="rId3"/>
    <sheet name="Blum Urut" sheetId="6" r:id="rId4"/>
    <sheet name="Rekap Utang Usaha 2023" sheetId="1" r:id="rId5"/>
    <sheet name="Rekap Utang Usaha 2023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7" l="1"/>
  <c r="K71" i="7"/>
  <c r="K118" i="7" l="1"/>
  <c r="I173" i="7" l="1"/>
  <c r="J171" i="7"/>
  <c r="I161" i="7"/>
  <c r="I151" i="7"/>
  <c r="I148" i="7"/>
  <c r="I145" i="7"/>
  <c r="I140" i="7"/>
  <c r="I137" i="7"/>
  <c r="I134" i="7"/>
  <c r="I121" i="7"/>
  <c r="I110" i="7"/>
  <c r="I94" i="7"/>
  <c r="I91" i="7"/>
  <c r="I88" i="7"/>
  <c r="I67" i="7"/>
  <c r="I64" i="7"/>
  <c r="I60" i="7"/>
  <c r="I52" i="7"/>
  <c r="I47" i="7"/>
  <c r="I18" i="7"/>
  <c r="I15" i="7"/>
  <c r="I12" i="7"/>
  <c r="I9" i="7"/>
  <c r="K122" i="7"/>
  <c r="K121" i="7"/>
  <c r="J121" i="7"/>
  <c r="J168" i="7"/>
  <c r="I399" i="2"/>
  <c r="I547" i="2" s="1"/>
  <c r="I549" i="2" s="1"/>
  <c r="I384" i="2"/>
  <c r="G111" i="7"/>
  <c r="G109" i="7"/>
  <c r="G63" i="7"/>
  <c r="G133" i="7"/>
  <c r="G128" i="7"/>
  <c r="G144" i="7"/>
  <c r="G143" i="7"/>
  <c r="G77" i="7"/>
  <c r="G93" i="7"/>
  <c r="G125" i="7"/>
  <c r="G124" i="7"/>
  <c r="G108" i="7"/>
  <c r="G107" i="7"/>
  <c r="G106" i="7"/>
  <c r="G105" i="7"/>
  <c r="G104" i="7"/>
  <c r="G76" i="7"/>
  <c r="G103" i="7"/>
  <c r="G75" i="7"/>
  <c r="G74" i="7"/>
  <c r="G102" i="7"/>
  <c r="G62" i="7"/>
  <c r="G73" i="7"/>
  <c r="G101" i="7"/>
  <c r="G139" i="7"/>
  <c r="G100" i="7"/>
  <c r="G99" i="7"/>
  <c r="G72" i="7"/>
  <c r="G71" i="7"/>
  <c r="G70" i="7"/>
  <c r="G98" i="7"/>
  <c r="G69" i="7"/>
  <c r="I256" i="2"/>
  <c r="K171" i="7" l="1"/>
  <c r="J172" i="2"/>
  <c r="G164" i="7" l="1"/>
  <c r="G9" i="7"/>
  <c r="D8" i="7"/>
  <c r="G147" i="7"/>
  <c r="G146" i="7"/>
  <c r="G141" i="7"/>
  <c r="G138" i="7"/>
  <c r="G135" i="7"/>
  <c r="G123" i="7"/>
  <c r="G122" i="7"/>
  <c r="G97" i="7"/>
  <c r="G96" i="7"/>
  <c r="G92" i="7"/>
  <c r="G68" i="7"/>
  <c r="G65" i="7"/>
  <c r="G6" i="7"/>
  <c r="G4" i="7"/>
  <c r="H303" i="2"/>
  <c r="H320" i="2"/>
  <c r="K322" i="2"/>
  <c r="K335" i="2"/>
  <c r="K316" i="2"/>
  <c r="K309" i="2"/>
  <c r="J168" i="2"/>
  <c r="I167" i="2"/>
  <c r="I166" i="2"/>
  <c r="I165" i="2"/>
  <c r="I343" i="2" l="1"/>
  <c r="K89" i="2" l="1"/>
  <c r="I172" i="2" l="1"/>
  <c r="J296" i="2"/>
  <c r="I295" i="2"/>
  <c r="J273" i="2"/>
  <c r="I272" i="2"/>
  <c r="I177" i="2" l="1"/>
  <c r="I80" i="2"/>
  <c r="I88" i="2"/>
  <c r="I572" i="2" l="1"/>
  <c r="I571" i="2"/>
  <c r="I570" i="2"/>
  <c r="I568" i="2"/>
  <c r="I567" i="2"/>
  <c r="I566" i="2"/>
  <c r="I564" i="2"/>
  <c r="I563" i="2"/>
  <c r="I562" i="2"/>
  <c r="I561" i="2"/>
  <c r="E560" i="2"/>
  <c r="I560" i="2" s="1"/>
  <c r="I559" i="2"/>
  <c r="I558" i="2"/>
  <c r="I557" i="2"/>
  <c r="I556" i="2"/>
  <c r="I554" i="2"/>
  <c r="I573" i="2" l="1"/>
  <c r="I565" i="2"/>
  <c r="I569" i="2"/>
  <c r="I100" i="2"/>
  <c r="I574" i="2" l="1"/>
  <c r="I548" i="2" s="1"/>
  <c r="I24" i="3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1" i="2"/>
  <c r="I72" i="2"/>
  <c r="I74" i="2"/>
  <c r="I75" i="2"/>
  <c r="I77" i="2"/>
  <c r="H84" i="2"/>
  <c r="I84" i="2" s="1"/>
  <c r="I90" i="2"/>
  <c r="I93" i="2"/>
  <c r="I22" i="3"/>
  <c r="I21" i="3"/>
  <c r="I20" i="3"/>
  <c r="I18" i="3"/>
  <c r="I17" i="3"/>
  <c r="I16" i="3"/>
  <c r="I544" i="2"/>
  <c r="H541" i="2"/>
  <c r="I541" i="2" s="1"/>
  <c r="I539" i="2"/>
  <c r="I536" i="2"/>
  <c r="E533" i="2"/>
  <c r="I533" i="2" s="1"/>
  <c r="I530" i="2"/>
  <c r="I527" i="2"/>
  <c r="I525" i="2"/>
  <c r="I524" i="2"/>
  <c r="H523" i="2"/>
  <c r="I523" i="2" s="1"/>
  <c r="I522" i="2"/>
  <c r="H520" i="2"/>
  <c r="I520" i="2" s="1"/>
  <c r="I517" i="2"/>
  <c r="H514" i="2"/>
  <c r="I514" i="2" s="1"/>
  <c r="I511" i="2"/>
  <c r="H509" i="2"/>
  <c r="I509" i="2" s="1"/>
  <c r="I508" i="2"/>
  <c r="I506" i="2"/>
  <c r="I505" i="2"/>
  <c r="I504" i="2"/>
  <c r="I507" i="2" s="1"/>
  <c r="I502" i="2"/>
  <c r="H501" i="2"/>
  <c r="I501" i="2" s="1"/>
  <c r="I500" i="2"/>
  <c r="I499" i="2"/>
  <c r="I498" i="2"/>
  <c r="I497" i="2"/>
  <c r="I496" i="2"/>
  <c r="I494" i="2"/>
  <c r="I493" i="2"/>
  <c r="I492" i="2"/>
  <c r="I491" i="2"/>
  <c r="I490" i="2"/>
  <c r="I489" i="2"/>
  <c r="I488" i="2"/>
  <c r="I487" i="2"/>
  <c r="I485" i="2"/>
  <c r="I484" i="2"/>
  <c r="I483" i="2"/>
  <c r="I482" i="2"/>
  <c r="I480" i="2"/>
  <c r="I479" i="2"/>
  <c r="I477" i="2"/>
  <c r="H476" i="2"/>
  <c r="I476" i="2" s="1"/>
  <c r="E475" i="2"/>
  <c r="I475" i="2" s="1"/>
  <c r="I478" i="2" s="1"/>
  <c r="I473" i="2"/>
  <c r="I471" i="2"/>
  <c r="I470" i="2"/>
  <c r="I469" i="2"/>
  <c r="I472" i="2" s="1"/>
  <c r="I467" i="2"/>
  <c r="I465" i="2"/>
  <c r="I463" i="2"/>
  <c r="I462" i="2"/>
  <c r="I464" i="2" s="1"/>
  <c r="I460" i="2"/>
  <c r="I459" i="2"/>
  <c r="I458" i="2"/>
  <c r="I455" i="2"/>
  <c r="I454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5" i="2"/>
  <c r="I424" i="2"/>
  <c r="I423" i="2"/>
  <c r="I422" i="2"/>
  <c r="I421" i="2"/>
  <c r="H420" i="2"/>
  <c r="I420" i="2" s="1"/>
  <c r="I419" i="2"/>
  <c r="I418" i="2"/>
  <c r="I417" i="2"/>
  <c r="I416" i="2"/>
  <c r="I415" i="2"/>
  <c r="I414" i="2"/>
  <c r="I413" i="2"/>
  <c r="I426" i="2" s="1"/>
  <c r="E411" i="2"/>
  <c r="I411" i="2" s="1"/>
  <c r="I410" i="2"/>
  <c r="H405" i="2"/>
  <c r="I405" i="2" s="1"/>
  <c r="I403" i="2"/>
  <c r="I401" i="2"/>
  <c r="I398" i="2"/>
  <c r="H396" i="2"/>
  <c r="I396" i="2" s="1"/>
  <c r="I394" i="2"/>
  <c r="I392" i="2"/>
  <c r="I391" i="2"/>
  <c r="I390" i="2"/>
  <c r="I389" i="2"/>
  <c r="I388" i="2"/>
  <c r="I387" i="2"/>
  <c r="I386" i="2"/>
  <c r="I385" i="2"/>
  <c r="I383" i="2"/>
  <c r="I382" i="2"/>
  <c r="I381" i="2"/>
  <c r="I380" i="2"/>
  <c r="I378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H354" i="2"/>
  <c r="I354" i="2" s="1"/>
  <c r="H353" i="2"/>
  <c r="I353" i="2" s="1"/>
  <c r="H352" i="2"/>
  <c r="I352" i="2" s="1"/>
  <c r="H351" i="2"/>
  <c r="I351" i="2" s="1"/>
  <c r="I348" i="2"/>
  <c r="H346" i="2"/>
  <c r="I346" i="2" s="1"/>
  <c r="H341" i="2"/>
  <c r="I341" i="2" s="1"/>
  <c r="H340" i="2"/>
  <c r="I340" i="2" s="1"/>
  <c r="H339" i="2"/>
  <c r="I339" i="2" s="1"/>
  <c r="I334" i="2"/>
  <c r="I333" i="2"/>
  <c r="H332" i="2"/>
  <c r="I332" i="2" s="1"/>
  <c r="I331" i="2"/>
  <c r="H330" i="2"/>
  <c r="I330" i="2" s="1"/>
  <c r="I329" i="2"/>
  <c r="H327" i="2"/>
  <c r="I327" i="2" s="1"/>
  <c r="H326" i="2"/>
  <c r="I326" i="2" s="1"/>
  <c r="H325" i="2"/>
  <c r="I325" i="2" s="1"/>
  <c r="H324" i="2"/>
  <c r="I324" i="2" s="1"/>
  <c r="I328" i="2" s="1"/>
  <c r="H321" i="2"/>
  <c r="I321" i="2" s="1"/>
  <c r="I320" i="2"/>
  <c r="H315" i="2"/>
  <c r="I315" i="2" s="1"/>
  <c r="H313" i="2"/>
  <c r="I313" i="2" s="1"/>
  <c r="H312" i="2"/>
  <c r="I312" i="2" s="1"/>
  <c r="H307" i="2"/>
  <c r="I307" i="2" s="1"/>
  <c r="H304" i="2"/>
  <c r="I304" i="2" s="1"/>
  <c r="I303" i="2"/>
  <c r="I301" i="2"/>
  <c r="H298" i="2"/>
  <c r="I298" i="2" s="1"/>
  <c r="H293" i="2"/>
  <c r="I293" i="2" s="1"/>
  <c r="H291" i="2"/>
  <c r="I291" i="2" s="1"/>
  <c r="H290" i="2"/>
  <c r="I290" i="2" s="1"/>
  <c r="H288" i="2"/>
  <c r="I288" i="2" s="1"/>
  <c r="H286" i="2"/>
  <c r="I286" i="2" s="1"/>
  <c r="H284" i="2"/>
  <c r="I284" i="2" s="1"/>
  <c r="H283" i="2"/>
  <c r="I283" i="2" s="1"/>
  <c r="H278" i="2"/>
  <c r="I278" i="2" s="1"/>
  <c r="H276" i="2"/>
  <c r="I276" i="2" s="1"/>
  <c r="H275" i="2"/>
  <c r="I275" i="2" s="1"/>
  <c r="I277" i="2" s="1"/>
  <c r="I270" i="2"/>
  <c r="H268" i="2"/>
  <c r="I268" i="2" s="1"/>
  <c r="H267" i="2"/>
  <c r="I267" i="2" s="1"/>
  <c r="H265" i="2"/>
  <c r="I265" i="2" s="1"/>
  <c r="H262" i="2"/>
  <c r="I262" i="2" s="1"/>
  <c r="I260" i="2"/>
  <c r="I259" i="2"/>
  <c r="I261" i="2" s="1"/>
  <c r="H257" i="2"/>
  <c r="I257" i="2" s="1"/>
  <c r="I254" i="2"/>
  <c r="H253" i="2"/>
  <c r="I253" i="2" s="1"/>
  <c r="I251" i="2"/>
  <c r="I249" i="2"/>
  <c r="E248" i="2"/>
  <c r="I244" i="2"/>
  <c r="I243" i="2"/>
  <c r="I242" i="2"/>
  <c r="I241" i="2"/>
  <c r="I240" i="2"/>
  <c r="H238" i="2"/>
  <c r="I238" i="2" s="1"/>
  <c r="I237" i="2"/>
  <c r="I239" i="2" s="1"/>
  <c r="I235" i="2"/>
  <c r="I234" i="2"/>
  <c r="I233" i="2"/>
  <c r="I231" i="2"/>
  <c r="I230" i="2"/>
  <c r="I228" i="2"/>
  <c r="I226" i="2"/>
  <c r="I224" i="2"/>
  <c r="I223" i="2"/>
  <c r="E222" i="2"/>
  <c r="I222" i="2" s="1"/>
  <c r="I221" i="2"/>
  <c r="I220" i="2"/>
  <c r="I218" i="2"/>
  <c r="I217" i="2"/>
  <c r="I216" i="2"/>
  <c r="I215" i="2"/>
  <c r="I214" i="2"/>
  <c r="I213" i="2"/>
  <c r="I212" i="2"/>
  <c r="I211" i="2"/>
  <c r="I210" i="2"/>
  <c r="I209" i="2"/>
  <c r="H208" i="2"/>
  <c r="I208" i="2" s="1"/>
  <c r="I207" i="2"/>
  <c r="I206" i="2"/>
  <c r="I205" i="2"/>
  <c r="I204" i="2"/>
  <c r="H203" i="2"/>
  <c r="E203" i="2"/>
  <c r="I202" i="2"/>
  <c r="I201" i="2"/>
  <c r="I200" i="2"/>
  <c r="I199" i="2"/>
  <c r="I198" i="2"/>
  <c r="I197" i="2"/>
  <c r="I196" i="2"/>
  <c r="I14" i="3"/>
  <c r="I13" i="3"/>
  <c r="I12" i="3"/>
  <c r="I11" i="3"/>
  <c r="E10" i="3"/>
  <c r="I10" i="3" s="1"/>
  <c r="I9" i="3"/>
  <c r="I8" i="3"/>
  <c r="I7" i="3"/>
  <c r="I6" i="3"/>
  <c r="I125" i="2"/>
  <c r="I124" i="2"/>
  <c r="I123" i="2"/>
  <c r="I122" i="2"/>
  <c r="I121" i="2"/>
  <c r="I4" i="3"/>
  <c r="I393" i="2" l="1"/>
  <c r="I76" i="2"/>
  <c r="I236" i="2"/>
  <c r="I269" i="2"/>
  <c r="I461" i="2"/>
  <c r="I322" i="2"/>
  <c r="I412" i="2"/>
  <c r="I225" i="2"/>
  <c r="I453" i="2"/>
  <c r="I486" i="2"/>
  <c r="I495" i="2"/>
  <c r="I503" i="2"/>
  <c r="I526" i="2"/>
  <c r="I126" i="2"/>
  <c r="I245" i="2"/>
  <c r="K343" i="2"/>
  <c r="I73" i="2"/>
  <c r="I232" i="2"/>
  <c r="J287" i="2"/>
  <c r="I287" i="2"/>
  <c r="I292" i="2"/>
  <c r="I308" i="2"/>
  <c r="I377" i="2"/>
  <c r="I456" i="2"/>
  <c r="I481" i="2"/>
  <c r="I510" i="2"/>
  <c r="J399" i="2"/>
  <c r="I316" i="2"/>
  <c r="I355" i="2"/>
  <c r="J264" i="2"/>
  <c r="I264" i="2"/>
  <c r="J256" i="2"/>
  <c r="J66" i="2"/>
  <c r="J70" i="2" s="1"/>
  <c r="I203" i="2"/>
  <c r="I219" i="2" s="1"/>
  <c r="K308" i="2" l="1"/>
  <c r="K307" i="2"/>
  <c r="H194" i="2"/>
  <c r="I194" i="2" s="1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70" i="2"/>
  <c r="I162" i="2"/>
  <c r="I161" i="2"/>
  <c r="I160" i="2"/>
  <c r="I159" i="2"/>
  <c r="I158" i="2"/>
  <c r="I157" i="2"/>
  <c r="I156" i="2"/>
  <c r="I155" i="2"/>
  <c r="I154" i="2"/>
  <c r="H153" i="2"/>
  <c r="I153" i="2" s="1"/>
  <c r="H152" i="2"/>
  <c r="I152" i="2" s="1"/>
  <c r="I150" i="2"/>
  <c r="I149" i="2"/>
  <c r="I148" i="2"/>
  <c r="I146" i="2"/>
  <c r="I145" i="2"/>
  <c r="I143" i="2"/>
  <c r="I142" i="2"/>
  <c r="I141" i="2"/>
  <c r="H140" i="2"/>
  <c r="E140" i="2"/>
  <c r="I139" i="2"/>
  <c r="I138" i="2"/>
  <c r="I137" i="2"/>
  <c r="I136" i="2"/>
  <c r="I133" i="2"/>
  <c r="E131" i="2"/>
  <c r="I131" i="2" s="1"/>
  <c r="I130" i="2"/>
  <c r="I129" i="2"/>
  <c r="I128" i="2"/>
  <c r="I127" i="2"/>
  <c r="I119" i="2"/>
  <c r="H117" i="2"/>
  <c r="E117" i="2"/>
  <c r="I116" i="2"/>
  <c r="I115" i="2"/>
  <c r="I114" i="2"/>
  <c r="I113" i="2"/>
  <c r="I112" i="2"/>
  <c r="I111" i="2"/>
  <c r="H110" i="2"/>
  <c r="E110" i="2"/>
  <c r="H109" i="2"/>
  <c r="I109" i="2" s="1"/>
  <c r="I107" i="2"/>
  <c r="E106" i="2"/>
  <c r="I105" i="2"/>
  <c r="I104" i="2"/>
  <c r="I102" i="2"/>
  <c r="I98" i="2"/>
  <c r="I97" i="2"/>
  <c r="I96" i="2"/>
  <c r="I95" i="2"/>
  <c r="I94" i="2"/>
  <c r="H7" i="2"/>
  <c r="I7" i="2" s="1"/>
  <c r="H6" i="2"/>
  <c r="I6" i="2" s="1"/>
  <c r="I8" i="2" s="1"/>
  <c r="H4" i="2"/>
  <c r="I4" i="2" s="1"/>
  <c r="H567" i="6"/>
  <c r="I567" i="6" s="1"/>
  <c r="I568" i="6" s="1"/>
  <c r="J568" i="6" s="1"/>
  <c r="H564" i="6"/>
  <c r="I564" i="6" s="1"/>
  <c r="H563" i="6"/>
  <c r="I563" i="6" s="1"/>
  <c r="I560" i="6"/>
  <c r="I561" i="6" s="1"/>
  <c r="J561" i="6" s="1"/>
  <c r="I557" i="6"/>
  <c r="I556" i="6"/>
  <c r="I555" i="6"/>
  <c r="I554" i="6"/>
  <c r="I553" i="6"/>
  <c r="I552" i="6"/>
  <c r="I549" i="6"/>
  <c r="I548" i="6"/>
  <c r="I550" i="6" s="1"/>
  <c r="J550" i="6" s="1"/>
  <c r="I546" i="6"/>
  <c r="J546" i="6" s="1"/>
  <c r="I545" i="6"/>
  <c r="I544" i="6"/>
  <c r="I541" i="6"/>
  <c r="I542" i="6" s="1"/>
  <c r="J542" i="6" s="1"/>
  <c r="H538" i="6"/>
  <c r="I538" i="6" s="1"/>
  <c r="I539" i="6" s="1"/>
  <c r="J539" i="6" s="1"/>
  <c r="H535" i="6"/>
  <c r="I535" i="6" s="1"/>
  <c r="I536" i="6" s="1"/>
  <c r="J536" i="6" s="1"/>
  <c r="I532" i="6"/>
  <c r="I533" i="6" s="1"/>
  <c r="J533" i="6" s="1"/>
  <c r="I529" i="6"/>
  <c r="I528" i="6"/>
  <c r="I527" i="6"/>
  <c r="I526" i="6"/>
  <c r="I525" i="6"/>
  <c r="I524" i="6"/>
  <c r="I522" i="6"/>
  <c r="J522" i="6" s="1"/>
  <c r="I521" i="6"/>
  <c r="I518" i="6"/>
  <c r="E517" i="6"/>
  <c r="I516" i="6"/>
  <c r="I515" i="6"/>
  <c r="H512" i="6"/>
  <c r="I512" i="6" s="1"/>
  <c r="E512" i="6"/>
  <c r="I511" i="6"/>
  <c r="I510" i="6"/>
  <c r="I509" i="6"/>
  <c r="I508" i="6"/>
  <c r="I507" i="6"/>
  <c r="I506" i="6"/>
  <c r="H505" i="6"/>
  <c r="E505" i="6"/>
  <c r="H504" i="6"/>
  <c r="I504" i="6" s="1"/>
  <c r="I501" i="6"/>
  <c r="I502" i="6" s="1"/>
  <c r="J502" i="6" s="1"/>
  <c r="I499" i="6"/>
  <c r="J499" i="6" s="1"/>
  <c r="I496" i="6"/>
  <c r="E492" i="6"/>
  <c r="I492" i="6" s="1"/>
  <c r="I491" i="6"/>
  <c r="I490" i="6"/>
  <c r="I489" i="6"/>
  <c r="I488" i="6"/>
  <c r="I485" i="6"/>
  <c r="I484" i="6"/>
  <c r="I483" i="6"/>
  <c r="I482" i="6"/>
  <c r="I481" i="6"/>
  <c r="I486" i="6" s="1"/>
  <c r="J486" i="6" s="1"/>
  <c r="I478" i="6"/>
  <c r="I477" i="6"/>
  <c r="I476" i="6"/>
  <c r="I475" i="6"/>
  <c r="H475" i="6"/>
  <c r="E475" i="6"/>
  <c r="I474" i="6"/>
  <c r="I473" i="6"/>
  <c r="I479" i="6" s="1"/>
  <c r="J479" i="6" s="1"/>
  <c r="I472" i="6"/>
  <c r="I471" i="6"/>
  <c r="I468" i="6"/>
  <c r="I469" i="6" s="1"/>
  <c r="J469" i="6" s="1"/>
  <c r="I465" i="6"/>
  <c r="I464" i="6"/>
  <c r="I466" i="6" s="1"/>
  <c r="J466" i="6" s="1"/>
  <c r="I461" i="6"/>
  <c r="I460" i="6"/>
  <c r="I459" i="6"/>
  <c r="I456" i="6"/>
  <c r="I455" i="6"/>
  <c r="I454" i="6"/>
  <c r="I453" i="6"/>
  <c r="I452" i="6"/>
  <c r="I451" i="6"/>
  <c r="I450" i="6"/>
  <c r="I449" i="6"/>
  <c r="I448" i="6"/>
  <c r="H447" i="6"/>
  <c r="I447" i="6" s="1"/>
  <c r="H446" i="6"/>
  <c r="I446" i="6" s="1"/>
  <c r="I457" i="6" s="1"/>
  <c r="J457" i="6" s="1"/>
  <c r="I443" i="6"/>
  <c r="I444" i="6" s="1"/>
  <c r="J444" i="6" s="1"/>
  <c r="I441" i="6"/>
  <c r="J441" i="6" s="1"/>
  <c r="I440" i="6"/>
  <c r="I437" i="6"/>
  <c r="I438" i="6" s="1"/>
  <c r="J438" i="6" s="1"/>
  <c r="H434" i="6"/>
  <c r="I434" i="6" s="1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18" i="6"/>
  <c r="I417" i="6"/>
  <c r="I416" i="6"/>
  <c r="I415" i="6"/>
  <c r="E414" i="6"/>
  <c r="I414" i="6" s="1"/>
  <c r="I413" i="6"/>
  <c r="I412" i="6"/>
  <c r="I411" i="6"/>
  <c r="I410" i="6"/>
  <c r="I407" i="6"/>
  <c r="I406" i="6"/>
  <c r="I405" i="6"/>
  <c r="I404" i="6"/>
  <c r="I403" i="6"/>
  <c r="I402" i="6"/>
  <c r="I401" i="6"/>
  <c r="I400" i="6"/>
  <c r="I399" i="6"/>
  <c r="I398" i="6"/>
  <c r="H397" i="6"/>
  <c r="I397" i="6" s="1"/>
  <c r="I396" i="6"/>
  <c r="I395" i="6"/>
  <c r="I394" i="6"/>
  <c r="I393" i="6"/>
  <c r="H392" i="6"/>
  <c r="E392" i="6"/>
  <c r="I392" i="6" s="1"/>
  <c r="I391" i="6"/>
  <c r="I390" i="6"/>
  <c r="I389" i="6"/>
  <c r="I388" i="6"/>
  <c r="I387" i="6"/>
  <c r="I386" i="6"/>
  <c r="I385" i="6"/>
  <c r="I382" i="6"/>
  <c r="I381" i="6"/>
  <c r="E380" i="6"/>
  <c r="I380" i="6" s="1"/>
  <c r="I379" i="6"/>
  <c r="I378" i="6"/>
  <c r="I375" i="6"/>
  <c r="I376" i="6" s="1"/>
  <c r="J376" i="6" s="1"/>
  <c r="I372" i="6"/>
  <c r="I373" i="6" s="1"/>
  <c r="J373" i="6" s="1"/>
  <c r="I369" i="6"/>
  <c r="I368" i="6"/>
  <c r="I370" i="6" s="1"/>
  <c r="J370" i="6" s="1"/>
  <c r="I365" i="6"/>
  <c r="I364" i="6"/>
  <c r="I363" i="6"/>
  <c r="H360" i="6"/>
  <c r="I360" i="6" s="1"/>
  <c r="I359" i="6"/>
  <c r="I356" i="6"/>
  <c r="I355" i="6"/>
  <c r="I354" i="6"/>
  <c r="I353" i="6"/>
  <c r="I352" i="6"/>
  <c r="I357" i="6" s="1"/>
  <c r="J357" i="6" s="1"/>
  <c r="I349" i="6"/>
  <c r="I347" i="6"/>
  <c r="I350" i="6" s="1"/>
  <c r="J350" i="6" s="1"/>
  <c r="E346" i="6"/>
  <c r="I341" i="6"/>
  <c r="H340" i="6"/>
  <c r="I340" i="6" s="1"/>
  <c r="H337" i="6"/>
  <c r="I337" i="6" s="1"/>
  <c r="I338" i="6" s="1"/>
  <c r="J338" i="6" s="1"/>
  <c r="I334" i="6"/>
  <c r="I333" i="6"/>
  <c r="I335" i="6" s="1"/>
  <c r="J335" i="6" s="1"/>
  <c r="H329" i="6"/>
  <c r="I329" i="6" s="1"/>
  <c r="I331" i="6" s="1"/>
  <c r="J331" i="6" s="1"/>
  <c r="H326" i="6"/>
  <c r="I326" i="6" s="1"/>
  <c r="I327" i="6" s="1"/>
  <c r="J327" i="6" s="1"/>
  <c r="H323" i="6"/>
  <c r="I323" i="6" s="1"/>
  <c r="H322" i="6"/>
  <c r="I322" i="6" s="1"/>
  <c r="I319" i="6"/>
  <c r="I320" i="6" s="1"/>
  <c r="J320" i="6" s="1"/>
  <c r="H316" i="6"/>
  <c r="I316" i="6" s="1"/>
  <c r="H315" i="6"/>
  <c r="I315" i="6" s="1"/>
  <c r="I317" i="6" s="1"/>
  <c r="J317" i="6" s="1"/>
  <c r="H310" i="6"/>
  <c r="I310" i="6" s="1"/>
  <c r="I311" i="6" s="1"/>
  <c r="J311" i="6" s="1"/>
  <c r="H307" i="6"/>
  <c r="I307" i="6" s="1"/>
  <c r="H306" i="6"/>
  <c r="I306" i="6" s="1"/>
  <c r="I308" i="6" s="1"/>
  <c r="J308" i="6" s="1"/>
  <c r="H303" i="6"/>
  <c r="I303" i="6" s="1"/>
  <c r="I304" i="6" s="1"/>
  <c r="J304" i="6" s="1"/>
  <c r="H300" i="6"/>
  <c r="I300" i="6" s="1"/>
  <c r="H298" i="6"/>
  <c r="I298" i="6" s="1"/>
  <c r="H297" i="6"/>
  <c r="I297" i="6" s="1"/>
  <c r="H294" i="6"/>
  <c r="I294" i="6" s="1"/>
  <c r="I295" i="6" s="1"/>
  <c r="J295" i="6" s="1"/>
  <c r="H291" i="6"/>
  <c r="I291" i="6" s="1"/>
  <c r="I292" i="6" s="1"/>
  <c r="J292" i="6" s="1"/>
  <c r="H288" i="6"/>
  <c r="I288" i="6" s="1"/>
  <c r="H285" i="6"/>
  <c r="I285" i="6" s="1"/>
  <c r="I284" i="6"/>
  <c r="H284" i="6"/>
  <c r="I282" i="6"/>
  <c r="H278" i="6"/>
  <c r="I278" i="6" s="1"/>
  <c r="H276" i="6"/>
  <c r="I276" i="6" s="1"/>
  <c r="H275" i="6"/>
  <c r="I275" i="6" s="1"/>
  <c r="H269" i="6"/>
  <c r="I269" i="6" s="1"/>
  <c r="H268" i="6"/>
  <c r="I268" i="6" s="1"/>
  <c r="I270" i="6" s="1"/>
  <c r="J270" i="6" s="1"/>
  <c r="H262" i="6"/>
  <c r="I262" i="6" s="1"/>
  <c r="H261" i="6"/>
  <c r="I261" i="6" s="1"/>
  <c r="H260" i="6"/>
  <c r="I260" i="6" s="1"/>
  <c r="H259" i="6"/>
  <c r="I259" i="6" s="1"/>
  <c r="I256" i="6"/>
  <c r="I255" i="6"/>
  <c r="H254" i="6"/>
  <c r="I254" i="6" s="1"/>
  <c r="I253" i="6"/>
  <c r="I252" i="6"/>
  <c r="H252" i="6"/>
  <c r="I251" i="6"/>
  <c r="H247" i="6"/>
  <c r="I247" i="6" s="1"/>
  <c r="H246" i="6"/>
  <c r="I246" i="6" s="1"/>
  <c r="H245" i="6"/>
  <c r="I245" i="6" s="1"/>
  <c r="H240" i="6"/>
  <c r="I240" i="6" s="1"/>
  <c r="I241" i="6" s="1"/>
  <c r="J241" i="6" s="1"/>
  <c r="H236" i="6"/>
  <c r="I236" i="6" s="1"/>
  <c r="H235" i="6"/>
  <c r="I235" i="6" s="1"/>
  <c r="H234" i="6"/>
  <c r="I234" i="6" s="1"/>
  <c r="H233" i="6"/>
  <c r="I233" i="6" s="1"/>
  <c r="I229" i="6"/>
  <c r="I230" i="6" s="1"/>
  <c r="J230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27" i="6" s="1"/>
  <c r="J227" i="6" s="1"/>
  <c r="I204" i="6"/>
  <c r="I203" i="6"/>
  <c r="I202" i="6"/>
  <c r="I201" i="6"/>
  <c r="I200" i="6"/>
  <c r="I199" i="6"/>
  <c r="I198" i="6"/>
  <c r="I197" i="6"/>
  <c r="I205" i="6" s="1"/>
  <c r="J205" i="6" s="1"/>
  <c r="I194" i="6"/>
  <c r="I193" i="6"/>
  <c r="I192" i="6"/>
  <c r="I191" i="6"/>
  <c r="I195" i="6" s="1"/>
  <c r="J195" i="6" s="1"/>
  <c r="I188" i="6"/>
  <c r="I189" i="6" s="1"/>
  <c r="J189" i="6" s="1"/>
  <c r="I185" i="6"/>
  <c r="I186" i="6" s="1"/>
  <c r="J186" i="6" s="1"/>
  <c r="I182" i="6"/>
  <c r="H181" i="6"/>
  <c r="I181" i="6" s="1"/>
  <c r="H178" i="6"/>
  <c r="I178" i="6" s="1"/>
  <c r="I179" i="6" s="1"/>
  <c r="J179" i="6" s="1"/>
  <c r="I175" i="6"/>
  <c r="I176" i="6" s="1"/>
  <c r="J176" i="6" s="1"/>
  <c r="I172" i="6"/>
  <c r="I173" i="6" s="1"/>
  <c r="J173" i="6" s="1"/>
  <c r="I169" i="6"/>
  <c r="I168" i="6"/>
  <c r="I167" i="6"/>
  <c r="I166" i="6"/>
  <c r="I165" i="6"/>
  <c r="I162" i="6"/>
  <c r="I161" i="6"/>
  <c r="I160" i="6"/>
  <c r="I159" i="6"/>
  <c r="I158" i="6"/>
  <c r="H157" i="6"/>
  <c r="I157" i="6" s="1"/>
  <c r="I156" i="6"/>
  <c r="I155" i="6"/>
  <c r="I154" i="6"/>
  <c r="I153" i="6"/>
  <c r="I152" i="6"/>
  <c r="I151" i="6"/>
  <c r="I150" i="6"/>
  <c r="I147" i="6"/>
  <c r="E147" i="6"/>
  <c r="I146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44" i="6" s="1"/>
  <c r="J144" i="6" s="1"/>
  <c r="H115" i="6"/>
  <c r="I115" i="6" s="1"/>
  <c r="I114" i="6"/>
  <c r="I113" i="6"/>
  <c r="I116" i="6" s="1"/>
  <c r="J116" i="6" s="1"/>
  <c r="I111" i="6"/>
  <c r="J111" i="6" s="1"/>
  <c r="I110" i="6"/>
  <c r="I109" i="6"/>
  <c r="I106" i="6"/>
  <c r="I107" i="6" s="1"/>
  <c r="J107" i="6" s="1"/>
  <c r="I105" i="6"/>
  <c r="I104" i="6"/>
  <c r="I101" i="6"/>
  <c r="I102" i="6" s="1"/>
  <c r="J102" i="6" s="1"/>
  <c r="I99" i="6"/>
  <c r="J99" i="6" s="1"/>
  <c r="I98" i="6"/>
  <c r="I95" i="6"/>
  <c r="H94" i="6"/>
  <c r="I94" i="6" s="1"/>
  <c r="E93" i="6"/>
  <c r="I93" i="6" s="1"/>
  <c r="I90" i="6"/>
  <c r="I91" i="6" s="1"/>
  <c r="J91" i="6" s="1"/>
  <c r="I87" i="6"/>
  <c r="I86" i="6"/>
  <c r="I85" i="6"/>
  <c r="I82" i="6"/>
  <c r="I81" i="6"/>
  <c r="I83" i="6" s="1"/>
  <c r="J83" i="6" s="1"/>
  <c r="I78" i="6"/>
  <c r="I77" i="6"/>
  <c r="I76" i="6"/>
  <c r="I75" i="6"/>
  <c r="I72" i="6"/>
  <c r="I71" i="6"/>
  <c r="I70" i="6"/>
  <c r="I69" i="6"/>
  <c r="I68" i="6"/>
  <c r="I67" i="6"/>
  <c r="I66" i="6"/>
  <c r="I65" i="6"/>
  <c r="I62" i="6"/>
  <c r="I61" i="6"/>
  <c r="I60" i="6"/>
  <c r="I57" i="6"/>
  <c r="H56" i="6"/>
  <c r="I56" i="6" s="1"/>
  <c r="I55" i="6"/>
  <c r="I54" i="6"/>
  <c r="I53" i="6"/>
  <c r="I52" i="6"/>
  <c r="I51" i="6"/>
  <c r="I48" i="6"/>
  <c r="I49" i="6" s="1"/>
  <c r="J49" i="6" s="1"/>
  <c r="I45" i="6"/>
  <c r="I46" i="6" s="1"/>
  <c r="J46" i="6" s="1"/>
  <c r="E42" i="6"/>
  <c r="I42" i="6" s="1"/>
  <c r="I43" i="6" s="1"/>
  <c r="J43" i="6" s="1"/>
  <c r="I39" i="6"/>
  <c r="I40" i="6" s="1"/>
  <c r="J40" i="6" s="1"/>
  <c r="I37" i="6"/>
  <c r="J37" i="6" s="1"/>
  <c r="I36" i="6"/>
  <c r="I33" i="6"/>
  <c r="I32" i="6"/>
  <c r="I31" i="6"/>
  <c r="H31" i="6"/>
  <c r="I30" i="6"/>
  <c r="H27" i="6"/>
  <c r="I27" i="6" s="1"/>
  <c r="I28" i="6" s="1"/>
  <c r="J28" i="6" s="1"/>
  <c r="I25" i="6"/>
  <c r="J25" i="6" s="1"/>
  <c r="I24" i="6"/>
  <c r="I23" i="6"/>
  <c r="I22" i="6"/>
  <c r="I19" i="6"/>
  <c r="I20" i="6" s="1"/>
  <c r="J20" i="6" s="1"/>
  <c r="H16" i="6"/>
  <c r="I16" i="6" s="1"/>
  <c r="I17" i="6" s="1"/>
  <c r="J17" i="6" s="1"/>
  <c r="I13" i="6"/>
  <c r="I14" i="6" s="1"/>
  <c r="J14" i="6" s="1"/>
  <c r="I10" i="6"/>
  <c r="H10" i="6"/>
  <c r="I9" i="6"/>
  <c r="I6" i="6"/>
  <c r="I7" i="6" s="1"/>
  <c r="J7" i="6" s="1"/>
  <c r="I5" i="6"/>
  <c r="I4" i="6"/>
  <c r="I147" i="2" l="1"/>
  <c r="J108" i="2"/>
  <c r="I108" i="2"/>
  <c r="I132" i="2"/>
  <c r="I163" i="2"/>
  <c r="I195" i="2"/>
  <c r="I151" i="2"/>
  <c r="I99" i="2"/>
  <c r="I140" i="2"/>
  <c r="I144" i="2" s="1"/>
  <c r="I110" i="2"/>
  <c r="I117" i="2"/>
  <c r="I301" i="6"/>
  <c r="J301" i="6" s="1"/>
  <c r="I435" i="6"/>
  <c r="J435" i="6" s="1"/>
  <c r="I530" i="6"/>
  <c r="J530" i="6" s="1"/>
  <c r="I505" i="6"/>
  <c r="I513" i="6" s="1"/>
  <c r="J513" i="6" s="1"/>
  <c r="I148" i="6"/>
  <c r="J148" i="6" s="1"/>
  <c r="I257" i="6"/>
  <c r="J257" i="6" s="1"/>
  <c r="I361" i="6"/>
  <c r="J361" i="6" s="1"/>
  <c r="I419" i="6"/>
  <c r="J419" i="6" s="1"/>
  <c r="I558" i="6"/>
  <c r="J558" i="6" s="1"/>
  <c r="I73" i="6"/>
  <c r="J73" i="6" s="1"/>
  <c r="I79" i="6"/>
  <c r="J79" i="6" s="1"/>
  <c r="I163" i="6"/>
  <c r="J163" i="6" s="1"/>
  <c r="I263" i="6"/>
  <c r="J263" i="6" s="1"/>
  <c r="I408" i="6"/>
  <c r="J408" i="6" s="1"/>
  <c r="I493" i="6"/>
  <c r="J493" i="6" s="1"/>
  <c r="I11" i="6"/>
  <c r="J11" i="6" s="1"/>
  <c r="I34" i="6"/>
  <c r="J34" i="6" s="1"/>
  <c r="I63" i="6"/>
  <c r="J63" i="6" s="1"/>
  <c r="I88" i="6"/>
  <c r="J88" i="6" s="1"/>
  <c r="I170" i="6"/>
  <c r="J170" i="6" s="1"/>
  <c r="I183" i="6"/>
  <c r="J183" i="6" s="1"/>
  <c r="I343" i="6"/>
  <c r="J343" i="6" s="1"/>
  <c r="I366" i="6"/>
  <c r="J366" i="6" s="1"/>
  <c r="I383" i="6"/>
  <c r="J383" i="6" s="1"/>
  <c r="I462" i="6"/>
  <c r="J462" i="6" s="1"/>
  <c r="I519" i="6"/>
  <c r="J519" i="6" s="1"/>
  <c r="I565" i="6"/>
  <c r="J565" i="6" s="1"/>
  <c r="I237" i="6"/>
  <c r="J237" i="6" s="1"/>
  <c r="I289" i="6"/>
  <c r="J289" i="6" s="1"/>
  <c r="I58" i="6"/>
  <c r="J58" i="6" s="1"/>
  <c r="I249" i="6"/>
  <c r="J249" i="6" s="1"/>
  <c r="I279" i="6"/>
  <c r="J279" i="6" s="1"/>
  <c r="I96" i="6"/>
  <c r="J96" i="6" s="1"/>
  <c r="I324" i="6"/>
  <c r="J324" i="6" s="1"/>
  <c r="H570" i="1"/>
  <c r="I570" i="1" s="1"/>
  <c r="I571" i="1" s="1"/>
  <c r="I567" i="1"/>
  <c r="H567" i="1"/>
  <c r="I566" i="1"/>
  <c r="I568" i="1" s="1"/>
  <c r="H566" i="1"/>
  <c r="I563" i="1"/>
  <c r="I564" i="1" s="1"/>
  <c r="I560" i="1"/>
  <c r="I559" i="1"/>
  <c r="I558" i="1"/>
  <c r="I557" i="1"/>
  <c r="I556" i="1"/>
  <c r="I555" i="1"/>
  <c r="I561" i="1" s="1"/>
  <c r="I552" i="1"/>
  <c r="I551" i="1"/>
  <c r="I553" i="1" s="1"/>
  <c r="I548" i="1"/>
  <c r="I547" i="1"/>
  <c r="I549" i="1" s="1"/>
  <c r="I544" i="1"/>
  <c r="I545" i="1" s="1"/>
  <c r="H541" i="1"/>
  <c r="I541" i="1" s="1"/>
  <c r="I542" i="1" s="1"/>
  <c r="H538" i="1"/>
  <c r="I538" i="1" s="1"/>
  <c r="I539" i="1" s="1"/>
  <c r="I535" i="1"/>
  <c r="I536" i="1" s="1"/>
  <c r="I532" i="1"/>
  <c r="I531" i="1"/>
  <c r="I530" i="1"/>
  <c r="I529" i="1"/>
  <c r="I528" i="1"/>
  <c r="I527" i="1"/>
  <c r="I533" i="1" s="1"/>
  <c r="H524" i="1"/>
  <c r="I524" i="1" s="1"/>
  <c r="I525" i="1" s="1"/>
  <c r="I118" i="2" l="1"/>
  <c r="J550" i="2" s="1"/>
  <c r="J569" i="6"/>
  <c r="I522" i="1"/>
  <c r="I521" i="1"/>
  <c r="I518" i="1"/>
  <c r="E517" i="1"/>
  <c r="I516" i="1"/>
  <c r="I515" i="1"/>
  <c r="I519" i="1" s="1"/>
  <c r="H512" i="1"/>
  <c r="I512" i="1" s="1"/>
  <c r="E512" i="1"/>
  <c r="I511" i="1"/>
  <c r="I510" i="1"/>
  <c r="I509" i="1"/>
  <c r="I508" i="1"/>
  <c r="I507" i="1"/>
  <c r="I506" i="1"/>
  <c r="H505" i="1"/>
  <c r="I505" i="1" s="1"/>
  <c r="E505" i="1"/>
  <c r="H504" i="1"/>
  <c r="I504" i="1" s="1"/>
  <c r="I513" i="1" s="1"/>
  <c r="I501" i="1"/>
  <c r="I502" i="1" s="1"/>
  <c r="I496" i="1"/>
  <c r="I499" i="1"/>
  <c r="E492" i="1"/>
  <c r="I492" i="1" s="1"/>
  <c r="I491" i="1"/>
  <c r="I490" i="1"/>
  <c r="I489" i="1"/>
  <c r="I488" i="1"/>
  <c r="I493" i="1" s="1"/>
  <c r="I486" i="1"/>
  <c r="I485" i="1"/>
  <c r="I484" i="1"/>
  <c r="I483" i="1"/>
  <c r="I482" i="1"/>
  <c r="I481" i="1"/>
  <c r="I478" i="1"/>
  <c r="I477" i="1"/>
  <c r="I476" i="1"/>
  <c r="H475" i="1"/>
  <c r="I475" i="1" s="1"/>
  <c r="E475" i="1"/>
  <c r="I474" i="1"/>
  <c r="I473" i="1"/>
  <c r="I472" i="1"/>
  <c r="I471" i="1"/>
  <c r="I479" i="1" s="1"/>
  <c r="I469" i="1"/>
  <c r="I468" i="1"/>
  <c r="I465" i="1"/>
  <c r="I464" i="1"/>
  <c r="I466" i="1" s="1"/>
  <c r="I461" i="1"/>
  <c r="I462" i="1" s="1"/>
  <c r="I460" i="1"/>
  <c r="I459" i="1"/>
  <c r="I456" i="1"/>
  <c r="I455" i="1"/>
  <c r="I454" i="1"/>
  <c r="I453" i="1"/>
  <c r="I452" i="1"/>
  <c r="I451" i="1"/>
  <c r="I450" i="1"/>
  <c r="I449" i="1"/>
  <c r="I448" i="1"/>
  <c r="H447" i="1"/>
  <c r="I447" i="1" s="1"/>
  <c r="H446" i="1"/>
  <c r="I446" i="1" s="1"/>
  <c r="I457" i="1" s="1"/>
  <c r="I443" i="1"/>
  <c r="I444" i="1" s="1"/>
  <c r="I440" i="1"/>
  <c r="I441" i="1" s="1"/>
  <c r="I437" i="1"/>
  <c r="I438" i="1" s="1"/>
  <c r="H434" i="1"/>
  <c r="I434" i="1" s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35" i="1" s="1"/>
  <c r="I418" i="1"/>
  <c r="I417" i="1"/>
  <c r="I416" i="1"/>
  <c r="I415" i="1"/>
  <c r="E414" i="1"/>
  <c r="I414" i="1" s="1"/>
  <c r="I413" i="1"/>
  <c r="I412" i="1"/>
  <c r="I411" i="1"/>
  <c r="I410" i="1"/>
  <c r="I419" i="1" s="1"/>
  <c r="I407" i="1"/>
  <c r="I406" i="1"/>
  <c r="I405" i="1"/>
  <c r="I404" i="1"/>
  <c r="I403" i="1"/>
  <c r="I402" i="1"/>
  <c r="I401" i="1"/>
  <c r="I400" i="1"/>
  <c r="I399" i="1"/>
  <c r="I398" i="1"/>
  <c r="I397" i="1"/>
  <c r="H397" i="1"/>
  <c r="I396" i="1"/>
  <c r="I395" i="1"/>
  <c r="I394" i="1"/>
  <c r="I393" i="1"/>
  <c r="H392" i="1"/>
  <c r="I392" i="1" s="1"/>
  <c r="E392" i="1"/>
  <c r="I391" i="1"/>
  <c r="I390" i="1"/>
  <c r="I389" i="1"/>
  <c r="I388" i="1"/>
  <c r="I387" i="1"/>
  <c r="I386" i="1"/>
  <c r="I385" i="1"/>
  <c r="I408" i="1" s="1"/>
  <c r="I382" i="1"/>
  <c r="I381" i="1"/>
  <c r="I380" i="1"/>
  <c r="E380" i="1"/>
  <c r="I379" i="1"/>
  <c r="I378" i="1"/>
  <c r="I383" i="1" s="1"/>
  <c r="I375" i="1"/>
  <c r="I376" i="1" s="1"/>
  <c r="I372" i="1"/>
  <c r="I373" i="1" s="1"/>
  <c r="I369" i="1"/>
  <c r="I368" i="1"/>
  <c r="I370" i="1" s="1"/>
  <c r="I366" i="1"/>
  <c r="I365" i="1"/>
  <c r="I364" i="1"/>
  <c r="I363" i="1"/>
  <c r="H360" i="1"/>
  <c r="I360" i="1" s="1"/>
  <c r="I359" i="1"/>
  <c r="I356" i="1"/>
  <c r="I355" i="1"/>
  <c r="I354" i="1"/>
  <c r="I353" i="1"/>
  <c r="I352" i="1"/>
  <c r="I357" i="1" s="1"/>
  <c r="I349" i="1"/>
  <c r="I347" i="1"/>
  <c r="E346" i="1"/>
  <c r="I350" i="1"/>
  <c r="I341" i="1"/>
  <c r="H340" i="1"/>
  <c r="I340" i="1" s="1"/>
  <c r="I343" i="1" s="1"/>
  <c r="H337" i="1"/>
  <c r="I337" i="1" s="1"/>
  <c r="I338" i="1" s="1"/>
  <c r="I334" i="1"/>
  <c r="I333" i="1"/>
  <c r="I335" i="1" s="1"/>
  <c r="I329" i="1"/>
  <c r="H329" i="1"/>
  <c r="I326" i="1"/>
  <c r="I327" i="1" s="1"/>
  <c r="H326" i="1"/>
  <c r="H323" i="1"/>
  <c r="I323" i="1" s="1"/>
  <c r="H322" i="1"/>
  <c r="I322" i="1" s="1"/>
  <c r="I324" i="1" s="1"/>
  <c r="I319" i="1"/>
  <c r="I320" i="1" s="1"/>
  <c r="H316" i="1"/>
  <c r="I316" i="1" s="1"/>
  <c r="I315" i="1"/>
  <c r="I317" i="1" s="1"/>
  <c r="H315" i="1"/>
  <c r="H310" i="1"/>
  <c r="I310" i="1" s="1"/>
  <c r="I311" i="1" s="1"/>
  <c r="H307" i="1"/>
  <c r="I307" i="1" s="1"/>
  <c r="I306" i="1"/>
  <c r="I308" i="1" s="1"/>
  <c r="H306" i="1"/>
  <c r="H303" i="1"/>
  <c r="I303" i="1" s="1"/>
  <c r="I304" i="1" s="1"/>
  <c r="H300" i="1"/>
  <c r="I300" i="1" s="1"/>
  <c r="H298" i="1"/>
  <c r="I298" i="1" s="1"/>
  <c r="I297" i="1"/>
  <c r="I301" i="1" s="1"/>
  <c r="H297" i="1"/>
  <c r="H294" i="1"/>
  <c r="I294" i="1" s="1"/>
  <c r="I295" i="1" s="1"/>
  <c r="I291" i="1"/>
  <c r="I292" i="1" s="1"/>
  <c r="H291" i="1"/>
  <c r="H288" i="1"/>
  <c r="I288" i="1" s="1"/>
  <c r="I285" i="1"/>
  <c r="H285" i="1"/>
  <c r="H284" i="1"/>
  <c r="I284" i="1" s="1"/>
  <c r="I282" i="1"/>
  <c r="H278" i="1"/>
  <c r="I278" i="1" s="1"/>
  <c r="H276" i="1"/>
  <c r="I276" i="1" s="1"/>
  <c r="I275" i="1"/>
  <c r="H275" i="1"/>
  <c r="H269" i="1"/>
  <c r="I269" i="1" s="1"/>
  <c r="I268" i="1"/>
  <c r="H268" i="1"/>
  <c r="H262" i="1"/>
  <c r="I262" i="1" s="1"/>
  <c r="H261" i="1"/>
  <c r="I261" i="1" s="1"/>
  <c r="H260" i="1"/>
  <c r="I260" i="1" s="1"/>
  <c r="H259" i="1"/>
  <c r="I259" i="1" s="1"/>
  <c r="I263" i="1" s="1"/>
  <c r="I249" i="1"/>
  <c r="I257" i="1"/>
  <c r="I256" i="1"/>
  <c r="I255" i="1"/>
  <c r="I254" i="1"/>
  <c r="H254" i="1"/>
  <c r="I253" i="1"/>
  <c r="I252" i="1"/>
  <c r="H252" i="1"/>
  <c r="I251" i="1"/>
  <c r="I247" i="1"/>
  <c r="H247" i="1"/>
  <c r="H246" i="1"/>
  <c r="I246" i="1" s="1"/>
  <c r="I245" i="1"/>
  <c r="H245" i="1"/>
  <c r="H240" i="1"/>
  <c r="I240" i="1" s="1"/>
  <c r="I241" i="1"/>
  <c r="H236" i="1"/>
  <c r="I236" i="1" s="1"/>
  <c r="I235" i="1"/>
  <c r="H235" i="1"/>
  <c r="H234" i="1"/>
  <c r="I234" i="1" s="1"/>
  <c r="I233" i="1"/>
  <c r="H233" i="1"/>
  <c r="I229" i="1"/>
  <c r="I230" i="1" s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27" i="1" s="1"/>
  <c r="I204" i="1"/>
  <c r="I203" i="1"/>
  <c r="I202" i="1"/>
  <c r="I201" i="1"/>
  <c r="I200" i="1"/>
  <c r="I199" i="1"/>
  <c r="I198" i="1"/>
  <c r="I197" i="1"/>
  <c r="I194" i="1"/>
  <c r="I193" i="1"/>
  <c r="I192" i="1"/>
  <c r="I191" i="1"/>
  <c r="I188" i="1"/>
  <c r="I189" i="1" s="1"/>
  <c r="I185" i="1"/>
  <c r="I186" i="1" s="1"/>
  <c r="I361" i="1" l="1"/>
  <c r="I331" i="1"/>
  <c r="I289" i="1"/>
  <c r="I279" i="1"/>
  <c r="I270" i="1"/>
  <c r="I237" i="1"/>
  <c r="I195" i="1"/>
  <c r="I205" i="1"/>
  <c r="I182" i="1" l="1"/>
  <c r="H181" i="1"/>
  <c r="I181" i="1" s="1"/>
  <c r="I183" i="1" s="1"/>
  <c r="H178" i="1"/>
  <c r="I178" i="1" s="1"/>
  <c r="I179" i="1" s="1"/>
  <c r="I175" i="1"/>
  <c r="I176" i="1" s="1"/>
  <c r="I172" i="1"/>
  <c r="I173" i="1" s="1"/>
  <c r="I169" i="1"/>
  <c r="I168" i="1"/>
  <c r="I167" i="1"/>
  <c r="I166" i="1"/>
  <c r="I165" i="1"/>
  <c r="I162" i="1"/>
  <c r="I161" i="1"/>
  <c r="I160" i="1"/>
  <c r="I159" i="1"/>
  <c r="I158" i="1"/>
  <c r="H157" i="1"/>
  <c r="I157" i="1" s="1"/>
  <c r="I156" i="1"/>
  <c r="I155" i="1"/>
  <c r="I154" i="1"/>
  <c r="I153" i="1"/>
  <c r="I152" i="1"/>
  <c r="I151" i="1"/>
  <c r="I150" i="1"/>
  <c r="E147" i="1"/>
  <c r="I147" i="1" s="1"/>
  <c r="I146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H115" i="1"/>
  <c r="I115" i="1" s="1"/>
  <c r="I114" i="1"/>
  <c r="I113" i="1"/>
  <c r="I110" i="1"/>
  <c r="I109" i="1"/>
  <c r="I106" i="1"/>
  <c r="I105" i="1"/>
  <c r="I104" i="1"/>
  <c r="I101" i="1"/>
  <c r="I102" i="1" s="1"/>
  <c r="I98" i="1"/>
  <c r="I99" i="1" s="1"/>
  <c r="I95" i="1"/>
  <c r="H94" i="1"/>
  <c r="I94" i="1" s="1"/>
  <c r="E93" i="1"/>
  <c r="I93" i="1" s="1"/>
  <c r="I90" i="1"/>
  <c r="I91" i="1" s="1"/>
  <c r="I87" i="1"/>
  <c r="I86" i="1"/>
  <c r="I85" i="1"/>
  <c r="I82" i="1"/>
  <c r="I81" i="1"/>
  <c r="I78" i="1"/>
  <c r="I77" i="1"/>
  <c r="I76" i="1"/>
  <c r="I75" i="1"/>
  <c r="I72" i="1"/>
  <c r="I71" i="1"/>
  <c r="I70" i="1"/>
  <c r="I69" i="1"/>
  <c r="I68" i="1"/>
  <c r="I67" i="1"/>
  <c r="I66" i="1"/>
  <c r="I65" i="1"/>
  <c r="I62" i="1"/>
  <c r="I61" i="1"/>
  <c r="I60" i="1"/>
  <c r="I63" i="1" s="1"/>
  <c r="I57" i="1"/>
  <c r="H56" i="1"/>
  <c r="I56" i="1" s="1"/>
  <c r="I55" i="1"/>
  <c r="I54" i="1"/>
  <c r="I53" i="1"/>
  <c r="I52" i="1"/>
  <c r="I51" i="1"/>
  <c r="I48" i="1"/>
  <c r="I49" i="1" s="1"/>
  <c r="I45" i="1"/>
  <c r="I46" i="1" s="1"/>
  <c r="E42" i="1"/>
  <c r="I42" i="1" s="1"/>
  <c r="I43" i="1" s="1"/>
  <c r="I39" i="1"/>
  <c r="I40" i="1" s="1"/>
  <c r="I36" i="1"/>
  <c r="I37" i="1" s="1"/>
  <c r="I33" i="1"/>
  <c r="I32" i="1"/>
  <c r="H31" i="1"/>
  <c r="I31" i="1" s="1"/>
  <c r="I30" i="1"/>
  <c r="H27" i="1"/>
  <c r="I27" i="1" s="1"/>
  <c r="I28" i="1" s="1"/>
  <c r="I24" i="1"/>
  <c r="I23" i="1"/>
  <c r="I22" i="1"/>
  <c r="I25" i="1" s="1"/>
  <c r="I19" i="1"/>
  <c r="I20" i="1" s="1"/>
  <c r="H16" i="1"/>
  <c r="I16" i="1" s="1"/>
  <c r="I17" i="1" s="1"/>
  <c r="I13" i="1"/>
  <c r="I14" i="1" s="1"/>
  <c r="H10" i="1"/>
  <c r="I10" i="1" s="1"/>
  <c r="I9" i="1"/>
  <c r="I6" i="1"/>
  <c r="I5" i="1"/>
  <c r="I4" i="1"/>
  <c r="I148" i="1" l="1"/>
  <c r="I7" i="1"/>
  <c r="I144" i="1"/>
  <c r="I73" i="1"/>
  <c r="I79" i="1"/>
  <c r="I83" i="1"/>
  <c r="I107" i="1"/>
  <c r="I116" i="1"/>
  <c r="I34" i="1"/>
  <c r="I58" i="1"/>
  <c r="I88" i="1"/>
  <c r="I96" i="1"/>
  <c r="I11" i="1"/>
  <c r="I170" i="1"/>
  <c r="I163" i="1"/>
  <c r="I240" i="5" l="1"/>
  <c r="I239" i="5"/>
  <c r="I238" i="5"/>
  <c r="I235" i="5"/>
  <c r="I228" i="5"/>
  <c r="H227" i="5"/>
  <c r="E227" i="5"/>
  <c r="I227" i="5" s="1"/>
  <c r="I226" i="5"/>
  <c r="I225" i="5"/>
  <c r="I229" i="5" s="1"/>
  <c r="I222" i="5"/>
  <c r="I215" i="5"/>
  <c r="I214" i="5"/>
  <c r="I213" i="5"/>
  <c r="I212" i="5"/>
  <c r="I211" i="5"/>
  <c r="I204" i="5"/>
  <c r="I203" i="5"/>
  <c r="I202" i="5"/>
  <c r="I201" i="5"/>
  <c r="H200" i="5"/>
  <c r="I200" i="5" s="1"/>
  <c r="H199" i="5"/>
  <c r="I199" i="5" s="1"/>
  <c r="I198" i="5"/>
  <c r="I197" i="5"/>
  <c r="I196" i="5"/>
  <c r="I195" i="5"/>
  <c r="I194" i="5"/>
  <c r="I193" i="5"/>
  <c r="I189" i="5"/>
  <c r="I188" i="5"/>
  <c r="I187" i="5"/>
  <c r="I186" i="5"/>
  <c r="I185" i="5"/>
  <c r="I178" i="5"/>
  <c r="I177" i="5"/>
  <c r="I176" i="5"/>
  <c r="I175" i="5"/>
  <c r="H175" i="5"/>
  <c r="I174" i="5"/>
  <c r="I173" i="5"/>
  <c r="I172" i="5"/>
  <c r="E171" i="5"/>
  <c r="I171" i="5" s="1"/>
  <c r="I170" i="5"/>
  <c r="H169" i="5"/>
  <c r="I169" i="5" s="1"/>
  <c r="I168" i="5"/>
  <c r="I167" i="5"/>
  <c r="H166" i="5"/>
  <c r="I166" i="5" s="1"/>
  <c r="I165" i="5"/>
  <c r="I164" i="5"/>
  <c r="I163" i="5"/>
  <c r="H162" i="5"/>
  <c r="I162" i="5" s="1"/>
  <c r="I158" i="5"/>
  <c r="I157" i="5"/>
  <c r="I156" i="5"/>
  <c r="I155" i="5"/>
  <c r="I151" i="5"/>
  <c r="I150" i="5"/>
  <c r="I143" i="5"/>
  <c r="H139" i="5"/>
  <c r="I139" i="5" s="1"/>
  <c r="I138" i="5"/>
  <c r="I137" i="5"/>
  <c r="H136" i="5"/>
  <c r="I136" i="5" s="1"/>
  <c r="I135" i="5"/>
  <c r="H135" i="5"/>
  <c r="I134" i="5"/>
  <c r="I130" i="5"/>
  <c r="I129" i="5"/>
  <c r="I128" i="5"/>
  <c r="I127" i="5"/>
  <c r="I123" i="5"/>
  <c r="I119" i="5"/>
  <c r="I118" i="5"/>
  <c r="I117" i="5"/>
  <c r="I116" i="5"/>
  <c r="I115" i="5"/>
  <c r="I114" i="5"/>
  <c r="I110" i="5"/>
  <c r="I109" i="5"/>
  <c r="I108" i="5"/>
  <c r="H108" i="5"/>
  <c r="I107" i="5"/>
  <c r="I106" i="5"/>
  <c r="I105" i="5"/>
  <c r="I104" i="5"/>
  <c r="I103" i="5"/>
  <c r="H102" i="5"/>
  <c r="I102" i="5" s="1"/>
  <c r="I98" i="5"/>
  <c r="I97" i="5"/>
  <c r="I96" i="5"/>
  <c r="H95" i="5"/>
  <c r="E95" i="5"/>
  <c r="I94" i="5"/>
  <c r="I93" i="5"/>
  <c r="H92" i="5"/>
  <c r="I92" i="5" s="1"/>
  <c r="I91" i="5"/>
  <c r="I90" i="5"/>
  <c r="I89" i="5"/>
  <c r="I88" i="5"/>
  <c r="I87" i="5"/>
  <c r="I86" i="5"/>
  <c r="I85" i="5"/>
  <c r="H84" i="5"/>
  <c r="I81" i="5"/>
  <c r="I71" i="5"/>
  <c r="I67" i="5"/>
  <c r="I66" i="5"/>
  <c r="I65" i="5"/>
  <c r="H65" i="5"/>
  <c r="H64" i="5"/>
  <c r="I64" i="5" s="1"/>
  <c r="I63" i="5"/>
  <c r="H63" i="5"/>
  <c r="I62" i="5"/>
  <c r="I58" i="5"/>
  <c r="I57" i="5"/>
  <c r="I56" i="5"/>
  <c r="I55" i="5"/>
  <c r="H54" i="5"/>
  <c r="I54" i="5" s="1"/>
  <c r="I53" i="5"/>
  <c r="I52" i="5"/>
  <c r="I51" i="5"/>
  <c r="H50" i="5"/>
  <c r="I50" i="5" s="1"/>
  <c r="I49" i="5"/>
  <c r="I45" i="5"/>
  <c r="I41" i="5"/>
  <c r="I40" i="5"/>
  <c r="I39" i="5"/>
  <c r="I38" i="5"/>
  <c r="I34" i="5"/>
  <c r="I33" i="5"/>
  <c r="H32" i="5"/>
  <c r="I32" i="5" s="1"/>
  <c r="I31" i="5"/>
  <c r="H30" i="5"/>
  <c r="I30" i="5" s="1"/>
  <c r="H29" i="5"/>
  <c r="I29" i="5" s="1"/>
  <c r="H28" i="5"/>
  <c r="I28" i="5" s="1"/>
  <c r="I27" i="5"/>
  <c r="I26" i="5"/>
  <c r="H25" i="5"/>
  <c r="I25" i="5" s="1"/>
  <c r="H24" i="5"/>
  <c r="I24" i="5" s="1"/>
  <c r="H23" i="5"/>
  <c r="I23" i="5" s="1"/>
  <c r="I22" i="5"/>
  <c r="I21" i="5"/>
  <c r="H20" i="5"/>
  <c r="I20" i="5" s="1"/>
  <c r="I19" i="5"/>
  <c r="I18" i="5"/>
  <c r="I17" i="5"/>
  <c r="H16" i="5"/>
  <c r="I16" i="5" s="1"/>
  <c r="I15" i="5"/>
  <c r="I14" i="5"/>
  <c r="I13" i="5"/>
  <c r="H12" i="5"/>
  <c r="I12" i="5" s="1"/>
  <c r="H11" i="5"/>
  <c r="I11" i="5" s="1"/>
  <c r="H10" i="5"/>
  <c r="I10" i="5" s="1"/>
  <c r="I9" i="5"/>
  <c r="I8" i="5"/>
  <c r="I248" i="5" l="1"/>
  <c r="J249" i="5" s="1"/>
  <c r="I95" i="5"/>
  <c r="I241" i="5"/>
  <c r="L72" i="5" l="1"/>
  <c r="L73" i="5" l="1"/>
  <c r="L74" i="5" s="1"/>
  <c r="I111" i="1" l="1"/>
</calcChain>
</file>

<file path=xl/sharedStrings.xml><?xml version="1.0" encoding="utf-8"?>
<sst xmlns="http://schemas.openxmlformats.org/spreadsheetml/2006/main" count="5800" uniqueCount="660">
  <si>
    <t>Unit Perdagangan Umum &amp; cetak</t>
  </si>
  <si>
    <t>TANGGAL</t>
  </si>
  <si>
    <t>SPOP</t>
  </si>
  <si>
    <t>SUPPLIER</t>
  </si>
  <si>
    <t>URAIAN</t>
  </si>
  <si>
    <t>JML</t>
  </si>
  <si>
    <t>SAT</t>
  </si>
  <si>
    <t>Konsumen</t>
  </si>
  <si>
    <t>HARGA SATUAN</t>
  </si>
  <si>
    <t>HARGA TOTAL</t>
  </si>
  <si>
    <t>Unit</t>
  </si>
  <si>
    <t>Toko Pembantu</t>
  </si>
  <si>
    <t>bk</t>
  </si>
  <si>
    <t>PU-ATK</t>
  </si>
  <si>
    <t>bh</t>
  </si>
  <si>
    <t>rol</t>
  </si>
  <si>
    <t>Lakban Bening 2"</t>
  </si>
  <si>
    <t>dz</t>
  </si>
  <si>
    <t>box</t>
  </si>
  <si>
    <t>HVS A4 75 gr BMO</t>
  </si>
  <si>
    <t>rim</t>
  </si>
  <si>
    <t>pak</t>
  </si>
  <si>
    <t>HVS F4 75 gr BMO</t>
  </si>
  <si>
    <t xml:space="preserve">NCR Top Putih </t>
  </si>
  <si>
    <t>Cetak</t>
  </si>
  <si>
    <t>dus</t>
  </si>
  <si>
    <t>HVS F4 70 gr SIDU</t>
  </si>
  <si>
    <t>NCR Middle Kuning</t>
  </si>
  <si>
    <t>roll</t>
  </si>
  <si>
    <t>HVS A4 70 gr SIDU</t>
  </si>
  <si>
    <t xml:space="preserve">Unit Perdagangan Umum </t>
  </si>
  <si>
    <t>Unit Percetakan</t>
  </si>
  <si>
    <t>Rahayu</t>
  </si>
  <si>
    <t>Lampu LED Philip 18 Watt</t>
  </si>
  <si>
    <t>Alifia</t>
  </si>
  <si>
    <t>Kresek Besar Lorek Hitam-Putih (isi 40)</t>
  </si>
  <si>
    <t>bendel</t>
  </si>
  <si>
    <t>Fahana Citra</t>
  </si>
  <si>
    <t>Catridge Canon 811 Color</t>
  </si>
  <si>
    <t>Catridge Canon 810 Black</t>
  </si>
  <si>
    <t>PU-Sembako</t>
  </si>
  <si>
    <t>kaleng</t>
  </si>
  <si>
    <t>Damai Indah</t>
  </si>
  <si>
    <t>Sarden ABC Besar 425 gr Besar</t>
  </si>
  <si>
    <t>Bikuit Roma Marie</t>
  </si>
  <si>
    <t>bks</t>
  </si>
  <si>
    <t>Toko Palbapang</t>
  </si>
  <si>
    <t>Air Mineral Le Mineral 1,5 liter</t>
  </si>
  <si>
    <t>btl</t>
  </si>
  <si>
    <t>Satya Abadi Box</t>
  </si>
  <si>
    <t>Kardus Logo</t>
  </si>
  <si>
    <t>Kertas Ivory 260gr</t>
  </si>
  <si>
    <t>lbr</t>
  </si>
  <si>
    <t>Continuos Form 2 ply besar</t>
  </si>
  <si>
    <t>Continuos Form 1 ply Kecil</t>
  </si>
  <si>
    <t>Kertas Kasir PL Uk. 75x65</t>
  </si>
  <si>
    <t>Mitra Abadi</t>
  </si>
  <si>
    <t>Map Kertas Hijau</t>
  </si>
  <si>
    <t>Binder Clip BIG No. 111</t>
  </si>
  <si>
    <t>Bolpen TIZO Hitam</t>
  </si>
  <si>
    <t>Penggaris Besi 60 cm Kenko Tebal</t>
  </si>
  <si>
    <t>HVS F4 60 gr SIDU</t>
  </si>
  <si>
    <t>NCR Bottom Pink</t>
  </si>
  <si>
    <t>HVS F4 70 gr SIDU Hijau</t>
  </si>
  <si>
    <t>HVS F4 70 gr SIDU Pink</t>
  </si>
  <si>
    <t>HVS F4 70 gr SIDU Biru</t>
  </si>
  <si>
    <t>HVS F4 70 gr SIDU Kuning</t>
  </si>
  <si>
    <t>Spidol Permanen Hitam</t>
  </si>
  <si>
    <t>Spidol WB Hitam</t>
  </si>
  <si>
    <t>Lakban Hitam Nachi 1,5 "</t>
  </si>
  <si>
    <t>Amplop Samson Lurik Uk. A</t>
  </si>
  <si>
    <t>Bantalan Cap Debozz No. 2</t>
  </si>
  <si>
    <t>Tinta Epson 664 hitam</t>
  </si>
  <si>
    <t>Tinta Epson 003 Hitam</t>
  </si>
  <si>
    <t>Selongsong Pentel MG8</t>
  </si>
  <si>
    <t>Kalkulator Casio MX-12</t>
  </si>
  <si>
    <t>Sekre</t>
  </si>
  <si>
    <t>Double Tape Nachi 12mm</t>
  </si>
  <si>
    <t>Amplop Samson A Lurik</t>
  </si>
  <si>
    <t>Map Kertas Pink</t>
  </si>
  <si>
    <t>Map Kertas Biru</t>
  </si>
  <si>
    <t>Penggaris Mika 30 cm Butterfly</t>
  </si>
  <si>
    <t>Map Kancing Plastik</t>
  </si>
  <si>
    <t>Amplop Kecil PL</t>
  </si>
  <si>
    <t>Lem Ponvinal 112</t>
  </si>
  <si>
    <t>Binder Clip No. 105 Debozz</t>
  </si>
  <si>
    <t xml:space="preserve">Kwitansi Tanggung </t>
  </si>
  <si>
    <t>bolpen Standar AE 7 hitam</t>
  </si>
  <si>
    <t>Isi Pentel biru</t>
  </si>
  <si>
    <t xml:space="preserve">Spidol WB Hitam </t>
  </si>
  <si>
    <t>Baterai Alkalien AA</t>
  </si>
  <si>
    <t>Baterai Alkalien AAA</t>
  </si>
  <si>
    <t xml:space="preserve">Kertas Double Folio 70 gr </t>
  </si>
  <si>
    <t>Bolpen TIZO Biru</t>
  </si>
  <si>
    <t>Kertas Buram Folio</t>
  </si>
  <si>
    <t>HVS F4 70gr SIDU Pink</t>
  </si>
  <si>
    <t>HVS F4 70gr SIDU Hijau</t>
  </si>
  <si>
    <t>HVS F4 70gr SIDU Biru</t>
  </si>
  <si>
    <t>HVS F4 70gr SIDU Kuning</t>
  </si>
  <si>
    <t>Drawing Pen 0.3 Snowman</t>
  </si>
  <si>
    <t>Cap Lunas Kenko S68</t>
  </si>
  <si>
    <t>Bolpen Meja Deboz</t>
  </si>
  <si>
    <t>Fastener Acco V-Tro warna</t>
  </si>
  <si>
    <t>dos</t>
  </si>
  <si>
    <t>Kertas Manila Putih uk. 61 x 86</t>
  </si>
  <si>
    <t>Failbox Sysbox</t>
  </si>
  <si>
    <t>Tinta WB Biru</t>
  </si>
  <si>
    <t>Kertas Bufallo Putih</t>
  </si>
  <si>
    <t>Drawing Pen Snowman 0.2</t>
  </si>
  <si>
    <t>Drawing Pen Snowman 0.3</t>
  </si>
  <si>
    <t>Baterai ABC Besar type D</t>
  </si>
  <si>
    <t>Baterai ABC Tanggung Type C</t>
  </si>
  <si>
    <t>Spidol WB Biru</t>
  </si>
  <si>
    <t xml:space="preserve">Map Kertas </t>
  </si>
  <si>
    <t>Map gantung Compass</t>
  </si>
  <si>
    <t>Kertas kado Kiky batik</t>
  </si>
  <si>
    <t>Kertas Bufallo Folio Putih</t>
  </si>
  <si>
    <t>NCR Bottom Kuning</t>
  </si>
  <si>
    <t>HVS F4 70 gr Kuning SIDU</t>
  </si>
  <si>
    <t>HVS F4 70 gr Biru SIDU</t>
  </si>
  <si>
    <t>HVS F4 70 gr Hijau SIDU</t>
  </si>
  <si>
    <t>HVS F4 70 gr Pink SIDU</t>
  </si>
  <si>
    <t>Isi Staples SDI 23/15</t>
  </si>
  <si>
    <t>dus kecil</t>
  </si>
  <si>
    <t>Baterai ABC Biru AA</t>
  </si>
  <si>
    <t>Binder Clip No. 111</t>
  </si>
  <si>
    <t>Mika Plastik bening Folio</t>
  </si>
  <si>
    <t>Cutter Joyko L-500</t>
  </si>
  <si>
    <t>Tinta WB Hitam</t>
  </si>
  <si>
    <t>Kertas Bufallo Folio Biru Muda</t>
  </si>
  <si>
    <t>Kertas Bufallo Folio Hijau Muda</t>
  </si>
  <si>
    <t>Map Kertas Kuning</t>
  </si>
  <si>
    <t>Tipe-X CT 007 roll</t>
  </si>
  <si>
    <t>Cutter L-500 Kenko</t>
  </si>
  <si>
    <t xml:space="preserve">Buku Folio GK 100 </t>
  </si>
  <si>
    <t>Binder Clip debozz No. 105</t>
  </si>
  <si>
    <t>Tinta Zenith</t>
  </si>
  <si>
    <t>Kwitansi PL tanggung</t>
  </si>
  <si>
    <t>Bolpen Standar AE 7 Hitam</t>
  </si>
  <si>
    <t>Isi Pentel Biru</t>
  </si>
  <si>
    <t>Cap Lunas tanggal Kenko S-68</t>
  </si>
  <si>
    <t>MIKA Plastik Merah</t>
  </si>
  <si>
    <t>Karton Kuning Plano Uk. 30</t>
  </si>
  <si>
    <t>HVS A4 80 gr SIDU</t>
  </si>
  <si>
    <t>Kertas Photo Glossy DP 210 gr</t>
  </si>
  <si>
    <t>Buku Ekspedisi GK 100</t>
  </si>
  <si>
    <t>Buku Kwarto GK 100</t>
  </si>
  <si>
    <t>Buku Folio GK 100</t>
  </si>
  <si>
    <t>Binder Clip Kenko no. 107</t>
  </si>
  <si>
    <t>Binder Clip Debozz No. 155</t>
  </si>
  <si>
    <t>Isolasi Nachi 1/2 x 72 (1")</t>
  </si>
  <si>
    <t>Pita Epson/Catrix LX 310</t>
  </si>
  <si>
    <t xml:space="preserve">FailBox/Sysbox </t>
  </si>
  <si>
    <t>Isi Staples Besar GW</t>
  </si>
  <si>
    <t>Isi Staples Kecil GW</t>
  </si>
  <si>
    <t>Karbon Folio Daito</t>
  </si>
  <si>
    <t>Karet Gelang Pentel</t>
  </si>
  <si>
    <t>Gunting Tanggung Kenko No. 838</t>
  </si>
  <si>
    <t>Label Harga No. 121</t>
  </si>
  <si>
    <t>Lakban Nachi Coklat 2"</t>
  </si>
  <si>
    <t>Lakban Nachi Bening 2"</t>
  </si>
  <si>
    <t>Lem Povinal 112 (75gr)</t>
  </si>
  <si>
    <t>Paper Clip Seagul</t>
  </si>
  <si>
    <t>Spidol Kecil Hitam</t>
  </si>
  <si>
    <t>Staples Max HD-10 (Kecil)</t>
  </si>
  <si>
    <t>Tinta Zenith Cap Ungu</t>
  </si>
  <si>
    <t>Bantalan Cap Debozz No.2</t>
  </si>
  <si>
    <t>Bolpen AE7 Warna Merah</t>
  </si>
  <si>
    <t>Cap Tanggal Joyko D-3</t>
  </si>
  <si>
    <t>Lakban Kertas Nachi 1"</t>
  </si>
  <si>
    <t>Cutter Kecil Kenko A300</t>
  </si>
  <si>
    <t>Stabilo Faber Castle Hijau</t>
  </si>
  <si>
    <t>Binder Clip No. 105</t>
  </si>
  <si>
    <t>Binder Clip No. 107</t>
  </si>
  <si>
    <t>Isolasi Bening Nachi 12mm</t>
  </si>
  <si>
    <t xml:space="preserve">Map Bussine File </t>
  </si>
  <si>
    <t>HVS Folio 60 gr Kuning</t>
  </si>
  <si>
    <t>HVS Folio 60 gr Hijau</t>
  </si>
  <si>
    <t>Map Bussines File Hijau</t>
  </si>
  <si>
    <t>Cutter L-500</t>
  </si>
  <si>
    <t>Cutter A-300</t>
  </si>
  <si>
    <t>Double Tape Nachi 24mm</t>
  </si>
  <si>
    <t>Catrid LX 310</t>
  </si>
  <si>
    <t>Kertas Karton Plano Uk. 50</t>
  </si>
  <si>
    <t>HVS F4 80 gr SIDU</t>
  </si>
  <si>
    <t>Kertas Kasir 2 ply 75x 65</t>
  </si>
  <si>
    <t>Kertas Photo DP Glossy 180gr A4</t>
  </si>
  <si>
    <t>Rekapitulasi Piutang Usaha PD Aneka Dharma Tahun 2022</t>
  </si>
  <si>
    <t>PU - ATK</t>
  </si>
  <si>
    <t>PU-Sembkao</t>
  </si>
  <si>
    <t>Centra Grafindo</t>
  </si>
  <si>
    <t>Buku kerja</t>
  </si>
  <si>
    <t>Kalender Dinding</t>
  </si>
  <si>
    <t>Kalender Meja</t>
  </si>
  <si>
    <t>Rekapitulasi Piutang Usaha PD Aneka Dharma Tahun 2023</t>
  </si>
  <si>
    <t>Rekapitulasi Piutang Usaha Perumda Aneka Dharma Tahun 2023</t>
  </si>
  <si>
    <t>Meja Kayu-Seloharjo</t>
  </si>
  <si>
    <t>U</t>
  </si>
  <si>
    <t>Sarigelas</t>
  </si>
  <si>
    <t>Tempat Sampah Injak 10 ltr-Tirto Bangunjiwo</t>
  </si>
  <si>
    <t>PU-KBS</t>
  </si>
  <si>
    <t>Tempat Sampah Injak 15 ltr-Sribitan Bangunjiwo</t>
  </si>
  <si>
    <t>Bagor uk. 50 kg- Salakan Bangunjiwo</t>
  </si>
  <si>
    <t>Chint Electrik</t>
  </si>
  <si>
    <t>Senter LED-Manding Sabdodadi</t>
  </si>
  <si>
    <t>Karpet Permadani PAUD-Kedibeso Sabdodadi</t>
  </si>
  <si>
    <t>Tong Sampah Pilah 3 Fiber (Bulat 40 ltr)</t>
  </si>
  <si>
    <t>set</t>
  </si>
  <si>
    <t>(Gemahan-Ringinharjo)</t>
  </si>
  <si>
    <t>Mesin Pengoyak Sampah Organik</t>
  </si>
  <si>
    <t>unit</t>
  </si>
  <si>
    <t>Tong Sampah Pilah 3 uk. 25 ltr (lps psg)-Kal. Seloharjo</t>
  </si>
  <si>
    <t>Perctkn Candra</t>
  </si>
  <si>
    <t>Buku kerja 2024</t>
  </si>
  <si>
    <t>Kalender Dinding 2024</t>
  </si>
  <si>
    <t>Kalender Meja 2024</t>
  </si>
  <si>
    <t>APE Dalam PAUD - Manding Sabdodadi (Tahap 1)</t>
  </si>
  <si>
    <t>APOTEK DU</t>
  </si>
  <si>
    <t>Tensi Meter Digital - Neco Sabdodadi</t>
  </si>
  <si>
    <t>PU-Medis</t>
  </si>
  <si>
    <t>Gluco Meter 3 in ! + Strip - Neco Sabdodadi</t>
  </si>
  <si>
    <t>paket</t>
  </si>
  <si>
    <t>Tripod Dacin - Neco Sabdodadi</t>
  </si>
  <si>
    <t>Neraca Bayi Digital - Neco Sabdodadi</t>
  </si>
  <si>
    <t>Keranjang Anyam Biru-UPT DLH</t>
  </si>
  <si>
    <t>(Bulan Nov 2023)</t>
  </si>
  <si>
    <t>(Bulan Des 2023)</t>
  </si>
  <si>
    <t>(Bulan Des 2023) konversi</t>
  </si>
  <si>
    <t>Terplas Plastik Biru uk. 4 x 6 A8</t>
  </si>
  <si>
    <t>Batu Alkaline A2</t>
  </si>
  <si>
    <t>Catridge LX 310</t>
  </si>
  <si>
    <t>Amplop Casing Kujang B</t>
  </si>
  <si>
    <t>HVS F4 60 gr Kuning</t>
  </si>
  <si>
    <t>Map Kertas</t>
  </si>
  <si>
    <t>Lakban Tebal Bening 2"</t>
  </si>
  <si>
    <t xml:space="preserve">  </t>
  </si>
  <si>
    <t>BC Folio Kuning Muda</t>
  </si>
  <si>
    <t>NCR TOP Putih</t>
  </si>
  <si>
    <t>CV Tiga Saudara</t>
  </si>
  <si>
    <t>Stella Aerosol Orange 200ml</t>
  </si>
  <si>
    <t>pcs</t>
  </si>
  <si>
    <t>Stella Aerosol Apple 200 ml</t>
  </si>
  <si>
    <t>Stella Aerosol Lemon 200ml</t>
  </si>
  <si>
    <t>Stella Aerosol Japanese Sakura 200ml</t>
  </si>
  <si>
    <t>Stella All In One Orange 13gr</t>
  </si>
  <si>
    <t>Stella All In One Apple 13 gr</t>
  </si>
  <si>
    <t>Stella All In One Bougenville 13 gr</t>
  </si>
  <si>
    <t>Stella All In One Lavender 13 gr</t>
  </si>
  <si>
    <t>Tinta Epson 003 hitam</t>
  </si>
  <si>
    <t>Double Tape Nachi Kecil 12mm</t>
  </si>
  <si>
    <t>Kertas Ivory 210 gr Plano</t>
  </si>
  <si>
    <t>HVS F4 75 gr Copy Paper</t>
  </si>
  <si>
    <t>HVS A4 75 gr Copy Paper</t>
  </si>
  <si>
    <t>Lem Stik UHU kecil 8 gr</t>
  </si>
  <si>
    <t>CV Perdana Mas</t>
  </si>
  <si>
    <t>Lifebuoy Shampo Kuatberkilau 9 ml</t>
  </si>
  <si>
    <t>Rinso Molto Rose Fresh 40gr</t>
  </si>
  <si>
    <t>Sunlight Lime New Ref 370ml</t>
  </si>
  <si>
    <t>CV Fahana Citra</t>
  </si>
  <si>
    <t>Flasdisk Sandisk 16 Gb</t>
  </si>
  <si>
    <t>Bloknote Garis GK A5</t>
  </si>
  <si>
    <t>UD Ratna</t>
  </si>
  <si>
    <t>Tong Sampah Biru 60 liter-Bandung Pendowoharjo</t>
  </si>
  <si>
    <t>Komposter - Sawahan Pendowoharjo</t>
  </si>
  <si>
    <t>Gerobak Sampah R.3 - Gemahan Ringinharjo</t>
  </si>
  <si>
    <t>Gerobak Sampah R.3 - Soropaten Ringinharjo</t>
  </si>
  <si>
    <t>Ban Luar Gerobak</t>
  </si>
  <si>
    <t>L</t>
  </si>
  <si>
    <t>Staples Max HD 10</t>
  </si>
  <si>
    <t>Staples Max HD 50</t>
  </si>
  <si>
    <t>Perforator KENKO 85</t>
  </si>
  <si>
    <t>Amplop PL Besar</t>
  </si>
  <si>
    <t>Isolasi Nachi Baning 12 mm (Kecil)</t>
  </si>
  <si>
    <t>Lakban Bening 48 mm (bsr)</t>
  </si>
  <si>
    <t>Lem Povinal 75 ml</t>
  </si>
  <si>
    <t>Map Snell Seagul</t>
  </si>
  <si>
    <t>Map Plastik Bussines File</t>
  </si>
  <si>
    <t>Map Plastik Kancing</t>
  </si>
  <si>
    <t>Kertas BC Folio Kuning Muda</t>
  </si>
  <si>
    <t>NCR Middle Hijau</t>
  </si>
  <si>
    <t>Isi Staples MAX Kecil</t>
  </si>
  <si>
    <t>Bolpen Kokoro Hitam</t>
  </si>
  <si>
    <t>Bolpen Kokoro Biru</t>
  </si>
  <si>
    <t>Paperclip Seagul No. 3</t>
  </si>
  <si>
    <t>pak Bsar</t>
  </si>
  <si>
    <t>Binder Clip Deboz No. 105</t>
  </si>
  <si>
    <t>dus k</t>
  </si>
  <si>
    <t>Calkulator Casio AX 120B</t>
  </si>
  <si>
    <t>Isi pentel Biru</t>
  </si>
  <si>
    <t>Isi Pentel Hitam</t>
  </si>
  <si>
    <t>Bolpen X-Data M1</t>
  </si>
  <si>
    <t>Buku Expedisi GK 100</t>
  </si>
  <si>
    <t>Buku Kwarto PL 100</t>
  </si>
  <si>
    <t>Buku Tulis SIDU 38 Hal</t>
  </si>
  <si>
    <t>Baterai Alkaline AA</t>
  </si>
  <si>
    <t>Isolasi Nachi 12mm</t>
  </si>
  <si>
    <t>Gunting Sister tanggung 838</t>
  </si>
  <si>
    <t>Stabilo Boss</t>
  </si>
  <si>
    <t>Staples Max HD 10 kcl</t>
  </si>
  <si>
    <t>Staples Max HD 50 bsr</t>
  </si>
  <si>
    <t xml:space="preserve">Blok Note Garis Kecil </t>
  </si>
  <si>
    <t>Pasir Warna-Sabdodadi</t>
  </si>
  <si>
    <t>kg</t>
  </si>
  <si>
    <t>Mainan Bego-Sabdodadi</t>
  </si>
  <si>
    <t>Ring Basket 2 in 1-sabdodadi</t>
  </si>
  <si>
    <t>Kontainer Box Sedang uk. 70 ltr-sabdodadi</t>
  </si>
  <si>
    <t>Mainan Dump Truk-Sabdodadi</t>
  </si>
  <si>
    <t>APOTEK</t>
  </si>
  <si>
    <t>Matras Senam</t>
  </si>
  <si>
    <t>pasar</t>
  </si>
  <si>
    <t>Tempat Surat Seagul</t>
  </si>
  <si>
    <t>Pasar</t>
  </si>
  <si>
    <t>Wireles Speaker Aktif-Suropaten Ringinharjo</t>
  </si>
  <si>
    <t>Pagar Anak bermain</t>
  </si>
  <si>
    <t>APE Huruf dan Angka</t>
  </si>
  <si>
    <t>Alat Permainan Anak</t>
  </si>
  <si>
    <t>Papan Nama PAUD - Mancingan Paris</t>
  </si>
  <si>
    <t>Mangkuk - Grogol IX Paris</t>
  </si>
  <si>
    <t xml:space="preserve">Piring Melamin - Grogol IX Paris </t>
  </si>
  <si>
    <t>Cangkir Melamin - grogol IX Paris</t>
  </si>
  <si>
    <t>Jumbo - Grogol IX Paris</t>
  </si>
  <si>
    <t>Almari Kaca - Grogol IX Paris</t>
  </si>
  <si>
    <t>Meja - Samiran Paris</t>
  </si>
  <si>
    <t>Kursi - Samiran Paris</t>
  </si>
  <si>
    <t>Almari Kayu - Samiran Paris</t>
  </si>
  <si>
    <t>Meja - Sono Paris</t>
  </si>
  <si>
    <t xml:space="preserve">Meja Belajar - Grogol IX Paris </t>
  </si>
  <si>
    <t>Almari Kayu - Grogol IX Paris</t>
  </si>
  <si>
    <t>Meja Belajar - Samiran Paris</t>
  </si>
  <si>
    <t>Baterai  Kotak 9 V</t>
  </si>
  <si>
    <t>Bolpen Pilot BPTP hitam</t>
  </si>
  <si>
    <t>Lakban Nachi Hitam 1"/35mm</t>
  </si>
  <si>
    <t>Kertas Buram Stensil</t>
  </si>
  <si>
    <t xml:space="preserve">Bolpen AE 7 Hitam </t>
  </si>
  <si>
    <t>Binder Clip Deboz No. 286</t>
  </si>
  <si>
    <t>Blok Note Garis A5 GK</t>
  </si>
  <si>
    <t xml:space="preserve">Baterai ABC Kecil </t>
  </si>
  <si>
    <t xml:space="preserve">Papan Tulis White Board uk. 120 x 240 </t>
  </si>
  <si>
    <t>Lakban Hitam Nachi 1 1/2"</t>
  </si>
  <si>
    <t>Isi Staples Kecil GW 10</t>
  </si>
  <si>
    <t>pak B</t>
  </si>
  <si>
    <t>Stikcynote besar TSM 101 x 76</t>
  </si>
  <si>
    <t>Lakban Tebal bening 1"</t>
  </si>
  <si>
    <t>Lakban Hitam Nachi 1"</t>
  </si>
  <si>
    <t>Isi Cutter Besar</t>
  </si>
  <si>
    <t>Gerobak Sampah R.3 - Grogol VII Paris</t>
  </si>
  <si>
    <t>Keranjang Sampah - Grogol VIII Paris</t>
  </si>
  <si>
    <t>Sepatu Booth AP TERA - Grogol VIII Paris</t>
  </si>
  <si>
    <t>psg</t>
  </si>
  <si>
    <t>Sarung Tangan Karet Latex - Grogol VIII Paris</t>
  </si>
  <si>
    <t>Cangkul Garpu - Grogol VIII Paris</t>
  </si>
  <si>
    <t xml:space="preserve">Cangkul Gali - Grogol VIII Paris </t>
  </si>
  <si>
    <t>Tikar Pertumbuhan - Duwuran Paris</t>
  </si>
  <si>
    <t>Almari - Duwuran Paris</t>
  </si>
  <si>
    <t>Tikar Pertumbuhan - Bungkus Paris</t>
  </si>
  <si>
    <t>Tikar Playmat - Bungkus Paris</t>
  </si>
  <si>
    <t>Tikar Plastik Biasa - Bungkus Paris</t>
  </si>
  <si>
    <t>Tabung Gas - Bungkus Paris</t>
  </si>
  <si>
    <t>Piring Melamin - Bungkus Paris</t>
  </si>
  <si>
    <t>Tikar Ukur - Depok Paris</t>
  </si>
  <si>
    <t xml:space="preserve">Krayon 24 warna - Grogol VIII Paris </t>
  </si>
  <si>
    <t>Perosotan - Grogol VIII Paris</t>
  </si>
  <si>
    <t>Jungkat - Jungkit - Grogol VIII Paris</t>
  </si>
  <si>
    <t>Toples Tempat Lospot - Grogol VIII Paris</t>
  </si>
  <si>
    <t>Box Tempat Mainan - Grogol VIII Paris</t>
  </si>
  <si>
    <t xml:space="preserve">Meja Belajar - Grogol VIII Paris </t>
  </si>
  <si>
    <t>Ayunan - Grogol VII Paris</t>
  </si>
  <si>
    <t>Panjat Rajut - Grogol VII Paris</t>
  </si>
  <si>
    <t>Jungkat-Jungkit - Grogol VII Paris</t>
  </si>
  <si>
    <t>Meja Belajar PAUD - Grogol VII Paris</t>
  </si>
  <si>
    <t>-</t>
  </si>
  <si>
    <t>Laprop HP - Duwuran Paris</t>
  </si>
  <si>
    <t>Printer EPSON L-3250 Wifi</t>
  </si>
  <si>
    <t>APE Dalam Kampung Ramah Anak-Duwuran Paris</t>
  </si>
  <si>
    <t>LCD Proyektor - Depok Paris</t>
  </si>
  <si>
    <t>Screen Proyektor uk. 70" - Depok Paris</t>
  </si>
  <si>
    <t>Flasdisk Thosiba 125 Gb - Depok Paris</t>
  </si>
  <si>
    <t>APE PAUD - Depok Paris</t>
  </si>
  <si>
    <t>Sekat Ruang PAUD - Depok Paris</t>
  </si>
  <si>
    <t>Playmate - Depok Paris</t>
  </si>
  <si>
    <t>Almari - Depok Paris</t>
  </si>
  <si>
    <t>HVS F4 70 gr SIDU-Bungkus Paris</t>
  </si>
  <si>
    <t>Krayon 12 warna - Bungkus Paris</t>
  </si>
  <si>
    <t>APE Luar dan APE Dalam-Bungkus Paris</t>
  </si>
  <si>
    <t>Almari Kayu - Bungkus Paris</t>
  </si>
  <si>
    <t>Container BOX Besar - Bungkus Paris</t>
  </si>
  <si>
    <t>Papan Absensi - Bungkus Paris</t>
  </si>
  <si>
    <t>Tempat Sampah Tertutup Jumbo - Bungkus Paris</t>
  </si>
  <si>
    <t>Wearless - Kshtn Pedes Argmlyo</t>
  </si>
  <si>
    <t>APE Dalam - Dukuh Sabdodadi</t>
  </si>
  <si>
    <t>Rak Arsip - Jati Sriharjo</t>
  </si>
  <si>
    <t>Meja Kayu - Trukan Sriharjo</t>
  </si>
  <si>
    <t>Almari Berkas Almnium Kaca - Trukan Srihajro</t>
  </si>
  <si>
    <t>Meja - Dogongan Sriharjo</t>
  </si>
  <si>
    <t>Buku Administrasi - Pelemadu Sriharjo</t>
  </si>
  <si>
    <t>Wireless - Dogongan Srihajo</t>
  </si>
  <si>
    <t>Alat Peraga - Dogongan Sriharjo</t>
  </si>
  <si>
    <t>APE LUAR - Kemusuk Lor Argomlyo</t>
  </si>
  <si>
    <t>- Jungkat Jungkit (1 unit)</t>
  </si>
  <si>
    <t>- Bola Dunia (1 unit)</t>
  </si>
  <si>
    <t>- Perosotan (1 unit)</t>
  </si>
  <si>
    <t>Keranjang Sampah Kimora-Watu Argmulyo</t>
  </si>
  <si>
    <t>Mesin Pencacah Rumput</t>
  </si>
  <si>
    <t>Tempat Sampah Pilah 3 uk. 25 ltr - srontakan Argomlyo</t>
  </si>
  <si>
    <t>Ayunan - Samben Argomlyo</t>
  </si>
  <si>
    <t>Perosotan - Samben Argomlyo</t>
  </si>
  <si>
    <t>Tabung Gas - Panggang Argomlyo</t>
  </si>
  <si>
    <t>Meja Pelayanan - Panggang Argmlyo</t>
  </si>
  <si>
    <t>Meja Pelayanan - Samben Argmlyo</t>
  </si>
  <si>
    <t>Hardisk Eksternal 1 TB - Samben Argmlyo</t>
  </si>
  <si>
    <t>Hardisk Eskternal 1TB Thosiba-Trukan Sriharjo</t>
  </si>
  <si>
    <t>Almari Arsip - Samben Argmlyo</t>
  </si>
  <si>
    <t>Tempat LOKER - Srontakan Argomlyo</t>
  </si>
  <si>
    <t>Toko Lampu KITA</t>
  </si>
  <si>
    <t>Tempat Pakaian Tari - Srontakan Argmlyo</t>
  </si>
  <si>
    <t>Meja Kecil - Srontkan Argmlyo</t>
  </si>
  <si>
    <t>QT Alka</t>
  </si>
  <si>
    <t>Etalase Kaca Uk. 1,5 meter - Kal. Seloharjo</t>
  </si>
  <si>
    <t>Kursi Plastik Nappoly 100 biru-Kal. Seloharjo</t>
  </si>
  <si>
    <t>Filing Kabinte Brother 4 laci-Kal. Seloharjo</t>
  </si>
  <si>
    <t>Almari Kayu - Kal. Seloharjo</t>
  </si>
  <si>
    <t>Meja Kayu - Kal. Seloharjo</t>
  </si>
  <si>
    <t>Kertas Ersad Abu-Abu</t>
  </si>
  <si>
    <t>Kertas Photo A4 210gr Data Print</t>
  </si>
  <si>
    <t>HVS F4 75gr BMO</t>
  </si>
  <si>
    <t>Rak Susun Dokumen/Dokumen Tray 3 susun</t>
  </si>
  <si>
    <t>Apotek Dharma Usada</t>
  </si>
  <si>
    <t>Pipet Kaca 15cm</t>
  </si>
  <si>
    <t>Kertas Lakmus</t>
  </si>
  <si>
    <t>Kertas Buram Folio Stensil</t>
  </si>
  <si>
    <t>PT Macan Jaya C</t>
  </si>
  <si>
    <t>Baterai Kotak Power 9 Volt</t>
  </si>
  <si>
    <t>PDAM Bantul</t>
  </si>
  <si>
    <t>Banew 600ml</t>
  </si>
  <si>
    <t>HVS A4s 70gr SIDU</t>
  </si>
  <si>
    <t>Kertas Manila Putih</t>
  </si>
  <si>
    <t>Double Tape 12mm</t>
  </si>
  <si>
    <t>Kalkulator Casio DX 12 BK</t>
  </si>
  <si>
    <t>Lakban Tebal Hitam 2"</t>
  </si>
  <si>
    <t>HVS F4 75 gr Paper One</t>
  </si>
  <si>
    <t>Tipex Roll Debozz</t>
  </si>
  <si>
    <t>Spidol Snowman Hitam Kecil</t>
  </si>
  <si>
    <t>Spidol Snowman Biru Kecil</t>
  </si>
  <si>
    <t>Spidol Snowman Hijau Kecil</t>
  </si>
  <si>
    <t>Spidol Snowman Merah Kecil</t>
  </si>
  <si>
    <t>Stabiloo Boss Warna Warni</t>
  </si>
  <si>
    <t>Drawing Pen Snowman No. 0.3</t>
  </si>
  <si>
    <t>Drawing Pen Snowman No. 0.5</t>
  </si>
  <si>
    <t>Penggaris Besi 30 cm</t>
  </si>
  <si>
    <t>Double Tape Nachi 48 mm</t>
  </si>
  <si>
    <t>Gunting tanggung 838</t>
  </si>
  <si>
    <t>Double Tape Nachi 24 mm</t>
  </si>
  <si>
    <t>Buku Tulis SIDU 38 hal</t>
  </si>
  <si>
    <t>Tinta Cap Zenith Ungu</t>
  </si>
  <si>
    <t>NCR Middle Pink</t>
  </si>
  <si>
    <t>NCR Middle Biru</t>
  </si>
  <si>
    <t>Stopmap Plastik Kancing Merah</t>
  </si>
  <si>
    <t>Stopmap Plastik Kancing Kuning</t>
  </si>
  <si>
    <t>Stopmap Plastik Kancing Hijau</t>
  </si>
  <si>
    <t>Stopmap Plastik Kancing Biru</t>
  </si>
  <si>
    <t>Kalkulator Casio DX12</t>
  </si>
  <si>
    <t>Lakban Hitam Nachi 35 mm</t>
  </si>
  <si>
    <t>Binder Clip No. 155 Debozz</t>
  </si>
  <si>
    <t>Binder Clip No. 107 Debozz</t>
  </si>
  <si>
    <t>Stabilo Boss Warna-Warni</t>
  </si>
  <si>
    <t>Cutter Kenko L-500</t>
  </si>
  <si>
    <t>Paper Clip Seagul No. 3</t>
  </si>
  <si>
    <t>Stopmap Kertas Merah</t>
  </si>
  <si>
    <t>Stopmap Kertas Biru</t>
  </si>
  <si>
    <t>Stopmap Kertas Kuning</t>
  </si>
  <si>
    <t>Stopmap Kertas Hijau</t>
  </si>
  <si>
    <t>Sticky Note Joyko IM 31</t>
  </si>
  <si>
    <t>Dharma Usada</t>
  </si>
  <si>
    <t>APD Pink (sabdodadi)</t>
  </si>
  <si>
    <t>Bolpen Standar AE 7 Merah</t>
  </si>
  <si>
    <t>Bolpen Standar Ae 7 Biru</t>
  </si>
  <si>
    <t xml:space="preserve">set </t>
  </si>
  <si>
    <t xml:space="preserve">Tali Rafia </t>
  </si>
  <si>
    <t>Tinta Cap Zeninth Ungu</t>
  </si>
  <si>
    <t>Stickynote Kecil Plastik Material Flag/Post IT T&amp;J</t>
  </si>
  <si>
    <t>Tinta Epson Hitam 664</t>
  </si>
  <si>
    <t>BC Plano Biru Pekok</t>
  </si>
  <si>
    <t>Stabiloo Boss</t>
  </si>
  <si>
    <t>Map Zipper Rit</t>
  </si>
  <si>
    <t>AmplopPL Kecil</t>
  </si>
  <si>
    <t>Double tape nachi 2"</t>
  </si>
  <si>
    <t xml:space="preserve">Lem Stik UHU 21 gr </t>
  </si>
  <si>
    <t>Batu Alkaline AA</t>
  </si>
  <si>
    <t xml:space="preserve">Tipe Kertas </t>
  </si>
  <si>
    <t>Penghapus Kapur</t>
  </si>
  <si>
    <t>Karton Kuning Uk. 50</t>
  </si>
  <si>
    <t>Bolpen Standar AE7 Hitam</t>
  </si>
  <si>
    <t>Penggaris Mika Butterfly 30 cm</t>
  </si>
  <si>
    <t>Blok Note Garis GK A5</t>
  </si>
  <si>
    <t>Bolpen OPF Snowman Hitam</t>
  </si>
  <si>
    <t>Lem Fox 700 gr</t>
  </si>
  <si>
    <t>cetak</t>
  </si>
  <si>
    <t>Bolpen X-Data</t>
  </si>
  <si>
    <t>Grafikita</t>
  </si>
  <si>
    <t>Cetak Baliho</t>
  </si>
  <si>
    <t>m2</t>
  </si>
  <si>
    <t>Biaya Survey Lokasi</t>
  </si>
  <si>
    <t>titik</t>
  </si>
  <si>
    <t>Jasa Desaign</t>
  </si>
  <si>
    <t xml:space="preserve">Biaya Jasa Pemasangan </t>
  </si>
  <si>
    <t>PDAM BTL</t>
  </si>
  <si>
    <t>Banew Gelas 240 ml</t>
  </si>
  <si>
    <t>Map Gantung Kompas</t>
  </si>
  <si>
    <t>Karton Kuning Plano uk. 30</t>
  </si>
  <si>
    <t>Kertas Samson Tipis Plano</t>
  </si>
  <si>
    <t>Lem Povinal 113</t>
  </si>
  <si>
    <t>Clear Holder InterX isi 100 sheet</t>
  </si>
  <si>
    <t>Bolpen Standar AE7 Biru</t>
  </si>
  <si>
    <t>UD ratna</t>
  </si>
  <si>
    <t>Keranjang sampah Anyam Besar-bangunjiwo</t>
  </si>
  <si>
    <t>Yobel Plastik</t>
  </si>
  <si>
    <t>Trasbag Hitam bsar Uk. 60x80-Bangunjiwo</t>
  </si>
  <si>
    <t>Bagor Besar uk. 50 KG-bangunjiwo</t>
  </si>
  <si>
    <t>Trasbag Hitam bsar Uk. 60x80-bangunjiwo</t>
  </si>
  <si>
    <t>Kamper Dahlia 5 ball</t>
  </si>
  <si>
    <t>Tempat Sampah Sedang isi 3</t>
  </si>
  <si>
    <t xml:space="preserve">Bolpen Snowman V5 Hitam </t>
  </si>
  <si>
    <t>Kalkulator Casio DX-12B</t>
  </si>
  <si>
    <t>Kertas Kasir PL bsr Uk. 75x65</t>
  </si>
  <si>
    <t xml:space="preserve">BC Folio Putih </t>
  </si>
  <si>
    <t>HVS F4 60 gr Kuning polos</t>
  </si>
  <si>
    <t>Post It 656 V-tro</t>
  </si>
  <si>
    <t xml:space="preserve">Pengrajin </t>
  </si>
  <si>
    <t>Keranjang Sampah Anyam Biru</t>
  </si>
  <si>
    <t>(Blan Oktober 2023)</t>
  </si>
  <si>
    <t>Dus Arsip Pemda DIY</t>
  </si>
  <si>
    <t>Pengrajin Keranjang</t>
  </si>
  <si>
    <t>Keranjang Anyam Plastik Biru</t>
  </si>
  <si>
    <t>(Tahap VII bln September)</t>
  </si>
  <si>
    <t>Sunlight Lime Ref 370 ml</t>
  </si>
  <si>
    <t>Wipol Karbol Cemara Refil 410 ml</t>
  </si>
  <si>
    <t>Block Note Garis A4 Macan</t>
  </si>
  <si>
    <t>Karton Kuning Plano uk. 50</t>
  </si>
  <si>
    <t>Dispenser Isolasi besar</t>
  </si>
  <si>
    <t>Banew 330 ml</t>
  </si>
  <si>
    <t>Sunlight Lime New ref 370ml</t>
  </si>
  <si>
    <t>PT Berhasil Slalu</t>
  </si>
  <si>
    <t>Tissu Tessa 250s</t>
  </si>
  <si>
    <t>APE LUAR - Kemusuk Lor Argomlyo(utk Sriharjo)</t>
  </si>
  <si>
    <t>Pagar Anak bermain (Ringinharjo)</t>
  </si>
  <si>
    <t>APE Huruf dan Angka (Ringinharjo)</t>
  </si>
  <si>
    <t>Gerobak Sampah R.3 - Depok Paris</t>
  </si>
  <si>
    <t xml:space="preserve">Keranjang Sampah Anyam Tutup </t>
  </si>
  <si>
    <t>(Deresan Ringinharjo)</t>
  </si>
  <si>
    <t>Total Utang Usaha Cetak</t>
  </si>
  <si>
    <t>UD BAROKAH</t>
  </si>
  <si>
    <t>APE Luar Prosotan</t>
  </si>
  <si>
    <t>Belanja meja kayu bundar</t>
  </si>
  <si>
    <t>Belanja kursi plastik anak</t>
  </si>
  <si>
    <t>Belanja APE dalam</t>
  </si>
  <si>
    <t>pkt</t>
  </si>
  <si>
    <t>Belanja almari mainan</t>
  </si>
  <si>
    <t>Belanja loker tas siswa</t>
  </si>
  <si>
    <t>Belanja APE luar</t>
  </si>
  <si>
    <t>APE Anak</t>
  </si>
  <si>
    <t>Paket</t>
  </si>
  <si>
    <t>Kereta Dorong</t>
  </si>
  <si>
    <t>Kereta Dorong Ayunan Besi</t>
  </si>
  <si>
    <t>Mangkok Putar</t>
  </si>
  <si>
    <t>Perosotan</t>
  </si>
  <si>
    <t>Rak Mainan</t>
  </si>
  <si>
    <t>APE Ayunan</t>
  </si>
  <si>
    <t>APE Mangkuk Putar</t>
  </si>
  <si>
    <t>APE Ayunan Anak</t>
  </si>
  <si>
    <t>APE Prosotan - Grogol X</t>
  </si>
  <si>
    <t>Meja Kecil</t>
  </si>
  <si>
    <t>Buah</t>
  </si>
  <si>
    <t>Meja dan Kursi</t>
  </si>
  <si>
    <t>Set</t>
  </si>
  <si>
    <t>APE Dalam</t>
  </si>
  <si>
    <t>Prosotan</t>
  </si>
  <si>
    <t>Mangkuk Putar</t>
  </si>
  <si>
    <t>Tangga Pelangi</t>
  </si>
  <si>
    <t>Meja Siswa</t>
  </si>
  <si>
    <t>Kursi Siswa</t>
  </si>
  <si>
    <t>APE PosYandu</t>
  </si>
  <si>
    <t>4. Balok Set</t>
  </si>
  <si>
    <t>Kursi Plastik</t>
  </si>
  <si>
    <t>Alat Peraga / APE Dalam</t>
  </si>
  <si>
    <t>APE BKB</t>
  </si>
  <si>
    <t>Almari</t>
  </si>
  <si>
    <t>Rak Buku</t>
  </si>
  <si>
    <t>Rak Tas Anak</t>
  </si>
  <si>
    <t>Rak Sepatu</t>
  </si>
  <si>
    <t>APE Leggo</t>
  </si>
  <si>
    <t>APE Donat Pelangi</t>
  </si>
  <si>
    <t>Balok PDK Warna</t>
  </si>
  <si>
    <t>Papan Tulis</t>
  </si>
  <si>
    <t>APE Perosotan</t>
  </si>
  <si>
    <t>Jungkat Jungkit</t>
  </si>
  <si>
    <t>Bola Dunia</t>
  </si>
  <si>
    <t>Meja Kayu</t>
  </si>
  <si>
    <t>Ayunan</t>
  </si>
  <si>
    <t>Alat Peraga/APE</t>
  </si>
  <si>
    <t>Baju adat anak</t>
  </si>
  <si>
    <t>Stel</t>
  </si>
  <si>
    <t>Baju Profesi anak</t>
  </si>
  <si>
    <t>Kereta Goyang/Ayun</t>
  </si>
  <si>
    <t>Trowongan 3 in 5</t>
  </si>
  <si>
    <t>Papan Tulis/White board 80X120</t>
  </si>
  <si>
    <t>Lego mainan anak Kecil</t>
  </si>
  <si>
    <t>Lego mainan anak Besar</t>
  </si>
  <si>
    <t>Loker anak, Pintu, isi 20</t>
  </si>
  <si>
    <t>Rak/Loker Kombinasi</t>
  </si>
  <si>
    <t>Rak Buku minimalis Kaca 77X40X120</t>
  </si>
  <si>
    <t>Kursi Kayu Anak TK/PAUD</t>
  </si>
  <si>
    <t>Total Utang Usaha PU</t>
  </si>
  <si>
    <t>v</t>
  </si>
  <si>
    <t>Kertas Kasir PL Uk. Bsr 75 x 65</t>
  </si>
  <si>
    <t>diskon</t>
  </si>
  <si>
    <t>Kuda-kudaan Karet</t>
  </si>
  <si>
    <t>Toko FAEDAH</t>
  </si>
  <si>
    <t>Rak Buku Kaca</t>
  </si>
  <si>
    <t>PU-Meubler</t>
  </si>
  <si>
    <t>Keranjang Sampah Botol SD</t>
  </si>
  <si>
    <t>CV Intan media Arta</t>
  </si>
  <si>
    <t>Komposter Komunal Uk. 120 liter</t>
  </si>
  <si>
    <t>16/10/23</t>
  </si>
  <si>
    <t>dri penjualan</t>
  </si>
  <si>
    <t>Plastik Laminasi Roll</t>
  </si>
  <si>
    <t>Meja Guru - Watu Argmlyo</t>
  </si>
  <si>
    <t>Tong Sampah Pilah 3 uk. 35 liter (Lepas Pasang)</t>
  </si>
  <si>
    <t>Manding Sabdodadi</t>
  </si>
  <si>
    <t>Paket Alat Persampahan Kal. Seloharjo</t>
  </si>
  <si>
    <t>29/12/23</t>
  </si>
  <si>
    <t>(Tahap 2)</t>
  </si>
  <si>
    <t>Duta Kencana 2</t>
  </si>
  <si>
    <t>Gerobak Sampah R.3 (P;120,L: 70,T:60)</t>
  </si>
  <si>
    <t>Gerobak Sampah Jumbo R.2 (P;150,L;80,T;80)</t>
  </si>
  <si>
    <t>Ban Luar Gerobak Sampah</t>
  </si>
  <si>
    <t>lunas</t>
  </si>
  <si>
    <t>Rekapitulasi Utang Usaha Perumda Aneka Dharma Tahun 2023</t>
  </si>
  <si>
    <t>Unit Perdagangan Umum per Suplier</t>
  </si>
  <si>
    <t>Total</t>
  </si>
  <si>
    <t>Sales Kamper</t>
  </si>
  <si>
    <t>Suplier Persampahan</t>
  </si>
  <si>
    <t>Toko Meubler btl</t>
  </si>
  <si>
    <t>Pasar Btl</t>
  </si>
  <si>
    <t>UD Barokah</t>
  </si>
  <si>
    <t>UD Ratna Jaya</t>
  </si>
  <si>
    <t>Pasar BTL</t>
  </si>
  <si>
    <t>Toko Meubler BTL</t>
  </si>
  <si>
    <t>Toko ATK</t>
  </si>
  <si>
    <t>Toko Elektronik BTL</t>
  </si>
  <si>
    <t>Ud Barokah</t>
  </si>
  <si>
    <t>Toko Remujung</t>
  </si>
  <si>
    <t>Toko Gas Btl</t>
  </si>
  <si>
    <t>Toko Safety</t>
  </si>
  <si>
    <t>Toko MN</t>
  </si>
  <si>
    <t>CV Intan Media Arta</t>
  </si>
  <si>
    <t>Pengrajing Keranjang</t>
  </si>
  <si>
    <t>Toko Terpal</t>
  </si>
  <si>
    <t>Toko Keranjang Anyam</t>
  </si>
  <si>
    <t>tgl byr</t>
  </si>
  <si>
    <t>20/05/24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</si>
</sst>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\-yyyy;@"/>
    <numFmt numFmtId="167" formatCode="[$-409]d\-mmm\-yy;@"/>
    <numFmt numFmtId="168" formatCode="_(* #,##0_);_(* \(#,##0\);_(* &quot;-&quot;??_);_(@_)"/>
    <numFmt numFmtId="169" formatCode="_-* #,##0_-;\-* #,##0_-;_-* &quot;-&quot;??_-;_-@_-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55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0" applyNumberFormat="1" applyFont="1" applyFill="1" applyBorder="1" applyAlignment="1">
      <alignment horizontal="center" vertical="center" wrapText="1"/>
    </xf>
    <xf numFmtId="41" fontId="7" fillId="2" borderId="1" xfId="1" applyNumberFormat="1" applyFont="1" applyFill="1" applyBorder="1" applyAlignment="1">
      <alignment horizontal="center" vertical="center" wrapText="1"/>
    </xf>
    <xf numFmtId="41" fontId="7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/>
    <xf numFmtId="16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164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8" fillId="0" borderId="3" xfId="2" applyFont="1" applyBorder="1"/>
    <xf numFmtId="1" fontId="8" fillId="0" borderId="3" xfId="0" applyNumberFormat="1" applyFont="1" applyBorder="1" applyAlignment="1">
      <alignment horizontal="center"/>
    </xf>
    <xf numFmtId="164" fontId="9" fillId="0" borderId="3" xfId="2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" fontId="11" fillId="0" borderId="3" xfId="0" applyNumberFormat="1" applyFont="1" applyBorder="1" applyAlignment="1">
      <alignment horizontal="center"/>
    </xf>
    <xf numFmtId="164" fontId="11" fillId="0" borderId="3" xfId="2" applyFont="1" applyBorder="1"/>
    <xf numFmtId="1" fontId="8" fillId="0" borderId="3" xfId="2" applyNumberFormat="1" applyFont="1" applyBorder="1" applyAlignment="1">
      <alignment horizontal="center" vertical="center"/>
    </xf>
    <xf numFmtId="164" fontId="8" fillId="0" borderId="3" xfId="2" applyFont="1" applyBorder="1" applyAlignment="1">
      <alignment horizontal="center"/>
    </xf>
    <xf numFmtId="164" fontId="4" fillId="0" borderId="3" xfId="2" applyFont="1" applyBorder="1"/>
    <xf numFmtId="164" fontId="9" fillId="0" borderId="3" xfId="2" applyFont="1" applyBorder="1" applyAlignment="1">
      <alignment horizontal="center"/>
    </xf>
    <xf numFmtId="164" fontId="11" fillId="0" borderId="3" xfId="2" applyFont="1" applyBorder="1" applyAlignment="1">
      <alignment horizontal="center"/>
    </xf>
    <xf numFmtId="164" fontId="10" fillId="0" borderId="3" xfId="2" applyFont="1" applyBorder="1"/>
    <xf numFmtId="166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1" fontId="7" fillId="2" borderId="3" xfId="0" applyNumberFormat="1" applyFont="1" applyFill="1" applyBorder="1" applyAlignment="1">
      <alignment horizontal="center" vertical="center" wrapText="1"/>
    </xf>
    <xf numFmtId="41" fontId="7" fillId="2" borderId="3" xfId="1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/>
    <xf numFmtId="16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164" fontId="8" fillId="0" borderId="6" xfId="2" applyFont="1" applyBorder="1"/>
    <xf numFmtId="0" fontId="9" fillId="0" borderId="0" xfId="0" applyFont="1" applyAlignment="1">
      <alignment horizontal="center"/>
    </xf>
    <xf numFmtId="167" fontId="11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2" applyFont="1" applyBorder="1"/>
    <xf numFmtId="164" fontId="11" fillId="0" borderId="3" xfId="0" applyNumberFormat="1" applyFont="1" applyBorder="1"/>
    <xf numFmtId="0" fontId="11" fillId="0" borderId="3" xfId="0" applyFont="1" applyBorder="1" applyAlignment="1">
      <alignment horizontal="left"/>
    </xf>
    <xf numFmtId="164" fontId="12" fillId="0" borderId="3" xfId="0" applyNumberFormat="1" applyFont="1" applyBorder="1"/>
    <xf numFmtId="1" fontId="11" fillId="0" borderId="3" xfId="2" applyNumberFormat="1" applyFont="1" applyBorder="1" applyAlignment="1">
      <alignment horizontal="center" vertical="center"/>
    </xf>
    <xf numFmtId="164" fontId="12" fillId="0" borderId="3" xfId="2" applyFont="1" applyBorder="1" applyAlignment="1">
      <alignment horizontal="center"/>
    </xf>
    <xf numFmtId="43" fontId="0" fillId="0" borderId="0" xfId="0" applyNumberFormat="1"/>
    <xf numFmtId="165" fontId="0" fillId="0" borderId="0" xfId="1" applyFont="1"/>
    <xf numFmtId="168" fontId="8" fillId="0" borderId="3" xfId="1" applyNumberFormat="1" applyFont="1" applyBorder="1"/>
    <xf numFmtId="168" fontId="9" fillId="0" borderId="3" xfId="1" applyNumberFormat="1" applyFont="1" applyBorder="1"/>
    <xf numFmtId="0" fontId="13" fillId="0" borderId="3" xfId="0" applyFont="1" applyBorder="1" applyAlignment="1">
      <alignment horizontal="center"/>
    </xf>
    <xf numFmtId="168" fontId="9" fillId="0" borderId="3" xfId="0" applyNumberFormat="1" applyFont="1" applyBorder="1"/>
    <xf numFmtId="168" fontId="0" fillId="0" borderId="3" xfId="1" applyNumberFormat="1" applyFont="1" applyBorder="1"/>
    <xf numFmtId="164" fontId="8" fillId="0" borderId="3" xfId="2" applyFont="1" applyFill="1" applyBorder="1"/>
    <xf numFmtId="164" fontId="9" fillId="0" borderId="3" xfId="2" applyFont="1" applyFill="1" applyBorder="1"/>
    <xf numFmtId="168" fontId="8" fillId="0" borderId="3" xfId="1" applyNumberFormat="1" applyFont="1" applyFill="1" applyBorder="1"/>
    <xf numFmtId="168" fontId="11" fillId="0" borderId="3" xfId="1" applyNumberFormat="1" applyFont="1" applyFill="1" applyBorder="1"/>
    <xf numFmtId="0" fontId="8" fillId="0" borderId="3" xfId="1" applyNumberFormat="1" applyFont="1" applyBorder="1" applyAlignment="1">
      <alignment horizontal="center"/>
    </xf>
    <xf numFmtId="168" fontId="8" fillId="0" borderId="3" xfId="0" applyNumberFormat="1" applyFont="1" applyBorder="1"/>
    <xf numFmtId="168" fontId="9" fillId="0" borderId="3" xfId="1" applyNumberFormat="1" applyFont="1" applyFill="1" applyBorder="1"/>
    <xf numFmtId="168" fontId="11" fillId="0" borderId="3" xfId="1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68" fontId="2" fillId="0" borderId="3" xfId="1" applyNumberFormat="1" applyFont="1" applyBorder="1"/>
    <xf numFmtId="0" fontId="8" fillId="0" borderId="3" xfId="0" quotePrefix="1" applyFont="1" applyBorder="1"/>
    <xf numFmtId="16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3" xfId="0" applyFont="1" applyFill="1" applyBorder="1"/>
    <xf numFmtId="168" fontId="8" fillId="4" borderId="3" xfId="1" applyNumberFormat="1" applyFont="1" applyFill="1" applyBorder="1"/>
    <xf numFmtId="0" fontId="9" fillId="4" borderId="3" xfId="0" applyFont="1" applyFill="1" applyBorder="1" applyAlignment="1">
      <alignment horizontal="center"/>
    </xf>
    <xf numFmtId="0" fontId="0" fillId="4" borderId="3" xfId="0" applyFill="1" applyBorder="1"/>
    <xf numFmtId="168" fontId="9" fillId="4" borderId="3" xfId="1" applyNumberFormat="1" applyFont="1" applyFill="1" applyBorder="1"/>
    <xf numFmtId="168" fontId="8" fillId="0" borderId="3" xfId="1" applyNumberFormat="1" applyFont="1" applyBorder="1" applyAlignment="1"/>
    <xf numFmtId="168" fontId="8" fillId="0" borderId="3" xfId="1" applyNumberFormat="1" applyFont="1" applyBorder="1" applyAlignment="1">
      <alignment horizontal="center"/>
    </xf>
    <xf numFmtId="168" fontId="9" fillId="0" borderId="3" xfId="1" applyNumberFormat="1" applyFont="1" applyBorder="1" applyAlignment="1">
      <alignment horizontal="center"/>
    </xf>
    <xf numFmtId="168" fontId="13" fillId="0" borderId="3" xfId="1" applyNumberFormat="1" applyFont="1" applyBorder="1"/>
    <xf numFmtId="168" fontId="11" fillId="0" borderId="3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168" fontId="0" fillId="0" borderId="0" xfId="0" applyNumberFormat="1"/>
    <xf numFmtId="169" fontId="13" fillId="4" borderId="0" xfId="1" applyNumberFormat="1" applyFont="1" applyFill="1"/>
    <xf numFmtId="168" fontId="9" fillId="4" borderId="3" xfId="0" applyNumberFormat="1" applyFont="1" applyFill="1" applyBorder="1"/>
    <xf numFmtId="0" fontId="11" fillId="0" borderId="3" xfId="3" applyFont="1" applyBorder="1"/>
    <xf numFmtId="0" fontId="11" fillId="4" borderId="3" xfId="0" applyFont="1" applyFill="1" applyBorder="1"/>
    <xf numFmtId="0" fontId="11" fillId="4" borderId="3" xfId="0" applyFont="1" applyFill="1" applyBorder="1" applyAlignment="1">
      <alignment horizontal="center"/>
    </xf>
    <xf numFmtId="168" fontId="11" fillId="4" borderId="3" xfId="1" applyNumberFormat="1" applyFont="1" applyFill="1" applyBorder="1"/>
    <xf numFmtId="168" fontId="11" fillId="4" borderId="3" xfId="1" applyNumberFormat="1" applyFont="1" applyFill="1" applyBorder="1" applyAlignment="1">
      <alignment horizontal="center"/>
    </xf>
    <xf numFmtId="20" fontId="11" fillId="0" borderId="3" xfId="0" applyNumberFormat="1" applyFont="1" applyBorder="1" applyAlignment="1">
      <alignment wrapText="1"/>
    </xf>
    <xf numFmtId="20" fontId="11" fillId="4" borderId="3" xfId="0" applyNumberFormat="1" applyFont="1" applyFill="1" applyBorder="1" applyAlignment="1">
      <alignment wrapText="1"/>
    </xf>
    <xf numFmtId="168" fontId="12" fillId="0" borderId="3" xfId="1" applyNumberFormat="1" applyFont="1" applyBorder="1" applyAlignment="1">
      <alignment horizontal="center"/>
    </xf>
    <xf numFmtId="168" fontId="4" fillId="0" borderId="0" xfId="0" applyNumberFormat="1" applyFont="1"/>
    <xf numFmtId="168" fontId="9" fillId="4" borderId="3" xfId="1" applyNumberFormat="1" applyFont="1" applyFill="1" applyBorder="1" applyAlignment="1">
      <alignment horizontal="left"/>
    </xf>
    <xf numFmtId="169" fontId="9" fillId="4" borderId="3" xfId="1" applyNumberFormat="1" applyFont="1" applyFill="1" applyBorder="1" applyAlignment="1">
      <alignment horizontal="left"/>
    </xf>
    <xf numFmtId="169" fontId="0" fillId="0" borderId="0" xfId="0" applyNumberFormat="1"/>
    <xf numFmtId="169" fontId="0" fillId="0" borderId="0" xfId="1" applyNumberFormat="1" applyFont="1"/>
    <xf numFmtId="169" fontId="4" fillId="0" borderId="0" xfId="1" applyNumberFormat="1" applyFont="1"/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right"/>
    </xf>
    <xf numFmtId="164" fontId="11" fillId="0" borderId="3" xfId="2" applyFont="1" applyFill="1" applyBorder="1"/>
    <xf numFmtId="168" fontId="14" fillId="0" borderId="0" xfId="0" applyNumberFormat="1" applyFont="1"/>
    <xf numFmtId="0" fontId="14" fillId="0" borderId="0" xfId="0" applyFont="1"/>
    <xf numFmtId="164" fontId="8" fillId="4" borderId="3" xfId="2" applyFont="1" applyFill="1" applyBorder="1"/>
    <xf numFmtId="164" fontId="9" fillId="4" borderId="3" xfId="2" applyFont="1" applyFill="1" applyBorder="1" applyAlignment="1">
      <alignment horizontal="center"/>
    </xf>
    <xf numFmtId="164" fontId="9" fillId="4" borderId="0" xfId="0" applyNumberFormat="1" applyFont="1" applyFill="1"/>
    <xf numFmtId="168" fontId="12" fillId="4" borderId="3" xfId="1" applyNumberFormat="1" applyFont="1" applyFill="1" applyBorder="1"/>
    <xf numFmtId="168" fontId="8" fillId="4" borderId="3" xfId="1" applyNumberFormat="1" applyFont="1" applyFill="1" applyBorder="1" applyAlignment="1">
      <alignment horizontal="center"/>
    </xf>
    <xf numFmtId="168" fontId="8" fillId="4" borderId="3" xfId="0" applyNumberFormat="1" applyFont="1" applyFill="1" applyBorder="1"/>
    <xf numFmtId="168" fontId="4" fillId="4" borderId="3" xfId="1" applyNumberFormat="1" applyFont="1" applyFill="1" applyBorder="1"/>
    <xf numFmtId="168" fontId="4" fillId="4" borderId="3" xfId="0" applyNumberFormat="1" applyFont="1" applyFill="1" applyBorder="1"/>
    <xf numFmtId="168" fontId="9" fillId="4" borderId="3" xfId="1" applyNumberFormat="1" applyFont="1" applyFill="1" applyBorder="1" applyAlignment="1">
      <alignment horizontal="center"/>
    </xf>
    <xf numFmtId="169" fontId="4" fillId="0" borderId="7" xfId="1" applyNumberFormat="1" applyFont="1" applyBorder="1" applyAlignment="1"/>
    <xf numFmtId="169" fontId="4" fillId="0" borderId="0" xfId="0" applyNumberFormat="1" applyFont="1"/>
    <xf numFmtId="41" fontId="7" fillId="2" borderId="4" xfId="1" applyNumberFormat="1" applyFont="1" applyFill="1" applyBorder="1" applyAlignment="1">
      <alignment horizontal="center" vertical="center" wrapText="1"/>
    </xf>
    <xf numFmtId="164" fontId="11" fillId="0" borderId="4" xfId="2" applyFont="1" applyFill="1" applyBorder="1"/>
    <xf numFmtId="168" fontId="11" fillId="0" borderId="4" xfId="1" applyNumberFormat="1" applyFont="1" applyFill="1" applyBorder="1"/>
    <xf numFmtId="164" fontId="8" fillId="0" borderId="4" xfId="2" applyFont="1" applyFill="1" applyBorder="1"/>
    <xf numFmtId="169" fontId="7" fillId="2" borderId="3" xfId="1" applyNumberFormat="1" applyFont="1" applyFill="1" applyBorder="1" applyAlignment="1">
      <alignment horizontal="center" vertical="center" wrapText="1"/>
    </xf>
    <xf numFmtId="169" fontId="0" fillId="0" borderId="3" xfId="1" applyNumberFormat="1" applyFont="1" applyBorder="1"/>
    <xf numFmtId="0" fontId="14" fillId="0" borderId="3" xfId="0" applyFont="1" applyBorder="1"/>
    <xf numFmtId="169" fontId="0" fillId="4" borderId="0" xfId="1" applyNumberFormat="1" applyFont="1" applyFill="1"/>
    <xf numFmtId="0" fontId="15" fillId="0" borderId="0" xfId="0" applyFont="1"/>
    <xf numFmtId="169" fontId="14" fillId="0" borderId="0" xfId="1" applyNumberFormat="1" applyFont="1"/>
    <xf numFmtId="0" fontId="11" fillId="0" borderId="3" xfId="0" applyFont="1" applyBorder="1" applyAlignment="1">
      <alignment horizontal="center" vertical="center"/>
    </xf>
    <xf numFmtId="169" fontId="14" fillId="0" borderId="3" xfId="1" applyNumberFormat="1" applyFont="1" applyBorder="1"/>
    <xf numFmtId="168" fontId="11" fillId="0" borderId="4" xfId="1" applyNumberFormat="1" applyFont="1" applyFill="1" applyBorder="1" applyAlignment="1">
      <alignment horizontal="center"/>
    </xf>
    <xf numFmtId="168" fontId="12" fillId="0" borderId="4" xfId="1" applyNumberFormat="1" applyFont="1" applyFill="1" applyBorder="1"/>
    <xf numFmtId="0" fontId="14" fillId="0" borderId="3" xfId="0" applyFont="1" applyBorder="1" applyAlignment="1">
      <alignment horizontal="center"/>
    </xf>
    <xf numFmtId="168" fontId="14" fillId="0" borderId="3" xfId="1" applyNumberFormat="1" applyFont="1" applyBorder="1"/>
    <xf numFmtId="168" fontId="14" fillId="0" borderId="4" xfId="1" applyNumberFormat="1" applyFont="1" applyFill="1" applyBorder="1"/>
    <xf numFmtId="168" fontId="11" fillId="0" borderId="4" xfId="0" applyNumberFormat="1" applyFont="1" applyBorder="1"/>
    <xf numFmtId="0" fontId="14" fillId="0" borderId="4" xfId="0" applyFont="1" applyBorder="1"/>
    <xf numFmtId="164" fontId="14" fillId="0" borderId="3" xfId="2" applyFont="1" applyBorder="1"/>
    <xf numFmtId="164" fontId="14" fillId="0" borderId="4" xfId="2" applyFont="1" applyFill="1" applyBorder="1"/>
    <xf numFmtId="169" fontId="16" fillId="0" borderId="0" xfId="0" applyNumberFormat="1" applyFont="1"/>
    <xf numFmtId="169" fontId="14" fillId="4" borderId="3" xfId="1" applyNumberFormat="1" applyFont="1" applyFill="1" applyBorder="1"/>
    <xf numFmtId="169" fontId="0" fillId="4" borderId="3" xfId="1" applyNumberFormat="1" applyFont="1" applyFill="1" applyBorder="1"/>
    <xf numFmtId="169" fontId="14" fillId="0" borderId="3" xfId="1" applyNumberFormat="1" applyFont="1" applyFill="1" applyBorder="1"/>
    <xf numFmtId="41" fontId="7" fillId="2" borderId="7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9" fontId="14" fillId="5" borderId="3" xfId="1" applyNumberFormat="1" applyFont="1" applyFill="1" applyBorder="1"/>
    <xf numFmtId="169" fontId="0" fillId="5" borderId="0" xfId="1" applyNumberFormat="1" applyFont="1" applyFill="1"/>
  </cellXfs>
  <cellStyles count="4">
    <cellStyle name="Comma" xfId="1" builtinId="3"/>
    <cellStyle name="Comma [0]" xfId="2" builtinId="6"/>
    <cellStyle name="Normal" xfId="0" builtinId="0"/>
    <cellStyle name="Normal 10" xfId="3" xr:uid="{5BDF5F78-2323-4867-BE67-ACD751EEB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81BB-E75B-4DD1-8630-27F633912EA3}">
  <sheetPr>
    <tabColor rgb="FFFF0000"/>
  </sheetPr>
  <dimension ref="A1:K173"/>
  <sheetViews>
    <sheetView tabSelected="1" topLeftCell="A94" workbookViewId="0">
      <selection activeCell="I101" sqref="I101"/>
    </sheetView>
  </sheetViews>
  <sheetFormatPr defaultRowHeight="14.5" x14ac:dyDescent="0.35"/>
  <cols>
    <col min="1" max="1" width="10.453125" customWidth="1"/>
    <col min="2" max="2" width="5.36328125" bestFit="1" customWidth="1"/>
    <col min="3" max="3" width="18.6328125" customWidth="1"/>
    <col min="4" max="6" width="0" hidden="1" customWidth="1"/>
    <col min="7" max="7" width="10" hidden="1" customWidth="1"/>
    <col min="8" max="8" width="12.7265625" customWidth="1"/>
    <col min="9" max="9" width="12" style="98" bestFit="1" customWidth="1"/>
    <col min="10" max="11" width="14.6328125" bestFit="1" customWidth="1"/>
  </cols>
  <sheetData>
    <row r="1" spans="1:10" ht="15.5" x14ac:dyDescent="0.35">
      <c r="A1" s="124" t="s">
        <v>636</v>
      </c>
      <c r="B1" s="104"/>
      <c r="C1" s="104"/>
      <c r="D1" s="104"/>
      <c r="E1" s="104"/>
      <c r="F1" s="104"/>
      <c r="G1" s="104"/>
      <c r="H1" s="104"/>
      <c r="I1" s="125"/>
    </row>
    <row r="2" spans="1:10" ht="15.5" x14ac:dyDescent="0.35">
      <c r="A2" s="124" t="s">
        <v>637</v>
      </c>
      <c r="B2" s="104"/>
      <c r="C2" s="104"/>
      <c r="D2" s="104"/>
      <c r="E2" s="104"/>
      <c r="F2" s="104"/>
      <c r="G2" s="104"/>
      <c r="H2" s="104"/>
      <c r="I2" s="125"/>
    </row>
    <row r="3" spans="1:10" ht="34.5" x14ac:dyDescent="0.35">
      <c r="A3" s="31" t="s">
        <v>1</v>
      </c>
      <c r="B3" s="32" t="s">
        <v>2</v>
      </c>
      <c r="C3" s="32" t="s">
        <v>3</v>
      </c>
      <c r="D3" s="33" t="s">
        <v>5</v>
      </c>
      <c r="E3" s="33" t="s">
        <v>6</v>
      </c>
      <c r="F3" s="33" t="s">
        <v>7</v>
      </c>
      <c r="G3" s="34" t="s">
        <v>8</v>
      </c>
      <c r="H3" s="116" t="s">
        <v>9</v>
      </c>
      <c r="I3" s="120" t="s">
        <v>638</v>
      </c>
      <c r="J3" s="141" t="s">
        <v>658</v>
      </c>
    </row>
    <row r="4" spans="1:10" x14ac:dyDescent="0.35">
      <c r="A4" s="43">
        <v>45072</v>
      </c>
      <c r="B4" s="21">
        <v>233</v>
      </c>
      <c r="C4" s="22" t="s">
        <v>541</v>
      </c>
      <c r="D4" s="21">
        <v>80</v>
      </c>
      <c r="E4" s="21" t="s">
        <v>21</v>
      </c>
      <c r="F4" s="126" t="s">
        <v>200</v>
      </c>
      <c r="G4" s="65">
        <f>724500/80</f>
        <v>9056.25</v>
      </c>
      <c r="H4" s="118"/>
      <c r="I4" s="127">
        <v>724500</v>
      </c>
    </row>
    <row r="5" spans="1:10" x14ac:dyDescent="0.35">
      <c r="A5" s="43"/>
      <c r="B5" s="21"/>
      <c r="C5" s="22"/>
      <c r="D5" s="21"/>
      <c r="E5" s="21"/>
      <c r="F5" s="21"/>
      <c r="G5" s="65"/>
      <c r="H5" s="118"/>
      <c r="I5" s="127"/>
    </row>
    <row r="6" spans="1:10" x14ac:dyDescent="0.35">
      <c r="A6" s="43">
        <v>45098</v>
      </c>
      <c r="B6" s="21">
        <v>299</v>
      </c>
      <c r="C6" s="22" t="s">
        <v>254</v>
      </c>
      <c r="D6" s="21">
        <v>126</v>
      </c>
      <c r="E6" s="21" t="s">
        <v>240</v>
      </c>
      <c r="F6" s="21" t="s">
        <v>200</v>
      </c>
      <c r="G6" s="65">
        <f>102797/126</f>
        <v>815.84920634920638</v>
      </c>
      <c r="H6" s="118"/>
      <c r="I6" s="127">
        <v>452740</v>
      </c>
    </row>
    <row r="7" spans="1:10" x14ac:dyDescent="0.35">
      <c r="A7" s="43">
        <v>45154</v>
      </c>
      <c r="B7" s="21">
        <v>425</v>
      </c>
      <c r="C7" s="22" t="s">
        <v>254</v>
      </c>
      <c r="D7" s="21">
        <v>48</v>
      </c>
      <c r="E7" s="21" t="s">
        <v>240</v>
      </c>
      <c r="F7" s="21" t="s">
        <v>200</v>
      </c>
      <c r="G7" s="65">
        <v>7000</v>
      </c>
      <c r="H7" s="118"/>
      <c r="I7" s="127">
        <v>529802</v>
      </c>
    </row>
    <row r="8" spans="1:10" x14ac:dyDescent="0.35">
      <c r="A8" s="43">
        <v>45280</v>
      </c>
      <c r="B8" s="21">
        <v>837</v>
      </c>
      <c r="C8" s="22" t="s">
        <v>254</v>
      </c>
      <c r="D8" s="21">
        <f>6*12</f>
        <v>72</v>
      </c>
      <c r="E8" s="21" t="s">
        <v>240</v>
      </c>
      <c r="F8" s="21" t="s">
        <v>200</v>
      </c>
      <c r="G8" s="65">
        <v>300</v>
      </c>
      <c r="H8" s="118"/>
      <c r="I8" s="127">
        <v>294371</v>
      </c>
    </row>
    <row r="9" spans="1:10" x14ac:dyDescent="0.35">
      <c r="A9" s="22"/>
      <c r="B9" s="21"/>
      <c r="C9" s="22"/>
      <c r="D9" s="21">
        <v>126</v>
      </c>
      <c r="E9" s="21" t="s">
        <v>240</v>
      </c>
      <c r="F9" s="21" t="s">
        <v>200</v>
      </c>
      <c r="G9" s="65">
        <f>700+93.42</f>
        <v>793.42</v>
      </c>
      <c r="H9" s="118"/>
      <c r="I9" s="138">
        <f>SUM(I6:I8)</f>
        <v>1276913</v>
      </c>
    </row>
    <row r="10" spans="1:10" x14ac:dyDescent="0.35">
      <c r="A10" s="43">
        <v>45149</v>
      </c>
      <c r="B10" s="21">
        <v>418</v>
      </c>
      <c r="C10" s="22" t="s">
        <v>430</v>
      </c>
      <c r="D10" s="21">
        <v>200</v>
      </c>
      <c r="E10" s="21" t="s">
        <v>12</v>
      </c>
      <c r="F10" s="21" t="s">
        <v>13</v>
      </c>
      <c r="G10" s="65">
        <v>2750</v>
      </c>
      <c r="H10" s="118"/>
      <c r="I10" s="127">
        <v>10510000</v>
      </c>
    </row>
    <row r="11" spans="1:10" x14ac:dyDescent="0.35">
      <c r="A11" s="43">
        <v>45258</v>
      </c>
      <c r="B11" s="21">
        <v>724</v>
      </c>
      <c r="C11" s="22" t="s">
        <v>430</v>
      </c>
      <c r="D11" s="21">
        <v>250</v>
      </c>
      <c r="E11" s="21" t="s">
        <v>20</v>
      </c>
      <c r="F11" s="21" t="s">
        <v>13</v>
      </c>
      <c r="G11" s="65">
        <v>49800</v>
      </c>
      <c r="H11" s="118"/>
      <c r="I11" s="127">
        <v>13547500</v>
      </c>
    </row>
    <row r="12" spans="1:10" x14ac:dyDescent="0.35">
      <c r="A12" s="22"/>
      <c r="B12" s="21"/>
      <c r="C12" s="22"/>
      <c r="D12" s="21">
        <v>25</v>
      </c>
      <c r="E12" s="21" t="s">
        <v>20</v>
      </c>
      <c r="F12" s="21" t="s">
        <v>13</v>
      </c>
      <c r="G12" s="65">
        <v>43900</v>
      </c>
      <c r="H12" s="118"/>
      <c r="I12" s="138">
        <f>SUM(I10:I11)</f>
        <v>24057500</v>
      </c>
    </row>
    <row r="13" spans="1:10" x14ac:dyDescent="0.35">
      <c r="A13" s="43">
        <v>45170</v>
      </c>
      <c r="B13" s="21">
        <v>493</v>
      </c>
      <c r="C13" s="22" t="s">
        <v>531</v>
      </c>
      <c r="D13" s="21">
        <v>30</v>
      </c>
      <c r="E13" s="21" t="s">
        <v>14</v>
      </c>
      <c r="F13" s="21" t="s">
        <v>200</v>
      </c>
      <c r="G13" s="65">
        <v>48000</v>
      </c>
      <c r="H13" s="118"/>
      <c r="I13" s="127">
        <v>1440000</v>
      </c>
    </row>
    <row r="14" spans="1:10" x14ac:dyDescent="0.35">
      <c r="A14" s="43">
        <v>45210</v>
      </c>
      <c r="B14" s="21">
        <v>611</v>
      </c>
      <c r="C14" s="22" t="s">
        <v>531</v>
      </c>
      <c r="D14" s="21">
        <v>30</v>
      </c>
      <c r="E14" s="21" t="s">
        <v>14</v>
      </c>
      <c r="F14" s="21" t="s">
        <v>200</v>
      </c>
      <c r="G14" s="61">
        <v>48000</v>
      </c>
      <c r="H14" s="118"/>
      <c r="I14" s="127">
        <v>1440000</v>
      </c>
    </row>
    <row r="15" spans="1:10" x14ac:dyDescent="0.35">
      <c r="A15" s="122"/>
      <c r="B15" s="122"/>
      <c r="C15" s="122"/>
      <c r="D15" s="122"/>
      <c r="E15" s="122"/>
      <c r="F15" s="122"/>
      <c r="G15" s="122"/>
      <c r="H15" s="122"/>
      <c r="I15" s="138">
        <f>SUM(I13:I14)</f>
        <v>2880000</v>
      </c>
    </row>
    <row r="16" spans="1:10" x14ac:dyDescent="0.35">
      <c r="A16" s="43">
        <v>45201</v>
      </c>
      <c r="B16" s="21">
        <v>583</v>
      </c>
      <c r="C16" s="22" t="s">
        <v>620</v>
      </c>
      <c r="D16" s="21">
        <v>2</v>
      </c>
      <c r="E16" s="21" t="s">
        <v>207</v>
      </c>
      <c r="F16" s="21" t="s">
        <v>200</v>
      </c>
      <c r="G16" s="65"/>
      <c r="H16" s="118"/>
      <c r="I16" s="127">
        <v>1600000</v>
      </c>
    </row>
    <row r="17" spans="1:9" x14ac:dyDescent="0.35">
      <c r="A17" s="43">
        <v>45261</v>
      </c>
      <c r="B17" s="21">
        <v>855</v>
      </c>
      <c r="C17" s="22" t="s">
        <v>654</v>
      </c>
      <c r="D17" s="21">
        <v>16</v>
      </c>
      <c r="E17" s="21" t="s">
        <v>207</v>
      </c>
      <c r="F17" s="21" t="s">
        <v>200</v>
      </c>
      <c r="G17" s="65">
        <v>750000</v>
      </c>
      <c r="H17" s="118"/>
      <c r="I17" s="127">
        <v>12000000</v>
      </c>
    </row>
    <row r="18" spans="1:9" x14ac:dyDescent="0.35">
      <c r="A18" s="43"/>
      <c r="B18" s="21"/>
      <c r="C18" s="22"/>
      <c r="D18" s="21"/>
      <c r="E18" s="21"/>
      <c r="F18" s="21"/>
      <c r="G18" s="65"/>
      <c r="H18" s="118"/>
      <c r="I18" s="138">
        <f>SUM(I16:I17)</f>
        <v>13600000</v>
      </c>
    </row>
    <row r="19" spans="1:9" x14ac:dyDescent="0.35">
      <c r="A19" s="43">
        <v>45212</v>
      </c>
      <c r="B19" s="21">
        <v>615</v>
      </c>
      <c r="C19" s="22" t="s">
        <v>11</v>
      </c>
      <c r="D19" s="21">
        <v>144</v>
      </c>
      <c r="E19" s="21" t="s">
        <v>14</v>
      </c>
      <c r="F19" s="21" t="s">
        <v>13</v>
      </c>
      <c r="G19" s="61">
        <v>2875</v>
      </c>
      <c r="H19" s="61"/>
      <c r="I19" s="127">
        <v>2349000</v>
      </c>
    </row>
    <row r="20" spans="1:9" x14ac:dyDescent="0.35">
      <c r="A20" s="43">
        <v>45217</v>
      </c>
      <c r="B20" s="21">
        <v>622</v>
      </c>
      <c r="C20" s="22" t="s">
        <v>11</v>
      </c>
      <c r="D20" s="21">
        <v>200</v>
      </c>
      <c r="E20" s="21" t="s">
        <v>28</v>
      </c>
      <c r="F20" s="21" t="s">
        <v>13</v>
      </c>
      <c r="G20" s="65">
        <v>6600</v>
      </c>
      <c r="H20" s="61"/>
      <c r="I20" s="127">
        <v>1320000</v>
      </c>
    </row>
    <row r="21" spans="1:9" x14ac:dyDescent="0.35">
      <c r="A21" s="43">
        <v>45218</v>
      </c>
      <c r="B21" s="21">
        <v>635</v>
      </c>
      <c r="C21" s="22" t="s">
        <v>11</v>
      </c>
      <c r="D21" s="21">
        <v>50</v>
      </c>
      <c r="E21" s="21" t="s">
        <v>28</v>
      </c>
      <c r="F21" s="21" t="s">
        <v>13</v>
      </c>
      <c r="G21" s="61">
        <v>6700</v>
      </c>
      <c r="H21" s="61"/>
      <c r="I21" s="127">
        <v>10144500.5</v>
      </c>
    </row>
    <row r="22" spans="1:9" x14ac:dyDescent="0.35">
      <c r="A22" s="43">
        <v>45223</v>
      </c>
      <c r="B22" s="21">
        <v>643</v>
      </c>
      <c r="C22" s="22" t="s">
        <v>11</v>
      </c>
      <c r="D22" s="122"/>
      <c r="E22" s="122"/>
      <c r="F22" s="122"/>
      <c r="G22" s="122"/>
      <c r="H22" s="122"/>
      <c r="I22" s="127">
        <v>18204174</v>
      </c>
    </row>
    <row r="23" spans="1:9" x14ac:dyDescent="0.35">
      <c r="A23" s="43">
        <v>45223</v>
      </c>
      <c r="B23" s="21">
        <v>644</v>
      </c>
      <c r="C23" s="22" t="s">
        <v>11</v>
      </c>
      <c r="D23" s="122"/>
      <c r="E23" s="122"/>
      <c r="F23" s="122"/>
      <c r="G23" s="122"/>
      <c r="H23" s="122"/>
      <c r="I23" s="127">
        <v>1319750.3999999999</v>
      </c>
    </row>
    <row r="24" spans="1:9" x14ac:dyDescent="0.35">
      <c r="A24" s="43">
        <v>45224</v>
      </c>
      <c r="B24" s="21">
        <v>649</v>
      </c>
      <c r="C24" s="22" t="s">
        <v>11</v>
      </c>
      <c r="D24" s="21">
        <v>600</v>
      </c>
      <c r="E24" s="21" t="s">
        <v>14</v>
      </c>
      <c r="F24" s="21" t="s">
        <v>13</v>
      </c>
      <c r="G24" s="65">
        <v>8750</v>
      </c>
      <c r="H24" s="61"/>
      <c r="I24" s="61">
        <v>5250000</v>
      </c>
    </row>
    <row r="25" spans="1:9" x14ac:dyDescent="0.35">
      <c r="A25" s="43">
        <v>45224</v>
      </c>
      <c r="B25" s="21">
        <v>650</v>
      </c>
      <c r="C25" s="22" t="s">
        <v>11</v>
      </c>
      <c r="D25" s="122"/>
      <c r="E25" s="122"/>
      <c r="F25" s="122"/>
      <c r="G25" s="122"/>
      <c r="H25" s="122"/>
      <c r="I25" s="127">
        <v>2400000</v>
      </c>
    </row>
    <row r="26" spans="1:9" x14ac:dyDescent="0.35">
      <c r="A26" s="43">
        <v>45225</v>
      </c>
      <c r="B26" s="21">
        <v>651</v>
      </c>
      <c r="C26" s="22" t="s">
        <v>11</v>
      </c>
      <c r="D26" s="122"/>
      <c r="E26" s="122"/>
      <c r="F26" s="122"/>
      <c r="G26" s="122"/>
      <c r="H26" s="122"/>
      <c r="I26" s="127">
        <v>1600000</v>
      </c>
    </row>
    <row r="27" spans="1:9" x14ac:dyDescent="0.35">
      <c r="A27" s="43">
        <v>45226</v>
      </c>
      <c r="B27" s="21">
        <v>653</v>
      </c>
      <c r="C27" s="22" t="s">
        <v>11</v>
      </c>
      <c r="D27" s="122"/>
      <c r="E27" s="122"/>
      <c r="F27" s="122"/>
      <c r="G27" s="122"/>
      <c r="H27" s="122"/>
      <c r="I27" s="127">
        <v>9825000</v>
      </c>
    </row>
    <row r="28" spans="1:9" x14ac:dyDescent="0.35">
      <c r="A28" s="43">
        <v>45230</v>
      </c>
      <c r="B28" s="21">
        <v>659</v>
      </c>
      <c r="C28" s="22" t="s">
        <v>11</v>
      </c>
      <c r="D28" s="122"/>
      <c r="E28" s="122"/>
      <c r="F28" s="122"/>
      <c r="G28" s="122"/>
      <c r="H28" s="122"/>
      <c r="I28" s="127">
        <v>3598500</v>
      </c>
    </row>
    <row r="29" spans="1:9" x14ac:dyDescent="0.35">
      <c r="A29" s="43">
        <v>45234</v>
      </c>
      <c r="B29" s="21">
        <v>672</v>
      </c>
      <c r="C29" s="22" t="s">
        <v>11</v>
      </c>
      <c r="D29" s="21">
        <v>3</v>
      </c>
      <c r="E29" s="21" t="s">
        <v>28</v>
      </c>
      <c r="F29" s="21" t="s">
        <v>24</v>
      </c>
      <c r="G29" s="65">
        <v>180000</v>
      </c>
      <c r="H29" s="61"/>
      <c r="I29" s="127">
        <v>540000</v>
      </c>
    </row>
    <row r="30" spans="1:9" x14ac:dyDescent="0.35">
      <c r="A30" s="43">
        <v>45237</v>
      </c>
      <c r="B30" s="21">
        <v>681</v>
      </c>
      <c r="C30" s="22" t="s">
        <v>11</v>
      </c>
      <c r="D30" s="122"/>
      <c r="E30" s="122"/>
      <c r="F30" s="122"/>
      <c r="G30" s="122"/>
      <c r="H30" s="122"/>
      <c r="I30" s="127">
        <v>4703600</v>
      </c>
    </row>
    <row r="31" spans="1:9" x14ac:dyDescent="0.35">
      <c r="A31" s="43">
        <v>45243</v>
      </c>
      <c r="B31" s="21">
        <v>694</v>
      </c>
      <c r="C31" s="22" t="s">
        <v>11</v>
      </c>
      <c r="D31" s="122"/>
      <c r="E31" s="122"/>
      <c r="F31" s="122"/>
      <c r="G31" s="122"/>
      <c r="H31" s="122"/>
      <c r="I31" s="127">
        <v>13492250</v>
      </c>
    </row>
    <row r="32" spans="1:9" x14ac:dyDescent="0.35">
      <c r="A32" s="43">
        <v>45244</v>
      </c>
      <c r="B32" s="21">
        <v>696</v>
      </c>
      <c r="C32" s="22" t="s">
        <v>11</v>
      </c>
      <c r="D32" s="122"/>
      <c r="E32" s="122"/>
      <c r="F32" s="122"/>
      <c r="G32" s="122"/>
      <c r="H32" s="122"/>
      <c r="I32" s="127">
        <v>3130000</v>
      </c>
    </row>
    <row r="33" spans="1:9" x14ac:dyDescent="0.35">
      <c r="A33" s="43">
        <v>45254</v>
      </c>
      <c r="B33" s="21">
        <v>720</v>
      </c>
      <c r="C33" s="22" t="s">
        <v>11</v>
      </c>
      <c r="D33" s="21">
        <v>25</v>
      </c>
      <c r="E33" s="21" t="s">
        <v>14</v>
      </c>
      <c r="F33" s="21" t="s">
        <v>13</v>
      </c>
      <c r="G33" s="65">
        <v>12000</v>
      </c>
      <c r="H33" s="61"/>
      <c r="I33" s="127">
        <v>300000</v>
      </c>
    </row>
    <row r="34" spans="1:9" x14ac:dyDescent="0.35">
      <c r="A34" s="43">
        <v>45257</v>
      </c>
      <c r="B34" s="21">
        <v>723</v>
      </c>
      <c r="C34" s="22" t="s">
        <v>11</v>
      </c>
      <c r="D34" s="122"/>
      <c r="E34" s="122"/>
      <c r="F34" s="122"/>
      <c r="G34" s="122"/>
      <c r="H34" s="122"/>
      <c r="I34" s="127">
        <v>8550000</v>
      </c>
    </row>
    <row r="35" spans="1:9" x14ac:dyDescent="0.35">
      <c r="A35" s="43">
        <v>45259</v>
      </c>
      <c r="B35" s="21">
        <v>734</v>
      </c>
      <c r="C35" s="22" t="s">
        <v>11</v>
      </c>
      <c r="D35" s="122"/>
      <c r="E35" s="122"/>
      <c r="F35" s="122"/>
      <c r="G35" s="122"/>
      <c r="H35" s="122"/>
      <c r="I35" s="127">
        <v>7243500</v>
      </c>
    </row>
    <row r="36" spans="1:9" x14ac:dyDescent="0.35">
      <c r="A36" s="43">
        <v>45248</v>
      </c>
      <c r="B36" s="21">
        <v>779</v>
      </c>
      <c r="C36" s="22" t="s">
        <v>11</v>
      </c>
      <c r="D36" s="122"/>
      <c r="E36" s="122"/>
      <c r="F36" s="122"/>
      <c r="G36" s="122"/>
      <c r="H36" s="122"/>
      <c r="I36" s="127">
        <v>7991250</v>
      </c>
    </row>
    <row r="37" spans="1:9" x14ac:dyDescent="0.35">
      <c r="A37" s="43">
        <v>45266</v>
      </c>
      <c r="B37" s="21">
        <v>809</v>
      </c>
      <c r="C37" s="22" t="s">
        <v>11</v>
      </c>
      <c r="D37" s="122"/>
      <c r="E37" s="122"/>
      <c r="F37" s="122"/>
      <c r="G37" s="122"/>
      <c r="H37" s="122"/>
      <c r="I37" s="127">
        <v>411001.92000000004</v>
      </c>
    </row>
    <row r="38" spans="1:9" x14ac:dyDescent="0.35">
      <c r="A38" s="43">
        <v>45266</v>
      </c>
      <c r="B38" s="21">
        <v>810</v>
      </c>
      <c r="C38" s="22" t="s">
        <v>11</v>
      </c>
      <c r="D38" s="122"/>
      <c r="E38" s="122"/>
      <c r="F38" s="122"/>
      <c r="G38" s="122"/>
      <c r="H38" s="122"/>
      <c r="I38" s="127">
        <v>6300050</v>
      </c>
    </row>
    <row r="39" spans="1:9" x14ac:dyDescent="0.35">
      <c r="A39" s="43">
        <v>45272</v>
      </c>
      <c r="B39" s="21">
        <v>817</v>
      </c>
      <c r="C39" s="22" t="s">
        <v>11</v>
      </c>
      <c r="D39" s="122"/>
      <c r="E39" s="122"/>
      <c r="F39" s="122"/>
      <c r="G39" s="122"/>
      <c r="H39" s="122"/>
      <c r="I39" s="127">
        <v>9548250</v>
      </c>
    </row>
    <row r="40" spans="1:9" x14ac:dyDescent="0.35">
      <c r="A40" s="43">
        <v>45275</v>
      </c>
      <c r="B40" s="21">
        <v>826</v>
      </c>
      <c r="C40" s="22" t="s">
        <v>11</v>
      </c>
      <c r="D40" s="122"/>
      <c r="E40" s="122"/>
      <c r="F40" s="122"/>
      <c r="G40" s="122"/>
      <c r="H40" s="122"/>
      <c r="I40" s="127">
        <v>4962500</v>
      </c>
    </row>
    <row r="41" spans="1:9" x14ac:dyDescent="0.35">
      <c r="A41" s="43">
        <v>45279</v>
      </c>
      <c r="B41" s="21">
        <v>829</v>
      </c>
      <c r="C41" s="22" t="s">
        <v>11</v>
      </c>
      <c r="D41" s="21">
        <v>50</v>
      </c>
      <c r="E41" s="21" t="s">
        <v>20</v>
      </c>
      <c r="F41" s="21" t="s">
        <v>13</v>
      </c>
      <c r="G41" s="65">
        <v>50000</v>
      </c>
      <c r="H41" s="61"/>
      <c r="I41" s="127">
        <v>2500000</v>
      </c>
    </row>
    <row r="42" spans="1:9" x14ac:dyDescent="0.35">
      <c r="A42" s="43">
        <v>45280</v>
      </c>
      <c r="B42" s="21">
        <v>836</v>
      </c>
      <c r="C42" s="22" t="s">
        <v>11</v>
      </c>
      <c r="D42" s="21">
        <v>10</v>
      </c>
      <c r="E42" s="21" t="s">
        <v>14</v>
      </c>
      <c r="F42" s="21" t="s">
        <v>13</v>
      </c>
      <c r="G42" s="65">
        <v>57500</v>
      </c>
      <c r="H42" s="61"/>
      <c r="I42" s="127">
        <v>575000</v>
      </c>
    </row>
    <row r="43" spans="1:9" x14ac:dyDescent="0.35">
      <c r="A43" s="43">
        <v>45282</v>
      </c>
      <c r="B43" s="21">
        <v>839</v>
      </c>
      <c r="C43" s="22" t="s">
        <v>11</v>
      </c>
      <c r="D43" s="122"/>
      <c r="E43" s="122"/>
      <c r="F43" s="122"/>
      <c r="G43" s="122"/>
      <c r="H43" s="122"/>
      <c r="I43" s="127">
        <v>541000</v>
      </c>
    </row>
    <row r="44" spans="1:9" x14ac:dyDescent="0.35">
      <c r="A44" s="43">
        <v>45288</v>
      </c>
      <c r="B44" s="21">
        <v>852</v>
      </c>
      <c r="C44" s="22" t="s">
        <v>11</v>
      </c>
      <c r="D44" s="122"/>
      <c r="E44" s="122"/>
      <c r="F44" s="122"/>
      <c r="G44" s="122"/>
      <c r="H44" s="122"/>
      <c r="I44" s="127">
        <v>6277000</v>
      </c>
    </row>
    <row r="45" spans="1:9" x14ac:dyDescent="0.35">
      <c r="A45" s="43">
        <v>45239</v>
      </c>
      <c r="B45" s="21">
        <v>686</v>
      </c>
      <c r="C45" s="22" t="s">
        <v>11</v>
      </c>
      <c r="D45" s="122"/>
      <c r="E45" s="122"/>
      <c r="F45" s="122"/>
      <c r="G45" s="122"/>
      <c r="H45" s="122"/>
      <c r="I45" s="127">
        <v>6397000</v>
      </c>
    </row>
    <row r="46" spans="1:9" x14ac:dyDescent="0.35">
      <c r="A46" s="43">
        <v>45287</v>
      </c>
      <c r="B46" s="21">
        <v>842</v>
      </c>
      <c r="C46" s="22" t="s">
        <v>11</v>
      </c>
      <c r="D46" s="122"/>
      <c r="E46" s="122"/>
      <c r="F46" s="122"/>
      <c r="G46" s="122"/>
      <c r="H46" s="122"/>
      <c r="I46" s="127">
        <v>2790000</v>
      </c>
    </row>
    <row r="47" spans="1:9" x14ac:dyDescent="0.35">
      <c r="A47" s="43"/>
      <c r="B47" s="21"/>
      <c r="C47" s="22"/>
      <c r="D47" s="122"/>
      <c r="E47" s="122"/>
      <c r="F47" s="122"/>
      <c r="G47" s="122"/>
      <c r="H47" s="122"/>
      <c r="I47" s="138">
        <f>SUM(I19:I46)</f>
        <v>142263326.81999999</v>
      </c>
    </row>
    <row r="48" spans="1:9" x14ac:dyDescent="0.35">
      <c r="A48" s="43">
        <v>45217</v>
      </c>
      <c r="B48" s="21">
        <v>626</v>
      </c>
      <c r="C48" s="47" t="s">
        <v>639</v>
      </c>
      <c r="D48" s="21">
        <v>54</v>
      </c>
      <c r="E48" s="21" t="s">
        <v>14</v>
      </c>
      <c r="F48" s="21" t="s">
        <v>200</v>
      </c>
      <c r="G48" s="81">
        <v>468000</v>
      </c>
      <c r="H48" s="128"/>
      <c r="I48" s="127">
        <v>468000</v>
      </c>
    </row>
    <row r="49" spans="1:10" x14ac:dyDescent="0.35">
      <c r="A49" s="22"/>
      <c r="B49" s="21"/>
      <c r="C49" s="22"/>
      <c r="D49" s="21"/>
      <c r="E49" s="21"/>
      <c r="F49" s="21"/>
      <c r="G49" s="61"/>
      <c r="H49" s="118"/>
      <c r="I49" s="127"/>
    </row>
    <row r="50" spans="1:10" x14ac:dyDescent="0.35">
      <c r="A50" s="43">
        <v>45210</v>
      </c>
      <c r="B50" s="21">
        <v>631</v>
      </c>
      <c r="C50" s="47" t="s">
        <v>515</v>
      </c>
      <c r="D50" s="21">
        <v>5</v>
      </c>
      <c r="E50" s="21" t="s">
        <v>21</v>
      </c>
      <c r="F50" s="21" t="s">
        <v>200</v>
      </c>
      <c r="G50" s="81">
        <v>39785</v>
      </c>
      <c r="H50" s="128"/>
      <c r="I50" s="127">
        <v>198925</v>
      </c>
    </row>
    <row r="51" spans="1:10" x14ac:dyDescent="0.35">
      <c r="A51" s="43">
        <v>45210</v>
      </c>
      <c r="B51" s="21">
        <v>631</v>
      </c>
      <c r="C51" s="47" t="s">
        <v>515</v>
      </c>
      <c r="D51" s="21">
        <v>1</v>
      </c>
      <c r="E51" s="21" t="s">
        <v>14</v>
      </c>
      <c r="F51" s="21" t="s">
        <v>200</v>
      </c>
      <c r="G51" s="81">
        <v>800</v>
      </c>
      <c r="H51" s="128"/>
      <c r="I51" s="127">
        <v>800</v>
      </c>
    </row>
    <row r="52" spans="1:10" x14ac:dyDescent="0.35">
      <c r="A52" s="44"/>
      <c r="B52" s="21"/>
      <c r="C52" s="47"/>
      <c r="D52" s="21"/>
      <c r="E52" s="21"/>
      <c r="F52" s="21"/>
      <c r="G52" s="81"/>
      <c r="H52" s="128"/>
      <c r="I52" s="138">
        <f>SUM(I50:I51)</f>
        <v>199725</v>
      </c>
    </row>
    <row r="53" spans="1:10" x14ac:dyDescent="0.35">
      <c r="A53" s="43">
        <v>45219</v>
      </c>
      <c r="B53" s="21">
        <v>639</v>
      </c>
      <c r="C53" s="22" t="s">
        <v>432</v>
      </c>
      <c r="D53" s="21">
        <v>21</v>
      </c>
      <c r="E53" s="21" t="s">
        <v>25</v>
      </c>
      <c r="F53" s="21" t="s">
        <v>40</v>
      </c>
      <c r="G53" s="65">
        <v>22000</v>
      </c>
      <c r="H53" s="118"/>
      <c r="I53" s="127">
        <v>462000</v>
      </c>
    </row>
    <row r="54" spans="1:10" x14ac:dyDescent="0.35">
      <c r="A54" s="43">
        <v>45251</v>
      </c>
      <c r="B54" s="21">
        <v>710</v>
      </c>
      <c r="C54" s="22" t="s">
        <v>432</v>
      </c>
      <c r="D54" s="21">
        <v>10</v>
      </c>
      <c r="E54" s="21" t="s">
        <v>25</v>
      </c>
      <c r="F54" s="21" t="s">
        <v>40</v>
      </c>
      <c r="G54" s="65">
        <v>35000</v>
      </c>
      <c r="H54" s="118"/>
      <c r="I54" s="127">
        <v>350000</v>
      </c>
    </row>
    <row r="55" spans="1:10" x14ac:dyDescent="0.35">
      <c r="A55" s="22"/>
      <c r="B55" s="21"/>
      <c r="C55" s="22"/>
      <c r="D55" s="21"/>
      <c r="E55" s="21"/>
      <c r="F55" s="21"/>
      <c r="G55" s="65"/>
      <c r="H55" s="129"/>
      <c r="I55" s="127"/>
    </row>
    <row r="56" spans="1:10" x14ac:dyDescent="0.35">
      <c r="A56" s="43">
        <v>45208</v>
      </c>
      <c r="B56" s="21">
        <v>665</v>
      </c>
      <c r="C56" s="22" t="s">
        <v>426</v>
      </c>
      <c r="D56" s="21">
        <v>6</v>
      </c>
      <c r="E56" s="21" t="s">
        <v>14</v>
      </c>
      <c r="F56" s="21" t="s">
        <v>219</v>
      </c>
      <c r="G56" s="61">
        <v>116000</v>
      </c>
      <c r="H56" s="118"/>
      <c r="I56" s="140">
        <v>696000</v>
      </c>
    </row>
    <row r="57" spans="1:10" x14ac:dyDescent="0.35">
      <c r="A57" s="43">
        <v>45259</v>
      </c>
      <c r="B57" s="21">
        <v>731</v>
      </c>
      <c r="C57" s="22" t="s">
        <v>426</v>
      </c>
      <c r="D57" s="21"/>
      <c r="E57" s="21"/>
      <c r="F57" s="21"/>
      <c r="G57" s="61"/>
      <c r="H57" s="118"/>
      <c r="I57" s="140">
        <v>111000</v>
      </c>
    </row>
    <row r="58" spans="1:10" x14ac:dyDescent="0.35">
      <c r="A58" s="43">
        <v>45238</v>
      </c>
      <c r="B58" s="21">
        <v>792</v>
      </c>
      <c r="C58" s="22" t="s">
        <v>426</v>
      </c>
      <c r="D58" s="21">
        <v>30</v>
      </c>
      <c r="E58" s="21" t="s">
        <v>210</v>
      </c>
      <c r="F58" s="21" t="s">
        <v>13</v>
      </c>
      <c r="G58" s="61">
        <v>75000</v>
      </c>
      <c r="H58" s="118"/>
      <c r="I58" s="140">
        <v>2250000</v>
      </c>
    </row>
    <row r="59" spans="1:10" x14ac:dyDescent="0.35">
      <c r="A59" s="43">
        <v>45261</v>
      </c>
      <c r="B59" s="21">
        <v>860</v>
      </c>
      <c r="C59" s="22" t="s">
        <v>426</v>
      </c>
      <c r="D59" s="21">
        <v>1</v>
      </c>
      <c r="E59" s="21" t="s">
        <v>14</v>
      </c>
      <c r="F59" s="21" t="s">
        <v>219</v>
      </c>
      <c r="G59" s="61">
        <v>711000</v>
      </c>
      <c r="H59" s="118"/>
      <c r="I59" s="140">
        <v>2920000</v>
      </c>
    </row>
    <row r="60" spans="1:10" x14ac:dyDescent="0.35">
      <c r="A60" s="43"/>
      <c r="B60" s="21"/>
      <c r="C60" s="22"/>
      <c r="D60" s="21"/>
      <c r="E60" s="21"/>
      <c r="F60" s="21"/>
      <c r="G60" s="65"/>
      <c r="H60" s="118"/>
      <c r="I60" s="138">
        <f>SUM(I56:I59)</f>
        <v>5977000</v>
      </c>
    </row>
    <row r="61" spans="1:10" x14ac:dyDescent="0.35">
      <c r="A61" s="43">
        <v>45221</v>
      </c>
      <c r="B61" s="21">
        <v>667</v>
      </c>
      <c r="C61" s="22" t="s">
        <v>640</v>
      </c>
      <c r="D61" s="21">
        <v>1</v>
      </c>
      <c r="E61" s="21" t="s">
        <v>221</v>
      </c>
      <c r="F61" s="21" t="s">
        <v>200</v>
      </c>
      <c r="G61" s="65">
        <v>0</v>
      </c>
      <c r="H61" s="118"/>
      <c r="I61" s="127">
        <v>13404000</v>
      </c>
      <c r="J61" s="142">
        <v>45352</v>
      </c>
    </row>
    <row r="62" spans="1:10" x14ac:dyDescent="0.35">
      <c r="A62" s="43">
        <v>45259</v>
      </c>
      <c r="B62" s="21">
        <v>756</v>
      </c>
      <c r="C62" s="22" t="s">
        <v>640</v>
      </c>
      <c r="D62" s="21">
        <v>1</v>
      </c>
      <c r="E62" s="21" t="s">
        <v>210</v>
      </c>
      <c r="F62" s="21" t="s">
        <v>200</v>
      </c>
      <c r="G62" s="65">
        <f>100000-(100000*25%)</f>
        <v>75000</v>
      </c>
      <c r="H62" s="118"/>
      <c r="I62" s="127">
        <v>75000</v>
      </c>
    </row>
    <row r="63" spans="1:10" x14ac:dyDescent="0.35">
      <c r="A63" s="43">
        <v>45261</v>
      </c>
      <c r="B63" s="21">
        <v>856</v>
      </c>
      <c r="C63" s="22" t="s">
        <v>640</v>
      </c>
      <c r="D63" s="21">
        <v>1</v>
      </c>
      <c r="E63" s="21" t="s">
        <v>210</v>
      </c>
      <c r="F63" s="21" t="s">
        <v>200</v>
      </c>
      <c r="G63" s="65">
        <f>4100000-(4100000*20%)</f>
        <v>3280000</v>
      </c>
      <c r="H63" s="118"/>
      <c r="I63" s="127">
        <v>3280000</v>
      </c>
      <c r="J63" s="143" t="s">
        <v>659</v>
      </c>
    </row>
    <row r="64" spans="1:10" x14ac:dyDescent="0.35">
      <c r="A64" s="43"/>
      <c r="B64" s="21"/>
      <c r="C64" s="22"/>
      <c r="D64" s="21"/>
      <c r="E64" s="21"/>
      <c r="F64" s="21"/>
      <c r="G64" s="65"/>
      <c r="H64" s="118"/>
      <c r="I64" s="138">
        <f>SUM(I61:I63)</f>
        <v>16759000</v>
      </c>
    </row>
    <row r="65" spans="1:11" x14ac:dyDescent="0.35">
      <c r="A65" s="43">
        <v>45259</v>
      </c>
      <c r="B65" s="21">
        <v>737</v>
      </c>
      <c r="C65" s="22" t="s">
        <v>413</v>
      </c>
      <c r="D65" s="21">
        <v>1</v>
      </c>
      <c r="E65" s="21" t="s">
        <v>210</v>
      </c>
      <c r="F65" s="21" t="s">
        <v>13</v>
      </c>
      <c r="G65" s="65">
        <f>1693000-(1693000*25%)</f>
        <v>1269750</v>
      </c>
      <c r="H65" s="118"/>
      <c r="I65" s="127">
        <v>1269750</v>
      </c>
    </row>
    <row r="66" spans="1:11" x14ac:dyDescent="0.35">
      <c r="A66" s="43">
        <v>45259</v>
      </c>
      <c r="B66" s="21">
        <v>737</v>
      </c>
      <c r="C66" s="22" t="s">
        <v>413</v>
      </c>
      <c r="D66" s="21">
        <v>1</v>
      </c>
      <c r="E66" s="21" t="s">
        <v>210</v>
      </c>
      <c r="F66" s="21" t="s">
        <v>13</v>
      </c>
      <c r="G66" s="65">
        <v>2100000</v>
      </c>
      <c r="H66" s="118"/>
      <c r="I66" s="127">
        <v>2100000</v>
      </c>
    </row>
    <row r="67" spans="1:11" x14ac:dyDescent="0.35">
      <c r="A67" s="122"/>
      <c r="B67" s="21"/>
      <c r="C67" s="22"/>
      <c r="D67" s="21"/>
      <c r="E67" s="21"/>
      <c r="F67" s="21"/>
      <c r="G67" s="65"/>
      <c r="H67" s="118"/>
      <c r="I67" s="138">
        <f>SUM(I65:I66)</f>
        <v>3369750</v>
      </c>
    </row>
    <row r="68" spans="1:11" x14ac:dyDescent="0.35">
      <c r="A68" s="43">
        <v>45259</v>
      </c>
      <c r="B68" s="21">
        <v>738</v>
      </c>
      <c r="C68" s="122" t="s">
        <v>641</v>
      </c>
      <c r="D68" s="21">
        <v>1</v>
      </c>
      <c r="E68" s="21" t="s">
        <v>210</v>
      </c>
      <c r="F68" s="21" t="s">
        <v>13</v>
      </c>
      <c r="G68" s="65">
        <f>1000000-(1000000*25%)</f>
        <v>750000</v>
      </c>
      <c r="H68" s="118"/>
      <c r="I68" s="127">
        <v>750000</v>
      </c>
    </row>
    <row r="69" spans="1:11" x14ac:dyDescent="0.35">
      <c r="A69" s="43">
        <v>45259</v>
      </c>
      <c r="B69" s="21">
        <v>740</v>
      </c>
      <c r="C69" s="122" t="s">
        <v>641</v>
      </c>
      <c r="D69" s="21">
        <v>2</v>
      </c>
      <c r="E69" s="21" t="s">
        <v>210</v>
      </c>
      <c r="F69" s="21" t="s">
        <v>13</v>
      </c>
      <c r="G69" s="65">
        <f>993000-(993000*25%)</f>
        <v>744750</v>
      </c>
      <c r="H69" s="118"/>
      <c r="I69" s="127">
        <v>1489500</v>
      </c>
    </row>
    <row r="70" spans="1:11" x14ac:dyDescent="0.35">
      <c r="A70" s="43">
        <v>45259</v>
      </c>
      <c r="B70" s="21">
        <v>748</v>
      </c>
      <c r="C70" s="122" t="s">
        <v>646</v>
      </c>
      <c r="D70" s="21">
        <v>1</v>
      </c>
      <c r="E70" s="21" t="s">
        <v>14</v>
      </c>
      <c r="F70" s="21" t="s">
        <v>13</v>
      </c>
      <c r="G70" s="65">
        <f>2940000-(2940000*25%)</f>
        <v>2205000</v>
      </c>
      <c r="H70" s="118"/>
      <c r="I70" s="127">
        <v>2205000</v>
      </c>
    </row>
    <row r="71" spans="1:11" x14ac:dyDescent="0.35">
      <c r="A71" s="43">
        <v>45260</v>
      </c>
      <c r="B71" s="21">
        <v>748</v>
      </c>
      <c r="C71" s="122" t="s">
        <v>646</v>
      </c>
      <c r="D71" s="21">
        <v>20</v>
      </c>
      <c r="E71" s="21" t="s">
        <v>14</v>
      </c>
      <c r="F71" s="21" t="s">
        <v>13</v>
      </c>
      <c r="G71" s="65">
        <f>150000-(150000*25%)</f>
        <v>112500</v>
      </c>
      <c r="H71" s="118"/>
      <c r="I71" s="153">
        <v>2205000</v>
      </c>
      <c r="J71" s="98">
        <v>1840000</v>
      </c>
      <c r="K71" s="98">
        <f>I71-J71</f>
        <v>365000</v>
      </c>
    </row>
    <row r="72" spans="1:11" x14ac:dyDescent="0.35">
      <c r="A72" s="43">
        <v>45261</v>
      </c>
      <c r="B72" s="21">
        <v>748</v>
      </c>
      <c r="C72" s="122" t="s">
        <v>646</v>
      </c>
      <c r="D72" s="21">
        <v>7</v>
      </c>
      <c r="E72" s="21" t="s">
        <v>14</v>
      </c>
      <c r="F72" s="21" t="s">
        <v>13</v>
      </c>
      <c r="G72" s="65">
        <f>109200-(109200*25%)</f>
        <v>81900</v>
      </c>
      <c r="H72" s="118"/>
      <c r="I72" s="127">
        <v>573300</v>
      </c>
      <c r="J72" s="97"/>
      <c r="K72" s="97"/>
    </row>
    <row r="73" spans="1:11" x14ac:dyDescent="0.35">
      <c r="A73" s="43">
        <v>45259</v>
      </c>
      <c r="B73" s="21">
        <v>756</v>
      </c>
      <c r="C73" s="122" t="s">
        <v>646</v>
      </c>
      <c r="D73" s="21">
        <v>1</v>
      </c>
      <c r="E73" s="21" t="s">
        <v>210</v>
      </c>
      <c r="F73" s="21" t="s">
        <v>13</v>
      </c>
      <c r="G73" s="65">
        <f>2500000-(2500000*25%)</f>
        <v>1875000</v>
      </c>
      <c r="H73" s="118"/>
      <c r="I73" s="153">
        <v>1875000</v>
      </c>
    </row>
    <row r="74" spans="1:11" x14ac:dyDescent="0.35">
      <c r="A74" s="43">
        <v>45259</v>
      </c>
      <c r="B74" s="21">
        <v>757</v>
      </c>
      <c r="C74" s="122" t="s">
        <v>646</v>
      </c>
      <c r="D74" s="21">
        <v>1</v>
      </c>
      <c r="E74" s="21" t="s">
        <v>210</v>
      </c>
      <c r="F74" s="21" t="s">
        <v>13</v>
      </c>
      <c r="G74" s="61">
        <f>5509500-(5509500*25%)</f>
        <v>4132125</v>
      </c>
      <c r="H74" s="118"/>
      <c r="I74" s="127">
        <v>4132125</v>
      </c>
    </row>
    <row r="75" spans="1:11" x14ac:dyDescent="0.35">
      <c r="A75" s="43">
        <v>45259</v>
      </c>
      <c r="B75" s="21">
        <v>757</v>
      </c>
      <c r="C75" s="122" t="s">
        <v>646</v>
      </c>
      <c r="D75" s="21">
        <v>1</v>
      </c>
      <c r="E75" s="21" t="s">
        <v>210</v>
      </c>
      <c r="F75" s="21" t="s">
        <v>13</v>
      </c>
      <c r="G75" s="65">
        <f>3000000-(3000000*25%)</f>
        <v>2250000</v>
      </c>
      <c r="H75" s="118"/>
      <c r="I75" s="127">
        <v>2250000</v>
      </c>
    </row>
    <row r="76" spans="1:11" x14ac:dyDescent="0.35">
      <c r="A76" s="43">
        <v>45259</v>
      </c>
      <c r="B76" s="21">
        <v>758</v>
      </c>
      <c r="C76" s="122" t="s">
        <v>646</v>
      </c>
      <c r="D76" s="21">
        <v>1</v>
      </c>
      <c r="E76" s="21" t="s">
        <v>210</v>
      </c>
      <c r="F76" s="21" t="s">
        <v>13</v>
      </c>
      <c r="G76" s="65">
        <f>1500000-(1500000*25%)</f>
        <v>1125000</v>
      </c>
      <c r="H76" s="118"/>
      <c r="I76" s="127">
        <v>1125000</v>
      </c>
    </row>
    <row r="77" spans="1:11" x14ac:dyDescent="0.35">
      <c r="A77" s="43">
        <v>45260</v>
      </c>
      <c r="B77" s="21">
        <v>762</v>
      </c>
      <c r="C77" s="122" t="s">
        <v>646</v>
      </c>
      <c r="D77" s="21">
        <v>1</v>
      </c>
      <c r="E77" s="21" t="s">
        <v>210</v>
      </c>
      <c r="F77" s="21" t="s">
        <v>13</v>
      </c>
      <c r="G77" s="65">
        <f>2800000-(2800000*25%)</f>
        <v>2100000</v>
      </c>
      <c r="H77" s="118"/>
      <c r="I77" s="127">
        <v>2100000</v>
      </c>
    </row>
    <row r="78" spans="1:11" x14ac:dyDescent="0.35">
      <c r="A78" s="43">
        <v>45249</v>
      </c>
      <c r="B78" s="21">
        <v>780</v>
      </c>
      <c r="C78" s="122" t="s">
        <v>646</v>
      </c>
      <c r="D78" s="21">
        <v>2</v>
      </c>
      <c r="E78" s="21" t="s">
        <v>210</v>
      </c>
      <c r="F78" s="21" t="s">
        <v>13</v>
      </c>
      <c r="G78" s="65">
        <v>775000</v>
      </c>
      <c r="H78" s="118"/>
      <c r="I78" s="127">
        <v>1550000</v>
      </c>
    </row>
    <row r="79" spans="1:11" x14ac:dyDescent="0.35">
      <c r="A79" s="43">
        <v>45243</v>
      </c>
      <c r="B79" s="21">
        <v>783</v>
      </c>
      <c r="C79" s="122" t="s">
        <v>646</v>
      </c>
      <c r="D79" s="21">
        <v>1</v>
      </c>
      <c r="E79" s="21" t="s">
        <v>14</v>
      </c>
      <c r="F79" s="21" t="s">
        <v>13</v>
      </c>
      <c r="G79" s="65">
        <v>1745850</v>
      </c>
      <c r="H79" s="118"/>
      <c r="I79" s="127">
        <v>1745850</v>
      </c>
    </row>
    <row r="80" spans="1:11" x14ac:dyDescent="0.35">
      <c r="A80" s="43">
        <v>45243</v>
      </c>
      <c r="B80" s="21">
        <v>783</v>
      </c>
      <c r="C80" s="122" t="s">
        <v>646</v>
      </c>
      <c r="D80" s="21">
        <v>2</v>
      </c>
      <c r="E80" s="21" t="s">
        <v>14</v>
      </c>
      <c r="F80" s="21" t="s">
        <v>13</v>
      </c>
      <c r="G80" s="65">
        <v>97500</v>
      </c>
      <c r="H80" s="118"/>
      <c r="I80" s="127">
        <v>195000</v>
      </c>
    </row>
    <row r="81" spans="1:9" x14ac:dyDescent="0.35">
      <c r="A81" s="43">
        <v>45243</v>
      </c>
      <c r="B81" s="21">
        <v>783</v>
      </c>
      <c r="C81" s="122" t="s">
        <v>646</v>
      </c>
      <c r="D81" s="21">
        <v>4</v>
      </c>
      <c r="E81" s="21" t="s">
        <v>14</v>
      </c>
      <c r="F81" s="21" t="s">
        <v>13</v>
      </c>
      <c r="G81" s="65">
        <v>37500</v>
      </c>
      <c r="H81" s="118"/>
      <c r="I81" s="127">
        <v>150000</v>
      </c>
    </row>
    <row r="82" spans="1:9" x14ac:dyDescent="0.35">
      <c r="A82" s="43">
        <v>45243</v>
      </c>
      <c r="B82" s="21">
        <v>783</v>
      </c>
      <c r="C82" s="122" t="s">
        <v>646</v>
      </c>
      <c r="D82" s="21">
        <v>1</v>
      </c>
      <c r="E82" s="21" t="s">
        <v>14</v>
      </c>
      <c r="F82" s="21" t="s">
        <v>13</v>
      </c>
      <c r="G82" s="65">
        <v>1875000</v>
      </c>
      <c r="H82" s="118"/>
      <c r="I82" s="127">
        <v>1875000</v>
      </c>
    </row>
    <row r="83" spans="1:9" x14ac:dyDescent="0.35">
      <c r="A83" s="43">
        <v>45243</v>
      </c>
      <c r="B83" s="21">
        <v>783</v>
      </c>
      <c r="C83" s="122" t="s">
        <v>646</v>
      </c>
      <c r="D83" s="21">
        <v>2</v>
      </c>
      <c r="E83" s="21" t="s">
        <v>14</v>
      </c>
      <c r="F83" s="21" t="s">
        <v>13</v>
      </c>
      <c r="G83" s="65">
        <v>1012500</v>
      </c>
      <c r="H83" s="118"/>
      <c r="I83" s="127">
        <v>2025000</v>
      </c>
    </row>
    <row r="84" spans="1:9" x14ac:dyDescent="0.35">
      <c r="A84" s="43">
        <v>45243</v>
      </c>
      <c r="B84" s="21">
        <v>783</v>
      </c>
      <c r="C84" s="122" t="s">
        <v>646</v>
      </c>
      <c r="D84" s="21">
        <v>15</v>
      </c>
      <c r="E84" s="21" t="s">
        <v>14</v>
      </c>
      <c r="F84" s="21" t="s">
        <v>13</v>
      </c>
      <c r="G84" s="65">
        <v>75000</v>
      </c>
      <c r="H84" s="118"/>
      <c r="I84" s="127">
        <v>1125000</v>
      </c>
    </row>
    <row r="85" spans="1:9" x14ac:dyDescent="0.35">
      <c r="A85" s="43">
        <v>45243</v>
      </c>
      <c r="B85" s="21">
        <v>783</v>
      </c>
      <c r="C85" s="122" t="s">
        <v>646</v>
      </c>
      <c r="D85" s="21">
        <v>1</v>
      </c>
      <c r="E85" s="21" t="s">
        <v>14</v>
      </c>
      <c r="F85" s="21" t="s">
        <v>13</v>
      </c>
      <c r="G85" s="65">
        <v>2114100</v>
      </c>
      <c r="H85" s="118"/>
      <c r="I85" s="127">
        <v>2114100</v>
      </c>
    </row>
    <row r="86" spans="1:9" x14ac:dyDescent="0.35">
      <c r="A86" s="43">
        <v>45243</v>
      </c>
      <c r="B86" s="21">
        <v>783</v>
      </c>
      <c r="C86" s="122" t="s">
        <v>646</v>
      </c>
      <c r="D86" s="21">
        <v>30</v>
      </c>
      <c r="E86" s="21" t="s">
        <v>14</v>
      </c>
      <c r="F86" s="21" t="s">
        <v>13</v>
      </c>
      <c r="G86" s="65">
        <v>40000</v>
      </c>
      <c r="H86" s="118"/>
      <c r="I86" s="127">
        <v>1200000</v>
      </c>
    </row>
    <row r="87" spans="1:9" x14ac:dyDescent="0.35">
      <c r="A87" s="43">
        <v>45261</v>
      </c>
      <c r="B87" s="21">
        <v>865</v>
      </c>
      <c r="C87" s="122" t="s">
        <v>646</v>
      </c>
      <c r="D87" s="21">
        <v>5</v>
      </c>
      <c r="E87" s="21" t="s">
        <v>14</v>
      </c>
      <c r="F87" s="21" t="s">
        <v>13</v>
      </c>
      <c r="G87" s="65">
        <v>150000</v>
      </c>
      <c r="H87" s="118"/>
      <c r="I87" s="127">
        <v>750000</v>
      </c>
    </row>
    <row r="88" spans="1:9" x14ac:dyDescent="0.35">
      <c r="A88" s="122"/>
      <c r="B88" s="21"/>
      <c r="C88" s="122"/>
      <c r="D88" s="21"/>
      <c r="E88" s="21"/>
      <c r="F88" s="21"/>
      <c r="G88" s="65"/>
      <c r="H88" s="118"/>
      <c r="I88" s="138">
        <f>SUM(I68:I87)</f>
        <v>31434875</v>
      </c>
    </row>
    <row r="89" spans="1:9" x14ac:dyDescent="0.35">
      <c r="A89" s="43">
        <v>45259</v>
      </c>
      <c r="B89" s="21">
        <v>739</v>
      </c>
      <c r="C89" s="22" t="s">
        <v>258</v>
      </c>
      <c r="D89" s="21">
        <v>1</v>
      </c>
      <c r="E89" s="21" t="s">
        <v>210</v>
      </c>
      <c r="F89" s="21" t="s">
        <v>13</v>
      </c>
      <c r="G89" s="61">
        <v>550000</v>
      </c>
      <c r="H89" s="118"/>
      <c r="I89" s="127">
        <v>1360000</v>
      </c>
    </row>
    <row r="90" spans="1:9" x14ac:dyDescent="0.35">
      <c r="A90" s="43">
        <v>45280</v>
      </c>
      <c r="B90" s="21">
        <v>834</v>
      </c>
      <c r="C90" s="22" t="s">
        <v>258</v>
      </c>
      <c r="D90" s="21">
        <v>50</v>
      </c>
      <c r="E90" s="21" t="s">
        <v>14</v>
      </c>
      <c r="F90" s="21" t="s">
        <v>13</v>
      </c>
      <c r="G90" s="65">
        <v>68000</v>
      </c>
      <c r="H90" s="118"/>
      <c r="I90" s="127">
        <v>3400000</v>
      </c>
    </row>
    <row r="91" spans="1:9" x14ac:dyDescent="0.35">
      <c r="A91" s="43"/>
      <c r="B91" s="21"/>
      <c r="C91" s="22"/>
      <c r="D91" s="21"/>
      <c r="E91" s="21"/>
      <c r="F91" s="21"/>
      <c r="G91" s="65"/>
      <c r="H91" s="118"/>
      <c r="I91" s="138">
        <f>SUM(I89:I90)</f>
        <v>4760000</v>
      </c>
    </row>
    <row r="92" spans="1:9" x14ac:dyDescent="0.35">
      <c r="A92" s="43">
        <v>45259</v>
      </c>
      <c r="B92" s="21">
        <v>742</v>
      </c>
      <c r="C92" s="122" t="s">
        <v>651</v>
      </c>
      <c r="D92" s="21">
        <v>1</v>
      </c>
      <c r="E92" s="21" t="s">
        <v>210</v>
      </c>
      <c r="F92" s="21" t="s">
        <v>13</v>
      </c>
      <c r="G92" s="65">
        <f>250000-(250000*25%)</f>
        <v>187500</v>
      </c>
      <c r="H92" s="118"/>
      <c r="I92" s="127">
        <v>187500</v>
      </c>
    </row>
    <row r="93" spans="1:9" x14ac:dyDescent="0.35">
      <c r="A93" s="43">
        <v>45259</v>
      </c>
      <c r="B93" s="21">
        <v>761</v>
      </c>
      <c r="C93" s="122" t="s">
        <v>651</v>
      </c>
      <c r="D93" s="21">
        <v>1</v>
      </c>
      <c r="E93" s="21" t="s">
        <v>210</v>
      </c>
      <c r="F93" s="21" t="s">
        <v>13</v>
      </c>
      <c r="G93" s="65">
        <f>350000-(350000*25%)</f>
        <v>262500</v>
      </c>
      <c r="H93" s="118"/>
      <c r="I93" s="127">
        <v>262500</v>
      </c>
    </row>
    <row r="94" spans="1:9" x14ac:dyDescent="0.35">
      <c r="A94" s="122"/>
      <c r="B94" s="130"/>
      <c r="C94" s="122"/>
      <c r="D94" s="130"/>
      <c r="E94" s="130"/>
      <c r="F94" s="130"/>
      <c r="G94" s="131"/>
      <c r="H94" s="132"/>
      <c r="I94" s="138">
        <f>SUM(I92:I93)</f>
        <v>450000</v>
      </c>
    </row>
    <row r="95" spans="1:9" x14ac:dyDescent="0.35">
      <c r="A95" s="43">
        <v>45134</v>
      </c>
      <c r="B95" s="130">
        <v>371</v>
      </c>
      <c r="C95" s="22" t="s">
        <v>643</v>
      </c>
      <c r="D95" s="130"/>
      <c r="E95" s="130"/>
      <c r="F95" s="130"/>
      <c r="G95" s="131"/>
      <c r="H95" s="132"/>
      <c r="I95" s="127">
        <v>3691800</v>
      </c>
    </row>
    <row r="96" spans="1:9" x14ac:dyDescent="0.35">
      <c r="A96" s="43">
        <v>45259</v>
      </c>
      <c r="B96" s="21">
        <v>743</v>
      </c>
      <c r="C96" s="22" t="s">
        <v>643</v>
      </c>
      <c r="D96" s="21">
        <v>1</v>
      </c>
      <c r="E96" s="21" t="s">
        <v>207</v>
      </c>
      <c r="F96" s="21" t="s">
        <v>13</v>
      </c>
      <c r="G96" s="65">
        <f>1785000-(1785000*25%)</f>
        <v>1338750</v>
      </c>
      <c r="H96" s="118"/>
      <c r="I96" s="127">
        <v>1338750</v>
      </c>
    </row>
    <row r="97" spans="1:10" x14ac:dyDescent="0.35">
      <c r="A97" s="43">
        <v>45259</v>
      </c>
      <c r="B97" s="21">
        <v>743</v>
      </c>
      <c r="C97" s="22" t="s">
        <v>643</v>
      </c>
      <c r="D97" s="21">
        <v>1</v>
      </c>
      <c r="E97" s="21" t="s">
        <v>207</v>
      </c>
      <c r="F97" s="21" t="s">
        <v>13</v>
      </c>
      <c r="G97" s="65">
        <f>1995000-(1995000*25%)</f>
        <v>1496250</v>
      </c>
      <c r="H97" s="118"/>
      <c r="I97" s="127">
        <v>1496250</v>
      </c>
      <c r="J97" s="97">
        <f>I96+I97</f>
        <v>2835000</v>
      </c>
    </row>
    <row r="98" spans="1:10" x14ac:dyDescent="0.35">
      <c r="A98" s="43">
        <v>45259</v>
      </c>
      <c r="B98" s="21">
        <v>747</v>
      </c>
      <c r="C98" s="22" t="s">
        <v>643</v>
      </c>
      <c r="D98" s="21">
        <v>1</v>
      </c>
      <c r="E98" s="21" t="s">
        <v>221</v>
      </c>
      <c r="F98" s="21" t="s">
        <v>13</v>
      </c>
      <c r="G98" s="65">
        <f>6500000-(6500000*25%)</f>
        <v>4875000</v>
      </c>
      <c r="H98" s="118"/>
      <c r="I98" s="153">
        <v>4875000</v>
      </c>
      <c r="J98" s="154">
        <v>1895000</v>
      </c>
    </row>
    <row r="99" spans="1:10" x14ac:dyDescent="0.35">
      <c r="A99" s="43">
        <v>45259</v>
      </c>
      <c r="B99" s="21">
        <v>750</v>
      </c>
      <c r="C99" s="22" t="s">
        <v>649</v>
      </c>
      <c r="D99" s="21">
        <v>1</v>
      </c>
      <c r="E99" s="21" t="s">
        <v>210</v>
      </c>
      <c r="F99" s="21" t="s">
        <v>13</v>
      </c>
      <c r="G99" s="65">
        <f>1000000-(1000000*25%)</f>
        <v>750000</v>
      </c>
      <c r="H99" s="118"/>
      <c r="I99" s="127">
        <v>750000</v>
      </c>
    </row>
    <row r="100" spans="1:10" x14ac:dyDescent="0.35">
      <c r="A100" s="43">
        <v>45259</v>
      </c>
      <c r="B100" s="21">
        <v>753</v>
      </c>
      <c r="C100" s="22" t="s">
        <v>649</v>
      </c>
      <c r="D100" s="21">
        <v>1</v>
      </c>
      <c r="E100" s="21" t="s">
        <v>207</v>
      </c>
      <c r="F100" s="21" t="s">
        <v>13</v>
      </c>
      <c r="G100" s="65">
        <f>10000000-(10000000*25%)</f>
        <v>7500000</v>
      </c>
      <c r="H100" s="118"/>
      <c r="I100" s="127">
        <v>7500000</v>
      </c>
    </row>
    <row r="101" spans="1:10" x14ac:dyDescent="0.35">
      <c r="A101" s="43">
        <v>45259</v>
      </c>
      <c r="B101" s="21">
        <v>756</v>
      </c>
      <c r="C101" s="22" t="s">
        <v>643</v>
      </c>
      <c r="D101" s="21">
        <v>1</v>
      </c>
      <c r="E101" s="21" t="s">
        <v>210</v>
      </c>
      <c r="F101" s="21" t="s">
        <v>13</v>
      </c>
      <c r="G101" s="65">
        <f>2250000-498962</f>
        <v>1751038</v>
      </c>
      <c r="H101" s="118"/>
      <c r="I101" s="127">
        <v>1751038</v>
      </c>
    </row>
    <row r="102" spans="1:10" x14ac:dyDescent="0.35">
      <c r="A102" s="43">
        <v>45259</v>
      </c>
      <c r="B102" s="21">
        <v>757</v>
      </c>
      <c r="C102" s="22" t="s">
        <v>643</v>
      </c>
      <c r="D102" s="21">
        <v>1</v>
      </c>
      <c r="E102" s="21" t="s">
        <v>221</v>
      </c>
      <c r="F102" s="21" t="s">
        <v>13</v>
      </c>
      <c r="G102" s="65">
        <f>2000000-(2000000*25%)</f>
        <v>1500000</v>
      </c>
      <c r="H102" s="118"/>
      <c r="I102" s="138">
        <v>1500000</v>
      </c>
    </row>
    <row r="103" spans="1:10" x14ac:dyDescent="0.35">
      <c r="A103" s="43">
        <v>45259</v>
      </c>
      <c r="B103" s="21">
        <v>758</v>
      </c>
      <c r="C103" s="122" t="s">
        <v>643</v>
      </c>
      <c r="D103" s="21">
        <v>1</v>
      </c>
      <c r="E103" s="21" t="s">
        <v>221</v>
      </c>
      <c r="F103" s="21" t="s">
        <v>13</v>
      </c>
      <c r="G103" s="65">
        <f>450000+175000</f>
        <v>625000</v>
      </c>
      <c r="H103" s="118"/>
      <c r="I103" s="127">
        <v>625000</v>
      </c>
    </row>
    <row r="104" spans="1:10" x14ac:dyDescent="0.35">
      <c r="A104" s="43">
        <v>45259</v>
      </c>
      <c r="B104" s="21">
        <v>759</v>
      </c>
      <c r="C104" s="122" t="s">
        <v>643</v>
      </c>
      <c r="D104" s="21">
        <v>1</v>
      </c>
      <c r="E104" s="21" t="s">
        <v>210</v>
      </c>
      <c r="F104" s="21" t="s">
        <v>13</v>
      </c>
      <c r="G104" s="65">
        <f>2730000-(2730000*25%)</f>
        <v>2047500</v>
      </c>
      <c r="H104" s="118"/>
      <c r="I104" s="127">
        <v>2047500</v>
      </c>
      <c r="J104" s="97"/>
    </row>
    <row r="105" spans="1:10" x14ac:dyDescent="0.35">
      <c r="A105" s="43">
        <v>45259</v>
      </c>
      <c r="B105" s="21">
        <v>759</v>
      </c>
      <c r="C105" s="122" t="s">
        <v>643</v>
      </c>
      <c r="D105" s="21">
        <v>1</v>
      </c>
      <c r="E105" s="21" t="s">
        <v>210</v>
      </c>
      <c r="F105" s="21" t="s">
        <v>13</v>
      </c>
      <c r="G105" s="65">
        <f>2000000-(2000000*25%)</f>
        <v>1500000</v>
      </c>
      <c r="H105" s="118"/>
      <c r="I105" s="153">
        <v>1500000</v>
      </c>
    </row>
    <row r="106" spans="1:10" x14ac:dyDescent="0.35">
      <c r="A106" s="43">
        <v>45259</v>
      </c>
      <c r="B106" s="21">
        <v>759</v>
      </c>
      <c r="C106" s="122" t="s">
        <v>643</v>
      </c>
      <c r="D106" s="21">
        <v>1</v>
      </c>
      <c r="E106" s="21" t="s">
        <v>210</v>
      </c>
      <c r="F106" s="21" t="s">
        <v>13</v>
      </c>
      <c r="G106" s="65">
        <f>2500000-(2500000*25%)</f>
        <v>1875000</v>
      </c>
      <c r="H106" s="118"/>
      <c r="I106" s="153">
        <v>1875000</v>
      </c>
    </row>
    <row r="107" spans="1:10" x14ac:dyDescent="0.35">
      <c r="A107" s="43">
        <v>45259</v>
      </c>
      <c r="B107" s="21">
        <v>759</v>
      </c>
      <c r="C107" s="122" t="s">
        <v>643</v>
      </c>
      <c r="D107" s="21">
        <v>50</v>
      </c>
      <c r="E107" s="21" t="s">
        <v>14</v>
      </c>
      <c r="F107" s="21" t="s">
        <v>13</v>
      </c>
      <c r="G107" s="65">
        <f>30000-(30000*25%)</f>
        <v>22500</v>
      </c>
      <c r="H107" s="118"/>
      <c r="I107" s="153">
        <v>1125000</v>
      </c>
      <c r="J107" s="97"/>
    </row>
    <row r="108" spans="1:10" x14ac:dyDescent="0.35">
      <c r="A108" s="43">
        <v>45259</v>
      </c>
      <c r="B108" s="21">
        <v>760</v>
      </c>
      <c r="C108" s="122" t="s">
        <v>643</v>
      </c>
      <c r="D108" s="21">
        <v>1</v>
      </c>
      <c r="E108" s="21" t="s">
        <v>210</v>
      </c>
      <c r="F108" s="21" t="s">
        <v>13</v>
      </c>
      <c r="G108" s="65">
        <f>1600000-(1600000*25%)</f>
        <v>1200000</v>
      </c>
      <c r="H108" s="118"/>
      <c r="I108" s="153">
        <v>1200000</v>
      </c>
      <c r="J108" s="97"/>
    </row>
    <row r="109" spans="1:10" x14ac:dyDescent="0.35">
      <c r="A109" s="43">
        <v>45261</v>
      </c>
      <c r="B109" s="21">
        <v>859</v>
      </c>
      <c r="C109" s="22" t="s">
        <v>643</v>
      </c>
      <c r="D109" s="21">
        <v>1</v>
      </c>
      <c r="E109" s="21" t="s">
        <v>207</v>
      </c>
      <c r="F109" s="21" t="s">
        <v>13</v>
      </c>
      <c r="G109" s="65">
        <f>800000-(800000*20%)</f>
        <v>640000</v>
      </c>
      <c r="H109" s="118"/>
      <c r="I109" s="127">
        <v>640000</v>
      </c>
      <c r="J109" s="97"/>
    </row>
    <row r="110" spans="1:10" x14ac:dyDescent="0.35">
      <c r="A110" s="8"/>
      <c r="B110" s="8"/>
      <c r="C110" s="8"/>
      <c r="D110" s="8"/>
      <c r="E110" s="8"/>
      <c r="F110" s="8"/>
      <c r="G110" s="8"/>
      <c r="H110" s="8"/>
      <c r="I110" s="139">
        <f>SUM(I95:I109)</f>
        <v>31915338</v>
      </c>
    </row>
    <row r="111" spans="1:10" x14ac:dyDescent="0.35">
      <c r="A111" s="43">
        <v>45202</v>
      </c>
      <c r="B111" s="21">
        <v>590</v>
      </c>
      <c r="C111" s="22" t="s">
        <v>644</v>
      </c>
      <c r="D111" s="21">
        <v>1</v>
      </c>
      <c r="E111" s="21" t="s">
        <v>207</v>
      </c>
      <c r="F111" s="21" t="s">
        <v>200</v>
      </c>
      <c r="G111" s="65">
        <f>1000000-(1000000*25%)</f>
        <v>750000</v>
      </c>
      <c r="H111" s="118"/>
      <c r="I111" s="127">
        <v>750000</v>
      </c>
    </row>
    <row r="112" spans="1:10" x14ac:dyDescent="0.35">
      <c r="A112" s="43">
        <v>45210</v>
      </c>
      <c r="B112" s="21">
        <v>631</v>
      </c>
      <c r="C112" s="47" t="s">
        <v>644</v>
      </c>
      <c r="D112" s="21">
        <v>5</v>
      </c>
      <c r="E112" s="21" t="s">
        <v>14</v>
      </c>
      <c r="F112" s="21" t="s">
        <v>200</v>
      </c>
      <c r="G112" s="81">
        <v>80000</v>
      </c>
      <c r="H112" s="128"/>
      <c r="I112" s="127">
        <v>400000</v>
      </c>
    </row>
    <row r="113" spans="1:11" x14ac:dyDescent="0.35">
      <c r="A113" s="43">
        <v>45259</v>
      </c>
      <c r="B113" s="21">
        <v>744</v>
      </c>
      <c r="C113" s="122" t="s">
        <v>644</v>
      </c>
      <c r="D113" s="21">
        <v>7</v>
      </c>
      <c r="E113" s="21" t="s">
        <v>207</v>
      </c>
      <c r="F113" s="21" t="s">
        <v>200</v>
      </c>
      <c r="G113" s="65">
        <v>335000</v>
      </c>
      <c r="H113" s="118"/>
      <c r="I113" s="127">
        <v>2345000</v>
      </c>
    </row>
    <row r="114" spans="1:11" x14ac:dyDescent="0.35">
      <c r="A114" s="43">
        <v>45260</v>
      </c>
      <c r="B114" s="21">
        <v>767</v>
      </c>
      <c r="C114" s="122" t="s">
        <v>644</v>
      </c>
      <c r="D114" s="21">
        <v>1</v>
      </c>
      <c r="E114" s="21" t="s">
        <v>210</v>
      </c>
      <c r="F114" s="21" t="s">
        <v>200</v>
      </c>
      <c r="G114" s="65">
        <v>2300000</v>
      </c>
      <c r="H114" s="118"/>
      <c r="I114" s="127">
        <v>2300000</v>
      </c>
    </row>
    <row r="115" spans="1:11" x14ac:dyDescent="0.35">
      <c r="A115" s="43">
        <v>45273</v>
      </c>
      <c r="B115" s="21">
        <v>820</v>
      </c>
      <c r="C115" s="122" t="s">
        <v>644</v>
      </c>
      <c r="D115" s="21">
        <v>8</v>
      </c>
      <c r="E115" s="21" t="s">
        <v>14</v>
      </c>
      <c r="F115" s="21" t="s">
        <v>200</v>
      </c>
      <c r="G115" s="61">
        <v>2275000</v>
      </c>
      <c r="H115" s="118"/>
      <c r="I115" s="127">
        <v>18200000</v>
      </c>
      <c r="J115" s="142">
        <v>45352</v>
      </c>
    </row>
    <row r="116" spans="1:11" x14ac:dyDescent="0.35">
      <c r="A116" s="43">
        <v>45273</v>
      </c>
      <c r="B116" s="21">
        <v>820</v>
      </c>
      <c r="C116" s="122" t="s">
        <v>644</v>
      </c>
      <c r="D116" s="21">
        <v>5</v>
      </c>
      <c r="E116" s="21" t="s">
        <v>14</v>
      </c>
      <c r="F116" s="21" t="s">
        <v>200</v>
      </c>
      <c r="G116" s="61">
        <v>2275000</v>
      </c>
      <c r="H116" s="118"/>
      <c r="I116" s="127">
        <v>11375000</v>
      </c>
      <c r="J116" s="142">
        <v>45352</v>
      </c>
    </row>
    <row r="117" spans="1:11" x14ac:dyDescent="0.35">
      <c r="A117" s="43">
        <v>45278</v>
      </c>
      <c r="B117" s="21">
        <v>827</v>
      </c>
      <c r="C117" s="122" t="s">
        <v>644</v>
      </c>
      <c r="D117" s="21">
        <v>84</v>
      </c>
      <c r="E117" s="21" t="s">
        <v>14</v>
      </c>
      <c r="F117" s="21" t="s">
        <v>200</v>
      </c>
      <c r="G117" s="61">
        <v>115000</v>
      </c>
      <c r="H117" s="118"/>
      <c r="I117" s="127">
        <v>9660000</v>
      </c>
      <c r="J117" s="142">
        <v>45352</v>
      </c>
    </row>
    <row r="118" spans="1:11" x14ac:dyDescent="0.35">
      <c r="A118" s="43">
        <v>45278</v>
      </c>
      <c r="B118" s="21">
        <v>827</v>
      </c>
      <c r="C118" s="122" t="s">
        <v>644</v>
      </c>
      <c r="D118" s="21">
        <v>9</v>
      </c>
      <c r="E118" s="21" t="s">
        <v>14</v>
      </c>
      <c r="F118" s="21" t="s">
        <v>200</v>
      </c>
      <c r="G118" s="61">
        <v>430000</v>
      </c>
      <c r="H118" s="118"/>
      <c r="I118" s="127">
        <v>3870000</v>
      </c>
      <c r="J118" s="142">
        <v>45352</v>
      </c>
      <c r="K118" s="97">
        <f>I117+I118</f>
        <v>13530000</v>
      </c>
    </row>
    <row r="119" spans="1:11" x14ac:dyDescent="0.35">
      <c r="A119" s="43">
        <v>45261</v>
      </c>
      <c r="B119" s="21">
        <v>857</v>
      </c>
      <c r="C119" s="122" t="s">
        <v>644</v>
      </c>
      <c r="D119" s="21">
        <v>30</v>
      </c>
      <c r="E119" s="21" t="s">
        <v>210</v>
      </c>
      <c r="F119" s="21" t="s">
        <v>200</v>
      </c>
      <c r="G119" s="65">
        <v>330000</v>
      </c>
      <c r="H119" s="118"/>
      <c r="I119" s="127">
        <v>9900000</v>
      </c>
    </row>
    <row r="120" spans="1:11" x14ac:dyDescent="0.35">
      <c r="A120" s="43">
        <v>45261</v>
      </c>
      <c r="B120" s="21">
        <v>867</v>
      </c>
      <c r="C120" s="122" t="s">
        <v>644</v>
      </c>
      <c r="D120" s="21">
        <v>3</v>
      </c>
      <c r="E120" s="21" t="s">
        <v>14</v>
      </c>
      <c r="F120" s="21" t="s">
        <v>200</v>
      </c>
      <c r="G120" s="65">
        <v>2275000</v>
      </c>
      <c r="H120" s="133"/>
      <c r="I120" s="127">
        <v>6825000</v>
      </c>
    </row>
    <row r="121" spans="1:11" x14ac:dyDescent="0.35">
      <c r="A121" s="43"/>
      <c r="B121" s="21"/>
      <c r="C121" s="47"/>
      <c r="D121" s="21"/>
      <c r="E121" s="21"/>
      <c r="F121" s="21"/>
      <c r="G121" s="81"/>
      <c r="H121" s="128"/>
      <c r="I121" s="138">
        <f>SUM(I111:I120)</f>
        <v>65625000</v>
      </c>
      <c r="J121">
        <f>145246250</f>
        <v>145246250</v>
      </c>
      <c r="K121" s="97">
        <f>J121-I121</f>
        <v>79621250</v>
      </c>
    </row>
    <row r="122" spans="1:11" x14ac:dyDescent="0.35">
      <c r="A122" s="43">
        <v>45259</v>
      </c>
      <c r="B122" s="21">
        <v>746</v>
      </c>
      <c r="C122" s="122" t="s">
        <v>645</v>
      </c>
      <c r="D122" s="21">
        <v>30</v>
      </c>
      <c r="E122" s="21" t="s">
        <v>14</v>
      </c>
      <c r="F122" s="21" t="s">
        <v>200</v>
      </c>
      <c r="G122" s="65">
        <f>146000-(146000*25%)</f>
        <v>109500</v>
      </c>
      <c r="H122" s="118"/>
      <c r="I122" s="127">
        <v>3285000</v>
      </c>
      <c r="J122" s="154">
        <v>3025800</v>
      </c>
      <c r="K122" s="97">
        <f>90815000-I121</f>
        <v>25190000</v>
      </c>
    </row>
    <row r="123" spans="1:11" x14ac:dyDescent="0.35">
      <c r="A123" s="43">
        <v>45259</v>
      </c>
      <c r="B123" s="21">
        <v>746</v>
      </c>
      <c r="C123" s="122" t="s">
        <v>645</v>
      </c>
      <c r="D123" s="21">
        <v>1</v>
      </c>
      <c r="E123" s="21" t="s">
        <v>210</v>
      </c>
      <c r="F123" s="21" t="s">
        <v>200</v>
      </c>
      <c r="G123" s="65">
        <f>7550000-(7550000*25%)</f>
        <v>5662500</v>
      </c>
      <c r="H123" s="118"/>
      <c r="I123" s="127">
        <v>5662500</v>
      </c>
    </row>
    <row r="124" spans="1:11" x14ac:dyDescent="0.35">
      <c r="A124" s="43">
        <v>45259</v>
      </c>
      <c r="B124" s="21">
        <v>761</v>
      </c>
      <c r="C124" s="122" t="s">
        <v>642</v>
      </c>
      <c r="D124" s="21">
        <v>12</v>
      </c>
      <c r="E124" s="21" t="s">
        <v>210</v>
      </c>
      <c r="F124" s="21" t="s">
        <v>13</v>
      </c>
      <c r="G124" s="65">
        <f>125000-(125000*25%)</f>
        <v>93750</v>
      </c>
      <c r="H124" s="118"/>
      <c r="I124" s="127">
        <v>1125000</v>
      </c>
    </row>
    <row r="125" spans="1:11" x14ac:dyDescent="0.35">
      <c r="A125" s="43">
        <v>45259</v>
      </c>
      <c r="B125" s="21">
        <v>761</v>
      </c>
      <c r="C125" s="122" t="s">
        <v>642</v>
      </c>
      <c r="D125" s="21">
        <v>48</v>
      </c>
      <c r="E125" s="21" t="s">
        <v>14</v>
      </c>
      <c r="F125" s="21" t="s">
        <v>13</v>
      </c>
      <c r="G125" s="65">
        <f>6667-(6667*25%)</f>
        <v>5000.25</v>
      </c>
      <c r="H125" s="118"/>
      <c r="I125" s="127">
        <v>240012</v>
      </c>
    </row>
    <row r="126" spans="1:11" x14ac:dyDescent="0.35">
      <c r="A126" s="43">
        <v>45243</v>
      </c>
      <c r="B126" s="21">
        <v>782</v>
      </c>
      <c r="C126" s="22" t="s">
        <v>645</v>
      </c>
      <c r="D126" s="21">
        <v>2</v>
      </c>
      <c r="E126" s="21" t="s">
        <v>14</v>
      </c>
      <c r="F126" s="21" t="s">
        <v>200</v>
      </c>
      <c r="G126" s="65">
        <v>75000</v>
      </c>
      <c r="H126" s="118"/>
      <c r="I126" s="127">
        <v>546730</v>
      </c>
    </row>
    <row r="127" spans="1:11" x14ac:dyDescent="0.35">
      <c r="A127" s="43">
        <v>45245</v>
      </c>
      <c r="B127" s="21">
        <v>786</v>
      </c>
      <c r="C127" s="22" t="s">
        <v>645</v>
      </c>
      <c r="D127" s="21">
        <v>1</v>
      </c>
      <c r="E127" s="21" t="s">
        <v>221</v>
      </c>
      <c r="F127" s="21" t="s">
        <v>13</v>
      </c>
      <c r="G127" s="65">
        <v>3075000</v>
      </c>
      <c r="H127" s="118"/>
      <c r="I127" s="127">
        <v>3075000</v>
      </c>
    </row>
    <row r="128" spans="1:11" x14ac:dyDescent="0.35">
      <c r="A128" s="43">
        <v>45238</v>
      </c>
      <c r="B128" s="21">
        <v>791</v>
      </c>
      <c r="C128" s="22" t="s">
        <v>645</v>
      </c>
      <c r="D128" s="21">
        <v>1</v>
      </c>
      <c r="E128" s="21" t="s">
        <v>210</v>
      </c>
      <c r="F128" s="21" t="s">
        <v>13</v>
      </c>
      <c r="G128" s="65">
        <f>435000</f>
        <v>435000</v>
      </c>
      <c r="H128" s="118"/>
      <c r="I128" s="127">
        <v>435000</v>
      </c>
      <c r="J128" s="143" t="s">
        <v>659</v>
      </c>
    </row>
    <row r="129" spans="1:10" x14ac:dyDescent="0.35">
      <c r="A129" s="43">
        <v>45238</v>
      </c>
      <c r="B129" s="21">
        <v>791</v>
      </c>
      <c r="C129" s="22" t="s">
        <v>645</v>
      </c>
      <c r="D129" s="21">
        <v>2</v>
      </c>
      <c r="E129" s="21" t="s">
        <v>240</v>
      </c>
      <c r="F129" s="21" t="s">
        <v>13</v>
      </c>
      <c r="G129" s="65"/>
      <c r="H129" s="118"/>
      <c r="I129" s="127">
        <v>10000</v>
      </c>
      <c r="J129" s="143" t="s">
        <v>659</v>
      </c>
    </row>
    <row r="130" spans="1:10" x14ac:dyDescent="0.35">
      <c r="A130" s="43">
        <v>45238</v>
      </c>
      <c r="B130" s="21">
        <v>791</v>
      </c>
      <c r="C130" s="22" t="s">
        <v>645</v>
      </c>
      <c r="D130" s="21">
        <v>4</v>
      </c>
      <c r="E130" s="21" t="s">
        <v>210</v>
      </c>
      <c r="F130" s="21" t="s">
        <v>13</v>
      </c>
      <c r="G130" s="65">
        <v>18750</v>
      </c>
      <c r="H130" s="118"/>
      <c r="I130" s="127">
        <v>75000</v>
      </c>
      <c r="J130" s="144" t="s">
        <v>659</v>
      </c>
    </row>
    <row r="131" spans="1:10" x14ac:dyDescent="0.35">
      <c r="A131" s="43">
        <v>45238</v>
      </c>
      <c r="B131" s="21">
        <v>791</v>
      </c>
      <c r="C131" s="22" t="s">
        <v>645</v>
      </c>
      <c r="D131" s="21"/>
      <c r="E131" s="21"/>
      <c r="F131" s="21"/>
      <c r="G131" s="65"/>
      <c r="H131" s="118"/>
      <c r="I131" s="127">
        <v>520000</v>
      </c>
      <c r="J131" s="97"/>
    </row>
    <row r="132" spans="1:10" x14ac:dyDescent="0.35">
      <c r="A132" s="43">
        <v>45257</v>
      </c>
      <c r="B132" s="21">
        <v>793</v>
      </c>
      <c r="C132" s="22" t="s">
        <v>645</v>
      </c>
      <c r="D132" s="21">
        <v>1</v>
      </c>
      <c r="E132" s="21" t="s">
        <v>210</v>
      </c>
      <c r="F132" s="21" t="s">
        <v>13</v>
      </c>
      <c r="G132" s="65">
        <v>10400</v>
      </c>
      <c r="H132" s="118"/>
      <c r="I132" s="127">
        <v>10400</v>
      </c>
    </row>
    <row r="133" spans="1:10" x14ac:dyDescent="0.35">
      <c r="A133" s="43">
        <v>45257</v>
      </c>
      <c r="B133" s="21">
        <v>794</v>
      </c>
      <c r="C133" s="22" t="s">
        <v>645</v>
      </c>
      <c r="D133" s="21">
        <v>1</v>
      </c>
      <c r="E133" s="21" t="s">
        <v>210</v>
      </c>
      <c r="F133" s="21" t="s">
        <v>13</v>
      </c>
      <c r="G133" s="65">
        <f>3058558-(3058558*12%)</f>
        <v>2691531.04</v>
      </c>
      <c r="H133" s="133"/>
      <c r="I133" s="127">
        <v>2691531</v>
      </c>
    </row>
    <row r="134" spans="1:10" x14ac:dyDescent="0.35">
      <c r="A134" s="122"/>
      <c r="B134" s="21"/>
      <c r="C134" s="122"/>
      <c r="D134" s="21"/>
      <c r="E134" s="21"/>
      <c r="F134" s="21"/>
      <c r="G134" s="65"/>
      <c r="H134" s="118"/>
      <c r="I134" s="138">
        <f>SUM(I122:I133)</f>
        <v>17676173</v>
      </c>
    </row>
    <row r="135" spans="1:10" x14ac:dyDescent="0.35">
      <c r="A135" s="43">
        <v>45259</v>
      </c>
      <c r="B135" s="21">
        <v>749</v>
      </c>
      <c r="C135" s="22" t="s">
        <v>647</v>
      </c>
      <c r="D135" s="21">
        <v>24</v>
      </c>
      <c r="E135" s="21" t="s">
        <v>14</v>
      </c>
      <c r="F135" s="21" t="s">
        <v>13</v>
      </c>
      <c r="G135" s="65">
        <f>24500-(24500*25%)</f>
        <v>18375</v>
      </c>
      <c r="H135" s="118"/>
      <c r="I135" s="127">
        <v>441000</v>
      </c>
    </row>
    <row r="136" spans="1:10" x14ac:dyDescent="0.35">
      <c r="A136" s="43">
        <v>45259</v>
      </c>
      <c r="B136" s="21">
        <v>756</v>
      </c>
      <c r="C136" s="22" t="s">
        <v>647</v>
      </c>
      <c r="D136" s="21">
        <v>1</v>
      </c>
      <c r="E136" s="21" t="s">
        <v>20</v>
      </c>
      <c r="F136" s="21" t="s">
        <v>13</v>
      </c>
      <c r="G136" s="65">
        <v>50500</v>
      </c>
      <c r="H136" s="118"/>
      <c r="I136" s="127">
        <v>50500</v>
      </c>
    </row>
    <row r="137" spans="1:10" x14ac:dyDescent="0.35">
      <c r="A137" s="43"/>
      <c r="B137" s="21"/>
      <c r="C137" s="22"/>
      <c r="D137" s="21"/>
      <c r="E137" s="21"/>
      <c r="F137" s="21"/>
      <c r="G137" s="65"/>
      <c r="H137" s="118"/>
      <c r="I137" s="138">
        <f>SUM(I135:I136)</f>
        <v>491500</v>
      </c>
    </row>
    <row r="138" spans="1:10" x14ac:dyDescent="0.35">
      <c r="A138" s="43">
        <v>45259</v>
      </c>
      <c r="B138" s="21">
        <v>750</v>
      </c>
      <c r="C138" s="22" t="s">
        <v>648</v>
      </c>
      <c r="D138" s="21">
        <v>1</v>
      </c>
      <c r="E138" s="21" t="s">
        <v>210</v>
      </c>
      <c r="F138" s="21" t="s">
        <v>13</v>
      </c>
      <c r="G138" s="65">
        <f>2000000-(2000000*25%)</f>
        <v>1500000</v>
      </c>
      <c r="H138" s="118"/>
      <c r="I138" s="127">
        <v>1500000</v>
      </c>
    </row>
    <row r="139" spans="1:10" x14ac:dyDescent="0.35">
      <c r="A139" s="43">
        <v>45259</v>
      </c>
      <c r="B139" s="21">
        <v>755</v>
      </c>
      <c r="C139" s="22" t="s">
        <v>648</v>
      </c>
      <c r="D139" s="21">
        <v>1</v>
      </c>
      <c r="E139" s="21" t="s">
        <v>210</v>
      </c>
      <c r="F139" s="21" t="s">
        <v>13</v>
      </c>
      <c r="G139" s="65">
        <f>4500000-(4500000*25%)</f>
        <v>3375000</v>
      </c>
      <c r="H139" s="118"/>
      <c r="I139" s="127">
        <v>3375000</v>
      </c>
    </row>
    <row r="140" spans="1:10" x14ac:dyDescent="0.35">
      <c r="A140" s="43"/>
      <c r="B140" s="21"/>
      <c r="C140" s="122"/>
      <c r="D140" s="21"/>
      <c r="E140" s="21"/>
      <c r="F140" s="21"/>
      <c r="G140" s="65"/>
      <c r="H140" s="118"/>
      <c r="I140" s="138">
        <f>SUM(I138:I139)</f>
        <v>4875000</v>
      </c>
    </row>
    <row r="141" spans="1:10" x14ac:dyDescent="0.35">
      <c r="A141" s="43">
        <v>45259</v>
      </c>
      <c r="B141" s="21">
        <v>760</v>
      </c>
      <c r="C141" s="122" t="s">
        <v>650</v>
      </c>
      <c r="D141" s="21">
        <v>10</v>
      </c>
      <c r="E141" s="21" t="s">
        <v>14</v>
      </c>
      <c r="F141" s="21" t="s">
        <v>13</v>
      </c>
      <c r="G141" s="65">
        <f>20000-(20000*25%)</f>
        <v>15000</v>
      </c>
      <c r="H141" s="118"/>
      <c r="I141" s="127">
        <v>150000</v>
      </c>
    </row>
    <row r="142" spans="1:10" x14ac:dyDescent="0.35">
      <c r="A142" s="122"/>
      <c r="B142" s="21"/>
      <c r="C142" s="122"/>
      <c r="D142" s="21">
        <v>4</v>
      </c>
      <c r="E142" s="21" t="s">
        <v>14</v>
      </c>
      <c r="F142" s="21" t="s">
        <v>13</v>
      </c>
      <c r="G142" s="65"/>
      <c r="H142" s="118"/>
      <c r="I142" s="127"/>
    </row>
    <row r="143" spans="1:10" x14ac:dyDescent="0.35">
      <c r="A143" s="43">
        <v>45260</v>
      </c>
      <c r="B143" s="21">
        <v>768</v>
      </c>
      <c r="C143" s="22" t="s">
        <v>652</v>
      </c>
      <c r="D143" s="21">
        <v>5</v>
      </c>
      <c r="E143" s="21" t="s">
        <v>348</v>
      </c>
      <c r="F143" s="21" t="s">
        <v>200</v>
      </c>
      <c r="G143" s="65">
        <f>200000-(200000*30%)</f>
        <v>140000</v>
      </c>
      <c r="H143" s="118"/>
      <c r="I143" s="127">
        <v>700000</v>
      </c>
    </row>
    <row r="144" spans="1:10" x14ac:dyDescent="0.35">
      <c r="A144" s="43">
        <v>45260</v>
      </c>
      <c r="B144" s="21">
        <v>768</v>
      </c>
      <c r="C144" s="22" t="s">
        <v>652</v>
      </c>
      <c r="D144" s="21">
        <v>5</v>
      </c>
      <c r="E144" s="21" t="s">
        <v>348</v>
      </c>
      <c r="F144" s="21" t="s">
        <v>200</v>
      </c>
      <c r="G144" s="65">
        <f>27500-(27500*30%)</f>
        <v>19250</v>
      </c>
      <c r="H144" s="118"/>
      <c r="I144" s="127">
        <v>96250</v>
      </c>
    </row>
    <row r="145" spans="1:9" x14ac:dyDescent="0.35">
      <c r="A145" s="122"/>
      <c r="B145" s="21"/>
      <c r="C145" s="22"/>
      <c r="D145" s="21"/>
      <c r="E145" s="21"/>
      <c r="F145" s="21"/>
      <c r="G145" s="61"/>
      <c r="H145" s="118"/>
      <c r="I145" s="138">
        <f>SUM(I143:I144)</f>
        <v>796250</v>
      </c>
    </row>
    <row r="146" spans="1:9" x14ac:dyDescent="0.35">
      <c r="A146" s="43">
        <v>45260</v>
      </c>
      <c r="B146" s="21">
        <v>768</v>
      </c>
      <c r="C146" s="22" t="s">
        <v>653</v>
      </c>
      <c r="D146" s="21">
        <v>4</v>
      </c>
      <c r="E146" s="21" t="s">
        <v>14</v>
      </c>
      <c r="F146" s="21" t="s">
        <v>200</v>
      </c>
      <c r="G146" s="65">
        <f>65000-(65000*25%)</f>
        <v>48750</v>
      </c>
      <c r="H146" s="118"/>
      <c r="I146" s="127">
        <v>195000</v>
      </c>
    </row>
    <row r="147" spans="1:9" x14ac:dyDescent="0.35">
      <c r="A147" s="43">
        <v>45260</v>
      </c>
      <c r="B147" s="21">
        <v>768</v>
      </c>
      <c r="C147" s="22" t="s">
        <v>653</v>
      </c>
      <c r="D147" s="21">
        <v>4</v>
      </c>
      <c r="E147" s="21" t="s">
        <v>14</v>
      </c>
      <c r="F147" s="21" t="s">
        <v>200</v>
      </c>
      <c r="G147" s="65">
        <f>60000-(60000*25%)</f>
        <v>45000</v>
      </c>
      <c r="H147" s="118"/>
      <c r="I147" s="127">
        <v>180000</v>
      </c>
    </row>
    <row r="148" spans="1:9" x14ac:dyDescent="0.35">
      <c r="A148" s="22"/>
      <c r="B148" s="21"/>
      <c r="C148" s="22"/>
      <c r="D148" s="21"/>
      <c r="E148" s="21"/>
      <c r="F148" s="21"/>
      <c r="G148" s="65"/>
      <c r="H148" s="118"/>
      <c r="I148" s="138">
        <f>SUM(I146:I147)</f>
        <v>375000</v>
      </c>
    </row>
    <row r="149" spans="1:9" x14ac:dyDescent="0.35">
      <c r="A149" s="43">
        <v>45280</v>
      </c>
      <c r="B149" s="21">
        <v>835</v>
      </c>
      <c r="C149" s="22" t="s">
        <v>56</v>
      </c>
      <c r="D149" s="21">
        <v>100</v>
      </c>
      <c r="E149" s="21" t="s">
        <v>20</v>
      </c>
      <c r="F149" s="21" t="s">
        <v>13</v>
      </c>
      <c r="G149" s="65">
        <v>43200</v>
      </c>
      <c r="H149" s="118"/>
      <c r="I149" s="127">
        <v>10493000.16</v>
      </c>
    </row>
    <row r="150" spans="1:9" x14ac:dyDescent="0.35">
      <c r="A150" s="43">
        <v>45281</v>
      </c>
      <c r="B150" s="21">
        <v>838</v>
      </c>
      <c r="C150" s="22" t="s">
        <v>56</v>
      </c>
      <c r="D150" s="21">
        <v>48</v>
      </c>
      <c r="E150" s="21" t="s">
        <v>14</v>
      </c>
      <c r="F150" s="21" t="s">
        <v>13</v>
      </c>
      <c r="G150" s="65">
        <v>9229.17</v>
      </c>
      <c r="H150" s="118"/>
      <c r="I150" s="127">
        <v>5995000</v>
      </c>
    </row>
    <row r="151" spans="1:9" x14ac:dyDescent="0.35">
      <c r="A151" s="122"/>
      <c r="B151" s="21"/>
      <c r="C151" s="122"/>
      <c r="D151" s="21"/>
      <c r="E151" s="21"/>
      <c r="F151" s="21"/>
      <c r="G151" s="65"/>
      <c r="H151" s="129"/>
      <c r="I151" s="138">
        <f>SUM(I149:I150)</f>
        <v>16488000.16</v>
      </c>
    </row>
    <row r="152" spans="1:9" x14ac:dyDescent="0.35">
      <c r="A152" s="43">
        <v>45282</v>
      </c>
      <c r="B152" s="21">
        <v>840</v>
      </c>
      <c r="C152" s="22" t="s">
        <v>238</v>
      </c>
      <c r="D152" s="21">
        <v>3</v>
      </c>
      <c r="E152" s="21" t="s">
        <v>240</v>
      </c>
      <c r="F152" s="21" t="s">
        <v>200</v>
      </c>
      <c r="G152" s="65">
        <v>15000</v>
      </c>
      <c r="H152" s="118"/>
      <c r="I152" s="127">
        <v>801104.1</v>
      </c>
    </row>
    <row r="153" spans="1:9" x14ac:dyDescent="0.35">
      <c r="A153" s="22"/>
      <c r="B153" s="21"/>
      <c r="C153" s="22"/>
      <c r="D153" s="21">
        <v>3</v>
      </c>
      <c r="E153" s="21" t="s">
        <v>240</v>
      </c>
      <c r="F153" s="21" t="s">
        <v>200</v>
      </c>
      <c r="G153" s="65">
        <v>15000</v>
      </c>
      <c r="H153" s="118"/>
      <c r="I153" s="127"/>
    </row>
    <row r="154" spans="1:9" x14ac:dyDescent="0.35">
      <c r="A154" s="43">
        <v>45268</v>
      </c>
      <c r="B154" s="21">
        <v>853</v>
      </c>
      <c r="C154" s="22" t="s">
        <v>198</v>
      </c>
      <c r="D154" s="21">
        <v>2</v>
      </c>
      <c r="E154" s="21" t="s">
        <v>14</v>
      </c>
      <c r="F154" s="21" t="s">
        <v>200</v>
      </c>
      <c r="G154" s="65">
        <v>69000</v>
      </c>
      <c r="H154" s="118"/>
      <c r="I154" s="127">
        <v>282540</v>
      </c>
    </row>
    <row r="155" spans="1:9" x14ac:dyDescent="0.35">
      <c r="A155" s="43"/>
      <c r="B155" s="21"/>
      <c r="C155" s="22"/>
      <c r="D155" s="21">
        <v>1</v>
      </c>
      <c r="E155" s="21" t="s">
        <v>14</v>
      </c>
      <c r="F155" s="21" t="s">
        <v>200</v>
      </c>
      <c r="G155" s="65">
        <v>78000</v>
      </c>
      <c r="H155" s="118"/>
      <c r="I155" s="127"/>
    </row>
    <row r="156" spans="1:9" x14ac:dyDescent="0.35">
      <c r="A156" s="43">
        <v>45261</v>
      </c>
      <c r="B156" s="21">
        <v>854</v>
      </c>
      <c r="C156" s="22" t="s">
        <v>203</v>
      </c>
      <c r="D156" s="21">
        <v>20</v>
      </c>
      <c r="E156" s="21" t="s">
        <v>14</v>
      </c>
      <c r="F156" s="21" t="s">
        <v>13</v>
      </c>
      <c r="G156" s="65">
        <v>80000</v>
      </c>
      <c r="H156" s="118"/>
      <c r="I156" s="127">
        <v>2893600</v>
      </c>
    </row>
    <row r="157" spans="1:9" x14ac:dyDescent="0.35">
      <c r="A157" s="22"/>
      <c r="B157" s="21"/>
      <c r="C157" s="22"/>
      <c r="D157" s="21"/>
      <c r="E157" s="21"/>
      <c r="F157" s="21"/>
      <c r="G157" s="65"/>
      <c r="H157" s="129"/>
      <c r="I157" s="127"/>
    </row>
    <row r="158" spans="1:9" x14ac:dyDescent="0.35">
      <c r="A158" s="43">
        <v>45261</v>
      </c>
      <c r="B158" s="21">
        <v>861</v>
      </c>
      <c r="C158" s="22" t="s">
        <v>655</v>
      </c>
      <c r="D158" s="21">
        <v>30</v>
      </c>
      <c r="E158" s="21" t="s">
        <v>14</v>
      </c>
      <c r="F158" s="21" t="s">
        <v>200</v>
      </c>
      <c r="G158" s="65">
        <v>48000</v>
      </c>
      <c r="H158" s="118"/>
      <c r="I158" s="127">
        <v>1440000</v>
      </c>
    </row>
    <row r="159" spans="1:9" x14ac:dyDescent="0.35">
      <c r="A159" s="43">
        <v>45261</v>
      </c>
      <c r="B159" s="21">
        <v>862</v>
      </c>
      <c r="C159" s="22" t="s">
        <v>655</v>
      </c>
      <c r="D159" s="21"/>
      <c r="E159" s="21"/>
      <c r="F159" s="21"/>
      <c r="G159" s="65"/>
      <c r="H159" s="129"/>
      <c r="I159" s="127">
        <v>1440000</v>
      </c>
    </row>
    <row r="160" spans="1:9" x14ac:dyDescent="0.35">
      <c r="A160" s="43">
        <v>45261</v>
      </c>
      <c r="B160" s="21">
        <v>863</v>
      </c>
      <c r="C160" s="22" t="s">
        <v>655</v>
      </c>
      <c r="D160" s="130"/>
      <c r="E160" s="130"/>
      <c r="F160" s="130"/>
      <c r="G160" s="122"/>
      <c r="H160" s="134"/>
      <c r="I160" s="127">
        <v>1440000</v>
      </c>
    </row>
    <row r="161" spans="1:11" x14ac:dyDescent="0.35">
      <c r="A161" s="43"/>
      <c r="B161" s="21"/>
      <c r="C161" s="22"/>
      <c r="D161" s="21"/>
      <c r="E161" s="21"/>
      <c r="F161" s="21"/>
      <c r="G161" s="65"/>
      <c r="H161" s="129"/>
      <c r="I161" s="138">
        <f>SUM(I158:I160)</f>
        <v>4320000</v>
      </c>
    </row>
    <row r="162" spans="1:11" x14ac:dyDescent="0.35">
      <c r="A162" s="43">
        <v>45261</v>
      </c>
      <c r="B162" s="21">
        <v>864</v>
      </c>
      <c r="C162" s="22" t="s">
        <v>656</v>
      </c>
      <c r="D162" s="21">
        <v>9</v>
      </c>
      <c r="E162" s="21" t="s">
        <v>14</v>
      </c>
      <c r="F162" s="21" t="s">
        <v>200</v>
      </c>
      <c r="G162" s="65">
        <v>225000</v>
      </c>
      <c r="H162" s="118"/>
      <c r="I162" s="127">
        <v>2025000</v>
      </c>
    </row>
    <row r="163" spans="1:11" x14ac:dyDescent="0.35">
      <c r="A163" s="43"/>
      <c r="B163" s="21"/>
      <c r="C163" s="22"/>
      <c r="D163" s="21"/>
      <c r="E163" s="21"/>
      <c r="F163" s="21"/>
      <c r="G163" s="65"/>
      <c r="H163" s="129"/>
      <c r="I163" s="127"/>
    </row>
    <row r="164" spans="1:11" x14ac:dyDescent="0.35">
      <c r="A164" s="43">
        <v>45261</v>
      </c>
      <c r="B164" s="21">
        <v>866</v>
      </c>
      <c r="C164" s="122" t="s">
        <v>657</v>
      </c>
      <c r="D164" s="21">
        <v>50</v>
      </c>
      <c r="E164" s="21" t="s">
        <v>14</v>
      </c>
      <c r="F164" s="21" t="s">
        <v>200</v>
      </c>
      <c r="G164" s="65">
        <f>75000-(75000*25%)</f>
        <v>56250</v>
      </c>
      <c r="H164" s="133"/>
      <c r="I164" s="127">
        <v>2812500</v>
      </c>
    </row>
    <row r="165" spans="1:11" x14ac:dyDescent="0.35">
      <c r="A165" s="122"/>
      <c r="B165" s="130"/>
      <c r="C165" s="122"/>
      <c r="D165" s="130"/>
      <c r="E165" s="130"/>
      <c r="F165" s="130"/>
      <c r="G165" s="122"/>
      <c r="H165" s="134"/>
      <c r="I165" s="127"/>
    </row>
    <row r="166" spans="1:11" x14ac:dyDescent="0.35">
      <c r="A166" s="43">
        <v>45201</v>
      </c>
      <c r="B166" s="21">
        <v>642</v>
      </c>
      <c r="C166" s="22" t="s">
        <v>498</v>
      </c>
      <c r="D166" s="21">
        <v>17</v>
      </c>
      <c r="E166" s="21" t="s">
        <v>502</v>
      </c>
      <c r="F166" s="21" t="s">
        <v>24</v>
      </c>
      <c r="G166" s="65">
        <v>100000</v>
      </c>
      <c r="H166" s="118"/>
      <c r="I166" s="127">
        <v>1700000</v>
      </c>
    </row>
    <row r="167" spans="1:11" x14ac:dyDescent="0.35">
      <c r="A167" s="122"/>
      <c r="B167" s="130"/>
      <c r="C167" s="122"/>
      <c r="D167" s="130"/>
      <c r="E167" s="130"/>
      <c r="F167" s="130"/>
      <c r="G167" s="135"/>
      <c r="H167" s="136"/>
      <c r="I167" s="127"/>
    </row>
    <row r="168" spans="1:11" x14ac:dyDescent="0.35">
      <c r="A168" s="43">
        <v>45287</v>
      </c>
      <c r="B168" s="21">
        <v>858</v>
      </c>
      <c r="C168" s="22" t="s">
        <v>212</v>
      </c>
      <c r="D168" s="23">
        <v>550</v>
      </c>
      <c r="E168" s="21" t="s">
        <v>12</v>
      </c>
      <c r="F168" s="21" t="s">
        <v>24</v>
      </c>
      <c r="G168" s="102">
        <v>90000</v>
      </c>
      <c r="H168" s="117"/>
      <c r="I168" s="127">
        <v>73860000</v>
      </c>
      <c r="J168" s="97">
        <f>77180000-I168</f>
        <v>3320000</v>
      </c>
    </row>
    <row r="169" spans="1:11" x14ac:dyDescent="0.35">
      <c r="A169" s="11"/>
      <c r="B169" s="10"/>
      <c r="C169" s="11"/>
      <c r="D169" s="19">
        <v>450</v>
      </c>
      <c r="E169" s="10" t="s">
        <v>14</v>
      </c>
      <c r="F169" s="10" t="s">
        <v>24</v>
      </c>
      <c r="G169" s="58">
        <v>33000</v>
      </c>
      <c r="H169" s="119"/>
      <c r="I169" s="121"/>
    </row>
    <row r="170" spans="1:11" x14ac:dyDescent="0.35">
      <c r="H170" s="123">
        <v>476119595.07999998</v>
      </c>
      <c r="I170" s="123"/>
      <c r="J170" s="98">
        <v>435942800</v>
      </c>
      <c r="K170" s="98">
        <v>822032957</v>
      </c>
    </row>
    <row r="171" spans="1:11" x14ac:dyDescent="0.35">
      <c r="I171" s="98">
        <v>476119662</v>
      </c>
      <c r="J171" s="137">
        <f>J170-I170</f>
        <v>435942800</v>
      </c>
      <c r="K171" s="97">
        <f>K170-I170</f>
        <v>822032957</v>
      </c>
    </row>
    <row r="172" spans="1:11" x14ac:dyDescent="0.35">
      <c r="I172" s="98">
        <v>50788098</v>
      </c>
    </row>
    <row r="173" spans="1:11" x14ac:dyDescent="0.35">
      <c r="I173" s="98">
        <f>SUM(I171:I172)</f>
        <v>526907760</v>
      </c>
    </row>
  </sheetData>
  <pageMargins left="0.15" right="0.12" top="0.22" bottom="0.12" header="0.18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614"/>
  <sheetViews>
    <sheetView topLeftCell="A79" workbookViewId="0">
      <selection activeCell="J547" sqref="J547"/>
    </sheetView>
  </sheetViews>
  <sheetFormatPr defaultRowHeight="14.5" x14ac:dyDescent="0.35"/>
  <cols>
    <col min="1" max="1" width="10.81640625" customWidth="1"/>
    <col min="2" max="2" width="5.81640625" bestFit="1" customWidth="1"/>
    <col min="3" max="3" width="15" bestFit="1" customWidth="1"/>
    <col min="4" max="4" width="40.81640625" bestFit="1" customWidth="1"/>
    <col min="5" max="5" width="4.90625" bestFit="1" customWidth="1"/>
    <col min="6" max="6" width="8.7265625" bestFit="1" customWidth="1"/>
    <col min="7" max="7" width="12.26953125" bestFit="1" customWidth="1"/>
    <col min="8" max="8" width="11" bestFit="1" customWidth="1"/>
    <col min="9" max="9" width="13.90625" bestFit="1" customWidth="1"/>
    <col min="10" max="10" width="14.6328125" bestFit="1" customWidth="1"/>
    <col min="11" max="11" width="13.6328125" bestFit="1" customWidth="1"/>
  </cols>
  <sheetData>
    <row r="1" spans="1:10" ht="15.5" x14ac:dyDescent="0.35">
      <c r="A1" s="1" t="s">
        <v>195</v>
      </c>
    </row>
    <row r="2" spans="1:10" ht="15.5" x14ac:dyDescent="0.35">
      <c r="A2" s="1" t="s">
        <v>30</v>
      </c>
    </row>
    <row r="3" spans="1:10" ht="23" x14ac:dyDescent="0.35">
      <c r="A3" s="31" t="s">
        <v>1</v>
      </c>
      <c r="B3" s="32" t="s">
        <v>2</v>
      </c>
      <c r="C3" s="32" t="s">
        <v>3</v>
      </c>
      <c r="D3" s="32" t="s">
        <v>4</v>
      </c>
      <c r="E3" s="33" t="s">
        <v>5</v>
      </c>
      <c r="F3" s="33" t="s">
        <v>6</v>
      </c>
      <c r="G3" s="33" t="s">
        <v>7</v>
      </c>
      <c r="H3" s="34" t="s">
        <v>8</v>
      </c>
      <c r="I3" s="34" t="s">
        <v>9</v>
      </c>
    </row>
    <row r="4" spans="1:10" x14ac:dyDescent="0.35">
      <c r="A4" s="9">
        <v>45072</v>
      </c>
      <c r="B4" s="10">
        <v>233</v>
      </c>
      <c r="C4" s="11" t="s">
        <v>541</v>
      </c>
      <c r="D4" s="11" t="s">
        <v>542</v>
      </c>
      <c r="E4" s="10">
        <v>80</v>
      </c>
      <c r="F4" s="10" t="s">
        <v>21</v>
      </c>
      <c r="G4" s="82" t="s">
        <v>200</v>
      </c>
      <c r="H4" s="53">
        <f>724500/80</f>
        <v>9056.25</v>
      </c>
      <c r="I4" s="73">
        <f>H4*E4</f>
        <v>724500</v>
      </c>
      <c r="J4" t="s">
        <v>612</v>
      </c>
    </row>
    <row r="5" spans="1:10" x14ac:dyDescent="0.35">
      <c r="A5" s="9"/>
      <c r="B5" s="10"/>
      <c r="C5" s="11"/>
      <c r="D5" s="11"/>
      <c r="E5" s="10"/>
      <c r="F5" s="10"/>
      <c r="G5" s="10"/>
      <c r="H5" s="53"/>
      <c r="I5" s="53"/>
    </row>
    <row r="6" spans="1:10" x14ac:dyDescent="0.35">
      <c r="A6" s="9">
        <v>45098</v>
      </c>
      <c r="B6" s="10">
        <v>299</v>
      </c>
      <c r="C6" s="11" t="s">
        <v>254</v>
      </c>
      <c r="D6" s="11" t="s">
        <v>256</v>
      </c>
      <c r="E6" s="10">
        <v>126</v>
      </c>
      <c r="F6" s="10" t="s">
        <v>240</v>
      </c>
      <c r="G6" s="10" t="s">
        <v>200</v>
      </c>
      <c r="H6" s="53">
        <f>102797/126</f>
        <v>815.84920634920638</v>
      </c>
      <c r="I6" s="53">
        <f>H6*E6</f>
        <v>102797</v>
      </c>
    </row>
    <row r="7" spans="1:10" x14ac:dyDescent="0.35">
      <c r="A7" s="11"/>
      <c r="B7" s="10"/>
      <c r="C7" s="11"/>
      <c r="D7" s="11" t="s">
        <v>540</v>
      </c>
      <c r="E7" s="10">
        <v>48</v>
      </c>
      <c r="F7" s="10" t="s">
        <v>240</v>
      </c>
      <c r="G7" s="10" t="s">
        <v>200</v>
      </c>
      <c r="H7" s="53">
        <f>349943/48</f>
        <v>7290.479166666667</v>
      </c>
      <c r="I7" s="53">
        <f>H7*E7</f>
        <v>349943</v>
      </c>
    </row>
    <row r="8" spans="1:10" x14ac:dyDescent="0.35">
      <c r="A8" s="8"/>
      <c r="B8" s="14"/>
      <c r="C8" s="8"/>
      <c r="D8" s="8"/>
      <c r="E8" s="14"/>
      <c r="F8" s="14"/>
      <c r="G8" s="14"/>
      <c r="H8" s="8"/>
      <c r="I8" s="112">
        <f>SUM(I6:I7)</f>
        <v>452740</v>
      </c>
      <c r="J8" s="83" t="s">
        <v>612</v>
      </c>
    </row>
    <row r="9" spans="1:10" x14ac:dyDescent="0.35">
      <c r="A9" s="9"/>
      <c r="B9" s="10"/>
      <c r="C9" s="11"/>
      <c r="D9" s="11"/>
      <c r="E9" s="10"/>
      <c r="F9" s="10"/>
      <c r="G9" s="10"/>
      <c r="H9" s="53"/>
      <c r="I9" s="53"/>
    </row>
    <row r="10" spans="1:10" x14ac:dyDescent="0.35">
      <c r="A10" s="43">
        <v>45134</v>
      </c>
      <c r="B10" s="21">
        <v>371</v>
      </c>
      <c r="C10" s="22" t="s">
        <v>550</v>
      </c>
      <c r="D10" s="86" t="s">
        <v>551</v>
      </c>
      <c r="E10" s="21">
        <v>1</v>
      </c>
      <c r="F10" s="21" t="s">
        <v>10</v>
      </c>
      <c r="G10" s="21" t="s">
        <v>13</v>
      </c>
      <c r="H10" s="65">
        <v>1440000</v>
      </c>
      <c r="I10" s="81">
        <f t="shared" ref="I10:I69" si="0">H10*E10</f>
        <v>1440000</v>
      </c>
    </row>
    <row r="11" spans="1:10" x14ac:dyDescent="0.35">
      <c r="A11" s="22"/>
      <c r="B11" s="21"/>
      <c r="C11" s="22"/>
      <c r="D11" s="86" t="s">
        <v>552</v>
      </c>
      <c r="E11" s="21">
        <v>5</v>
      </c>
      <c r="F11" s="21" t="s">
        <v>210</v>
      </c>
      <c r="G11" s="21" t="s">
        <v>13</v>
      </c>
      <c r="H11" s="65">
        <v>216000</v>
      </c>
      <c r="I11" s="81">
        <f t="shared" si="0"/>
        <v>1080000</v>
      </c>
    </row>
    <row r="12" spans="1:10" x14ac:dyDescent="0.35">
      <c r="A12" s="22"/>
      <c r="B12" s="21"/>
      <c r="C12" s="22"/>
      <c r="D12" s="86" t="s">
        <v>553</v>
      </c>
      <c r="E12" s="21">
        <v>20</v>
      </c>
      <c r="F12" s="21" t="s">
        <v>210</v>
      </c>
      <c r="G12" s="21" t="s">
        <v>13</v>
      </c>
      <c r="H12" s="65">
        <v>108000</v>
      </c>
      <c r="I12" s="81">
        <f t="shared" si="0"/>
        <v>2160000</v>
      </c>
    </row>
    <row r="13" spans="1:10" x14ac:dyDescent="0.35">
      <c r="A13" s="22"/>
      <c r="B13" s="21"/>
      <c r="C13" s="22"/>
      <c r="D13" s="86" t="s">
        <v>554</v>
      </c>
      <c r="E13" s="21">
        <v>1</v>
      </c>
      <c r="F13" s="21" t="s">
        <v>207</v>
      </c>
      <c r="G13" s="21" t="s">
        <v>13</v>
      </c>
      <c r="H13" s="65">
        <v>144000</v>
      </c>
      <c r="I13" s="81">
        <f t="shared" si="0"/>
        <v>144000</v>
      </c>
    </row>
    <row r="14" spans="1:10" x14ac:dyDescent="0.35">
      <c r="A14" s="22"/>
      <c r="B14" s="21"/>
      <c r="C14" s="22"/>
      <c r="D14" s="86" t="s">
        <v>554</v>
      </c>
      <c r="E14" s="21">
        <v>1</v>
      </c>
      <c r="F14" s="21" t="s">
        <v>555</v>
      </c>
      <c r="G14" s="21" t="s">
        <v>13</v>
      </c>
      <c r="H14" s="65">
        <v>144000</v>
      </c>
      <c r="I14" s="81">
        <f t="shared" si="0"/>
        <v>144000</v>
      </c>
    </row>
    <row r="15" spans="1:10" x14ac:dyDescent="0.35">
      <c r="A15" s="22"/>
      <c r="B15" s="21"/>
      <c r="C15" s="47"/>
      <c r="D15" s="86" t="s">
        <v>554</v>
      </c>
      <c r="E15" s="21">
        <v>1</v>
      </c>
      <c r="F15" s="21" t="s">
        <v>555</v>
      </c>
      <c r="G15" s="21" t="s">
        <v>13</v>
      </c>
      <c r="H15" s="65">
        <v>144000</v>
      </c>
      <c r="I15" s="81">
        <f t="shared" si="0"/>
        <v>144000</v>
      </c>
    </row>
    <row r="16" spans="1:10" x14ac:dyDescent="0.35">
      <c r="A16" s="22"/>
      <c r="B16" s="21"/>
      <c r="C16" s="22"/>
      <c r="D16" s="86" t="s">
        <v>556</v>
      </c>
      <c r="E16" s="21">
        <v>3</v>
      </c>
      <c r="F16" s="21" t="s">
        <v>210</v>
      </c>
      <c r="G16" s="21" t="s">
        <v>13</v>
      </c>
      <c r="H16" s="65">
        <v>1440000</v>
      </c>
      <c r="I16" s="81">
        <f t="shared" si="0"/>
        <v>4320000</v>
      </c>
    </row>
    <row r="17" spans="1:9" x14ac:dyDescent="0.35">
      <c r="A17" s="22"/>
      <c r="B17" s="21"/>
      <c r="C17" s="22"/>
      <c r="D17" s="86" t="s">
        <v>557</v>
      </c>
      <c r="E17" s="21">
        <v>3</v>
      </c>
      <c r="F17" s="21" t="s">
        <v>210</v>
      </c>
      <c r="G17" s="21" t="s">
        <v>13</v>
      </c>
      <c r="H17" s="65">
        <v>1080000</v>
      </c>
      <c r="I17" s="81">
        <f t="shared" si="0"/>
        <v>3240000</v>
      </c>
    </row>
    <row r="18" spans="1:9" x14ac:dyDescent="0.35">
      <c r="A18" s="22"/>
      <c r="B18" s="21"/>
      <c r="C18" s="47"/>
      <c r="D18" s="86" t="s">
        <v>558</v>
      </c>
      <c r="E18" s="21">
        <v>1</v>
      </c>
      <c r="F18" s="21" t="s">
        <v>210</v>
      </c>
      <c r="G18" s="21" t="s">
        <v>13</v>
      </c>
      <c r="H18" s="65">
        <v>720000</v>
      </c>
      <c r="I18" s="81">
        <f t="shared" si="0"/>
        <v>720000</v>
      </c>
    </row>
    <row r="19" spans="1:9" x14ac:dyDescent="0.35">
      <c r="A19" s="22"/>
      <c r="B19" s="21"/>
      <c r="C19" s="22"/>
      <c r="D19" s="22" t="s">
        <v>559</v>
      </c>
      <c r="E19" s="21">
        <v>1</v>
      </c>
      <c r="F19" s="21" t="s">
        <v>560</v>
      </c>
      <c r="G19" s="21" t="s">
        <v>13</v>
      </c>
      <c r="H19" s="65">
        <v>3240000</v>
      </c>
      <c r="I19" s="81">
        <f t="shared" si="0"/>
        <v>3240000</v>
      </c>
    </row>
    <row r="20" spans="1:9" x14ac:dyDescent="0.35">
      <c r="A20" s="22"/>
      <c r="B20" s="21"/>
      <c r="C20" s="22"/>
      <c r="D20" s="22" t="s">
        <v>561</v>
      </c>
      <c r="E20" s="21">
        <v>1</v>
      </c>
      <c r="F20" s="21" t="s">
        <v>10</v>
      </c>
      <c r="G20" s="21" t="s">
        <v>13</v>
      </c>
      <c r="H20" s="65">
        <v>2160000</v>
      </c>
      <c r="I20" s="81">
        <f t="shared" si="0"/>
        <v>2160000</v>
      </c>
    </row>
    <row r="21" spans="1:9" x14ac:dyDescent="0.35">
      <c r="A21" s="22"/>
      <c r="B21" s="21"/>
      <c r="C21" s="47"/>
      <c r="D21" s="22" t="s">
        <v>562</v>
      </c>
      <c r="E21" s="21">
        <v>1</v>
      </c>
      <c r="F21" s="21" t="s">
        <v>10</v>
      </c>
      <c r="G21" s="21" t="s">
        <v>13</v>
      </c>
      <c r="H21" s="65">
        <v>2376000</v>
      </c>
      <c r="I21" s="81">
        <f t="shared" si="0"/>
        <v>2376000</v>
      </c>
    </row>
    <row r="22" spans="1:9" x14ac:dyDescent="0.35">
      <c r="A22" s="22"/>
      <c r="B22" s="21"/>
      <c r="C22" s="22"/>
      <c r="D22" s="22" t="s">
        <v>563</v>
      </c>
      <c r="E22" s="21">
        <v>1</v>
      </c>
      <c r="F22" s="21" t="s">
        <v>10</v>
      </c>
      <c r="G22" s="21" t="s">
        <v>13</v>
      </c>
      <c r="H22" s="65">
        <v>2160000</v>
      </c>
      <c r="I22" s="81">
        <f t="shared" si="0"/>
        <v>2160000</v>
      </c>
    </row>
    <row r="23" spans="1:9" x14ac:dyDescent="0.35">
      <c r="A23" s="22"/>
      <c r="B23" s="21"/>
      <c r="C23" s="22"/>
      <c r="D23" s="22" t="s">
        <v>564</v>
      </c>
      <c r="E23" s="21">
        <v>1</v>
      </c>
      <c r="F23" s="21" t="s">
        <v>10</v>
      </c>
      <c r="G23" s="21" t="s">
        <v>13</v>
      </c>
      <c r="H23" s="65">
        <v>2360520</v>
      </c>
      <c r="I23" s="81">
        <f t="shared" si="0"/>
        <v>2360520</v>
      </c>
    </row>
    <row r="24" spans="1:9" x14ac:dyDescent="0.35">
      <c r="A24" s="22"/>
      <c r="B24" s="21"/>
      <c r="C24" s="22"/>
      <c r="D24" s="22" t="s">
        <v>565</v>
      </c>
      <c r="E24" s="21">
        <v>1</v>
      </c>
      <c r="F24" s="21" t="s">
        <v>10</v>
      </c>
      <c r="G24" s="21" t="s">
        <v>13</v>
      </c>
      <c r="H24" s="65">
        <v>936000</v>
      </c>
      <c r="I24" s="81">
        <f t="shared" si="0"/>
        <v>936000</v>
      </c>
    </row>
    <row r="25" spans="1:9" x14ac:dyDescent="0.35">
      <c r="A25" s="22"/>
      <c r="B25" s="21"/>
      <c r="C25" s="22"/>
      <c r="D25" s="22" t="s">
        <v>566</v>
      </c>
      <c r="E25" s="21">
        <v>1</v>
      </c>
      <c r="F25" s="21" t="s">
        <v>10</v>
      </c>
      <c r="G25" s="21" t="s">
        <v>13</v>
      </c>
      <c r="H25" s="65">
        <v>2160000</v>
      </c>
      <c r="I25" s="81">
        <f t="shared" si="0"/>
        <v>2160000</v>
      </c>
    </row>
    <row r="26" spans="1:9" x14ac:dyDescent="0.35">
      <c r="A26" s="22"/>
      <c r="B26" s="21"/>
      <c r="C26" s="22"/>
      <c r="D26" s="22" t="s">
        <v>567</v>
      </c>
      <c r="E26" s="21">
        <v>1</v>
      </c>
      <c r="F26" s="21" t="s">
        <v>10</v>
      </c>
      <c r="G26" s="21" t="s">
        <v>13</v>
      </c>
      <c r="H26" s="65">
        <v>1440000</v>
      </c>
      <c r="I26" s="81">
        <f t="shared" si="0"/>
        <v>1440000</v>
      </c>
    </row>
    <row r="27" spans="1:9" x14ac:dyDescent="0.35">
      <c r="A27" s="22"/>
      <c r="B27" s="21"/>
      <c r="C27" s="22"/>
      <c r="D27" s="22" t="s">
        <v>568</v>
      </c>
      <c r="E27" s="21">
        <v>1</v>
      </c>
      <c r="F27" s="21" t="s">
        <v>10</v>
      </c>
      <c r="G27" s="21" t="s">
        <v>13</v>
      </c>
      <c r="H27" s="65">
        <v>1800000</v>
      </c>
      <c r="I27" s="81">
        <f t="shared" si="0"/>
        <v>1800000</v>
      </c>
    </row>
    <row r="28" spans="1:9" x14ac:dyDescent="0.35">
      <c r="A28" s="22"/>
      <c r="B28" s="21"/>
      <c r="C28" s="22"/>
      <c r="D28" s="22" t="s">
        <v>569</v>
      </c>
      <c r="E28" s="21">
        <v>1</v>
      </c>
      <c r="F28" s="21" t="s">
        <v>10</v>
      </c>
      <c r="G28" s="21" t="s">
        <v>13</v>
      </c>
      <c r="H28" s="65">
        <v>1734480</v>
      </c>
      <c r="I28" s="81">
        <f t="shared" si="0"/>
        <v>1734480</v>
      </c>
    </row>
    <row r="29" spans="1:9" x14ac:dyDescent="0.35">
      <c r="A29" s="22"/>
      <c r="B29" s="21"/>
      <c r="C29" s="22"/>
      <c r="D29" s="22" t="s">
        <v>570</v>
      </c>
      <c r="E29" s="21">
        <v>6</v>
      </c>
      <c r="F29" s="21" t="s">
        <v>571</v>
      </c>
      <c r="G29" s="21" t="s">
        <v>13</v>
      </c>
      <c r="H29" s="65">
        <v>190800</v>
      </c>
      <c r="I29" s="81">
        <f t="shared" si="0"/>
        <v>1144800</v>
      </c>
    </row>
    <row r="30" spans="1:9" x14ac:dyDescent="0.35">
      <c r="A30" s="22"/>
      <c r="B30" s="21"/>
      <c r="C30" s="22"/>
      <c r="D30" s="22" t="s">
        <v>572</v>
      </c>
      <c r="E30" s="21">
        <v>6</v>
      </c>
      <c r="F30" s="21" t="s">
        <v>573</v>
      </c>
      <c r="G30" s="21" t="s">
        <v>13</v>
      </c>
      <c r="H30" s="65">
        <v>522000</v>
      </c>
      <c r="I30" s="81">
        <f t="shared" si="0"/>
        <v>3132000</v>
      </c>
    </row>
    <row r="31" spans="1:9" x14ac:dyDescent="0.35">
      <c r="A31" s="22"/>
      <c r="B31" s="21"/>
      <c r="C31" s="22"/>
      <c r="D31" s="22" t="s">
        <v>574</v>
      </c>
      <c r="E31" s="21">
        <v>1</v>
      </c>
      <c r="F31" s="21" t="s">
        <v>560</v>
      </c>
      <c r="G31" s="21" t="s">
        <v>13</v>
      </c>
      <c r="H31" s="65">
        <v>1406520</v>
      </c>
      <c r="I31" s="81">
        <f t="shared" si="0"/>
        <v>1406520</v>
      </c>
    </row>
    <row r="32" spans="1:9" x14ac:dyDescent="0.35">
      <c r="A32" s="22"/>
      <c r="B32" s="21"/>
      <c r="C32" s="22"/>
      <c r="D32" s="22" t="s">
        <v>575</v>
      </c>
      <c r="E32" s="21">
        <v>1</v>
      </c>
      <c r="F32" s="21" t="s">
        <v>10</v>
      </c>
      <c r="G32" s="21" t="s">
        <v>13</v>
      </c>
      <c r="H32" s="65">
        <v>1152000</v>
      </c>
      <c r="I32" s="81">
        <f t="shared" si="0"/>
        <v>1152000</v>
      </c>
    </row>
    <row r="33" spans="1:9" x14ac:dyDescent="0.35">
      <c r="A33" s="22"/>
      <c r="B33" s="21"/>
      <c r="C33" s="22"/>
      <c r="D33" s="87" t="s">
        <v>576</v>
      </c>
      <c r="E33" s="88">
        <v>1</v>
      </c>
      <c r="F33" s="88" t="s">
        <v>10</v>
      </c>
      <c r="G33" s="88" t="s">
        <v>13</v>
      </c>
      <c r="H33" s="89">
        <v>1584000</v>
      </c>
      <c r="I33" s="90">
        <f t="shared" si="0"/>
        <v>1584000</v>
      </c>
    </row>
    <row r="34" spans="1:9" x14ac:dyDescent="0.35">
      <c r="A34" s="22"/>
      <c r="B34" s="21"/>
      <c r="C34" s="22"/>
      <c r="D34" s="22" t="s">
        <v>577</v>
      </c>
      <c r="E34" s="21">
        <v>1</v>
      </c>
      <c r="F34" s="21" t="s">
        <v>10</v>
      </c>
      <c r="G34" s="21" t="s">
        <v>13</v>
      </c>
      <c r="H34" s="65">
        <v>1152000</v>
      </c>
      <c r="I34" s="81">
        <f t="shared" si="0"/>
        <v>1152000</v>
      </c>
    </row>
    <row r="35" spans="1:9" x14ac:dyDescent="0.35">
      <c r="A35" s="22"/>
      <c r="B35" s="21"/>
      <c r="C35" s="22"/>
      <c r="D35" s="22" t="s">
        <v>578</v>
      </c>
      <c r="E35" s="21">
        <v>15</v>
      </c>
      <c r="F35" s="21" t="s">
        <v>10</v>
      </c>
      <c r="G35" s="21" t="s">
        <v>13</v>
      </c>
      <c r="H35" s="65">
        <v>360000</v>
      </c>
      <c r="I35" s="81">
        <f t="shared" si="0"/>
        <v>5400000</v>
      </c>
    </row>
    <row r="36" spans="1:9" x14ac:dyDescent="0.35">
      <c r="A36" s="22"/>
      <c r="B36" s="21"/>
      <c r="C36" s="22"/>
      <c r="D36" s="22" t="s">
        <v>579</v>
      </c>
      <c r="E36" s="21">
        <v>30</v>
      </c>
      <c r="F36" s="21" t="s">
        <v>10</v>
      </c>
      <c r="G36" s="21" t="s">
        <v>13</v>
      </c>
      <c r="H36" s="65">
        <v>151200</v>
      </c>
      <c r="I36" s="81">
        <f t="shared" si="0"/>
        <v>4536000</v>
      </c>
    </row>
    <row r="37" spans="1:9" x14ac:dyDescent="0.35">
      <c r="A37" s="22"/>
      <c r="B37" s="21"/>
      <c r="C37" s="22"/>
      <c r="D37" s="22" t="s">
        <v>580</v>
      </c>
      <c r="E37" s="21">
        <v>2</v>
      </c>
      <c r="F37" s="21" t="s">
        <v>560</v>
      </c>
      <c r="G37" s="21" t="s">
        <v>13</v>
      </c>
      <c r="H37" s="65">
        <v>2160000</v>
      </c>
      <c r="I37" s="81">
        <f t="shared" si="0"/>
        <v>4320000</v>
      </c>
    </row>
    <row r="38" spans="1:9" x14ac:dyDescent="0.35">
      <c r="A38" s="22"/>
      <c r="B38" s="21"/>
      <c r="C38" s="22"/>
      <c r="D38" s="91" t="s">
        <v>581</v>
      </c>
      <c r="E38" s="21">
        <v>1</v>
      </c>
      <c r="F38" s="21" t="s">
        <v>221</v>
      </c>
      <c r="G38" s="21" t="s">
        <v>13</v>
      </c>
      <c r="H38" s="65">
        <v>2160000</v>
      </c>
      <c r="I38" s="81">
        <f t="shared" si="0"/>
        <v>2160000</v>
      </c>
    </row>
    <row r="39" spans="1:9" x14ac:dyDescent="0.35">
      <c r="A39" s="22"/>
      <c r="B39" s="21"/>
      <c r="C39" s="22"/>
      <c r="D39" s="92" t="s">
        <v>582</v>
      </c>
      <c r="E39" s="88">
        <v>22</v>
      </c>
      <c r="F39" s="88" t="s">
        <v>240</v>
      </c>
      <c r="G39" s="88" t="s">
        <v>13</v>
      </c>
      <c r="H39" s="89">
        <v>72000</v>
      </c>
      <c r="I39" s="90">
        <f t="shared" si="0"/>
        <v>1584000</v>
      </c>
    </row>
    <row r="40" spans="1:9" x14ac:dyDescent="0.35">
      <c r="A40" s="22"/>
      <c r="B40" s="21"/>
      <c r="C40" s="22"/>
      <c r="D40" s="91" t="s">
        <v>583</v>
      </c>
      <c r="E40" s="21">
        <v>1</v>
      </c>
      <c r="F40" s="21" t="s">
        <v>560</v>
      </c>
      <c r="G40" s="21" t="s">
        <v>13</v>
      </c>
      <c r="H40" s="65">
        <v>604800</v>
      </c>
      <c r="I40" s="81">
        <f t="shared" si="0"/>
        <v>604800</v>
      </c>
    </row>
    <row r="41" spans="1:9" x14ac:dyDescent="0.35">
      <c r="A41" s="22"/>
      <c r="B41" s="21"/>
      <c r="C41" s="22"/>
      <c r="D41" s="22" t="s">
        <v>574</v>
      </c>
      <c r="E41" s="21">
        <v>1</v>
      </c>
      <c r="F41" s="21" t="s">
        <v>573</v>
      </c>
      <c r="G41" s="21" t="s">
        <v>13</v>
      </c>
      <c r="H41" s="65">
        <v>576000</v>
      </c>
      <c r="I41" s="81">
        <f t="shared" si="0"/>
        <v>576000</v>
      </c>
    </row>
    <row r="42" spans="1:9" x14ac:dyDescent="0.35">
      <c r="A42" s="22"/>
      <c r="B42" s="21"/>
      <c r="C42" s="22"/>
      <c r="D42" s="22" t="s">
        <v>584</v>
      </c>
      <c r="E42" s="21">
        <v>1</v>
      </c>
      <c r="F42" s="21" t="s">
        <v>573</v>
      </c>
      <c r="G42" s="21" t="s">
        <v>13</v>
      </c>
      <c r="H42" s="65">
        <v>720000</v>
      </c>
      <c r="I42" s="81">
        <f t="shared" si="0"/>
        <v>720000</v>
      </c>
    </row>
    <row r="43" spans="1:9" x14ac:dyDescent="0.35">
      <c r="A43" s="22"/>
      <c r="B43" s="21"/>
      <c r="C43" s="22"/>
      <c r="D43" s="22" t="s">
        <v>585</v>
      </c>
      <c r="E43" s="21">
        <v>1</v>
      </c>
      <c r="F43" s="21" t="s">
        <v>571</v>
      </c>
      <c r="G43" s="21" t="s">
        <v>13</v>
      </c>
      <c r="H43" s="65">
        <v>1101600</v>
      </c>
      <c r="I43" s="81">
        <f t="shared" si="0"/>
        <v>1101600</v>
      </c>
    </row>
    <row r="44" spans="1:9" x14ac:dyDescent="0.35">
      <c r="A44" s="22"/>
      <c r="B44" s="21"/>
      <c r="C44" s="22"/>
      <c r="D44" s="22" t="s">
        <v>586</v>
      </c>
      <c r="E44" s="21">
        <v>1</v>
      </c>
      <c r="F44" s="21" t="s">
        <v>571</v>
      </c>
      <c r="G44" s="21" t="s">
        <v>13</v>
      </c>
      <c r="H44" s="65">
        <v>1018800</v>
      </c>
      <c r="I44" s="81">
        <f t="shared" si="0"/>
        <v>1018800</v>
      </c>
    </row>
    <row r="45" spans="1:9" x14ac:dyDescent="0.35">
      <c r="A45" s="22"/>
      <c r="B45" s="21"/>
      <c r="C45" s="22"/>
      <c r="D45" s="22" t="s">
        <v>587</v>
      </c>
      <c r="E45" s="21">
        <v>1</v>
      </c>
      <c r="F45" s="21" t="s">
        <v>571</v>
      </c>
      <c r="G45" s="21" t="s">
        <v>13</v>
      </c>
      <c r="H45" s="65">
        <v>979200</v>
      </c>
      <c r="I45" s="81">
        <f t="shared" si="0"/>
        <v>979200</v>
      </c>
    </row>
    <row r="46" spans="1:9" x14ac:dyDescent="0.35">
      <c r="A46" s="22"/>
      <c r="B46" s="21"/>
      <c r="C46" s="22"/>
      <c r="D46" s="22" t="s">
        <v>588</v>
      </c>
      <c r="E46" s="21">
        <v>2</v>
      </c>
      <c r="F46" s="21" t="s">
        <v>571</v>
      </c>
      <c r="G46" s="21" t="s">
        <v>13</v>
      </c>
      <c r="H46" s="65">
        <v>122400</v>
      </c>
      <c r="I46" s="81">
        <f t="shared" si="0"/>
        <v>244800</v>
      </c>
    </row>
    <row r="47" spans="1:9" x14ac:dyDescent="0.35">
      <c r="A47" s="22"/>
      <c r="B47" s="21"/>
      <c r="C47" s="22"/>
      <c r="D47" s="22" t="s">
        <v>589</v>
      </c>
      <c r="E47" s="21">
        <v>2</v>
      </c>
      <c r="F47" s="21" t="s">
        <v>571</v>
      </c>
      <c r="G47" s="21" t="s">
        <v>13</v>
      </c>
      <c r="H47" s="65">
        <v>205200</v>
      </c>
      <c r="I47" s="81">
        <f t="shared" si="0"/>
        <v>410400</v>
      </c>
    </row>
    <row r="48" spans="1:9" x14ac:dyDescent="0.35">
      <c r="A48" s="22"/>
      <c r="B48" s="21"/>
      <c r="C48" s="22"/>
      <c r="D48" s="22" t="s">
        <v>590</v>
      </c>
      <c r="E48" s="21">
        <v>2</v>
      </c>
      <c r="F48" s="21" t="s">
        <v>571</v>
      </c>
      <c r="G48" s="21" t="s">
        <v>13</v>
      </c>
      <c r="H48" s="65">
        <v>82800</v>
      </c>
      <c r="I48" s="81">
        <f t="shared" si="0"/>
        <v>165600</v>
      </c>
    </row>
    <row r="49" spans="1:10" x14ac:dyDescent="0.35">
      <c r="A49" s="22"/>
      <c r="B49" s="21"/>
      <c r="C49" s="22"/>
      <c r="D49" s="22" t="s">
        <v>591</v>
      </c>
      <c r="E49" s="21">
        <v>2</v>
      </c>
      <c r="F49" s="21" t="s">
        <v>571</v>
      </c>
      <c r="G49" s="21" t="s">
        <v>13</v>
      </c>
      <c r="H49" s="65">
        <v>411120</v>
      </c>
      <c r="I49" s="81">
        <f t="shared" si="0"/>
        <v>822240</v>
      </c>
    </row>
    <row r="50" spans="1:10" x14ac:dyDescent="0.35">
      <c r="A50" s="22"/>
      <c r="B50" s="21"/>
      <c r="C50" s="22"/>
      <c r="D50" s="87" t="s">
        <v>592</v>
      </c>
      <c r="E50" s="88">
        <v>1</v>
      </c>
      <c r="F50" s="88" t="s">
        <v>571</v>
      </c>
      <c r="G50" s="88" t="s">
        <v>13</v>
      </c>
      <c r="H50" s="89">
        <v>82800</v>
      </c>
      <c r="I50" s="90">
        <f t="shared" si="0"/>
        <v>82800</v>
      </c>
    </row>
    <row r="51" spans="1:10" x14ac:dyDescent="0.35">
      <c r="A51" s="22"/>
      <c r="B51" s="21"/>
      <c r="C51" s="22"/>
      <c r="D51" s="22" t="s">
        <v>593</v>
      </c>
      <c r="E51" s="21">
        <v>1</v>
      </c>
      <c r="F51" s="21" t="s">
        <v>10</v>
      </c>
      <c r="G51" s="21" t="s">
        <v>13</v>
      </c>
      <c r="H51" s="65">
        <v>2358000</v>
      </c>
      <c r="I51" s="81">
        <f t="shared" si="0"/>
        <v>2358000</v>
      </c>
    </row>
    <row r="52" spans="1:10" x14ac:dyDescent="0.35">
      <c r="A52" s="22"/>
      <c r="B52" s="21"/>
      <c r="C52" s="22"/>
      <c r="D52" s="22" t="s">
        <v>594</v>
      </c>
      <c r="E52" s="21">
        <v>1</v>
      </c>
      <c r="F52" s="21" t="s">
        <v>10</v>
      </c>
      <c r="G52" s="21" t="s">
        <v>13</v>
      </c>
      <c r="H52" s="65">
        <v>1080000</v>
      </c>
      <c r="I52" s="81">
        <f t="shared" si="0"/>
        <v>1080000</v>
      </c>
    </row>
    <row r="53" spans="1:10" x14ac:dyDescent="0.35">
      <c r="A53" s="22"/>
      <c r="B53" s="21"/>
      <c r="C53" s="22"/>
      <c r="D53" s="22" t="s">
        <v>595</v>
      </c>
      <c r="E53" s="21">
        <v>1</v>
      </c>
      <c r="F53" s="21" t="s">
        <v>10</v>
      </c>
      <c r="G53" s="21" t="s">
        <v>13</v>
      </c>
      <c r="H53" s="65">
        <v>2160000</v>
      </c>
      <c r="I53" s="81">
        <f t="shared" si="0"/>
        <v>2160000</v>
      </c>
      <c r="J53" s="83"/>
    </row>
    <row r="54" spans="1:10" x14ac:dyDescent="0.35">
      <c r="A54" s="22"/>
      <c r="B54" s="21"/>
      <c r="C54" s="22"/>
      <c r="D54" s="87" t="s">
        <v>592</v>
      </c>
      <c r="E54" s="88">
        <v>1</v>
      </c>
      <c r="F54" s="88" t="s">
        <v>571</v>
      </c>
      <c r="G54" s="88" t="s">
        <v>13</v>
      </c>
      <c r="H54" s="89">
        <v>432000</v>
      </c>
      <c r="I54" s="90">
        <f t="shared" si="0"/>
        <v>432000</v>
      </c>
    </row>
    <row r="55" spans="1:10" x14ac:dyDescent="0.35">
      <c r="A55" s="22"/>
      <c r="B55" s="21"/>
      <c r="C55" s="22"/>
      <c r="D55" s="87" t="s">
        <v>596</v>
      </c>
      <c r="E55" s="88">
        <v>20</v>
      </c>
      <c r="F55" s="88" t="s">
        <v>571</v>
      </c>
      <c r="G55" s="88" t="s">
        <v>13</v>
      </c>
      <c r="H55" s="89">
        <v>108000</v>
      </c>
      <c r="I55" s="90">
        <f t="shared" si="0"/>
        <v>2160000</v>
      </c>
    </row>
    <row r="56" spans="1:10" x14ac:dyDescent="0.35">
      <c r="A56" s="22"/>
      <c r="B56" s="21"/>
      <c r="C56" s="22"/>
      <c r="D56" s="22" t="s">
        <v>565</v>
      </c>
      <c r="E56" s="21">
        <v>1</v>
      </c>
      <c r="F56" s="21" t="s">
        <v>10</v>
      </c>
      <c r="G56" s="21" t="s">
        <v>13</v>
      </c>
      <c r="H56" s="65">
        <v>2520000</v>
      </c>
      <c r="I56" s="81">
        <f t="shared" si="0"/>
        <v>2520000</v>
      </c>
      <c r="J56" s="83"/>
    </row>
    <row r="57" spans="1:10" x14ac:dyDescent="0.35">
      <c r="A57" s="22"/>
      <c r="B57" s="21"/>
      <c r="C57" s="22"/>
      <c r="D57" s="22" t="s">
        <v>597</v>
      </c>
      <c r="E57" s="21">
        <v>1</v>
      </c>
      <c r="F57" s="21" t="s">
        <v>10</v>
      </c>
      <c r="G57" s="21" t="s">
        <v>13</v>
      </c>
      <c r="H57" s="65">
        <v>2160000</v>
      </c>
      <c r="I57" s="81">
        <f t="shared" si="0"/>
        <v>2160000</v>
      </c>
    </row>
    <row r="58" spans="1:10" x14ac:dyDescent="0.35">
      <c r="A58" s="22"/>
      <c r="B58" s="21"/>
      <c r="C58" s="22"/>
      <c r="D58" s="87" t="s">
        <v>598</v>
      </c>
      <c r="E58" s="88">
        <v>1</v>
      </c>
      <c r="F58" s="88" t="s">
        <v>10</v>
      </c>
      <c r="G58" s="88" t="s">
        <v>13</v>
      </c>
      <c r="H58" s="89">
        <v>720000</v>
      </c>
      <c r="I58" s="90">
        <f t="shared" si="0"/>
        <v>720000</v>
      </c>
    </row>
    <row r="59" spans="1:10" x14ac:dyDescent="0.35">
      <c r="A59" s="22"/>
      <c r="B59" s="21"/>
      <c r="C59" s="22"/>
      <c r="D59" s="22" t="s">
        <v>599</v>
      </c>
      <c r="E59" s="21">
        <v>3</v>
      </c>
      <c r="F59" s="21" t="s">
        <v>600</v>
      </c>
      <c r="G59" s="21" t="s">
        <v>13</v>
      </c>
      <c r="H59" s="65">
        <v>464400</v>
      </c>
      <c r="I59" s="81">
        <f t="shared" si="0"/>
        <v>1393200</v>
      </c>
    </row>
    <row r="60" spans="1:10" x14ac:dyDescent="0.35">
      <c r="A60" s="22"/>
      <c r="B60" s="21"/>
      <c r="C60" s="22"/>
      <c r="D60" s="22" t="s">
        <v>601</v>
      </c>
      <c r="E60" s="21">
        <v>5</v>
      </c>
      <c r="F60" s="21" t="s">
        <v>600</v>
      </c>
      <c r="G60" s="21" t="s">
        <v>13</v>
      </c>
      <c r="H60" s="65">
        <v>630000</v>
      </c>
      <c r="I60" s="81">
        <f t="shared" si="0"/>
        <v>3150000</v>
      </c>
    </row>
    <row r="61" spans="1:10" x14ac:dyDescent="0.35">
      <c r="A61" s="22"/>
      <c r="B61" s="21"/>
      <c r="C61" s="22"/>
      <c r="D61" s="22" t="s">
        <v>602</v>
      </c>
      <c r="E61" s="21">
        <v>1</v>
      </c>
      <c r="F61" s="21" t="s">
        <v>10</v>
      </c>
      <c r="G61" s="21" t="s">
        <v>13</v>
      </c>
      <c r="H61" s="65">
        <v>2214000</v>
      </c>
      <c r="I61" s="81">
        <f t="shared" si="0"/>
        <v>2214000</v>
      </c>
      <c r="J61" s="36"/>
    </row>
    <row r="62" spans="1:10" x14ac:dyDescent="0.35">
      <c r="A62" s="22"/>
      <c r="B62" s="21"/>
      <c r="C62" s="22"/>
      <c r="D62" s="22" t="s">
        <v>603</v>
      </c>
      <c r="E62" s="21">
        <v>1</v>
      </c>
      <c r="F62" s="21" t="s">
        <v>10</v>
      </c>
      <c r="G62" s="21" t="s">
        <v>13</v>
      </c>
      <c r="H62" s="65">
        <v>4140000</v>
      </c>
      <c r="I62" s="81">
        <f t="shared" si="0"/>
        <v>4140000</v>
      </c>
    </row>
    <row r="63" spans="1:10" x14ac:dyDescent="0.35">
      <c r="A63" s="22"/>
      <c r="B63" s="21"/>
      <c r="C63" s="22"/>
      <c r="D63" s="87" t="s">
        <v>604</v>
      </c>
      <c r="E63" s="88">
        <v>1</v>
      </c>
      <c r="F63" s="88" t="s">
        <v>571</v>
      </c>
      <c r="G63" s="88" t="s">
        <v>13</v>
      </c>
      <c r="H63" s="89">
        <v>198000</v>
      </c>
      <c r="I63" s="90">
        <f t="shared" si="0"/>
        <v>198000</v>
      </c>
    </row>
    <row r="64" spans="1:10" x14ac:dyDescent="0.35">
      <c r="A64" s="22"/>
      <c r="B64" s="21"/>
      <c r="C64" s="22"/>
      <c r="D64" s="22" t="s">
        <v>605</v>
      </c>
      <c r="E64" s="21">
        <v>4</v>
      </c>
      <c r="F64" s="21" t="s">
        <v>573</v>
      </c>
      <c r="G64" s="21" t="s">
        <v>13</v>
      </c>
      <c r="H64" s="65">
        <v>367200</v>
      </c>
      <c r="I64" s="81">
        <f t="shared" si="0"/>
        <v>1468800</v>
      </c>
      <c r="J64" s="83"/>
    </row>
    <row r="65" spans="1:11" x14ac:dyDescent="0.35">
      <c r="A65" s="22"/>
      <c r="B65" s="21"/>
      <c r="C65" s="22"/>
      <c r="D65" s="22" t="s">
        <v>606</v>
      </c>
      <c r="E65" s="21">
        <v>6</v>
      </c>
      <c r="F65" s="21" t="s">
        <v>573</v>
      </c>
      <c r="G65" s="21" t="s">
        <v>13</v>
      </c>
      <c r="H65" s="65">
        <v>432000</v>
      </c>
      <c r="I65" s="81">
        <f t="shared" si="0"/>
        <v>2592000</v>
      </c>
    </row>
    <row r="66" spans="1:11" x14ac:dyDescent="0.35">
      <c r="A66" s="22"/>
      <c r="B66" s="21"/>
      <c r="C66" s="22"/>
      <c r="D66" s="87" t="s">
        <v>607</v>
      </c>
      <c r="E66" s="88">
        <v>3</v>
      </c>
      <c r="F66" s="88" t="s">
        <v>10</v>
      </c>
      <c r="G66" s="88" t="s">
        <v>13</v>
      </c>
      <c r="H66" s="89">
        <v>3132000</v>
      </c>
      <c r="I66" s="90">
        <f t="shared" si="0"/>
        <v>9396000</v>
      </c>
      <c r="J66" s="83">
        <f>SUM(I10:I69)</f>
        <v>111484800</v>
      </c>
    </row>
    <row r="67" spans="1:11" x14ac:dyDescent="0.35">
      <c r="A67" s="22"/>
      <c r="B67" s="21"/>
      <c r="C67" s="22"/>
      <c r="D67" s="22" t="s">
        <v>608</v>
      </c>
      <c r="E67" s="21">
        <v>1</v>
      </c>
      <c r="F67" s="21" t="s">
        <v>10</v>
      </c>
      <c r="G67" s="21" t="s">
        <v>13</v>
      </c>
      <c r="H67" s="65">
        <v>512640</v>
      </c>
      <c r="I67" s="81">
        <f t="shared" si="0"/>
        <v>512640</v>
      </c>
      <c r="K67">
        <v>33445400</v>
      </c>
    </row>
    <row r="68" spans="1:11" x14ac:dyDescent="0.35">
      <c r="A68" s="22"/>
      <c r="B68" s="21"/>
      <c r="C68" s="22"/>
      <c r="D68" s="22" t="s">
        <v>609</v>
      </c>
      <c r="E68" s="21">
        <v>1</v>
      </c>
      <c r="F68" s="21" t="s">
        <v>10</v>
      </c>
      <c r="G68" s="21" t="s">
        <v>13</v>
      </c>
      <c r="H68" s="65">
        <v>1011600</v>
      </c>
      <c r="I68" s="81">
        <f t="shared" si="0"/>
        <v>1011600</v>
      </c>
      <c r="K68">
        <v>33447940</v>
      </c>
    </row>
    <row r="69" spans="1:11" x14ac:dyDescent="0.35">
      <c r="A69" s="22"/>
      <c r="B69" s="21"/>
      <c r="C69" s="22"/>
      <c r="D69" s="22" t="s">
        <v>610</v>
      </c>
      <c r="E69" s="21">
        <v>55</v>
      </c>
      <c r="F69" s="21" t="s">
        <v>571</v>
      </c>
      <c r="G69" s="21" t="s">
        <v>13</v>
      </c>
      <c r="H69" s="65">
        <v>68400</v>
      </c>
      <c r="I69" s="81">
        <f t="shared" si="0"/>
        <v>3762000</v>
      </c>
      <c r="K69">
        <v>36131460</v>
      </c>
    </row>
    <row r="70" spans="1:11" x14ac:dyDescent="0.35">
      <c r="A70" s="22"/>
      <c r="B70" s="21"/>
      <c r="C70" s="22"/>
      <c r="D70" s="22"/>
      <c r="E70" s="21"/>
      <c r="F70" s="21"/>
      <c r="G70" s="21"/>
      <c r="H70" s="65"/>
      <c r="I70" s="93"/>
      <c r="J70" s="94">
        <f>J66-K67-K68-K69</f>
        <v>8460000</v>
      </c>
    </row>
    <row r="71" spans="1:11" x14ac:dyDescent="0.35">
      <c r="A71" s="9">
        <v>45149</v>
      </c>
      <c r="B71" s="10">
        <v>418</v>
      </c>
      <c r="C71" s="11" t="s">
        <v>430</v>
      </c>
      <c r="D71" s="11" t="s">
        <v>536</v>
      </c>
      <c r="E71" s="10">
        <v>200</v>
      </c>
      <c r="F71" s="10" t="s">
        <v>12</v>
      </c>
      <c r="G71" s="10" t="s">
        <v>13</v>
      </c>
      <c r="H71" s="53">
        <v>2750</v>
      </c>
      <c r="I71" s="53">
        <f>H71*E71</f>
        <v>550000</v>
      </c>
      <c r="J71" t="s">
        <v>612</v>
      </c>
    </row>
    <row r="72" spans="1:11" x14ac:dyDescent="0.35">
      <c r="A72" s="11"/>
      <c r="B72" s="10"/>
      <c r="C72" s="11"/>
      <c r="D72" s="11" t="s">
        <v>26</v>
      </c>
      <c r="E72" s="10">
        <v>200</v>
      </c>
      <c r="F72" s="10" t="s">
        <v>20</v>
      </c>
      <c r="G72" s="10" t="s">
        <v>13</v>
      </c>
      <c r="H72" s="53">
        <v>49800</v>
      </c>
      <c r="I72" s="53">
        <f>H72*E72</f>
        <v>9960000</v>
      </c>
      <c r="J72" s="83" t="s">
        <v>612</v>
      </c>
    </row>
    <row r="73" spans="1:11" x14ac:dyDescent="0.35">
      <c r="A73" s="8"/>
      <c r="B73" s="10"/>
      <c r="C73" s="11"/>
      <c r="D73" s="11"/>
      <c r="E73" s="10"/>
      <c r="F73" s="10"/>
      <c r="G73" s="10"/>
      <c r="H73" s="53"/>
      <c r="I73" s="108">
        <f>SUM(I71:I72)</f>
        <v>10510000</v>
      </c>
    </row>
    <row r="74" spans="1:11" x14ac:dyDescent="0.35">
      <c r="A74" s="9">
        <v>45154</v>
      </c>
      <c r="B74" s="10">
        <v>425</v>
      </c>
      <c r="C74" s="11" t="s">
        <v>254</v>
      </c>
      <c r="D74" s="11" t="s">
        <v>534</v>
      </c>
      <c r="E74" s="10">
        <v>48</v>
      </c>
      <c r="F74" s="10" t="s">
        <v>240</v>
      </c>
      <c r="G74" s="10" t="s">
        <v>200</v>
      </c>
      <c r="H74" s="53">
        <v>7000</v>
      </c>
      <c r="I74" s="53">
        <f>H74*E74</f>
        <v>336000</v>
      </c>
    </row>
    <row r="75" spans="1:11" x14ac:dyDescent="0.35">
      <c r="A75" s="11"/>
      <c r="B75" s="10"/>
      <c r="C75" s="11"/>
      <c r="D75" s="11" t="s">
        <v>535</v>
      </c>
      <c r="E75" s="10">
        <v>24</v>
      </c>
      <c r="F75" s="10" t="s">
        <v>240</v>
      </c>
      <c r="G75" s="10" t="s">
        <v>200</v>
      </c>
      <c r="H75" s="53">
        <v>8075.1</v>
      </c>
      <c r="I75" s="53">
        <f>H75*E75</f>
        <v>193802.40000000002</v>
      </c>
    </row>
    <row r="76" spans="1:11" x14ac:dyDescent="0.35">
      <c r="A76" s="11"/>
      <c r="B76" s="10"/>
      <c r="C76" s="11"/>
      <c r="D76" s="11"/>
      <c r="E76" s="19"/>
      <c r="F76" s="10"/>
      <c r="G76" s="10"/>
      <c r="H76" s="58"/>
      <c r="I76" s="102">
        <f>SUM(I74:I75)</f>
        <v>529802.4</v>
      </c>
    </row>
    <row r="77" spans="1:11" x14ac:dyDescent="0.35">
      <c r="A77" s="9">
        <v>45170</v>
      </c>
      <c r="B77" s="10">
        <v>493</v>
      </c>
      <c r="C77" s="11" t="s">
        <v>531</v>
      </c>
      <c r="D77" s="11" t="s">
        <v>532</v>
      </c>
      <c r="E77" s="10">
        <v>30</v>
      </c>
      <c r="F77" s="10" t="s">
        <v>14</v>
      </c>
      <c r="G77" s="10" t="s">
        <v>200</v>
      </c>
      <c r="H77" s="53">
        <v>48000</v>
      </c>
      <c r="I77" s="73">
        <f>H77*E77</f>
        <v>1440000</v>
      </c>
      <c r="J77" s="83" t="s">
        <v>612</v>
      </c>
    </row>
    <row r="78" spans="1:11" x14ac:dyDescent="0.35">
      <c r="A78" s="11"/>
      <c r="B78" s="10"/>
      <c r="C78" s="11"/>
      <c r="D78" s="11" t="s">
        <v>533</v>
      </c>
      <c r="E78" s="10"/>
      <c r="F78" s="10"/>
      <c r="G78" s="10"/>
      <c r="H78" s="53"/>
      <c r="I78" s="54"/>
    </row>
    <row r="79" spans="1:11" x14ac:dyDescent="0.35">
      <c r="A79" s="9"/>
      <c r="B79" s="10"/>
      <c r="C79" s="11"/>
      <c r="D79" s="11"/>
      <c r="E79" s="10"/>
      <c r="F79" s="10"/>
      <c r="G79" s="10"/>
      <c r="H79" s="53"/>
      <c r="I79" s="53"/>
      <c r="J79" s="83"/>
    </row>
    <row r="80" spans="1:11" x14ac:dyDescent="0.35">
      <c r="A80" s="9">
        <v>45201</v>
      </c>
      <c r="B80" s="10">
        <v>583</v>
      </c>
      <c r="C80" s="11" t="s">
        <v>620</v>
      </c>
      <c r="D80" s="11" t="s">
        <v>621</v>
      </c>
      <c r="E80" s="10">
        <v>2</v>
      </c>
      <c r="F80" s="10" t="s">
        <v>207</v>
      </c>
      <c r="G80" s="10" t="s">
        <v>200</v>
      </c>
      <c r="H80" s="53"/>
      <c r="I80" s="53">
        <f>H80*E80</f>
        <v>0</v>
      </c>
      <c r="J80" s="83">
        <v>1600000</v>
      </c>
      <c r="K80" t="s">
        <v>622</v>
      </c>
    </row>
    <row r="81" spans="1:11" x14ac:dyDescent="0.35">
      <c r="A81" s="9"/>
      <c r="B81" s="10"/>
      <c r="C81" s="11"/>
      <c r="D81" s="11"/>
      <c r="E81" s="10"/>
      <c r="F81" s="10"/>
      <c r="G81" s="10"/>
      <c r="H81" s="53"/>
      <c r="I81" s="73">
        <v>1600000</v>
      </c>
      <c r="J81" s="103">
        <v>1600000</v>
      </c>
      <c r="K81" s="104" t="s">
        <v>623</v>
      </c>
    </row>
    <row r="82" spans="1:11" x14ac:dyDescent="0.35">
      <c r="A82" s="9"/>
      <c r="B82" s="10"/>
      <c r="C82" s="11"/>
      <c r="D82" s="11"/>
      <c r="E82" s="10"/>
      <c r="F82" s="10"/>
      <c r="G82" s="10"/>
      <c r="H82" s="53"/>
      <c r="I82" s="53"/>
      <c r="J82" s="83"/>
    </row>
    <row r="83" spans="1:11" x14ac:dyDescent="0.35">
      <c r="A83" s="11"/>
      <c r="B83" s="10"/>
      <c r="C83" s="11"/>
      <c r="D83" s="11"/>
      <c r="E83" s="10"/>
      <c r="F83" s="10"/>
      <c r="G83" s="10"/>
      <c r="H83" s="53"/>
      <c r="I83" s="54"/>
    </row>
    <row r="84" spans="1:11" x14ac:dyDescent="0.35">
      <c r="A84" s="9">
        <v>45202</v>
      </c>
      <c r="B84" s="10">
        <v>590</v>
      </c>
      <c r="C84" s="11"/>
      <c r="D84" s="11" t="s">
        <v>520</v>
      </c>
      <c r="E84" s="10">
        <v>1</v>
      </c>
      <c r="F84" s="10" t="s">
        <v>207</v>
      </c>
      <c r="G84" s="10" t="s">
        <v>200</v>
      </c>
      <c r="H84" s="53">
        <f>1000000-(1000000*25%)</f>
        <v>750000</v>
      </c>
      <c r="I84" s="73">
        <f>H84*E84</f>
        <v>750000</v>
      </c>
      <c r="J84" t="s">
        <v>612</v>
      </c>
    </row>
    <row r="85" spans="1:11" x14ac:dyDescent="0.35">
      <c r="A85" s="9"/>
      <c r="B85" s="10"/>
      <c r="C85" s="11"/>
      <c r="D85" s="11"/>
      <c r="E85" s="10"/>
      <c r="F85" s="10"/>
      <c r="G85" s="10"/>
      <c r="H85" s="53"/>
      <c r="I85" s="53"/>
    </row>
    <row r="86" spans="1:11" x14ac:dyDescent="0.35">
      <c r="A86" s="9">
        <v>45203</v>
      </c>
      <c r="B86" s="10">
        <v>593</v>
      </c>
      <c r="C86" s="11" t="s">
        <v>616</v>
      </c>
      <c r="D86" s="11" t="s">
        <v>617</v>
      </c>
      <c r="E86" s="10">
        <v>1</v>
      </c>
      <c r="F86" s="10" t="s">
        <v>14</v>
      </c>
      <c r="G86" s="10" t="s">
        <v>618</v>
      </c>
      <c r="H86" s="60"/>
      <c r="I86" s="60"/>
    </row>
    <row r="87" spans="1:11" x14ac:dyDescent="0.35">
      <c r="A87" s="11"/>
      <c r="B87" s="10"/>
      <c r="C87" s="11"/>
      <c r="D87" s="11" t="s">
        <v>619</v>
      </c>
      <c r="E87" s="10">
        <v>1</v>
      </c>
      <c r="F87" s="10" t="s">
        <v>14</v>
      </c>
      <c r="G87" s="10" t="s">
        <v>200</v>
      </c>
      <c r="H87" s="53"/>
      <c r="I87" s="53"/>
    </row>
    <row r="88" spans="1:11" x14ac:dyDescent="0.35">
      <c r="A88" s="9"/>
      <c r="B88" s="10"/>
      <c r="C88" s="11"/>
      <c r="D88" s="11"/>
      <c r="E88" s="10"/>
      <c r="F88" s="10"/>
      <c r="G88" s="10"/>
      <c r="H88" s="53"/>
      <c r="I88" s="73">
        <f>SUM(I86:I87)</f>
        <v>0</v>
      </c>
      <c r="J88" s="99">
        <v>1100000</v>
      </c>
    </row>
    <row r="89" spans="1:11" x14ac:dyDescent="0.35">
      <c r="A89" s="9"/>
      <c r="B89" s="10"/>
      <c r="C89" s="11"/>
      <c r="D89" s="11"/>
      <c r="E89" s="10"/>
      <c r="F89" s="10"/>
      <c r="G89" s="10"/>
      <c r="H89" s="53"/>
      <c r="I89" s="53"/>
      <c r="K89" s="97">
        <f>J88/2</f>
        <v>550000</v>
      </c>
    </row>
    <row r="90" spans="1:11" x14ac:dyDescent="0.35">
      <c r="A90" s="9">
        <v>45210</v>
      </c>
      <c r="B90" s="10">
        <v>611</v>
      </c>
      <c r="C90" s="11" t="s">
        <v>527</v>
      </c>
      <c r="D90" s="11" t="s">
        <v>528</v>
      </c>
      <c r="E90" s="10">
        <v>30</v>
      </c>
      <c r="F90" s="10" t="s">
        <v>14</v>
      </c>
      <c r="G90" s="10" t="s">
        <v>200</v>
      </c>
      <c r="H90" s="60">
        <v>48000</v>
      </c>
      <c r="I90" s="73">
        <f>H90*E90</f>
        <v>1440000</v>
      </c>
      <c r="J90" t="s">
        <v>612</v>
      </c>
    </row>
    <row r="91" spans="1:11" x14ac:dyDescent="0.35">
      <c r="A91" s="11"/>
      <c r="B91" s="10"/>
      <c r="C91" s="11"/>
      <c r="D91" s="11" t="s">
        <v>529</v>
      </c>
      <c r="E91" s="10"/>
      <c r="F91" s="10"/>
      <c r="G91" s="10"/>
      <c r="H91" s="60"/>
      <c r="I91" s="64"/>
      <c r="J91" s="83"/>
    </row>
    <row r="92" spans="1:11" x14ac:dyDescent="0.35">
      <c r="A92" s="11"/>
      <c r="B92" s="10"/>
      <c r="C92" s="11"/>
      <c r="D92" s="11"/>
      <c r="E92" s="10"/>
      <c r="F92" s="10"/>
      <c r="G92" s="10"/>
      <c r="H92" s="53"/>
      <c r="I92" s="53"/>
    </row>
    <row r="93" spans="1:11" x14ac:dyDescent="0.35">
      <c r="A93" s="9">
        <v>45212</v>
      </c>
      <c r="B93" s="10">
        <v>615</v>
      </c>
      <c r="C93" s="11" t="s">
        <v>11</v>
      </c>
      <c r="D93" s="11" t="s">
        <v>521</v>
      </c>
      <c r="E93" s="10">
        <v>144</v>
      </c>
      <c r="F93" s="10" t="s">
        <v>14</v>
      </c>
      <c r="G93" s="10" t="s">
        <v>13</v>
      </c>
      <c r="H93" s="60">
        <v>2875</v>
      </c>
      <c r="I93" s="60">
        <f>H93*E93</f>
        <v>414000</v>
      </c>
      <c r="J93" t="s">
        <v>612</v>
      </c>
    </row>
    <row r="94" spans="1:11" x14ac:dyDescent="0.35">
      <c r="A94" s="11"/>
      <c r="B94" s="10"/>
      <c r="C94" s="11"/>
      <c r="D94" s="11" t="s">
        <v>522</v>
      </c>
      <c r="E94" s="10">
        <v>3</v>
      </c>
      <c r="F94" s="10" t="s">
        <v>14</v>
      </c>
      <c r="G94" s="10" t="s">
        <v>13</v>
      </c>
      <c r="H94" s="60">
        <v>162000</v>
      </c>
      <c r="I94" s="60">
        <f t="shared" ref="I94:I98" si="1">H94*E94</f>
        <v>486000</v>
      </c>
      <c r="J94" t="s">
        <v>612</v>
      </c>
    </row>
    <row r="95" spans="1:11" x14ac:dyDescent="0.35">
      <c r="A95" s="11"/>
      <c r="B95" s="10"/>
      <c r="C95" s="11"/>
      <c r="D95" s="11" t="s">
        <v>523</v>
      </c>
      <c r="E95" s="10">
        <v>50</v>
      </c>
      <c r="F95" s="10" t="s">
        <v>28</v>
      </c>
      <c r="G95" s="10" t="s">
        <v>13</v>
      </c>
      <c r="H95" s="60">
        <v>6700</v>
      </c>
      <c r="I95" s="60">
        <f t="shared" si="1"/>
        <v>335000</v>
      </c>
      <c r="J95" t="s">
        <v>612</v>
      </c>
    </row>
    <row r="96" spans="1:11" x14ac:dyDescent="0.35">
      <c r="A96" s="11"/>
      <c r="B96" s="10"/>
      <c r="C96" s="11"/>
      <c r="D96" s="11" t="s">
        <v>524</v>
      </c>
      <c r="E96" s="10">
        <v>20</v>
      </c>
      <c r="F96" s="10" t="s">
        <v>21</v>
      </c>
      <c r="G96" s="10" t="s">
        <v>13</v>
      </c>
      <c r="H96" s="60">
        <v>22000</v>
      </c>
      <c r="I96" s="60">
        <f t="shared" si="1"/>
        <v>440000</v>
      </c>
      <c r="J96" t="s">
        <v>612</v>
      </c>
    </row>
    <row r="97" spans="1:11" x14ac:dyDescent="0.35">
      <c r="A97" s="11"/>
      <c r="B97" s="10"/>
      <c r="C97" s="11"/>
      <c r="D97" s="11" t="s">
        <v>525</v>
      </c>
      <c r="E97" s="10">
        <v>10</v>
      </c>
      <c r="F97" s="10" t="s">
        <v>20</v>
      </c>
      <c r="G97" s="10" t="s">
        <v>13</v>
      </c>
      <c r="H97" s="60">
        <v>56000</v>
      </c>
      <c r="I97" s="60">
        <f t="shared" si="1"/>
        <v>560000</v>
      </c>
      <c r="J97" t="s">
        <v>612</v>
      </c>
    </row>
    <row r="98" spans="1:11" x14ac:dyDescent="0.35">
      <c r="A98" s="11"/>
      <c r="B98" s="10"/>
      <c r="C98" s="11"/>
      <c r="D98" s="11" t="s">
        <v>526</v>
      </c>
      <c r="E98" s="10">
        <v>24</v>
      </c>
      <c r="F98" s="10" t="s">
        <v>207</v>
      </c>
      <c r="G98" s="10" t="s">
        <v>13</v>
      </c>
      <c r="H98" s="60">
        <v>4750</v>
      </c>
      <c r="I98" s="60">
        <f t="shared" si="1"/>
        <v>114000</v>
      </c>
      <c r="J98" t="s">
        <v>612</v>
      </c>
    </row>
    <row r="99" spans="1:11" x14ac:dyDescent="0.35">
      <c r="A99" s="11"/>
      <c r="B99" s="10"/>
      <c r="C99" s="11"/>
      <c r="D99" s="11"/>
      <c r="E99" s="10"/>
      <c r="F99" s="10"/>
      <c r="G99" s="10"/>
      <c r="H99" s="60"/>
      <c r="I99" s="73">
        <f>SUM(I93:I98)</f>
        <v>2349000</v>
      </c>
    </row>
    <row r="100" spans="1:11" x14ac:dyDescent="0.35">
      <c r="A100" s="9">
        <v>45217</v>
      </c>
      <c r="B100" s="10">
        <v>622</v>
      </c>
      <c r="C100" s="11" t="s">
        <v>11</v>
      </c>
      <c r="D100" s="11" t="s">
        <v>613</v>
      </c>
      <c r="E100" s="10">
        <v>200</v>
      </c>
      <c r="F100" s="10" t="s">
        <v>28</v>
      </c>
      <c r="G100" s="10" t="s">
        <v>13</v>
      </c>
      <c r="H100" s="53">
        <v>6600</v>
      </c>
      <c r="I100" s="73">
        <f>H100*E100</f>
        <v>1320000</v>
      </c>
      <c r="J100" t="s">
        <v>612</v>
      </c>
    </row>
    <row r="101" spans="1:11" x14ac:dyDescent="0.35">
      <c r="A101" s="11"/>
      <c r="B101" s="10"/>
      <c r="C101" s="11"/>
      <c r="D101" s="11"/>
      <c r="E101" s="10"/>
      <c r="F101" s="10"/>
      <c r="G101" s="10"/>
      <c r="H101" s="60"/>
      <c r="I101" s="60"/>
    </row>
    <row r="102" spans="1:11" x14ac:dyDescent="0.35">
      <c r="A102" s="9">
        <v>45217</v>
      </c>
      <c r="B102" s="10">
        <v>626</v>
      </c>
      <c r="C102" s="13"/>
      <c r="D102" s="15" t="s">
        <v>519</v>
      </c>
      <c r="E102" s="10">
        <v>54</v>
      </c>
      <c r="F102" s="10" t="s">
        <v>14</v>
      </c>
      <c r="G102" s="10" t="s">
        <v>200</v>
      </c>
      <c r="H102" s="78">
        <v>468000</v>
      </c>
      <c r="I102" s="109">
        <f>H102</f>
        <v>468000</v>
      </c>
      <c r="J102" t="s">
        <v>612</v>
      </c>
    </row>
    <row r="103" spans="1:11" x14ac:dyDescent="0.35">
      <c r="A103" s="9"/>
      <c r="B103" s="10"/>
      <c r="C103" s="11"/>
      <c r="D103" s="11"/>
      <c r="E103" s="10"/>
      <c r="F103" s="10"/>
      <c r="G103" s="10"/>
      <c r="H103" s="53"/>
      <c r="I103" s="54"/>
    </row>
    <row r="104" spans="1:11" x14ac:dyDescent="0.35">
      <c r="A104" s="9">
        <v>45210</v>
      </c>
      <c r="B104" s="10">
        <v>631</v>
      </c>
      <c r="C104" s="15" t="s">
        <v>513</v>
      </c>
      <c r="D104" s="15" t="s">
        <v>514</v>
      </c>
      <c r="E104" s="10">
        <v>5</v>
      </c>
      <c r="F104" s="10" t="s">
        <v>14</v>
      </c>
      <c r="G104" s="10" t="s">
        <v>200</v>
      </c>
      <c r="H104" s="78">
        <v>80000</v>
      </c>
      <c r="I104" s="78">
        <f>H104*E104</f>
        <v>400000</v>
      </c>
      <c r="J104" s="83" t="s">
        <v>612</v>
      </c>
    </row>
    <row r="105" spans="1:11" x14ac:dyDescent="0.35">
      <c r="A105" s="13"/>
      <c r="B105" s="10"/>
      <c r="C105" s="15" t="s">
        <v>515</v>
      </c>
      <c r="D105" s="15" t="s">
        <v>516</v>
      </c>
      <c r="E105" s="10">
        <v>5</v>
      </c>
      <c r="F105" s="10" t="s">
        <v>21</v>
      </c>
      <c r="G105" s="10" t="s">
        <v>200</v>
      </c>
      <c r="H105" s="78">
        <v>39785</v>
      </c>
      <c r="I105" s="78">
        <f>H105*E105</f>
        <v>198925</v>
      </c>
      <c r="J105" t="s">
        <v>612</v>
      </c>
    </row>
    <row r="106" spans="1:11" x14ac:dyDescent="0.35">
      <c r="A106" s="13"/>
      <c r="B106" s="10"/>
      <c r="C106" s="47" t="s">
        <v>515</v>
      </c>
      <c r="D106" s="47" t="s">
        <v>517</v>
      </c>
      <c r="E106" s="21">
        <f>50+168</f>
        <v>218</v>
      </c>
      <c r="F106" s="21" t="s">
        <v>14</v>
      </c>
      <c r="G106" s="21" t="s">
        <v>200</v>
      </c>
      <c r="H106" s="81"/>
      <c r="I106" s="81"/>
      <c r="J106" s="98">
        <v>15042</v>
      </c>
      <c r="K106" t="s">
        <v>614</v>
      </c>
    </row>
    <row r="107" spans="1:11" x14ac:dyDescent="0.35">
      <c r="A107" s="13"/>
      <c r="B107" s="10"/>
      <c r="C107" s="15" t="s">
        <v>515</v>
      </c>
      <c r="D107" s="15" t="s">
        <v>518</v>
      </c>
      <c r="E107" s="10">
        <v>1</v>
      </c>
      <c r="F107" s="10" t="s">
        <v>14</v>
      </c>
      <c r="G107" s="10" t="s">
        <v>200</v>
      </c>
      <c r="H107" s="78">
        <v>800</v>
      </c>
      <c r="I107" s="78">
        <f>H107*E107</f>
        <v>800</v>
      </c>
      <c r="J107" t="s">
        <v>612</v>
      </c>
    </row>
    <row r="108" spans="1:11" x14ac:dyDescent="0.35">
      <c r="A108" s="9"/>
      <c r="B108" s="10"/>
      <c r="C108" s="11"/>
      <c r="D108" s="11"/>
      <c r="E108" s="10"/>
      <c r="F108" s="10"/>
      <c r="G108" s="10"/>
      <c r="H108" s="53"/>
      <c r="I108" s="73">
        <f>SUM(I104:I107)</f>
        <v>599725</v>
      </c>
      <c r="J108" s="83">
        <f>SUM(I104:I107)+15042</f>
        <v>614767</v>
      </c>
    </row>
    <row r="109" spans="1:11" x14ac:dyDescent="0.35">
      <c r="A109" s="9">
        <v>45218</v>
      </c>
      <c r="B109" s="10">
        <v>635</v>
      </c>
      <c r="C109" s="11" t="s">
        <v>11</v>
      </c>
      <c r="D109" s="11" t="s">
        <v>507</v>
      </c>
      <c r="E109" s="10">
        <v>50</v>
      </c>
      <c r="F109" s="10" t="s">
        <v>240</v>
      </c>
      <c r="G109" s="10" t="s">
        <v>13</v>
      </c>
      <c r="H109" s="53">
        <f>180000/50</f>
        <v>3600</v>
      </c>
      <c r="I109" s="53">
        <f t="shared" ref="I109:I117" si="2">H109*E109</f>
        <v>180000</v>
      </c>
      <c r="J109" t="s">
        <v>612</v>
      </c>
    </row>
    <row r="110" spans="1:11" x14ac:dyDescent="0.35">
      <c r="A110" s="11"/>
      <c r="B110" s="10"/>
      <c r="C110" s="11"/>
      <c r="D110" s="11" t="s">
        <v>508</v>
      </c>
      <c r="E110" s="10">
        <f>5*30</f>
        <v>150</v>
      </c>
      <c r="F110" s="10" t="s">
        <v>52</v>
      </c>
      <c r="G110" s="10" t="s">
        <v>24</v>
      </c>
      <c r="H110" s="53">
        <f>5750002.5/750</f>
        <v>7666.67</v>
      </c>
      <c r="I110" s="53">
        <f t="shared" si="2"/>
        <v>1150000.5</v>
      </c>
      <c r="J110" t="s">
        <v>612</v>
      </c>
    </row>
    <row r="111" spans="1:11" x14ac:dyDescent="0.35">
      <c r="A111" s="11"/>
      <c r="B111" s="10"/>
      <c r="C111" s="11"/>
      <c r="D111" s="11" t="s">
        <v>509</v>
      </c>
      <c r="E111" s="10">
        <v>500</v>
      </c>
      <c r="F111" s="10" t="s">
        <v>52</v>
      </c>
      <c r="G111" s="10" t="s">
        <v>24</v>
      </c>
      <c r="H111" s="53">
        <v>1500</v>
      </c>
      <c r="I111" s="53">
        <f t="shared" si="2"/>
        <v>750000</v>
      </c>
      <c r="J111" t="s">
        <v>612</v>
      </c>
    </row>
    <row r="112" spans="1:11" x14ac:dyDescent="0.35">
      <c r="A112" s="11"/>
      <c r="B112" s="10"/>
      <c r="C112" s="11"/>
      <c r="D112" s="11" t="s">
        <v>510</v>
      </c>
      <c r="E112" s="10">
        <v>36</v>
      </c>
      <c r="F112" s="10" t="s">
        <v>48</v>
      </c>
      <c r="G112" s="10" t="s">
        <v>13</v>
      </c>
      <c r="H112" s="53">
        <v>24500</v>
      </c>
      <c r="I112" s="53">
        <f t="shared" si="2"/>
        <v>882000</v>
      </c>
      <c r="J112" t="s">
        <v>612</v>
      </c>
    </row>
    <row r="113" spans="1:10" x14ac:dyDescent="0.35">
      <c r="A113" s="11"/>
      <c r="B113" s="10"/>
      <c r="C113" s="11"/>
      <c r="D113" s="11" t="s">
        <v>22</v>
      </c>
      <c r="E113" s="10">
        <v>100</v>
      </c>
      <c r="F113" s="10" t="s">
        <v>20</v>
      </c>
      <c r="G113" s="10" t="s">
        <v>13</v>
      </c>
      <c r="H113" s="53">
        <v>46000</v>
      </c>
      <c r="I113" s="53">
        <f t="shared" si="2"/>
        <v>4600000</v>
      </c>
      <c r="J113" t="s">
        <v>612</v>
      </c>
    </row>
    <row r="114" spans="1:10" x14ac:dyDescent="0.35">
      <c r="A114" s="11"/>
      <c r="B114" s="10"/>
      <c r="C114" s="11"/>
      <c r="D114" s="11" t="s">
        <v>19</v>
      </c>
      <c r="E114" s="10">
        <v>50</v>
      </c>
      <c r="F114" s="10" t="s">
        <v>20</v>
      </c>
      <c r="G114" s="10" t="s">
        <v>13</v>
      </c>
      <c r="H114" s="53">
        <v>41000</v>
      </c>
      <c r="I114" s="53">
        <f t="shared" si="2"/>
        <v>2050000</v>
      </c>
      <c r="J114" t="s">
        <v>612</v>
      </c>
    </row>
    <row r="115" spans="1:10" x14ac:dyDescent="0.35">
      <c r="A115" s="11"/>
      <c r="B115" s="10"/>
      <c r="C115" s="11"/>
      <c r="D115" s="11" t="s">
        <v>158</v>
      </c>
      <c r="E115" s="10">
        <v>50</v>
      </c>
      <c r="F115" s="10" t="s">
        <v>14</v>
      </c>
      <c r="G115" s="10" t="s">
        <v>13</v>
      </c>
      <c r="H115" s="53">
        <v>2900</v>
      </c>
      <c r="I115" s="53">
        <f t="shared" si="2"/>
        <v>145000</v>
      </c>
      <c r="J115" t="s">
        <v>612</v>
      </c>
    </row>
    <row r="116" spans="1:10" x14ac:dyDescent="0.35">
      <c r="A116" s="11"/>
      <c r="B116" s="10"/>
      <c r="C116" s="11"/>
      <c r="D116" s="11" t="s">
        <v>511</v>
      </c>
      <c r="E116" s="10">
        <v>5</v>
      </c>
      <c r="F116" s="10" t="s">
        <v>14</v>
      </c>
      <c r="G116" s="10" t="s">
        <v>13</v>
      </c>
      <c r="H116" s="53">
        <v>60000</v>
      </c>
      <c r="I116" s="53">
        <f t="shared" si="2"/>
        <v>300000</v>
      </c>
      <c r="J116" t="s">
        <v>612</v>
      </c>
    </row>
    <row r="117" spans="1:10" x14ac:dyDescent="0.35">
      <c r="A117" s="11"/>
      <c r="B117" s="10"/>
      <c r="C117" s="11"/>
      <c r="D117" s="11" t="s">
        <v>512</v>
      </c>
      <c r="E117" s="10">
        <f>5*12</f>
        <v>60</v>
      </c>
      <c r="F117" s="10" t="s">
        <v>14</v>
      </c>
      <c r="G117" s="10" t="s">
        <v>13</v>
      </c>
      <c r="H117" s="53">
        <f>87500/60</f>
        <v>1458.3333333333333</v>
      </c>
      <c r="I117" s="53">
        <f t="shared" si="2"/>
        <v>87500</v>
      </c>
      <c r="J117" t="s">
        <v>612</v>
      </c>
    </row>
    <row r="118" spans="1:10" x14ac:dyDescent="0.35">
      <c r="A118" s="9"/>
      <c r="B118" s="10"/>
      <c r="C118" s="11"/>
      <c r="D118" s="11"/>
      <c r="E118" s="10"/>
      <c r="F118" s="10"/>
      <c r="G118" s="10"/>
      <c r="H118" s="53"/>
      <c r="I118" s="76">
        <f>SUM(I109:I117)</f>
        <v>10144500.5</v>
      </c>
    </row>
    <row r="119" spans="1:10" x14ac:dyDescent="0.35">
      <c r="A119" s="9">
        <v>45219</v>
      </c>
      <c r="B119" s="10">
        <v>639</v>
      </c>
      <c r="C119" s="11" t="s">
        <v>505</v>
      </c>
      <c r="D119" s="11" t="s">
        <v>506</v>
      </c>
      <c r="E119" s="10">
        <v>21</v>
      </c>
      <c r="F119" s="10" t="s">
        <v>25</v>
      </c>
      <c r="G119" s="10" t="s">
        <v>40</v>
      </c>
      <c r="H119" s="53">
        <v>22000</v>
      </c>
      <c r="I119" s="73">
        <f>H119*E119</f>
        <v>462000</v>
      </c>
      <c r="J119" t="s">
        <v>612</v>
      </c>
    </row>
    <row r="120" spans="1:10" x14ac:dyDescent="0.35">
      <c r="A120" s="9"/>
      <c r="B120" s="10"/>
      <c r="C120" s="11"/>
      <c r="D120" s="11"/>
      <c r="E120" s="10"/>
      <c r="F120" s="10"/>
      <c r="G120" s="10"/>
      <c r="H120" s="53"/>
      <c r="I120" s="53"/>
    </row>
    <row r="121" spans="1:10" x14ac:dyDescent="0.35">
      <c r="A121" s="9">
        <v>45223</v>
      </c>
      <c r="B121" s="10">
        <v>643</v>
      </c>
      <c r="C121" s="11" t="s">
        <v>11</v>
      </c>
      <c r="D121" s="11" t="s">
        <v>490</v>
      </c>
      <c r="E121" s="10">
        <v>250</v>
      </c>
      <c r="F121" s="10" t="s">
        <v>52</v>
      </c>
      <c r="G121" s="10" t="s">
        <v>24</v>
      </c>
      <c r="H121" s="53">
        <v>4700</v>
      </c>
      <c r="I121" s="53">
        <f>H121*E121</f>
        <v>1175000</v>
      </c>
      <c r="J121" t="s">
        <v>612</v>
      </c>
    </row>
    <row r="122" spans="1:10" x14ac:dyDescent="0.35">
      <c r="A122" s="11"/>
      <c r="B122" s="10"/>
      <c r="C122" s="11"/>
      <c r="D122" s="11" t="s">
        <v>483</v>
      </c>
      <c r="E122" s="10">
        <v>1000</v>
      </c>
      <c r="F122" s="10" t="s">
        <v>14</v>
      </c>
      <c r="G122" s="10" t="s">
        <v>13</v>
      </c>
      <c r="H122" s="53">
        <v>9000</v>
      </c>
      <c r="I122" s="53">
        <f>H122*E122</f>
        <v>9000000</v>
      </c>
      <c r="J122" t="s">
        <v>612</v>
      </c>
    </row>
    <row r="123" spans="1:10" x14ac:dyDescent="0.35">
      <c r="A123" s="11"/>
      <c r="B123" s="10"/>
      <c r="C123" s="11"/>
      <c r="D123" s="11" t="s">
        <v>297</v>
      </c>
      <c r="E123" s="10">
        <v>420</v>
      </c>
      <c r="F123" s="10" t="s">
        <v>14</v>
      </c>
      <c r="G123" s="10" t="s">
        <v>13</v>
      </c>
      <c r="H123" s="53">
        <v>8750</v>
      </c>
      <c r="I123" s="53">
        <f>H123*E123</f>
        <v>3675000</v>
      </c>
      <c r="J123" t="s">
        <v>612</v>
      </c>
    </row>
    <row r="124" spans="1:10" x14ac:dyDescent="0.35">
      <c r="A124" s="11"/>
      <c r="B124" s="10"/>
      <c r="C124" s="11"/>
      <c r="D124" s="11" t="s">
        <v>491</v>
      </c>
      <c r="E124" s="10">
        <v>1100</v>
      </c>
      <c r="F124" s="10" t="s">
        <v>14</v>
      </c>
      <c r="G124" s="10" t="s">
        <v>13</v>
      </c>
      <c r="H124" s="53">
        <v>1458.34</v>
      </c>
      <c r="I124" s="53">
        <f>H124*E124</f>
        <v>1604174</v>
      </c>
      <c r="J124" t="s">
        <v>612</v>
      </c>
    </row>
    <row r="125" spans="1:10" x14ac:dyDescent="0.35">
      <c r="A125" s="11"/>
      <c r="B125" s="10"/>
      <c r="C125" s="11"/>
      <c r="D125" s="11" t="s">
        <v>492</v>
      </c>
      <c r="E125" s="10">
        <v>1100</v>
      </c>
      <c r="F125" s="10" t="s">
        <v>14</v>
      </c>
      <c r="G125" s="10" t="s">
        <v>13</v>
      </c>
      <c r="H125" s="53">
        <v>2500</v>
      </c>
      <c r="I125" s="53">
        <f>H125*E125</f>
        <v>2750000</v>
      </c>
      <c r="J125" t="s">
        <v>612</v>
      </c>
    </row>
    <row r="126" spans="1:10" x14ac:dyDescent="0.35">
      <c r="A126" s="9"/>
      <c r="B126" s="10"/>
      <c r="C126" s="11"/>
      <c r="D126" s="11"/>
      <c r="E126" s="10"/>
      <c r="F126" s="10"/>
      <c r="G126" s="10"/>
      <c r="H126" s="53"/>
      <c r="I126" s="73">
        <f>SUM(I121:I125)</f>
        <v>18204174</v>
      </c>
    </row>
    <row r="127" spans="1:10" x14ac:dyDescent="0.35">
      <c r="A127" s="9">
        <v>45223</v>
      </c>
      <c r="B127" s="10">
        <v>644</v>
      </c>
      <c r="C127" s="11" t="s">
        <v>11</v>
      </c>
      <c r="D127" s="11" t="s">
        <v>493</v>
      </c>
      <c r="E127" s="10">
        <v>100</v>
      </c>
      <c r="F127" s="10" t="s">
        <v>14</v>
      </c>
      <c r="G127" s="10" t="s">
        <v>13</v>
      </c>
      <c r="H127" s="53">
        <v>3750</v>
      </c>
      <c r="I127" s="53">
        <f>H127*E127</f>
        <v>375000</v>
      </c>
      <c r="J127" t="s">
        <v>612</v>
      </c>
    </row>
    <row r="128" spans="1:10" x14ac:dyDescent="0.35">
      <c r="A128" s="11"/>
      <c r="B128" s="10"/>
      <c r="C128" s="11"/>
      <c r="D128" s="11" t="s">
        <v>233</v>
      </c>
      <c r="E128" s="10">
        <v>350</v>
      </c>
      <c r="F128" s="10" t="s">
        <v>14</v>
      </c>
      <c r="G128" s="10" t="s">
        <v>13</v>
      </c>
      <c r="H128" s="53">
        <v>600</v>
      </c>
      <c r="I128" s="53">
        <f>H128*E128</f>
        <v>210000</v>
      </c>
      <c r="J128" t="s">
        <v>612</v>
      </c>
    </row>
    <row r="129" spans="1:10" x14ac:dyDescent="0.35">
      <c r="A129" s="11"/>
      <c r="B129" s="10"/>
      <c r="C129" s="11"/>
      <c r="D129" s="11" t="s">
        <v>494</v>
      </c>
      <c r="E129" s="10">
        <v>24</v>
      </c>
      <c r="F129" s="10" t="s">
        <v>14</v>
      </c>
      <c r="G129" s="10" t="s">
        <v>13</v>
      </c>
      <c r="H129" s="53">
        <v>8000</v>
      </c>
      <c r="I129" s="53">
        <f>H129*E129</f>
        <v>192000</v>
      </c>
      <c r="J129" t="s">
        <v>612</v>
      </c>
    </row>
    <row r="130" spans="1:10" x14ac:dyDescent="0.35">
      <c r="A130" s="11"/>
      <c r="B130" s="10"/>
      <c r="C130" s="11"/>
      <c r="D130" s="11" t="s">
        <v>495</v>
      </c>
      <c r="E130" s="10">
        <v>24</v>
      </c>
      <c r="F130" s="10" t="s">
        <v>14</v>
      </c>
      <c r="G130" s="10" t="s">
        <v>496</v>
      </c>
      <c r="H130" s="53">
        <v>21000</v>
      </c>
      <c r="I130" s="53">
        <f>H130*E130</f>
        <v>504000</v>
      </c>
      <c r="J130" t="s">
        <v>612</v>
      </c>
    </row>
    <row r="131" spans="1:10" x14ac:dyDescent="0.35">
      <c r="A131" s="11"/>
      <c r="B131" s="10"/>
      <c r="C131" s="11"/>
      <c r="D131" s="11" t="s">
        <v>497</v>
      </c>
      <c r="E131" s="10">
        <f>5*12</f>
        <v>60</v>
      </c>
      <c r="F131" s="10" t="s">
        <v>14</v>
      </c>
      <c r="G131" s="10" t="s">
        <v>13</v>
      </c>
      <c r="H131" s="53">
        <v>645.84</v>
      </c>
      <c r="I131" s="53">
        <f>H131*E131</f>
        <v>38750.400000000001</v>
      </c>
      <c r="J131" t="s">
        <v>612</v>
      </c>
    </row>
    <row r="132" spans="1:10" x14ac:dyDescent="0.35">
      <c r="A132" s="11"/>
      <c r="B132" s="10"/>
      <c r="C132" s="11"/>
      <c r="D132" s="11"/>
      <c r="E132" s="10"/>
      <c r="F132" s="10"/>
      <c r="G132" s="10"/>
      <c r="H132" s="53"/>
      <c r="I132" s="73">
        <f>SUM(I127:I131)</f>
        <v>1319750.3999999999</v>
      </c>
    </row>
    <row r="133" spans="1:10" x14ac:dyDescent="0.35">
      <c r="A133" s="9">
        <v>45224</v>
      </c>
      <c r="B133" s="10">
        <v>649</v>
      </c>
      <c r="C133" s="11" t="s">
        <v>11</v>
      </c>
      <c r="D133" s="11" t="s">
        <v>482</v>
      </c>
      <c r="E133" s="10">
        <v>600</v>
      </c>
      <c r="F133" s="10" t="s">
        <v>14</v>
      </c>
      <c r="G133" s="10" t="s">
        <v>13</v>
      </c>
      <c r="H133" s="53">
        <v>8750</v>
      </c>
      <c r="I133" s="73">
        <f>H133*E133</f>
        <v>5250000</v>
      </c>
      <c r="J133" t="s">
        <v>612</v>
      </c>
    </row>
    <row r="134" spans="1:10" x14ac:dyDescent="0.35">
      <c r="A134" s="11"/>
      <c r="B134" s="10"/>
      <c r="C134" s="11"/>
      <c r="D134" s="11"/>
      <c r="E134" s="10"/>
      <c r="F134" s="10"/>
      <c r="G134" s="10"/>
      <c r="H134" s="53"/>
      <c r="I134" s="54"/>
    </row>
    <row r="135" spans="1:10" x14ac:dyDescent="0.35">
      <c r="A135" s="11"/>
      <c r="B135" s="10"/>
      <c r="C135" s="11"/>
      <c r="D135" s="11"/>
      <c r="E135" s="10"/>
      <c r="F135" s="10"/>
      <c r="G135" s="10"/>
      <c r="H135" s="53"/>
      <c r="I135" s="53"/>
    </row>
    <row r="136" spans="1:10" x14ac:dyDescent="0.35">
      <c r="A136" s="9">
        <v>45224</v>
      </c>
      <c r="B136" s="10">
        <v>650</v>
      </c>
      <c r="C136" s="11" t="s">
        <v>11</v>
      </c>
      <c r="D136" s="11" t="s">
        <v>484</v>
      </c>
      <c r="E136" s="10">
        <v>20</v>
      </c>
      <c r="F136" s="10" t="s">
        <v>286</v>
      </c>
      <c r="G136" s="10" t="s">
        <v>13</v>
      </c>
      <c r="H136" s="53">
        <v>18500</v>
      </c>
      <c r="I136" s="53">
        <f t="shared" ref="I136:I143" si="3">H136*E136</f>
        <v>370000</v>
      </c>
      <c r="J136" t="s">
        <v>612</v>
      </c>
    </row>
    <row r="137" spans="1:10" x14ac:dyDescent="0.35">
      <c r="A137" s="11"/>
      <c r="B137" s="10"/>
      <c r="C137" s="11"/>
      <c r="D137" s="11" t="s">
        <v>485</v>
      </c>
      <c r="E137" s="10">
        <v>10</v>
      </c>
      <c r="F137" s="10" t="s">
        <v>28</v>
      </c>
      <c r="G137" s="10" t="s">
        <v>13</v>
      </c>
      <c r="H137" s="53">
        <v>11000</v>
      </c>
      <c r="I137" s="53">
        <f t="shared" si="3"/>
        <v>110000</v>
      </c>
      <c r="J137" t="s">
        <v>612</v>
      </c>
    </row>
    <row r="138" spans="1:10" x14ac:dyDescent="0.35">
      <c r="A138" s="11"/>
      <c r="B138" s="10"/>
      <c r="C138" s="11"/>
      <c r="D138" s="11" t="s">
        <v>486</v>
      </c>
      <c r="E138" s="10">
        <v>24</v>
      </c>
      <c r="F138" s="10" t="s">
        <v>14</v>
      </c>
      <c r="G138" s="10" t="s">
        <v>13</v>
      </c>
      <c r="H138" s="53">
        <v>19500</v>
      </c>
      <c r="I138" s="53">
        <f t="shared" si="3"/>
        <v>468000</v>
      </c>
      <c r="J138" t="s">
        <v>612</v>
      </c>
    </row>
    <row r="139" spans="1:10" x14ac:dyDescent="0.35">
      <c r="A139" s="11"/>
      <c r="B139" s="10"/>
      <c r="C139" s="11"/>
      <c r="D139" s="11" t="s">
        <v>94</v>
      </c>
      <c r="E139" s="10">
        <v>30</v>
      </c>
      <c r="F139" s="10" t="s">
        <v>20</v>
      </c>
      <c r="G139" s="10" t="s">
        <v>13</v>
      </c>
      <c r="H139" s="53">
        <v>27000</v>
      </c>
      <c r="I139" s="53">
        <f t="shared" si="3"/>
        <v>810000</v>
      </c>
      <c r="J139" t="s">
        <v>612</v>
      </c>
    </row>
    <row r="140" spans="1:10" x14ac:dyDescent="0.35">
      <c r="A140" s="11"/>
      <c r="B140" s="10"/>
      <c r="C140" s="11"/>
      <c r="D140" s="11" t="s">
        <v>487</v>
      </c>
      <c r="E140" s="10">
        <f>30*2</f>
        <v>60</v>
      </c>
      <c r="F140" s="10" t="s">
        <v>14</v>
      </c>
      <c r="G140" s="10" t="s">
        <v>13</v>
      </c>
      <c r="H140" s="53">
        <f>13000/2</f>
        <v>6500</v>
      </c>
      <c r="I140" s="53">
        <f t="shared" si="3"/>
        <v>390000</v>
      </c>
      <c r="J140" t="s">
        <v>612</v>
      </c>
    </row>
    <row r="141" spans="1:10" x14ac:dyDescent="0.35">
      <c r="A141" s="11"/>
      <c r="B141" s="10"/>
      <c r="C141" s="11"/>
      <c r="D141" s="11" t="s">
        <v>113</v>
      </c>
      <c r="E141" s="10">
        <v>6</v>
      </c>
      <c r="F141" s="10" t="s">
        <v>21</v>
      </c>
      <c r="G141" s="10" t="s">
        <v>13</v>
      </c>
      <c r="H141" s="53">
        <v>30000</v>
      </c>
      <c r="I141" s="53">
        <f t="shared" si="3"/>
        <v>180000</v>
      </c>
      <c r="J141" t="s">
        <v>612</v>
      </c>
    </row>
    <row r="142" spans="1:10" x14ac:dyDescent="0.35">
      <c r="A142" s="11"/>
      <c r="B142" s="10"/>
      <c r="C142" s="11"/>
      <c r="D142" s="11" t="s">
        <v>488</v>
      </c>
      <c r="E142" s="10">
        <v>12</v>
      </c>
      <c r="F142" s="10" t="s">
        <v>14</v>
      </c>
      <c r="G142" s="10" t="s">
        <v>13</v>
      </c>
      <c r="H142" s="53">
        <v>3500</v>
      </c>
      <c r="I142" s="53">
        <f t="shared" si="3"/>
        <v>42000</v>
      </c>
      <c r="J142" t="s">
        <v>612</v>
      </c>
    </row>
    <row r="143" spans="1:10" x14ac:dyDescent="0.35">
      <c r="A143" s="11"/>
      <c r="B143" s="10"/>
      <c r="C143" s="11"/>
      <c r="D143" s="11" t="s">
        <v>489</v>
      </c>
      <c r="E143" s="10">
        <v>15</v>
      </c>
      <c r="F143" s="10" t="s">
        <v>14</v>
      </c>
      <c r="G143" s="10" t="s">
        <v>13</v>
      </c>
      <c r="H143" s="53">
        <v>2000</v>
      </c>
      <c r="I143" s="53">
        <f t="shared" si="3"/>
        <v>30000</v>
      </c>
      <c r="J143" t="s">
        <v>612</v>
      </c>
    </row>
    <row r="144" spans="1:10" x14ac:dyDescent="0.35">
      <c r="A144" s="11"/>
      <c r="B144" s="10"/>
      <c r="C144" s="11"/>
      <c r="D144" s="11"/>
      <c r="E144" s="10"/>
      <c r="F144" s="10"/>
      <c r="G144" s="10"/>
      <c r="H144" s="53"/>
      <c r="I144" s="76">
        <f>SUM(I136:I143)</f>
        <v>2400000</v>
      </c>
    </row>
    <row r="145" spans="1:10" x14ac:dyDescent="0.35">
      <c r="A145" s="9">
        <v>45225</v>
      </c>
      <c r="B145" s="10">
        <v>651</v>
      </c>
      <c r="C145" s="11" t="s">
        <v>11</v>
      </c>
      <c r="D145" s="11" t="s">
        <v>482</v>
      </c>
      <c r="E145" s="10">
        <v>80</v>
      </c>
      <c r="F145" s="10" t="s">
        <v>14</v>
      </c>
      <c r="G145" s="10" t="s">
        <v>13</v>
      </c>
      <c r="H145" s="53">
        <v>8750</v>
      </c>
      <c r="I145" s="53">
        <f>H145*E145</f>
        <v>700000</v>
      </c>
      <c r="J145" s="83" t="s">
        <v>612</v>
      </c>
    </row>
    <row r="146" spans="1:10" x14ac:dyDescent="0.35">
      <c r="A146" s="11"/>
      <c r="B146" s="10"/>
      <c r="C146" s="11"/>
      <c r="D146" s="11" t="s">
        <v>483</v>
      </c>
      <c r="E146" s="10">
        <v>100</v>
      </c>
      <c r="F146" s="10" t="s">
        <v>14</v>
      </c>
      <c r="G146" s="10" t="s">
        <v>13</v>
      </c>
      <c r="H146" s="53">
        <v>9000</v>
      </c>
      <c r="I146" s="53">
        <f>H146*E146</f>
        <v>900000</v>
      </c>
      <c r="J146" t="s">
        <v>612</v>
      </c>
    </row>
    <row r="147" spans="1:10" x14ac:dyDescent="0.35">
      <c r="A147" s="8"/>
      <c r="B147" s="10"/>
      <c r="C147" s="8"/>
      <c r="D147" s="11"/>
      <c r="E147" s="10"/>
      <c r="F147" s="10"/>
      <c r="G147" s="10"/>
      <c r="H147" s="53"/>
      <c r="I147" s="76">
        <f>SUM(I145:I146)</f>
        <v>1600000</v>
      </c>
    </row>
    <row r="148" spans="1:10" x14ac:dyDescent="0.35">
      <c r="A148" s="9">
        <v>45226</v>
      </c>
      <c r="B148" s="10">
        <v>653</v>
      </c>
      <c r="C148" s="11" t="s">
        <v>11</v>
      </c>
      <c r="D148" s="11" t="s">
        <v>19</v>
      </c>
      <c r="E148" s="10">
        <v>150</v>
      </c>
      <c r="F148" s="10" t="s">
        <v>20</v>
      </c>
      <c r="G148" s="10" t="s">
        <v>13</v>
      </c>
      <c r="H148" s="53">
        <v>41000</v>
      </c>
      <c r="I148" s="53">
        <f>H148*E148</f>
        <v>6150000</v>
      </c>
      <c r="J148" t="s">
        <v>612</v>
      </c>
    </row>
    <row r="149" spans="1:10" x14ac:dyDescent="0.35">
      <c r="A149" s="11"/>
      <c r="B149" s="10"/>
      <c r="C149" s="11"/>
      <c r="D149" s="11" t="s">
        <v>184</v>
      </c>
      <c r="E149" s="10">
        <v>50</v>
      </c>
      <c r="F149" s="10" t="s">
        <v>20</v>
      </c>
      <c r="G149" s="10" t="s">
        <v>13</v>
      </c>
      <c r="H149" s="53">
        <v>59000</v>
      </c>
      <c r="I149" s="53">
        <f>H149*E149</f>
        <v>2950000</v>
      </c>
      <c r="J149" t="s">
        <v>612</v>
      </c>
    </row>
    <row r="150" spans="1:10" x14ac:dyDescent="0.35">
      <c r="A150" s="11"/>
      <c r="B150" s="10"/>
      <c r="C150" s="11"/>
      <c r="D150" s="11" t="s">
        <v>481</v>
      </c>
      <c r="E150" s="10">
        <v>250</v>
      </c>
      <c r="F150" s="10" t="s">
        <v>52</v>
      </c>
      <c r="G150" s="10" t="s">
        <v>24</v>
      </c>
      <c r="H150" s="60">
        <v>2900</v>
      </c>
      <c r="I150" s="60">
        <f>H150*E150</f>
        <v>725000</v>
      </c>
      <c r="J150" t="s">
        <v>612</v>
      </c>
    </row>
    <row r="151" spans="1:10" x14ac:dyDescent="0.35">
      <c r="A151" s="9"/>
      <c r="B151" s="10"/>
      <c r="C151" s="11"/>
      <c r="D151" s="11"/>
      <c r="E151" s="10"/>
      <c r="F151" s="10"/>
      <c r="G151" s="10"/>
      <c r="H151" s="53"/>
      <c r="I151" s="73">
        <f>SUM(I148:I150)</f>
        <v>9825000</v>
      </c>
    </row>
    <row r="152" spans="1:10" x14ac:dyDescent="0.35">
      <c r="A152" s="9">
        <v>45230</v>
      </c>
      <c r="B152" s="10">
        <v>659</v>
      </c>
      <c r="C152" s="11" t="s">
        <v>11</v>
      </c>
      <c r="D152" s="11" t="s">
        <v>474</v>
      </c>
      <c r="E152" s="10">
        <v>24</v>
      </c>
      <c r="F152" s="10" t="s">
        <v>14</v>
      </c>
      <c r="G152" s="10" t="s">
        <v>13</v>
      </c>
      <c r="H152" s="53">
        <f>17500/12</f>
        <v>1458.3333333333333</v>
      </c>
      <c r="I152" s="53">
        <f t="shared" ref="I152:I162" si="4">H152*E152</f>
        <v>35000</v>
      </c>
      <c r="J152" t="s">
        <v>612</v>
      </c>
    </row>
    <row r="153" spans="1:10" x14ac:dyDescent="0.35">
      <c r="A153" s="11"/>
      <c r="B153" s="10"/>
      <c r="C153" s="11"/>
      <c r="D153" s="11" t="s">
        <v>475</v>
      </c>
      <c r="E153" s="10">
        <v>24</v>
      </c>
      <c r="F153" s="10" t="s">
        <v>14</v>
      </c>
      <c r="G153" s="10" t="s">
        <v>13</v>
      </c>
      <c r="H153" s="53">
        <f>17500/12</f>
        <v>1458.3333333333333</v>
      </c>
      <c r="I153" s="53">
        <f t="shared" si="4"/>
        <v>35000</v>
      </c>
      <c r="J153" t="s">
        <v>612</v>
      </c>
    </row>
    <row r="154" spans="1:10" x14ac:dyDescent="0.35">
      <c r="A154" s="11"/>
      <c r="B154" s="10"/>
      <c r="C154" s="11"/>
      <c r="D154" s="11" t="s">
        <v>139</v>
      </c>
      <c r="E154" s="10">
        <v>12</v>
      </c>
      <c r="F154" s="10" t="s">
        <v>14</v>
      </c>
      <c r="G154" s="10" t="s">
        <v>13</v>
      </c>
      <c r="H154" s="53">
        <v>20250</v>
      </c>
      <c r="I154" s="53">
        <f t="shared" si="4"/>
        <v>243000</v>
      </c>
      <c r="J154" t="s">
        <v>612</v>
      </c>
    </row>
    <row r="155" spans="1:10" x14ac:dyDescent="0.35">
      <c r="A155" s="11"/>
      <c r="B155" s="10"/>
      <c r="C155" s="11"/>
      <c r="D155" s="11" t="s">
        <v>339</v>
      </c>
      <c r="E155" s="10">
        <v>500</v>
      </c>
      <c r="F155" s="10" t="s">
        <v>286</v>
      </c>
      <c r="G155" s="10" t="s">
        <v>13</v>
      </c>
      <c r="H155" s="53">
        <v>1600</v>
      </c>
      <c r="I155" s="53">
        <f t="shared" si="4"/>
        <v>800000</v>
      </c>
      <c r="J155" t="s">
        <v>612</v>
      </c>
    </row>
    <row r="156" spans="1:10" x14ac:dyDescent="0.35">
      <c r="A156" s="11"/>
      <c r="B156" s="10"/>
      <c r="C156" s="11"/>
      <c r="D156" s="11" t="s">
        <v>465</v>
      </c>
      <c r="E156" s="10">
        <v>12</v>
      </c>
      <c r="F156" s="10" t="s">
        <v>14</v>
      </c>
      <c r="G156" s="10" t="s">
        <v>13</v>
      </c>
      <c r="H156" s="53">
        <v>13750</v>
      </c>
      <c r="I156" s="53">
        <f t="shared" si="4"/>
        <v>165000</v>
      </c>
      <c r="J156" t="s">
        <v>612</v>
      </c>
    </row>
    <row r="157" spans="1:10" x14ac:dyDescent="0.35">
      <c r="A157" s="11"/>
      <c r="B157" s="10"/>
      <c r="C157" s="11"/>
      <c r="D157" s="11" t="s">
        <v>158</v>
      </c>
      <c r="E157" s="10">
        <v>50</v>
      </c>
      <c r="F157" s="10" t="s">
        <v>476</v>
      </c>
      <c r="G157" s="10" t="s">
        <v>13</v>
      </c>
      <c r="H157" s="53">
        <v>2900</v>
      </c>
      <c r="I157" s="53">
        <f t="shared" si="4"/>
        <v>145000</v>
      </c>
      <c r="J157" t="s">
        <v>612</v>
      </c>
    </row>
    <row r="158" spans="1:10" x14ac:dyDescent="0.35">
      <c r="A158" s="11"/>
      <c r="B158" s="10"/>
      <c r="C158" s="11"/>
      <c r="D158" s="11" t="s">
        <v>477</v>
      </c>
      <c r="E158" s="10">
        <v>5</v>
      </c>
      <c r="F158" s="10" t="s">
        <v>28</v>
      </c>
      <c r="G158" s="10" t="s">
        <v>13</v>
      </c>
      <c r="H158" s="53">
        <v>16500</v>
      </c>
      <c r="I158" s="53">
        <f t="shared" si="4"/>
        <v>82500</v>
      </c>
      <c r="J158" t="s">
        <v>612</v>
      </c>
    </row>
    <row r="159" spans="1:10" x14ac:dyDescent="0.35">
      <c r="A159" s="11"/>
      <c r="B159" s="10"/>
      <c r="C159" s="11"/>
      <c r="D159" s="11" t="s">
        <v>478</v>
      </c>
      <c r="E159" s="10">
        <v>24</v>
      </c>
      <c r="F159" s="10" t="s">
        <v>14</v>
      </c>
      <c r="G159" s="10" t="s">
        <v>13</v>
      </c>
      <c r="H159" s="53">
        <v>3250</v>
      </c>
      <c r="I159" s="53">
        <f t="shared" si="4"/>
        <v>78000</v>
      </c>
      <c r="J159" t="s">
        <v>612</v>
      </c>
    </row>
    <row r="160" spans="1:10" x14ac:dyDescent="0.35">
      <c r="A160" s="11"/>
      <c r="B160" s="10"/>
      <c r="C160" s="11"/>
      <c r="D160" s="11" t="s">
        <v>479</v>
      </c>
      <c r="E160" s="10">
        <v>25</v>
      </c>
      <c r="F160" s="10" t="s">
        <v>14</v>
      </c>
      <c r="G160" s="10" t="s">
        <v>13</v>
      </c>
      <c r="H160" s="60">
        <v>13000</v>
      </c>
      <c r="I160" s="60">
        <f t="shared" si="4"/>
        <v>325000</v>
      </c>
      <c r="J160" t="s">
        <v>612</v>
      </c>
    </row>
    <row r="161" spans="1:11" x14ac:dyDescent="0.35">
      <c r="A161" s="11"/>
      <c r="B161" s="10"/>
      <c r="C161" s="11"/>
      <c r="D161" s="11" t="s">
        <v>252</v>
      </c>
      <c r="E161" s="10">
        <v>30</v>
      </c>
      <c r="F161" s="10" t="s">
        <v>20</v>
      </c>
      <c r="G161" s="10" t="s">
        <v>13</v>
      </c>
      <c r="H161" s="53">
        <v>40500</v>
      </c>
      <c r="I161" s="53">
        <f t="shared" si="4"/>
        <v>1215000</v>
      </c>
      <c r="J161" t="s">
        <v>612</v>
      </c>
    </row>
    <row r="162" spans="1:11" x14ac:dyDescent="0.35">
      <c r="A162" s="11"/>
      <c r="B162" s="10"/>
      <c r="C162" s="11"/>
      <c r="D162" s="11" t="s">
        <v>480</v>
      </c>
      <c r="E162" s="10">
        <v>5</v>
      </c>
      <c r="F162" s="10" t="s">
        <v>14</v>
      </c>
      <c r="G162" s="10" t="s">
        <v>13</v>
      </c>
      <c r="H162" s="53">
        <v>95000</v>
      </c>
      <c r="I162" s="53">
        <f t="shared" si="4"/>
        <v>475000</v>
      </c>
      <c r="J162" t="s">
        <v>612</v>
      </c>
    </row>
    <row r="163" spans="1:11" x14ac:dyDescent="0.35">
      <c r="A163" s="11"/>
      <c r="B163" s="10"/>
      <c r="C163" s="11"/>
      <c r="D163" s="11"/>
      <c r="E163" s="10"/>
      <c r="F163" s="10"/>
      <c r="G163" s="10"/>
      <c r="H163" s="53"/>
      <c r="I163" s="73">
        <f>SUM(I152:I162)</f>
        <v>3598500</v>
      </c>
    </row>
    <row r="164" spans="1:11" x14ac:dyDescent="0.35">
      <c r="A164" s="11"/>
      <c r="B164" s="10"/>
      <c r="C164" s="11"/>
      <c r="D164" s="11"/>
      <c r="E164" s="10"/>
      <c r="F164" s="10"/>
      <c r="G164" s="10"/>
      <c r="H164" s="53"/>
      <c r="I164" s="60"/>
    </row>
    <row r="165" spans="1:11" x14ac:dyDescent="0.35">
      <c r="A165" s="9">
        <v>45218</v>
      </c>
      <c r="B165" s="10">
        <v>664</v>
      </c>
      <c r="C165" s="11" t="s">
        <v>631</v>
      </c>
      <c r="D165" s="11" t="s">
        <v>632</v>
      </c>
      <c r="E165" s="10">
        <v>7</v>
      </c>
      <c r="F165" s="10" t="s">
        <v>210</v>
      </c>
      <c r="G165" s="10" t="s">
        <v>200</v>
      </c>
      <c r="H165" s="53">
        <v>0</v>
      </c>
      <c r="I165" s="53">
        <f>H165*E165</f>
        <v>0</v>
      </c>
      <c r="J165" s="114">
        <v>13735000</v>
      </c>
    </row>
    <row r="166" spans="1:11" x14ac:dyDescent="0.35">
      <c r="A166" s="11"/>
      <c r="B166" s="10"/>
      <c r="C166" s="11"/>
      <c r="D166" s="11" t="s">
        <v>633</v>
      </c>
      <c r="E166" s="10">
        <v>1</v>
      </c>
      <c r="F166" s="10" t="s">
        <v>210</v>
      </c>
      <c r="G166" s="10" t="s">
        <v>200</v>
      </c>
      <c r="H166" s="53">
        <v>0</v>
      </c>
      <c r="I166" s="53">
        <f>H166*E166</f>
        <v>0</v>
      </c>
      <c r="J166" s="114">
        <v>4075000</v>
      </c>
    </row>
    <row r="167" spans="1:11" x14ac:dyDescent="0.35">
      <c r="A167" s="11"/>
      <c r="B167" s="10"/>
      <c r="C167" s="11"/>
      <c r="D167" s="11" t="s">
        <v>634</v>
      </c>
      <c r="E167" s="10">
        <v>27</v>
      </c>
      <c r="F167" s="10" t="s">
        <v>14</v>
      </c>
      <c r="G167" s="10" t="s">
        <v>200</v>
      </c>
      <c r="H167" s="53">
        <v>0</v>
      </c>
      <c r="I167" s="53">
        <f>H167*E167</f>
        <v>0</v>
      </c>
    </row>
    <row r="168" spans="1:11" x14ac:dyDescent="0.35">
      <c r="A168" s="11"/>
      <c r="B168" s="10"/>
      <c r="C168" s="11"/>
      <c r="D168" s="11"/>
      <c r="E168" s="10"/>
      <c r="F168" s="10"/>
      <c r="G168" s="10"/>
      <c r="H168" s="53"/>
      <c r="I168" s="76">
        <v>0</v>
      </c>
      <c r="J168" s="115">
        <f>SUM(J165:J167)</f>
        <v>17810000</v>
      </c>
      <c r="K168" t="s">
        <v>635</v>
      </c>
    </row>
    <row r="169" spans="1:11" x14ac:dyDescent="0.35">
      <c r="A169" s="11"/>
      <c r="B169" s="10"/>
      <c r="C169" s="11"/>
      <c r="D169" s="11"/>
      <c r="E169" s="10"/>
      <c r="F169" s="10"/>
      <c r="G169" s="10"/>
      <c r="H169" s="53"/>
      <c r="I169" s="54"/>
    </row>
    <row r="170" spans="1:11" x14ac:dyDescent="0.35">
      <c r="A170" s="9">
        <v>45208</v>
      </c>
      <c r="B170" s="10">
        <v>665</v>
      </c>
      <c r="C170" s="11" t="s">
        <v>472</v>
      </c>
      <c r="D170" s="11" t="s">
        <v>473</v>
      </c>
      <c r="E170" s="10">
        <v>6</v>
      </c>
      <c r="F170" s="10" t="s">
        <v>14</v>
      </c>
      <c r="G170" s="10" t="s">
        <v>219</v>
      </c>
      <c r="H170" s="53">
        <v>116000</v>
      </c>
      <c r="I170" s="73">
        <f>H170*E170</f>
        <v>696000</v>
      </c>
      <c r="J170" t="s">
        <v>612</v>
      </c>
    </row>
    <row r="171" spans="1:11" x14ac:dyDescent="0.35">
      <c r="A171" s="9"/>
      <c r="B171" s="10"/>
      <c r="C171" s="11"/>
      <c r="D171" s="11"/>
      <c r="E171" s="10"/>
      <c r="F171" s="10"/>
      <c r="G171" s="10"/>
      <c r="H171" s="53"/>
      <c r="I171" s="53"/>
      <c r="K171" s="100" t="s">
        <v>629</v>
      </c>
    </row>
    <row r="172" spans="1:11" x14ac:dyDescent="0.35">
      <c r="A172" s="9">
        <v>45221</v>
      </c>
      <c r="B172" s="10">
        <v>667</v>
      </c>
      <c r="C172" s="11"/>
      <c r="D172" s="11" t="s">
        <v>628</v>
      </c>
      <c r="E172" s="10">
        <v>1</v>
      </c>
      <c r="F172" s="10" t="s">
        <v>221</v>
      </c>
      <c r="G172" s="10" t="s">
        <v>200</v>
      </c>
      <c r="H172" s="53">
        <v>0</v>
      </c>
      <c r="I172" s="53">
        <f>H172*E172</f>
        <v>0</v>
      </c>
      <c r="J172" s="99">
        <f>25284000-11880000</f>
        <v>13404000</v>
      </c>
      <c r="K172" s="101">
        <v>11880000</v>
      </c>
    </row>
    <row r="173" spans="1:11" x14ac:dyDescent="0.35">
      <c r="A173" s="9"/>
      <c r="B173" s="10"/>
      <c r="C173" s="11"/>
      <c r="D173" s="11" t="s">
        <v>630</v>
      </c>
      <c r="E173" s="10"/>
      <c r="F173" s="10"/>
      <c r="G173" s="10"/>
      <c r="H173" s="53"/>
      <c r="I173" s="73">
        <v>13404000</v>
      </c>
    </row>
    <row r="174" spans="1:11" x14ac:dyDescent="0.35">
      <c r="A174" s="9"/>
      <c r="B174" s="10"/>
      <c r="C174" s="11"/>
      <c r="D174" s="11"/>
      <c r="E174" s="10"/>
      <c r="F174" s="10"/>
      <c r="G174" s="10"/>
      <c r="H174" s="53"/>
      <c r="I174" s="53"/>
    </row>
    <row r="175" spans="1:11" x14ac:dyDescent="0.35">
      <c r="A175" s="9"/>
      <c r="B175" s="10"/>
      <c r="C175" s="11"/>
      <c r="D175" s="11"/>
      <c r="E175" s="10"/>
      <c r="F175" s="10"/>
      <c r="G175" s="10"/>
      <c r="H175" s="53"/>
      <c r="I175" s="53"/>
    </row>
    <row r="176" spans="1:11" x14ac:dyDescent="0.35">
      <c r="A176" s="9"/>
      <c r="B176" s="10"/>
      <c r="C176" s="11"/>
      <c r="D176" s="11"/>
      <c r="E176" s="10"/>
      <c r="F176" s="10"/>
      <c r="G176" s="10"/>
      <c r="H176" s="53"/>
      <c r="I176" s="53"/>
    </row>
    <row r="177" spans="1:10" x14ac:dyDescent="0.35">
      <c r="A177" s="9">
        <v>45234</v>
      </c>
      <c r="B177" s="10">
        <v>672</v>
      </c>
      <c r="C177" s="11" t="s">
        <v>11</v>
      </c>
      <c r="D177" s="11" t="s">
        <v>624</v>
      </c>
      <c r="E177" s="10">
        <v>3</v>
      </c>
      <c r="F177" s="10" t="s">
        <v>28</v>
      </c>
      <c r="G177" s="10" t="s">
        <v>24</v>
      </c>
      <c r="H177" s="53">
        <v>180000</v>
      </c>
      <c r="I177" s="73">
        <f>H177*E177</f>
        <v>540000</v>
      </c>
      <c r="J177" t="s">
        <v>612</v>
      </c>
    </row>
    <row r="178" spans="1:10" x14ac:dyDescent="0.35">
      <c r="A178" s="9"/>
      <c r="B178" s="10"/>
      <c r="C178" s="11"/>
      <c r="D178" s="11"/>
      <c r="E178" s="10"/>
      <c r="F178" s="10"/>
      <c r="G178" s="10"/>
      <c r="H178" s="53"/>
      <c r="I178" s="53"/>
    </row>
    <row r="179" spans="1:10" x14ac:dyDescent="0.35">
      <c r="A179" s="9"/>
      <c r="B179" s="10"/>
      <c r="C179" s="11"/>
      <c r="D179" s="11"/>
      <c r="E179" s="10"/>
      <c r="F179" s="10"/>
      <c r="G179" s="10"/>
      <c r="H179" s="53"/>
      <c r="I179" s="53"/>
    </row>
    <row r="180" spans="1:10" x14ac:dyDescent="0.35">
      <c r="A180" s="11"/>
      <c r="B180" s="10"/>
      <c r="C180" s="11"/>
      <c r="D180" s="11"/>
      <c r="E180" s="10"/>
      <c r="F180" s="10"/>
      <c r="G180" s="10"/>
      <c r="H180" s="53"/>
      <c r="I180" s="54"/>
    </row>
    <row r="181" spans="1:10" x14ac:dyDescent="0.35">
      <c r="A181" s="9">
        <v>45237</v>
      </c>
      <c r="B181" s="10">
        <v>681</v>
      </c>
      <c r="C181" s="11" t="s">
        <v>11</v>
      </c>
      <c r="D181" s="11" t="s">
        <v>83</v>
      </c>
      <c r="E181" s="10">
        <v>50</v>
      </c>
      <c r="F181" s="10" t="s">
        <v>286</v>
      </c>
      <c r="G181" s="10" t="s">
        <v>13</v>
      </c>
      <c r="H181" s="78">
        <v>8500</v>
      </c>
      <c r="I181" s="78">
        <f t="shared" ref="I181:I194" si="5">H181*E181</f>
        <v>425000</v>
      </c>
      <c r="J181" t="s">
        <v>612</v>
      </c>
    </row>
    <row r="182" spans="1:10" x14ac:dyDescent="0.35">
      <c r="A182" s="11"/>
      <c r="B182" s="10"/>
      <c r="C182" s="11"/>
      <c r="D182" s="11" t="s">
        <v>461</v>
      </c>
      <c r="E182" s="10">
        <v>12</v>
      </c>
      <c r="F182" s="10" t="s">
        <v>28</v>
      </c>
      <c r="G182" s="10" t="s">
        <v>13</v>
      </c>
      <c r="H182" s="78">
        <v>11250</v>
      </c>
      <c r="I182" s="78">
        <f t="shared" si="5"/>
        <v>135000</v>
      </c>
      <c r="J182" t="s">
        <v>612</v>
      </c>
    </row>
    <row r="183" spans="1:10" x14ac:dyDescent="0.35">
      <c r="A183" s="11"/>
      <c r="B183" s="10"/>
      <c r="C183" s="11"/>
      <c r="D183" s="11" t="s">
        <v>462</v>
      </c>
      <c r="E183" s="10">
        <v>48</v>
      </c>
      <c r="F183" s="10" t="s">
        <v>17</v>
      </c>
      <c r="G183" s="10" t="s">
        <v>13</v>
      </c>
      <c r="H183" s="78">
        <v>7200</v>
      </c>
      <c r="I183" s="78">
        <f t="shared" si="5"/>
        <v>345600</v>
      </c>
      <c r="J183" t="s">
        <v>612</v>
      </c>
    </row>
    <row r="184" spans="1:10" x14ac:dyDescent="0.35">
      <c r="A184" s="11"/>
      <c r="B184" s="10"/>
      <c r="C184" s="11"/>
      <c r="D184" s="11" t="s">
        <v>463</v>
      </c>
      <c r="E184" s="10">
        <v>48</v>
      </c>
      <c r="F184" s="10" t="s">
        <v>17</v>
      </c>
      <c r="G184" s="10" t="s">
        <v>13</v>
      </c>
      <c r="H184" s="78">
        <v>3000</v>
      </c>
      <c r="I184" s="78">
        <f t="shared" si="5"/>
        <v>144000</v>
      </c>
      <c r="J184" t="s">
        <v>612</v>
      </c>
    </row>
    <row r="185" spans="1:10" x14ac:dyDescent="0.35">
      <c r="A185" s="11"/>
      <c r="B185" s="10"/>
      <c r="C185" s="11"/>
      <c r="D185" s="11" t="s">
        <v>464</v>
      </c>
      <c r="E185" s="10">
        <v>12</v>
      </c>
      <c r="F185" s="10" t="s">
        <v>14</v>
      </c>
      <c r="G185" s="10" t="s">
        <v>13</v>
      </c>
      <c r="H185" s="78">
        <v>9000</v>
      </c>
      <c r="I185" s="78">
        <f t="shared" si="5"/>
        <v>108000</v>
      </c>
      <c r="J185" t="s">
        <v>612</v>
      </c>
    </row>
    <row r="186" spans="1:10" x14ac:dyDescent="0.35">
      <c r="A186" s="11"/>
      <c r="B186" s="10"/>
      <c r="C186" s="11"/>
      <c r="D186" s="11" t="s">
        <v>465</v>
      </c>
      <c r="E186" s="10">
        <v>12</v>
      </c>
      <c r="F186" s="10" t="s">
        <v>14</v>
      </c>
      <c r="G186" s="10" t="s">
        <v>13</v>
      </c>
      <c r="H186" s="78">
        <v>13750</v>
      </c>
      <c r="I186" s="78">
        <f t="shared" si="5"/>
        <v>165000</v>
      </c>
      <c r="J186" t="s">
        <v>612</v>
      </c>
    </row>
    <row r="187" spans="1:10" x14ac:dyDescent="0.35">
      <c r="A187" s="11"/>
      <c r="B187" s="10"/>
      <c r="C187" s="11"/>
      <c r="D187" s="11" t="s">
        <v>466</v>
      </c>
      <c r="E187" s="10">
        <v>40</v>
      </c>
      <c r="F187" s="10" t="s">
        <v>286</v>
      </c>
      <c r="G187" s="10" t="s">
        <v>13</v>
      </c>
      <c r="H187" s="78">
        <v>3400</v>
      </c>
      <c r="I187" s="78">
        <f t="shared" si="5"/>
        <v>136000</v>
      </c>
      <c r="J187" t="s">
        <v>612</v>
      </c>
    </row>
    <row r="188" spans="1:10" x14ac:dyDescent="0.35">
      <c r="A188" s="11"/>
      <c r="B188" s="10"/>
      <c r="C188" s="11"/>
      <c r="D188" s="11" t="s">
        <v>467</v>
      </c>
      <c r="E188" s="10">
        <v>3</v>
      </c>
      <c r="F188" s="10" t="s">
        <v>21</v>
      </c>
      <c r="G188" s="10" t="s">
        <v>13</v>
      </c>
      <c r="H188" s="78">
        <v>30000</v>
      </c>
      <c r="I188" s="78">
        <f t="shared" si="5"/>
        <v>90000</v>
      </c>
      <c r="J188" t="s">
        <v>612</v>
      </c>
    </row>
    <row r="189" spans="1:10" x14ac:dyDescent="0.35">
      <c r="A189" s="11"/>
      <c r="B189" s="10"/>
      <c r="C189" s="11"/>
      <c r="D189" s="11" t="s">
        <v>468</v>
      </c>
      <c r="E189" s="10">
        <v>3</v>
      </c>
      <c r="F189" s="10" t="s">
        <v>21</v>
      </c>
      <c r="G189" s="10" t="s">
        <v>13</v>
      </c>
      <c r="H189" s="78">
        <v>30000</v>
      </c>
      <c r="I189" s="78">
        <f t="shared" si="5"/>
        <v>90000</v>
      </c>
      <c r="J189" t="s">
        <v>612</v>
      </c>
    </row>
    <row r="190" spans="1:10" x14ac:dyDescent="0.35">
      <c r="A190" s="11"/>
      <c r="B190" s="10"/>
      <c r="C190" s="11"/>
      <c r="D190" s="11" t="s">
        <v>469</v>
      </c>
      <c r="E190" s="10">
        <v>3</v>
      </c>
      <c r="F190" s="10" t="s">
        <v>21</v>
      </c>
      <c r="G190" s="10" t="s">
        <v>13</v>
      </c>
      <c r="H190" s="78">
        <v>30000</v>
      </c>
      <c r="I190" s="78">
        <f t="shared" si="5"/>
        <v>90000</v>
      </c>
      <c r="J190" t="s">
        <v>612</v>
      </c>
    </row>
    <row r="191" spans="1:10" x14ac:dyDescent="0.35">
      <c r="A191" s="11"/>
      <c r="B191" s="10"/>
      <c r="C191" s="11"/>
      <c r="D191" s="11" t="s">
        <v>470</v>
      </c>
      <c r="E191" s="10">
        <v>3</v>
      </c>
      <c r="F191" s="10" t="s">
        <v>21</v>
      </c>
      <c r="G191" s="10" t="s">
        <v>13</v>
      </c>
      <c r="H191" s="78">
        <v>30000</v>
      </c>
      <c r="I191" s="78">
        <f t="shared" si="5"/>
        <v>90000</v>
      </c>
      <c r="J191" t="s">
        <v>612</v>
      </c>
    </row>
    <row r="192" spans="1:10" x14ac:dyDescent="0.35">
      <c r="A192" s="11"/>
      <c r="B192" s="10"/>
      <c r="C192" s="11"/>
      <c r="D192" s="11" t="s">
        <v>139</v>
      </c>
      <c r="E192" s="10">
        <v>12</v>
      </c>
      <c r="F192" s="10" t="s">
        <v>14</v>
      </c>
      <c r="G192" s="10" t="s">
        <v>13</v>
      </c>
      <c r="H192" s="78">
        <v>20250</v>
      </c>
      <c r="I192" s="78">
        <f t="shared" si="5"/>
        <v>243000</v>
      </c>
      <c r="J192" t="s">
        <v>612</v>
      </c>
    </row>
    <row r="193" spans="1:10" x14ac:dyDescent="0.35">
      <c r="A193" s="11"/>
      <c r="B193" s="10"/>
      <c r="C193" s="11"/>
      <c r="D193" s="11" t="s">
        <v>268</v>
      </c>
      <c r="E193" s="10">
        <v>40</v>
      </c>
      <c r="F193" s="10" t="s">
        <v>14</v>
      </c>
      <c r="G193" s="10" t="s">
        <v>13</v>
      </c>
      <c r="H193" s="78">
        <v>19250</v>
      </c>
      <c r="I193" s="78">
        <f t="shared" si="5"/>
        <v>770000</v>
      </c>
      <c r="J193" t="s">
        <v>612</v>
      </c>
    </row>
    <row r="194" spans="1:10" x14ac:dyDescent="0.35">
      <c r="A194" s="11"/>
      <c r="B194" s="10"/>
      <c r="C194" s="11"/>
      <c r="D194" s="11" t="s">
        <v>294</v>
      </c>
      <c r="E194" s="10">
        <v>288</v>
      </c>
      <c r="F194" s="10" t="s">
        <v>14</v>
      </c>
      <c r="G194" s="10" t="s">
        <v>13</v>
      </c>
      <c r="H194" s="78">
        <f>13000/2</f>
        <v>6500</v>
      </c>
      <c r="I194" s="78">
        <f t="shared" si="5"/>
        <v>1872000</v>
      </c>
      <c r="J194" t="s">
        <v>612</v>
      </c>
    </row>
    <row r="195" spans="1:10" x14ac:dyDescent="0.35">
      <c r="A195" s="11"/>
      <c r="B195" s="10"/>
      <c r="C195" s="11"/>
      <c r="D195" s="11"/>
      <c r="E195" s="10"/>
      <c r="F195" s="10"/>
      <c r="G195" s="10"/>
      <c r="H195" s="53"/>
      <c r="I195" s="73">
        <f>SUM(I181:I194)</f>
        <v>4703600</v>
      </c>
    </row>
    <row r="196" spans="1:10" x14ac:dyDescent="0.35">
      <c r="A196" s="9">
        <v>45243</v>
      </c>
      <c r="B196" s="10">
        <v>694</v>
      </c>
      <c r="C196" s="11" t="s">
        <v>11</v>
      </c>
      <c r="D196" s="11" t="s">
        <v>438</v>
      </c>
      <c r="E196" s="10">
        <v>25</v>
      </c>
      <c r="F196" s="10" t="s">
        <v>28</v>
      </c>
      <c r="G196" s="10" t="s">
        <v>13</v>
      </c>
      <c r="H196" s="77">
        <v>15000</v>
      </c>
      <c r="I196" s="53">
        <f t="shared" ref="I196:I218" si="6">H196*E196</f>
        <v>375000</v>
      </c>
      <c r="J196" t="s">
        <v>612</v>
      </c>
    </row>
    <row r="197" spans="1:10" x14ac:dyDescent="0.35">
      <c r="A197" s="11"/>
      <c r="B197" s="10"/>
      <c r="C197" s="11"/>
      <c r="D197" s="11" t="s">
        <v>439</v>
      </c>
      <c r="E197" s="10">
        <v>90</v>
      </c>
      <c r="F197" s="10" t="s">
        <v>20</v>
      </c>
      <c r="G197" s="10" t="s">
        <v>13</v>
      </c>
      <c r="H197" s="77">
        <v>50000</v>
      </c>
      <c r="I197" s="53">
        <f t="shared" si="6"/>
        <v>4500000</v>
      </c>
      <c r="J197" t="s">
        <v>612</v>
      </c>
    </row>
    <row r="198" spans="1:10" x14ac:dyDescent="0.35">
      <c r="A198" s="11"/>
      <c r="B198" s="10"/>
      <c r="C198" s="11"/>
      <c r="D198" s="11" t="s">
        <v>61</v>
      </c>
      <c r="E198" s="10">
        <v>70</v>
      </c>
      <c r="F198" s="10" t="s">
        <v>20</v>
      </c>
      <c r="G198" s="10" t="s">
        <v>13</v>
      </c>
      <c r="H198" s="77">
        <v>44000</v>
      </c>
      <c r="I198" s="53">
        <f t="shared" si="6"/>
        <v>3080000</v>
      </c>
      <c r="J198" t="s">
        <v>612</v>
      </c>
    </row>
    <row r="199" spans="1:10" x14ac:dyDescent="0.35">
      <c r="A199" s="11"/>
      <c r="B199" s="10"/>
      <c r="C199" s="11"/>
      <c r="D199" s="11" t="s">
        <v>268</v>
      </c>
      <c r="E199" s="10">
        <v>20</v>
      </c>
      <c r="F199" s="10" t="s">
        <v>14</v>
      </c>
      <c r="G199" s="10" t="s">
        <v>13</v>
      </c>
      <c r="H199" s="77">
        <v>19250</v>
      </c>
      <c r="I199" s="53">
        <f t="shared" si="6"/>
        <v>385000</v>
      </c>
      <c r="J199" t="s">
        <v>612</v>
      </c>
    </row>
    <row r="200" spans="1:10" x14ac:dyDescent="0.35">
      <c r="A200" s="11"/>
      <c r="B200" s="10"/>
      <c r="C200" s="11"/>
      <c r="D200" s="11" t="s">
        <v>234</v>
      </c>
      <c r="E200" s="10">
        <v>15</v>
      </c>
      <c r="F200" s="10" t="s">
        <v>28</v>
      </c>
      <c r="G200" s="10" t="s">
        <v>13</v>
      </c>
      <c r="H200" s="77">
        <v>9500</v>
      </c>
      <c r="I200" s="53">
        <f t="shared" si="6"/>
        <v>142500</v>
      </c>
      <c r="J200" t="s">
        <v>612</v>
      </c>
    </row>
    <row r="201" spans="1:10" x14ac:dyDescent="0.35">
      <c r="A201" s="11"/>
      <c r="B201" s="10"/>
      <c r="C201" s="11"/>
      <c r="D201" s="11" t="s">
        <v>128</v>
      </c>
      <c r="E201" s="10">
        <v>84</v>
      </c>
      <c r="F201" s="10" t="s">
        <v>14</v>
      </c>
      <c r="G201" s="10" t="s">
        <v>13</v>
      </c>
      <c r="H201" s="77">
        <v>16000</v>
      </c>
      <c r="I201" s="53">
        <f t="shared" si="6"/>
        <v>1344000</v>
      </c>
      <c r="J201" t="s">
        <v>612</v>
      </c>
    </row>
    <row r="202" spans="1:10" x14ac:dyDescent="0.35">
      <c r="A202" s="11"/>
      <c r="B202" s="10"/>
      <c r="C202" s="11"/>
      <c r="D202" s="11" t="s">
        <v>440</v>
      </c>
      <c r="E202" s="10">
        <v>72</v>
      </c>
      <c r="F202" s="10" t="s">
        <v>14</v>
      </c>
      <c r="G202" s="10" t="s">
        <v>13</v>
      </c>
      <c r="H202" s="77">
        <v>6500</v>
      </c>
      <c r="I202" s="53">
        <f t="shared" si="6"/>
        <v>468000</v>
      </c>
      <c r="J202" t="s">
        <v>612</v>
      </c>
    </row>
    <row r="203" spans="1:10" x14ac:dyDescent="0.35">
      <c r="A203" s="11"/>
      <c r="B203" s="10"/>
      <c r="C203" s="11"/>
      <c r="D203" s="11" t="s">
        <v>441</v>
      </c>
      <c r="E203" s="10">
        <f>4*12</f>
        <v>48</v>
      </c>
      <c r="F203" s="10" t="s">
        <v>14</v>
      </c>
      <c r="G203" s="10" t="s">
        <v>13</v>
      </c>
      <c r="H203" s="77">
        <f>14400/12</f>
        <v>1200</v>
      </c>
      <c r="I203" s="53">
        <f t="shared" si="6"/>
        <v>57600</v>
      </c>
      <c r="J203" t="s">
        <v>612</v>
      </c>
    </row>
    <row r="204" spans="1:10" x14ac:dyDescent="0.35">
      <c r="A204" s="11"/>
      <c r="B204" s="10"/>
      <c r="C204" s="11"/>
      <c r="D204" s="11" t="s">
        <v>442</v>
      </c>
      <c r="E204" s="10">
        <v>24</v>
      </c>
      <c r="F204" s="10" t="s">
        <v>14</v>
      </c>
      <c r="G204" s="10" t="s">
        <v>13</v>
      </c>
      <c r="H204" s="77">
        <v>1200</v>
      </c>
      <c r="I204" s="53">
        <f t="shared" si="6"/>
        <v>28800</v>
      </c>
      <c r="J204" t="s">
        <v>612</v>
      </c>
    </row>
    <row r="205" spans="1:10" x14ac:dyDescent="0.35">
      <c r="A205" s="11"/>
      <c r="B205" s="10"/>
      <c r="C205" s="11"/>
      <c r="D205" s="11" t="s">
        <v>443</v>
      </c>
      <c r="E205" s="10">
        <v>24</v>
      </c>
      <c r="F205" s="10" t="s">
        <v>14</v>
      </c>
      <c r="G205" s="10" t="s">
        <v>13</v>
      </c>
      <c r="H205" s="77">
        <v>1200</v>
      </c>
      <c r="I205" s="53">
        <f t="shared" si="6"/>
        <v>28800</v>
      </c>
      <c r="J205" t="s">
        <v>612</v>
      </c>
    </row>
    <row r="206" spans="1:10" x14ac:dyDescent="0.35">
      <c r="A206" s="11"/>
      <c r="B206" s="10"/>
      <c r="C206" s="11"/>
      <c r="D206" s="11" t="s">
        <v>444</v>
      </c>
      <c r="E206" s="10">
        <v>24</v>
      </c>
      <c r="F206" s="10" t="s">
        <v>14</v>
      </c>
      <c r="G206" s="10" t="s">
        <v>13</v>
      </c>
      <c r="H206" s="77">
        <v>1200</v>
      </c>
      <c r="I206" s="53">
        <f t="shared" si="6"/>
        <v>28800</v>
      </c>
      <c r="J206" t="s">
        <v>612</v>
      </c>
    </row>
    <row r="207" spans="1:10" x14ac:dyDescent="0.35">
      <c r="A207" s="11"/>
      <c r="B207" s="10"/>
      <c r="C207" s="11"/>
      <c r="D207" s="11" t="s">
        <v>445</v>
      </c>
      <c r="E207" s="10">
        <v>20</v>
      </c>
      <c r="F207" s="10" t="s">
        <v>14</v>
      </c>
      <c r="G207" s="10" t="s">
        <v>13</v>
      </c>
      <c r="H207" s="77">
        <v>9000</v>
      </c>
      <c r="I207" s="53">
        <f t="shared" si="6"/>
        <v>180000</v>
      </c>
      <c r="J207" t="s">
        <v>612</v>
      </c>
    </row>
    <row r="208" spans="1:10" x14ac:dyDescent="0.35">
      <c r="A208" s="11"/>
      <c r="B208" s="10"/>
      <c r="C208" s="11"/>
      <c r="D208" s="11" t="s">
        <v>281</v>
      </c>
      <c r="E208" s="10">
        <v>24</v>
      </c>
      <c r="F208" s="10" t="s">
        <v>14</v>
      </c>
      <c r="G208" s="10" t="s">
        <v>13</v>
      </c>
      <c r="H208" s="77">
        <f>63000/12</f>
        <v>5250</v>
      </c>
      <c r="I208" s="53">
        <f t="shared" si="6"/>
        <v>126000</v>
      </c>
      <c r="J208" t="s">
        <v>612</v>
      </c>
    </row>
    <row r="209" spans="1:10" x14ac:dyDescent="0.35">
      <c r="A209" s="11"/>
      <c r="B209" s="10"/>
      <c r="C209" s="11"/>
      <c r="D209" s="11" t="s">
        <v>85</v>
      </c>
      <c r="E209" s="10">
        <v>24</v>
      </c>
      <c r="F209" s="10" t="s">
        <v>17</v>
      </c>
      <c r="G209" s="10" t="s">
        <v>13</v>
      </c>
      <c r="H209" s="77">
        <v>2750</v>
      </c>
      <c r="I209" s="53">
        <f t="shared" si="6"/>
        <v>66000</v>
      </c>
      <c r="J209" t="s">
        <v>612</v>
      </c>
    </row>
    <row r="210" spans="1:10" x14ac:dyDescent="0.35">
      <c r="A210" s="11"/>
      <c r="B210" s="10"/>
      <c r="C210" s="11"/>
      <c r="D210" s="11" t="s">
        <v>446</v>
      </c>
      <c r="E210" s="10">
        <v>12</v>
      </c>
      <c r="F210" s="10" t="s">
        <v>14</v>
      </c>
      <c r="G210" s="10" t="s">
        <v>13</v>
      </c>
      <c r="H210" s="77">
        <v>8000</v>
      </c>
      <c r="I210" s="53">
        <f t="shared" si="6"/>
        <v>96000</v>
      </c>
      <c r="J210" t="s">
        <v>612</v>
      </c>
    </row>
    <row r="211" spans="1:10" x14ac:dyDescent="0.35">
      <c r="A211" s="11"/>
      <c r="B211" s="10"/>
      <c r="C211" s="11"/>
      <c r="D211" s="11" t="s">
        <v>447</v>
      </c>
      <c r="E211" s="10">
        <v>12</v>
      </c>
      <c r="F211" s="10" t="s">
        <v>14</v>
      </c>
      <c r="G211" s="10" t="s">
        <v>13</v>
      </c>
      <c r="H211" s="77">
        <v>8000</v>
      </c>
      <c r="I211" s="53">
        <f t="shared" si="6"/>
        <v>96000</v>
      </c>
      <c r="J211" t="s">
        <v>612</v>
      </c>
    </row>
    <row r="212" spans="1:10" x14ac:dyDescent="0.35">
      <c r="A212" s="11"/>
      <c r="B212" s="10"/>
      <c r="C212" s="11"/>
      <c r="D212" s="11" t="s">
        <v>448</v>
      </c>
      <c r="E212" s="10">
        <v>10</v>
      </c>
      <c r="F212" s="10" t="s">
        <v>14</v>
      </c>
      <c r="G212" s="10" t="s">
        <v>13</v>
      </c>
      <c r="H212" s="77">
        <v>3000</v>
      </c>
      <c r="I212" s="53">
        <f t="shared" si="6"/>
        <v>30000</v>
      </c>
      <c r="J212" t="s">
        <v>612</v>
      </c>
    </row>
    <row r="213" spans="1:10" x14ac:dyDescent="0.35">
      <c r="A213" s="11"/>
      <c r="B213" s="10"/>
      <c r="C213" s="11"/>
      <c r="D213" s="11" t="s">
        <v>449</v>
      </c>
      <c r="E213" s="10">
        <v>15</v>
      </c>
      <c r="F213" s="10" t="s">
        <v>28</v>
      </c>
      <c r="G213" s="10" t="s">
        <v>13</v>
      </c>
      <c r="H213" s="77">
        <v>11000</v>
      </c>
      <c r="I213" s="53">
        <f t="shared" si="6"/>
        <v>165000</v>
      </c>
      <c r="J213" t="s">
        <v>612</v>
      </c>
    </row>
    <row r="214" spans="1:10" x14ac:dyDescent="0.35">
      <c r="A214" s="11"/>
      <c r="B214" s="10"/>
      <c r="C214" s="11"/>
      <c r="D214" s="11" t="s">
        <v>450</v>
      </c>
      <c r="E214" s="10">
        <v>12</v>
      </c>
      <c r="F214" s="10" t="s">
        <v>14</v>
      </c>
      <c r="G214" s="10" t="s">
        <v>13</v>
      </c>
      <c r="H214" s="77">
        <v>8000</v>
      </c>
      <c r="I214" s="53">
        <f t="shared" si="6"/>
        <v>96000</v>
      </c>
      <c r="J214" t="s">
        <v>612</v>
      </c>
    </row>
    <row r="215" spans="1:10" x14ac:dyDescent="0.35">
      <c r="A215" s="11"/>
      <c r="B215" s="10"/>
      <c r="C215" s="11"/>
      <c r="D215" s="11" t="s">
        <v>451</v>
      </c>
      <c r="E215" s="10">
        <v>10</v>
      </c>
      <c r="F215" s="10" t="s">
        <v>28</v>
      </c>
      <c r="G215" s="10" t="s">
        <v>13</v>
      </c>
      <c r="H215" s="77">
        <v>5250</v>
      </c>
      <c r="I215" s="53">
        <f t="shared" si="6"/>
        <v>52500</v>
      </c>
      <c r="J215" t="s">
        <v>612</v>
      </c>
    </row>
    <row r="216" spans="1:10" x14ac:dyDescent="0.35">
      <c r="A216" s="11"/>
      <c r="B216" s="10"/>
      <c r="C216" s="11"/>
      <c r="D216" s="11" t="s">
        <v>452</v>
      </c>
      <c r="E216" s="10">
        <v>10</v>
      </c>
      <c r="F216" s="10" t="s">
        <v>21</v>
      </c>
      <c r="G216" s="10" t="s">
        <v>13</v>
      </c>
      <c r="H216" s="77">
        <v>31500</v>
      </c>
      <c r="I216" s="53">
        <f t="shared" si="6"/>
        <v>315000</v>
      </c>
      <c r="J216" t="s">
        <v>612</v>
      </c>
    </row>
    <row r="217" spans="1:10" x14ac:dyDescent="0.35">
      <c r="A217" s="11"/>
      <c r="B217" s="10"/>
      <c r="C217" s="11"/>
      <c r="D217" s="11" t="s">
        <v>68</v>
      </c>
      <c r="E217" s="10">
        <v>20</v>
      </c>
      <c r="F217" s="10" t="s">
        <v>17</v>
      </c>
      <c r="G217" s="10" t="s">
        <v>13</v>
      </c>
      <c r="H217" s="77">
        <v>87500</v>
      </c>
      <c r="I217" s="53">
        <f t="shared" si="6"/>
        <v>1750000</v>
      </c>
      <c r="J217" t="s">
        <v>612</v>
      </c>
    </row>
    <row r="218" spans="1:10" x14ac:dyDescent="0.35">
      <c r="A218" s="11"/>
      <c r="B218" s="10"/>
      <c r="C218" s="11"/>
      <c r="D218" s="11" t="s">
        <v>453</v>
      </c>
      <c r="E218" s="10">
        <v>25</v>
      </c>
      <c r="F218" s="10" t="s">
        <v>14</v>
      </c>
      <c r="G218" s="10" t="s">
        <v>13</v>
      </c>
      <c r="H218" s="77">
        <v>3250</v>
      </c>
      <c r="I218" s="53">
        <f t="shared" si="6"/>
        <v>81250</v>
      </c>
      <c r="J218" t="s">
        <v>612</v>
      </c>
    </row>
    <row r="219" spans="1:10" x14ac:dyDescent="0.35">
      <c r="A219" s="9"/>
      <c r="B219" s="10"/>
      <c r="C219" s="11"/>
      <c r="D219" s="11"/>
      <c r="E219" s="62"/>
      <c r="F219" s="10"/>
      <c r="G219" s="10"/>
      <c r="H219" s="60"/>
      <c r="I219" s="110">
        <f>SUM(I196:I218)</f>
        <v>13492250</v>
      </c>
    </row>
    <row r="220" spans="1:10" x14ac:dyDescent="0.35">
      <c r="A220" s="9">
        <v>45244</v>
      </c>
      <c r="B220" s="10">
        <v>696</v>
      </c>
      <c r="C220" s="11" t="s">
        <v>11</v>
      </c>
      <c r="D220" s="11" t="s">
        <v>434</v>
      </c>
      <c r="E220" s="10">
        <v>10</v>
      </c>
      <c r="F220" s="10" t="s">
        <v>20</v>
      </c>
      <c r="G220" s="10" t="s">
        <v>13</v>
      </c>
      <c r="H220" s="77">
        <v>45500</v>
      </c>
      <c r="I220" s="53">
        <f>H220*E220</f>
        <v>455000</v>
      </c>
      <c r="J220" t="s">
        <v>612</v>
      </c>
    </row>
    <row r="221" spans="1:10" x14ac:dyDescent="0.35">
      <c r="A221" s="11"/>
      <c r="B221" s="10"/>
      <c r="C221" s="11"/>
      <c r="D221" s="11" t="s">
        <v>435</v>
      </c>
      <c r="E221" s="10">
        <v>250</v>
      </c>
      <c r="F221" s="10" t="s">
        <v>52</v>
      </c>
      <c r="G221" s="10" t="s">
        <v>24</v>
      </c>
      <c r="H221" s="77">
        <v>1700</v>
      </c>
      <c r="I221" s="53">
        <f>H221*E221</f>
        <v>425000</v>
      </c>
      <c r="J221" t="s">
        <v>612</v>
      </c>
    </row>
    <row r="222" spans="1:10" x14ac:dyDescent="0.35">
      <c r="A222" s="11"/>
      <c r="B222" s="10"/>
      <c r="C222" s="11"/>
      <c r="D222" s="11" t="s">
        <v>436</v>
      </c>
      <c r="E222" s="10">
        <f>3*12</f>
        <v>36</v>
      </c>
      <c r="F222" s="10" t="s">
        <v>14</v>
      </c>
      <c r="G222" s="10" t="s">
        <v>13</v>
      </c>
      <c r="H222" s="77">
        <v>2500</v>
      </c>
      <c r="I222" s="53">
        <f>H222*E222</f>
        <v>90000</v>
      </c>
      <c r="J222" t="s">
        <v>612</v>
      </c>
    </row>
    <row r="223" spans="1:10" x14ac:dyDescent="0.35">
      <c r="A223" s="11"/>
      <c r="B223" s="10"/>
      <c r="C223" s="11"/>
      <c r="D223" s="11" t="s">
        <v>429</v>
      </c>
      <c r="E223" s="10">
        <v>20</v>
      </c>
      <c r="F223" s="10" t="s">
        <v>20</v>
      </c>
      <c r="G223" s="10" t="s">
        <v>13</v>
      </c>
      <c r="H223" s="77">
        <v>27000</v>
      </c>
      <c r="I223" s="53">
        <f>H223*E223</f>
        <v>540000</v>
      </c>
      <c r="J223" t="s">
        <v>612</v>
      </c>
    </row>
    <row r="224" spans="1:10" x14ac:dyDescent="0.35">
      <c r="A224" s="11"/>
      <c r="B224" s="10"/>
      <c r="C224" s="11"/>
      <c r="D224" s="11" t="s">
        <v>437</v>
      </c>
      <c r="E224" s="10">
        <v>10</v>
      </c>
      <c r="F224" s="10" t="s">
        <v>14</v>
      </c>
      <c r="G224" s="10" t="s">
        <v>13</v>
      </c>
      <c r="H224" s="77">
        <v>162000</v>
      </c>
      <c r="I224" s="53">
        <f>H224*E224</f>
        <v>1620000</v>
      </c>
      <c r="J224" t="s">
        <v>612</v>
      </c>
    </row>
    <row r="225" spans="1:11" x14ac:dyDescent="0.35">
      <c r="A225" s="11"/>
      <c r="B225" s="10"/>
      <c r="C225" s="11"/>
      <c r="D225" s="11"/>
      <c r="E225" s="62"/>
      <c r="F225" s="10"/>
      <c r="G225" s="10"/>
      <c r="H225" s="60"/>
      <c r="I225" s="110">
        <f>SUM(I220:I224)</f>
        <v>3130000</v>
      </c>
    </row>
    <row r="226" spans="1:11" x14ac:dyDescent="0.35">
      <c r="A226" s="9">
        <v>45251</v>
      </c>
      <c r="B226" s="10">
        <v>710</v>
      </c>
      <c r="C226" s="11" t="s">
        <v>432</v>
      </c>
      <c r="D226" s="11" t="s">
        <v>433</v>
      </c>
      <c r="E226" s="10">
        <v>10</v>
      </c>
      <c r="F226" s="10" t="s">
        <v>25</v>
      </c>
      <c r="G226" s="10" t="s">
        <v>40</v>
      </c>
      <c r="H226" s="53">
        <v>35000</v>
      </c>
      <c r="I226" s="73">
        <f>H226*E226</f>
        <v>350000</v>
      </c>
      <c r="J226" t="s">
        <v>612</v>
      </c>
    </row>
    <row r="227" spans="1:11" x14ac:dyDescent="0.35">
      <c r="A227" s="11"/>
      <c r="B227" s="10"/>
      <c r="C227" s="11"/>
      <c r="D227" s="11"/>
      <c r="E227" s="62"/>
      <c r="F227" s="10"/>
      <c r="G227" s="10"/>
      <c r="H227" s="60"/>
      <c r="I227" s="63"/>
      <c r="J227" s="83"/>
    </row>
    <row r="228" spans="1:11" x14ac:dyDescent="0.35">
      <c r="A228" s="9">
        <v>45254</v>
      </c>
      <c r="B228" s="10">
        <v>720</v>
      </c>
      <c r="C228" s="11" t="s">
        <v>11</v>
      </c>
      <c r="D228" s="11" t="s">
        <v>431</v>
      </c>
      <c r="E228" s="10">
        <v>25</v>
      </c>
      <c r="F228" s="10" t="s">
        <v>14</v>
      </c>
      <c r="G228" s="10" t="s">
        <v>13</v>
      </c>
      <c r="H228" s="53">
        <v>12000</v>
      </c>
      <c r="I228" s="73">
        <f>H228*E228</f>
        <v>300000</v>
      </c>
      <c r="J228" t="s">
        <v>612</v>
      </c>
    </row>
    <row r="229" spans="1:11" x14ac:dyDescent="0.35">
      <c r="A229" s="11"/>
      <c r="B229" s="10"/>
      <c r="C229" s="11"/>
      <c r="D229" s="11"/>
      <c r="E229" s="62"/>
      <c r="F229" s="10"/>
      <c r="G229" s="10"/>
      <c r="H229" s="60"/>
      <c r="I229" s="63"/>
    </row>
    <row r="230" spans="1:11" x14ac:dyDescent="0.35">
      <c r="A230" s="9">
        <v>45258</v>
      </c>
      <c r="B230" s="10">
        <v>724</v>
      </c>
      <c r="C230" s="11" t="s">
        <v>430</v>
      </c>
      <c r="D230" s="11" t="s">
        <v>26</v>
      </c>
      <c r="E230" s="10">
        <v>250</v>
      </c>
      <c r="F230" s="10" t="s">
        <v>20</v>
      </c>
      <c r="G230" s="10" t="s">
        <v>13</v>
      </c>
      <c r="H230" s="53">
        <v>49800</v>
      </c>
      <c r="I230" s="53">
        <f>H230*E230</f>
        <v>12450000</v>
      </c>
      <c r="J230" t="s">
        <v>612</v>
      </c>
      <c r="K230" s="36"/>
    </row>
    <row r="231" spans="1:11" x14ac:dyDescent="0.35">
      <c r="A231" s="11"/>
      <c r="B231" s="10"/>
      <c r="C231" s="11"/>
      <c r="D231" s="11" t="s">
        <v>29</v>
      </c>
      <c r="E231" s="10">
        <v>25</v>
      </c>
      <c r="F231" s="10" t="s">
        <v>20</v>
      </c>
      <c r="G231" s="10" t="s">
        <v>13</v>
      </c>
      <c r="H231" s="53">
        <v>43900</v>
      </c>
      <c r="I231" s="53">
        <f>H231*E231</f>
        <v>1097500</v>
      </c>
      <c r="J231" t="s">
        <v>612</v>
      </c>
    </row>
    <row r="232" spans="1:11" x14ac:dyDescent="0.35">
      <c r="A232" s="11"/>
      <c r="B232" s="10"/>
      <c r="C232" s="11"/>
      <c r="D232" s="11"/>
      <c r="E232" s="62"/>
      <c r="F232" s="10"/>
      <c r="G232" s="10"/>
      <c r="H232" s="60"/>
      <c r="I232" s="85">
        <f>SUM(I230:I231)</f>
        <v>13547500</v>
      </c>
    </row>
    <row r="233" spans="1:11" x14ac:dyDescent="0.35">
      <c r="A233" s="9">
        <v>45257</v>
      </c>
      <c r="B233" s="10">
        <v>723</v>
      </c>
      <c r="C233" s="11" t="s">
        <v>11</v>
      </c>
      <c r="D233" s="11" t="s">
        <v>26</v>
      </c>
      <c r="E233" s="10">
        <v>100</v>
      </c>
      <c r="F233" s="10" t="s">
        <v>20</v>
      </c>
      <c r="G233" s="10" t="s">
        <v>13</v>
      </c>
      <c r="H233" s="53">
        <v>50000</v>
      </c>
      <c r="I233" s="53">
        <f>H233*E233</f>
        <v>5000000</v>
      </c>
      <c r="J233" t="s">
        <v>612</v>
      </c>
    </row>
    <row r="234" spans="1:11" x14ac:dyDescent="0.35">
      <c r="A234" s="11"/>
      <c r="B234" s="10"/>
      <c r="C234" s="11"/>
      <c r="D234" s="11" t="s">
        <v>29</v>
      </c>
      <c r="E234" s="10">
        <v>50</v>
      </c>
      <c r="F234" s="10" t="s">
        <v>20</v>
      </c>
      <c r="G234" s="10" t="s">
        <v>13</v>
      </c>
      <c r="H234" s="53">
        <v>44000</v>
      </c>
      <c r="I234" s="53">
        <f>H234*E234</f>
        <v>2200000</v>
      </c>
      <c r="J234" t="s">
        <v>612</v>
      </c>
    </row>
    <row r="235" spans="1:11" x14ac:dyDescent="0.35">
      <c r="A235" s="11"/>
      <c r="B235" s="10"/>
      <c r="C235" s="11"/>
      <c r="D235" s="11" t="s">
        <v>429</v>
      </c>
      <c r="E235" s="10">
        <v>50</v>
      </c>
      <c r="F235" s="10" t="s">
        <v>21</v>
      </c>
      <c r="G235" s="10" t="s">
        <v>13</v>
      </c>
      <c r="H235" s="53">
        <v>27000</v>
      </c>
      <c r="I235" s="53">
        <f>H235*E235</f>
        <v>1350000</v>
      </c>
      <c r="J235" t="s">
        <v>612</v>
      </c>
    </row>
    <row r="236" spans="1:11" x14ac:dyDescent="0.35">
      <c r="A236" s="11"/>
      <c r="B236" s="10"/>
      <c r="C236" s="11"/>
      <c r="D236" s="11"/>
      <c r="E236" s="10"/>
      <c r="F236" s="10"/>
      <c r="G236" s="10"/>
      <c r="H236" s="60"/>
      <c r="I236" s="73">
        <f>SUM(I233:I235)</f>
        <v>8550000</v>
      </c>
    </row>
    <row r="237" spans="1:11" x14ac:dyDescent="0.35">
      <c r="A237" s="9">
        <v>45259</v>
      </c>
      <c r="B237" s="10">
        <v>731</v>
      </c>
      <c r="C237" s="11" t="s">
        <v>426</v>
      </c>
      <c r="D237" s="11" t="s">
        <v>427</v>
      </c>
      <c r="E237" s="10">
        <v>10</v>
      </c>
      <c r="F237" s="10" t="s">
        <v>14</v>
      </c>
      <c r="G237" s="10" t="s">
        <v>219</v>
      </c>
      <c r="H237" s="53">
        <v>3000</v>
      </c>
      <c r="I237" s="53">
        <f>H237*E237</f>
        <v>30000</v>
      </c>
      <c r="J237" s="83" t="s">
        <v>612</v>
      </c>
    </row>
    <row r="238" spans="1:11" x14ac:dyDescent="0.35">
      <c r="A238" s="11"/>
      <c r="B238" s="10"/>
      <c r="C238" s="11"/>
      <c r="D238" s="11" t="s">
        <v>428</v>
      </c>
      <c r="E238" s="10">
        <v>4</v>
      </c>
      <c r="F238" s="10" t="s">
        <v>286</v>
      </c>
      <c r="G238" s="10" t="s">
        <v>219</v>
      </c>
      <c r="H238" s="53">
        <f>81000/4</f>
        <v>20250</v>
      </c>
      <c r="I238" s="53">
        <f>H238*E238</f>
        <v>81000</v>
      </c>
      <c r="J238" t="s">
        <v>612</v>
      </c>
    </row>
    <row r="239" spans="1:11" x14ac:dyDescent="0.35">
      <c r="A239" s="11"/>
      <c r="B239" s="10"/>
      <c r="C239" s="11"/>
      <c r="D239" s="11"/>
      <c r="E239" s="10"/>
      <c r="F239" s="10"/>
      <c r="G239" s="10"/>
      <c r="H239" s="60"/>
      <c r="I239" s="76">
        <f>SUM(I237:I238)</f>
        <v>111000</v>
      </c>
    </row>
    <row r="240" spans="1:11" x14ac:dyDescent="0.35">
      <c r="A240" s="9">
        <v>45259</v>
      </c>
      <c r="B240" s="10">
        <v>734</v>
      </c>
      <c r="C240" s="11" t="s">
        <v>11</v>
      </c>
      <c r="D240" s="11" t="s">
        <v>422</v>
      </c>
      <c r="E240" s="10">
        <v>300</v>
      </c>
      <c r="F240" s="10" t="s">
        <v>52</v>
      </c>
      <c r="G240" s="10" t="s">
        <v>13</v>
      </c>
      <c r="H240" s="53">
        <v>1200</v>
      </c>
      <c r="I240" s="53">
        <f>H240*E240</f>
        <v>360000</v>
      </c>
      <c r="J240" t="s">
        <v>612</v>
      </c>
    </row>
    <row r="241" spans="1:10" x14ac:dyDescent="0.35">
      <c r="A241" s="11"/>
      <c r="B241" s="10"/>
      <c r="C241" s="11"/>
      <c r="D241" s="11" t="s">
        <v>423</v>
      </c>
      <c r="E241" s="10">
        <v>10</v>
      </c>
      <c r="F241" s="10" t="s">
        <v>21</v>
      </c>
      <c r="G241" s="10" t="s">
        <v>13</v>
      </c>
      <c r="H241" s="53">
        <v>20500</v>
      </c>
      <c r="I241" s="53">
        <f>H241*E241</f>
        <v>205000</v>
      </c>
      <c r="J241" t="s">
        <v>612</v>
      </c>
    </row>
    <row r="242" spans="1:10" x14ac:dyDescent="0.35">
      <c r="A242" s="11"/>
      <c r="B242" s="10"/>
      <c r="C242" s="11"/>
      <c r="D242" s="11" t="s">
        <v>424</v>
      </c>
      <c r="E242" s="10">
        <v>100</v>
      </c>
      <c r="F242" s="10" t="s">
        <v>20</v>
      </c>
      <c r="G242" s="10" t="s">
        <v>13</v>
      </c>
      <c r="H242" s="53">
        <v>45500</v>
      </c>
      <c r="I242" s="53">
        <f>H242*E242</f>
        <v>4550000</v>
      </c>
      <c r="J242" t="s">
        <v>612</v>
      </c>
    </row>
    <row r="243" spans="1:10" x14ac:dyDescent="0.35">
      <c r="A243" s="11"/>
      <c r="B243" s="10"/>
      <c r="C243" s="11"/>
      <c r="D243" s="11" t="s">
        <v>19</v>
      </c>
      <c r="E243" s="10">
        <v>50</v>
      </c>
      <c r="F243" s="10" t="s">
        <v>20</v>
      </c>
      <c r="G243" s="10" t="s">
        <v>13</v>
      </c>
      <c r="H243" s="53">
        <v>40500</v>
      </c>
      <c r="I243" s="53">
        <f>H243*E243</f>
        <v>2025000</v>
      </c>
      <c r="J243" t="s">
        <v>612</v>
      </c>
    </row>
    <row r="244" spans="1:10" x14ac:dyDescent="0.35">
      <c r="A244" s="11"/>
      <c r="B244" s="10"/>
      <c r="C244" s="11"/>
      <c r="D244" s="11" t="s">
        <v>425</v>
      </c>
      <c r="E244" s="10">
        <v>1</v>
      </c>
      <c r="F244" s="10" t="s">
        <v>14</v>
      </c>
      <c r="G244" s="10" t="s">
        <v>13</v>
      </c>
      <c r="H244" s="53">
        <v>103500</v>
      </c>
      <c r="I244" s="53">
        <f>H244*E244</f>
        <v>103500</v>
      </c>
      <c r="J244" t="s">
        <v>612</v>
      </c>
    </row>
    <row r="245" spans="1:10" x14ac:dyDescent="0.35">
      <c r="A245" s="11"/>
      <c r="B245" s="10"/>
      <c r="C245" s="11"/>
      <c r="D245" s="11"/>
      <c r="E245" s="10"/>
      <c r="F245" s="10"/>
      <c r="G245" s="10"/>
      <c r="H245" s="53"/>
      <c r="I245" s="76">
        <f>SUM(I240:I244)</f>
        <v>7243500</v>
      </c>
    </row>
    <row r="246" spans="1:10" x14ac:dyDescent="0.35">
      <c r="A246" s="11"/>
      <c r="B246" s="10"/>
      <c r="C246" s="11"/>
      <c r="D246" s="11"/>
      <c r="E246" s="10"/>
      <c r="F246" s="10"/>
      <c r="G246" s="10"/>
      <c r="H246" s="53"/>
      <c r="I246" s="64"/>
    </row>
    <row r="247" spans="1:10" x14ac:dyDescent="0.35">
      <c r="A247" s="9">
        <v>45259</v>
      </c>
      <c r="B247" s="10">
        <v>736</v>
      </c>
      <c r="C247" s="22" t="s">
        <v>416</v>
      </c>
      <c r="D247" s="22" t="s">
        <v>417</v>
      </c>
      <c r="E247" s="21">
        <v>5</v>
      </c>
      <c r="F247" s="21" t="s">
        <v>207</v>
      </c>
      <c r="G247" s="21" t="s">
        <v>13</v>
      </c>
      <c r="H247" s="65"/>
      <c r="I247" s="65"/>
    </row>
    <row r="248" spans="1:10" x14ac:dyDescent="0.35">
      <c r="A248" s="11"/>
      <c r="B248" s="10"/>
      <c r="C248" s="11"/>
      <c r="D248" s="22" t="s">
        <v>418</v>
      </c>
      <c r="E248" s="21">
        <f>11+11+30+20</f>
        <v>72</v>
      </c>
      <c r="F248" s="21" t="s">
        <v>240</v>
      </c>
      <c r="G248" s="21" t="s">
        <v>13</v>
      </c>
      <c r="H248" s="65"/>
      <c r="I248" s="65"/>
    </row>
    <row r="249" spans="1:10" x14ac:dyDescent="0.35">
      <c r="A249" s="11"/>
      <c r="B249" s="10"/>
      <c r="C249" s="11"/>
      <c r="D249" s="11" t="s">
        <v>419</v>
      </c>
      <c r="E249" s="10">
        <v>1</v>
      </c>
      <c r="F249" s="10" t="s">
        <v>14</v>
      </c>
      <c r="G249" s="10" t="s">
        <v>13</v>
      </c>
      <c r="H249" s="53">
        <v>2152000</v>
      </c>
      <c r="I249" s="53">
        <f t="shared" ref="I249:I251" si="7">H249*E249</f>
        <v>2152000</v>
      </c>
    </row>
    <row r="250" spans="1:10" x14ac:dyDescent="0.35">
      <c r="A250" s="11"/>
      <c r="B250" s="10"/>
      <c r="C250" s="11"/>
      <c r="D250" s="22" t="s">
        <v>420</v>
      </c>
      <c r="E250" s="21">
        <v>1</v>
      </c>
      <c r="F250" s="21" t="s">
        <v>14</v>
      </c>
      <c r="G250" s="21" t="s">
        <v>13</v>
      </c>
      <c r="H250" s="65"/>
      <c r="I250" s="65"/>
      <c r="J250" s="83"/>
    </row>
    <row r="251" spans="1:10" x14ac:dyDescent="0.35">
      <c r="A251" s="11"/>
      <c r="B251" s="10"/>
      <c r="C251" s="11"/>
      <c r="D251" s="11" t="s">
        <v>421</v>
      </c>
      <c r="E251" s="10">
        <v>5</v>
      </c>
      <c r="F251" s="10" t="s">
        <v>14</v>
      </c>
      <c r="G251" s="10" t="s">
        <v>13</v>
      </c>
      <c r="H251" s="53">
        <v>200000</v>
      </c>
      <c r="I251" s="53">
        <f t="shared" si="7"/>
        <v>1000000</v>
      </c>
    </row>
    <row r="252" spans="1:10" x14ac:dyDescent="0.35">
      <c r="A252" s="11"/>
      <c r="B252" s="10"/>
      <c r="C252" s="11"/>
      <c r="D252" s="11"/>
      <c r="E252" s="10"/>
      <c r="F252" s="10"/>
      <c r="G252" s="10"/>
      <c r="H252" s="53"/>
      <c r="I252" s="53"/>
    </row>
    <row r="253" spans="1:10" x14ac:dyDescent="0.35">
      <c r="A253" s="9">
        <v>45259</v>
      </c>
      <c r="B253" s="10">
        <v>737</v>
      </c>
      <c r="C253" s="11"/>
      <c r="D253" s="11" t="s">
        <v>412</v>
      </c>
      <c r="E253" s="10">
        <v>1</v>
      </c>
      <c r="F253" s="10" t="s">
        <v>210</v>
      </c>
      <c r="G253" s="10" t="s">
        <v>13</v>
      </c>
      <c r="H253" s="53">
        <f>1693000-(1693000*25%)</f>
        <v>1269750</v>
      </c>
      <c r="I253" s="53">
        <f>H253*E253</f>
        <v>1269750</v>
      </c>
    </row>
    <row r="254" spans="1:10" x14ac:dyDescent="0.35">
      <c r="A254" s="8"/>
      <c r="B254" s="10"/>
      <c r="C254" s="11" t="s">
        <v>413</v>
      </c>
      <c r="D254" s="11" t="s">
        <v>414</v>
      </c>
      <c r="E254" s="10">
        <v>1</v>
      </c>
      <c r="F254" s="10" t="s">
        <v>210</v>
      </c>
      <c r="G254" s="10" t="s">
        <v>13</v>
      </c>
      <c r="H254" s="53">
        <v>2100000</v>
      </c>
      <c r="I254" s="53">
        <f>H254*E254</f>
        <v>2100000</v>
      </c>
    </row>
    <row r="255" spans="1:10" x14ac:dyDescent="0.35">
      <c r="A255" s="8"/>
      <c r="B255" s="10"/>
      <c r="C255" s="11"/>
      <c r="D255" s="22" t="s">
        <v>415</v>
      </c>
      <c r="E255" s="21">
        <v>10</v>
      </c>
      <c r="F255" s="21" t="s">
        <v>210</v>
      </c>
      <c r="G255" s="21" t="s">
        <v>13</v>
      </c>
      <c r="H255" s="65"/>
      <c r="I255" s="65"/>
      <c r="J255" s="98">
        <v>500000</v>
      </c>
    </row>
    <row r="256" spans="1:10" x14ac:dyDescent="0.35">
      <c r="A256" s="11"/>
      <c r="B256" s="10"/>
      <c r="C256" s="11"/>
      <c r="D256" s="11"/>
      <c r="E256" s="10"/>
      <c r="F256" s="10"/>
      <c r="G256" s="10"/>
      <c r="H256" s="53"/>
      <c r="I256" s="76">
        <f>SUM(I253:I255)</f>
        <v>3369750</v>
      </c>
      <c r="J256" s="83">
        <f>I253+I254+J255</f>
        <v>3869750</v>
      </c>
    </row>
    <row r="257" spans="1:10" x14ac:dyDescent="0.35">
      <c r="A257" s="9">
        <v>45259</v>
      </c>
      <c r="B257" s="10">
        <v>738</v>
      </c>
      <c r="C257" s="8"/>
      <c r="D257" s="11" t="s">
        <v>411</v>
      </c>
      <c r="E257" s="10">
        <v>1</v>
      </c>
      <c r="F257" s="10" t="s">
        <v>210</v>
      </c>
      <c r="G257" s="10" t="s">
        <v>13</v>
      </c>
      <c r="H257" s="53">
        <f>1000000-(1000000*25%)</f>
        <v>750000</v>
      </c>
      <c r="I257" s="73">
        <f>H257*E257</f>
        <v>750000</v>
      </c>
      <c r="J257" t="s">
        <v>612</v>
      </c>
    </row>
    <row r="258" spans="1:10" x14ac:dyDescent="0.35">
      <c r="A258" s="9"/>
      <c r="B258" s="10"/>
      <c r="C258" s="11"/>
      <c r="D258" s="11"/>
      <c r="E258" s="10"/>
      <c r="F258" s="10"/>
      <c r="G258" s="10"/>
      <c r="H258" s="53"/>
      <c r="I258" s="53"/>
      <c r="J258" s="83"/>
    </row>
    <row r="259" spans="1:10" x14ac:dyDescent="0.35">
      <c r="A259" s="9">
        <v>45259</v>
      </c>
      <c r="B259" s="10">
        <v>739</v>
      </c>
      <c r="C259" s="11" t="s">
        <v>37</v>
      </c>
      <c r="D259" s="11" t="s">
        <v>409</v>
      </c>
      <c r="E259" s="10">
        <v>1</v>
      </c>
      <c r="F259" s="10" t="s">
        <v>210</v>
      </c>
      <c r="G259" s="10" t="s">
        <v>13</v>
      </c>
      <c r="H259" s="60">
        <v>550000</v>
      </c>
      <c r="I259" s="60">
        <f>H259*E259</f>
        <v>550000</v>
      </c>
    </row>
    <row r="260" spans="1:10" x14ac:dyDescent="0.35">
      <c r="A260" s="9"/>
      <c r="B260" s="10"/>
      <c r="C260" s="11"/>
      <c r="D260" s="11" t="s">
        <v>410</v>
      </c>
      <c r="E260" s="10">
        <v>1</v>
      </c>
      <c r="F260" s="10" t="s">
        <v>210</v>
      </c>
      <c r="G260" s="10" t="s">
        <v>13</v>
      </c>
      <c r="H260" s="60">
        <v>810000</v>
      </c>
      <c r="I260" s="60">
        <f>H260*E260</f>
        <v>810000</v>
      </c>
    </row>
    <row r="261" spans="1:10" x14ac:dyDescent="0.35">
      <c r="A261" s="9"/>
      <c r="B261" s="10"/>
      <c r="C261" s="11"/>
      <c r="D261" s="11"/>
      <c r="E261" s="10"/>
      <c r="F261" s="10"/>
      <c r="G261" s="10"/>
      <c r="H261" s="53"/>
      <c r="I261" s="73">
        <f>SUM(I259:I260)</f>
        <v>1360000</v>
      </c>
    </row>
    <row r="262" spans="1:10" x14ac:dyDescent="0.35">
      <c r="A262" s="9">
        <v>45259</v>
      </c>
      <c r="B262" s="10">
        <v>740</v>
      </c>
      <c r="C262" s="8"/>
      <c r="D262" s="11" t="s">
        <v>407</v>
      </c>
      <c r="E262" s="10">
        <v>2</v>
      </c>
      <c r="F262" s="10" t="s">
        <v>210</v>
      </c>
      <c r="G262" s="10" t="s">
        <v>13</v>
      </c>
      <c r="H262" s="53">
        <f>993000-(993000*25%)</f>
        <v>744750</v>
      </c>
      <c r="I262" s="60">
        <f>H262*E262</f>
        <v>1489500</v>
      </c>
    </row>
    <row r="263" spans="1:10" x14ac:dyDescent="0.35">
      <c r="A263" s="8"/>
      <c r="B263" s="10"/>
      <c r="C263" s="8"/>
      <c r="D263" s="22" t="s">
        <v>408</v>
      </c>
      <c r="E263" s="21">
        <v>2</v>
      </c>
      <c r="F263" s="21" t="s">
        <v>210</v>
      </c>
      <c r="G263" s="21" t="s">
        <v>13</v>
      </c>
      <c r="H263" s="65"/>
      <c r="I263" s="65"/>
      <c r="J263">
        <v>89500</v>
      </c>
    </row>
    <row r="264" spans="1:10" x14ac:dyDescent="0.35">
      <c r="A264" s="8"/>
      <c r="B264" s="10"/>
      <c r="C264" s="11"/>
      <c r="D264" s="11"/>
      <c r="E264" s="10"/>
      <c r="F264" s="10"/>
      <c r="G264" s="10"/>
      <c r="H264" s="53"/>
      <c r="I264" s="73">
        <f>SUM(I262:I263)</f>
        <v>1489500</v>
      </c>
      <c r="J264" s="83">
        <f>I262+J263</f>
        <v>1579000</v>
      </c>
    </row>
    <row r="265" spans="1:10" x14ac:dyDescent="0.35">
      <c r="A265" s="9">
        <v>45259</v>
      </c>
      <c r="B265" s="10">
        <v>742</v>
      </c>
      <c r="C265" s="8"/>
      <c r="D265" s="11" t="s">
        <v>406</v>
      </c>
      <c r="E265" s="10">
        <v>1</v>
      </c>
      <c r="F265" s="10" t="s">
        <v>210</v>
      </c>
      <c r="G265" s="10" t="s">
        <v>13</v>
      </c>
      <c r="H265" s="53">
        <f>250000-(250000*25%)</f>
        <v>187500</v>
      </c>
      <c r="I265" s="73">
        <f>H265*E265</f>
        <v>187500</v>
      </c>
      <c r="J265" t="s">
        <v>612</v>
      </c>
    </row>
    <row r="266" spans="1:10" x14ac:dyDescent="0.35">
      <c r="A266" s="8"/>
      <c r="B266" s="14"/>
      <c r="C266" s="8"/>
      <c r="D266" s="8"/>
      <c r="E266" s="14"/>
      <c r="F266" s="14"/>
      <c r="G266" s="14"/>
      <c r="H266" s="57"/>
      <c r="I266" s="57"/>
    </row>
    <row r="267" spans="1:10" x14ac:dyDescent="0.35">
      <c r="A267" s="9">
        <v>45259</v>
      </c>
      <c r="B267" s="10">
        <v>743</v>
      </c>
      <c r="C267" s="11"/>
      <c r="D267" s="11" t="s">
        <v>404</v>
      </c>
      <c r="E267" s="10">
        <v>1</v>
      </c>
      <c r="F267" s="10" t="s">
        <v>207</v>
      </c>
      <c r="G267" s="10" t="s">
        <v>13</v>
      </c>
      <c r="H267" s="53">
        <f>1785000-(1785000*25%)</f>
        <v>1338750</v>
      </c>
      <c r="I267" s="53">
        <f>H267*E267</f>
        <v>1338750</v>
      </c>
      <c r="J267" t="s">
        <v>612</v>
      </c>
    </row>
    <row r="268" spans="1:10" x14ac:dyDescent="0.35">
      <c r="A268" s="8"/>
      <c r="B268" s="10"/>
      <c r="C268" s="11"/>
      <c r="D268" s="11" t="s">
        <v>405</v>
      </c>
      <c r="E268" s="10">
        <v>1</v>
      </c>
      <c r="F268" s="10" t="s">
        <v>207</v>
      </c>
      <c r="G268" s="10" t="s">
        <v>13</v>
      </c>
      <c r="H268" s="53">
        <f>1995000-(1995000*25%)</f>
        <v>1496250</v>
      </c>
      <c r="I268" s="53">
        <f>H268*E268</f>
        <v>1496250</v>
      </c>
      <c r="J268" t="s">
        <v>612</v>
      </c>
    </row>
    <row r="269" spans="1:10" x14ac:dyDescent="0.35">
      <c r="A269" s="11"/>
      <c r="B269" s="10"/>
      <c r="C269" s="11"/>
      <c r="D269" s="11"/>
      <c r="E269" s="10"/>
      <c r="F269" s="10"/>
      <c r="G269" s="10"/>
      <c r="H269" s="53"/>
      <c r="I269" s="73">
        <f>SUM(I267:I268)</f>
        <v>2835000</v>
      </c>
    </row>
    <row r="270" spans="1:10" x14ac:dyDescent="0.35">
      <c r="A270" s="9">
        <v>45259</v>
      </c>
      <c r="B270" s="10">
        <v>744</v>
      </c>
      <c r="C270" s="8"/>
      <c r="D270" s="11" t="s">
        <v>403</v>
      </c>
      <c r="E270" s="10">
        <v>7</v>
      </c>
      <c r="F270" s="10" t="s">
        <v>207</v>
      </c>
      <c r="G270" s="10" t="s">
        <v>200</v>
      </c>
      <c r="H270" s="53">
        <v>335000</v>
      </c>
      <c r="I270" s="73">
        <f>H270*E270</f>
        <v>2345000</v>
      </c>
      <c r="J270" t="s">
        <v>612</v>
      </c>
    </row>
    <row r="271" spans="1:10" x14ac:dyDescent="0.35">
      <c r="A271" s="9"/>
      <c r="B271" s="10"/>
      <c r="C271" s="8"/>
      <c r="D271" s="11"/>
      <c r="E271" s="10"/>
      <c r="F271" s="10"/>
      <c r="G271" s="10"/>
      <c r="H271" s="53"/>
      <c r="I271" s="53"/>
    </row>
    <row r="272" spans="1:10" x14ac:dyDescent="0.35">
      <c r="A272" s="9">
        <v>45259</v>
      </c>
      <c r="B272" s="10">
        <v>745</v>
      </c>
      <c r="C272" s="11"/>
      <c r="D272" s="11" t="s">
        <v>625</v>
      </c>
      <c r="E272" s="10">
        <v>6</v>
      </c>
      <c r="F272" s="10" t="s">
        <v>14</v>
      </c>
      <c r="G272" s="10" t="s">
        <v>13</v>
      </c>
      <c r="H272" s="53"/>
      <c r="I272" s="53">
        <f>H272*E272</f>
        <v>0</v>
      </c>
      <c r="J272" s="99">
        <v>1473000</v>
      </c>
    </row>
    <row r="273" spans="1:11" x14ac:dyDescent="0.35">
      <c r="A273" s="9"/>
      <c r="B273" s="10"/>
      <c r="C273" s="8"/>
      <c r="D273" s="11"/>
      <c r="E273" s="10"/>
      <c r="F273" s="10"/>
      <c r="G273" s="10"/>
      <c r="H273" s="53"/>
      <c r="I273" s="89">
        <v>0</v>
      </c>
      <c r="J273" s="97">
        <f>J272</f>
        <v>1473000</v>
      </c>
    </row>
    <row r="274" spans="1:11" x14ac:dyDescent="0.35">
      <c r="A274" s="9"/>
      <c r="B274" s="10"/>
      <c r="C274" s="8"/>
      <c r="D274" s="11"/>
      <c r="E274" s="10"/>
      <c r="F274" s="10"/>
      <c r="G274" s="10"/>
      <c r="H274" s="53"/>
      <c r="I274" s="53"/>
    </row>
    <row r="275" spans="1:11" x14ac:dyDescent="0.35">
      <c r="A275" s="9">
        <v>45259</v>
      </c>
      <c r="B275" s="10">
        <v>746</v>
      </c>
      <c r="C275" s="8"/>
      <c r="D275" s="11" t="s">
        <v>401</v>
      </c>
      <c r="E275" s="10">
        <v>30</v>
      </c>
      <c r="F275" s="10" t="s">
        <v>14</v>
      </c>
      <c r="G275" s="10" t="s">
        <v>200</v>
      </c>
      <c r="H275" s="53">
        <f>146000-(146000*25%)</f>
        <v>109500</v>
      </c>
      <c r="I275" s="53">
        <f>H275*E275</f>
        <v>3285000</v>
      </c>
      <c r="J275" t="s">
        <v>612</v>
      </c>
    </row>
    <row r="276" spans="1:11" x14ac:dyDescent="0.35">
      <c r="A276" s="8"/>
      <c r="B276" s="10"/>
      <c r="C276" s="8"/>
      <c r="D276" s="11" t="s">
        <v>402</v>
      </c>
      <c r="E276" s="10">
        <v>1</v>
      </c>
      <c r="F276" s="10" t="s">
        <v>210</v>
      </c>
      <c r="G276" s="10" t="s">
        <v>200</v>
      </c>
      <c r="H276" s="53">
        <f>7550000-(7550000*25%)</f>
        <v>5662500</v>
      </c>
      <c r="I276" s="53">
        <f>H276*E276</f>
        <v>5662500</v>
      </c>
      <c r="J276" t="s">
        <v>612</v>
      </c>
    </row>
    <row r="277" spans="1:11" x14ac:dyDescent="0.35">
      <c r="A277" s="8"/>
      <c r="B277" s="14"/>
      <c r="C277" s="8"/>
      <c r="D277" s="11"/>
      <c r="E277" s="10"/>
      <c r="F277" s="10"/>
      <c r="G277" s="10"/>
      <c r="H277" s="53"/>
      <c r="I277" s="73">
        <f>SUM(I275:I276)</f>
        <v>8947500</v>
      </c>
    </row>
    <row r="278" spans="1:11" x14ac:dyDescent="0.35">
      <c r="A278" s="9">
        <v>45259</v>
      </c>
      <c r="B278" s="10">
        <v>747</v>
      </c>
      <c r="C278" s="8"/>
      <c r="D278" s="11" t="s">
        <v>543</v>
      </c>
      <c r="E278" s="10">
        <v>1</v>
      </c>
      <c r="F278" s="10" t="s">
        <v>221</v>
      </c>
      <c r="G278" s="10" t="s">
        <v>13</v>
      </c>
      <c r="H278" s="53">
        <f>6500000-(6500000*25%)</f>
        <v>4875000</v>
      </c>
      <c r="I278" s="73">
        <f>H278*E278</f>
        <v>4875000</v>
      </c>
      <c r="J278" t="s">
        <v>612</v>
      </c>
    </row>
    <row r="279" spans="1:11" x14ac:dyDescent="0.35">
      <c r="A279" s="8"/>
      <c r="B279" s="10"/>
      <c r="C279" s="8"/>
      <c r="D279" s="69" t="s">
        <v>398</v>
      </c>
      <c r="E279" s="10"/>
      <c r="F279" s="10"/>
      <c r="G279" s="10"/>
      <c r="H279" s="53"/>
      <c r="I279" s="54"/>
    </row>
    <row r="280" spans="1:11" x14ac:dyDescent="0.35">
      <c r="A280" s="8"/>
      <c r="B280" s="10"/>
      <c r="C280" s="8"/>
      <c r="D280" s="69" t="s">
        <v>399</v>
      </c>
      <c r="E280" s="10"/>
      <c r="F280" s="10"/>
      <c r="G280" s="10"/>
      <c r="H280" s="53"/>
      <c r="I280" s="53"/>
    </row>
    <row r="281" spans="1:11" x14ac:dyDescent="0.35">
      <c r="A281" s="8"/>
      <c r="B281" s="10"/>
      <c r="C281" s="8"/>
      <c r="D281" s="69" t="s">
        <v>400</v>
      </c>
      <c r="E281" s="10"/>
      <c r="F281" s="10"/>
      <c r="G281" s="10"/>
      <c r="H281" s="53"/>
      <c r="I281" s="53"/>
    </row>
    <row r="282" spans="1:11" x14ac:dyDescent="0.35">
      <c r="A282" s="11"/>
      <c r="B282" s="10"/>
      <c r="C282" s="11"/>
      <c r="D282" s="11"/>
      <c r="E282" s="10"/>
      <c r="F282" s="10"/>
      <c r="G282" s="10"/>
      <c r="H282" s="53"/>
      <c r="I282" s="53"/>
    </row>
    <row r="283" spans="1:11" x14ac:dyDescent="0.35">
      <c r="A283" s="9">
        <v>45259</v>
      </c>
      <c r="B283" s="10">
        <v>748</v>
      </c>
      <c r="C283" s="8"/>
      <c r="D283" s="11" t="s">
        <v>390</v>
      </c>
      <c r="E283" s="10">
        <v>1</v>
      </c>
      <c r="F283" s="10" t="s">
        <v>14</v>
      </c>
      <c r="G283" s="10" t="s">
        <v>13</v>
      </c>
      <c r="H283" s="53">
        <f>2940000-(2940000*25%)</f>
        <v>2205000</v>
      </c>
      <c r="I283" s="53">
        <f>H283*E283</f>
        <v>2205000</v>
      </c>
      <c r="J283" s="83"/>
    </row>
    <row r="284" spans="1:11" x14ac:dyDescent="0.35">
      <c r="A284" s="8"/>
      <c r="B284" s="10"/>
      <c r="C284" s="8"/>
      <c r="D284" s="11" t="s">
        <v>391</v>
      </c>
      <c r="E284" s="10">
        <v>20</v>
      </c>
      <c r="F284" s="10" t="s">
        <v>14</v>
      </c>
      <c r="G284" s="10" t="s">
        <v>13</v>
      </c>
      <c r="H284" s="53">
        <f>150000-(150000*25%)</f>
        <v>112500</v>
      </c>
      <c r="I284" s="53">
        <f>H284*E284</f>
        <v>2250000</v>
      </c>
    </row>
    <row r="285" spans="1:11" x14ac:dyDescent="0.35">
      <c r="A285" s="8"/>
      <c r="B285" s="10"/>
      <c r="C285" s="8"/>
      <c r="D285" s="66" t="s">
        <v>392</v>
      </c>
      <c r="E285" s="67">
        <v>1</v>
      </c>
      <c r="F285" s="67" t="s">
        <v>14</v>
      </c>
      <c r="G285" s="67" t="s">
        <v>13</v>
      </c>
      <c r="H285" s="68"/>
      <c r="I285" s="68"/>
      <c r="J285">
        <v>250000</v>
      </c>
    </row>
    <row r="286" spans="1:11" x14ac:dyDescent="0.35">
      <c r="A286" s="8"/>
      <c r="B286" s="10"/>
      <c r="C286" s="8"/>
      <c r="D286" s="11" t="s">
        <v>393</v>
      </c>
      <c r="E286" s="10">
        <v>7</v>
      </c>
      <c r="F286" s="10" t="s">
        <v>14</v>
      </c>
      <c r="G286" s="10" t="s">
        <v>13</v>
      </c>
      <c r="H286" s="53">
        <f>109200-(109200*25%)</f>
        <v>81900</v>
      </c>
      <c r="I286" s="53">
        <f>H286*E286</f>
        <v>573300</v>
      </c>
    </row>
    <row r="287" spans="1:11" x14ac:dyDescent="0.35">
      <c r="A287" s="11"/>
      <c r="B287" s="10"/>
      <c r="C287" s="11"/>
      <c r="D287" s="11"/>
      <c r="E287" s="10"/>
      <c r="F287" s="10"/>
      <c r="G287" s="10"/>
      <c r="H287" s="53"/>
      <c r="I287" s="73">
        <f>SUM(I283:I286)</f>
        <v>5028300</v>
      </c>
      <c r="J287" s="83">
        <f>I283+I284+J285+I286</f>
        <v>5278300</v>
      </c>
      <c r="K287" s="83"/>
    </row>
    <row r="288" spans="1:11" x14ac:dyDescent="0.35">
      <c r="A288" s="9">
        <v>45259</v>
      </c>
      <c r="B288" s="10">
        <v>749</v>
      </c>
      <c r="C288" s="11"/>
      <c r="D288" s="11" t="s">
        <v>394</v>
      </c>
      <c r="E288" s="10">
        <v>24</v>
      </c>
      <c r="F288" s="10" t="s">
        <v>14</v>
      </c>
      <c r="G288" s="10" t="s">
        <v>13</v>
      </c>
      <c r="H288" s="53">
        <f>24500-(24500*25%)</f>
        <v>18375</v>
      </c>
      <c r="I288" s="73">
        <f>H288*E288</f>
        <v>441000</v>
      </c>
      <c r="J288" t="s">
        <v>612</v>
      </c>
    </row>
    <row r="289" spans="1:10" x14ac:dyDescent="0.35">
      <c r="A289" s="11"/>
      <c r="B289" s="10"/>
      <c r="C289" s="11"/>
      <c r="D289" s="11"/>
      <c r="E289" s="10"/>
      <c r="F289" s="10"/>
      <c r="G289" s="10"/>
      <c r="H289" s="53"/>
      <c r="I289" s="53"/>
    </row>
    <row r="290" spans="1:10" x14ac:dyDescent="0.35">
      <c r="A290" s="9">
        <v>45259</v>
      </c>
      <c r="B290" s="10">
        <v>750</v>
      </c>
      <c r="C290" s="11"/>
      <c r="D290" s="11" t="s">
        <v>395</v>
      </c>
      <c r="E290" s="10">
        <v>1</v>
      </c>
      <c r="F290" s="10" t="s">
        <v>210</v>
      </c>
      <c r="G290" s="10" t="s">
        <v>13</v>
      </c>
      <c r="H290" s="53">
        <f>2000000-(2000000*25%)</f>
        <v>1500000</v>
      </c>
      <c r="I290" s="53">
        <f>H290*E290</f>
        <v>1500000</v>
      </c>
      <c r="J290" t="s">
        <v>612</v>
      </c>
    </row>
    <row r="291" spans="1:10" x14ac:dyDescent="0.35">
      <c r="A291" s="11"/>
      <c r="B291" s="10"/>
      <c r="C291" s="11"/>
      <c r="D291" s="11" t="s">
        <v>396</v>
      </c>
      <c r="E291" s="10">
        <v>1</v>
      </c>
      <c r="F291" s="10" t="s">
        <v>210</v>
      </c>
      <c r="G291" s="10" t="s">
        <v>13</v>
      </c>
      <c r="H291" s="53">
        <f>1000000-(1000000*25%)</f>
        <v>750000</v>
      </c>
      <c r="I291" s="53">
        <f>H291*E291</f>
        <v>750000</v>
      </c>
      <c r="J291" t="s">
        <v>612</v>
      </c>
    </row>
    <row r="292" spans="1:10" x14ac:dyDescent="0.35">
      <c r="A292" s="11"/>
      <c r="B292" s="10"/>
      <c r="C292" s="11"/>
      <c r="D292" s="11"/>
      <c r="E292" s="10"/>
      <c r="F292" s="10"/>
      <c r="G292" s="10"/>
      <c r="H292" s="53"/>
      <c r="I292" s="76">
        <f>SUM(I290:I291)</f>
        <v>2250000</v>
      </c>
    </row>
    <row r="293" spans="1:10" x14ac:dyDescent="0.35">
      <c r="A293" s="9">
        <v>45259</v>
      </c>
      <c r="B293" s="10">
        <v>753</v>
      </c>
      <c r="C293" s="8"/>
      <c r="D293" s="11" t="s">
        <v>389</v>
      </c>
      <c r="E293" s="10">
        <v>1</v>
      </c>
      <c r="F293" s="10" t="s">
        <v>207</v>
      </c>
      <c r="G293" s="10" t="s">
        <v>13</v>
      </c>
      <c r="H293" s="53">
        <f>10000000-(10000000*25%)</f>
        <v>7500000</v>
      </c>
      <c r="I293" s="73">
        <f>H293*E293</f>
        <v>7500000</v>
      </c>
      <c r="J293" s="83" t="s">
        <v>612</v>
      </c>
    </row>
    <row r="294" spans="1:10" x14ac:dyDescent="0.35">
      <c r="A294" s="9"/>
      <c r="B294" s="10"/>
      <c r="C294" s="8"/>
      <c r="D294" s="11"/>
      <c r="E294" s="10"/>
      <c r="F294" s="10"/>
      <c r="G294" s="10"/>
      <c r="H294" s="53"/>
      <c r="I294" s="53"/>
      <c r="J294" s="83"/>
    </row>
    <row r="295" spans="1:10" x14ac:dyDescent="0.35">
      <c r="A295" s="9">
        <v>45259</v>
      </c>
      <c r="B295" s="10">
        <v>754</v>
      </c>
      <c r="C295" s="11" t="s">
        <v>261</v>
      </c>
      <c r="D295" s="11" t="s">
        <v>626</v>
      </c>
      <c r="E295" s="10">
        <v>37</v>
      </c>
      <c r="F295" s="10" t="s">
        <v>207</v>
      </c>
      <c r="G295" s="10" t="s">
        <v>200</v>
      </c>
      <c r="H295" s="53"/>
      <c r="I295" s="53">
        <f>H295*E295</f>
        <v>0</v>
      </c>
      <c r="J295" s="94">
        <v>1572500</v>
      </c>
    </row>
    <row r="296" spans="1:10" x14ac:dyDescent="0.35">
      <c r="A296" s="11"/>
      <c r="B296" s="10"/>
      <c r="C296" s="11"/>
      <c r="D296" s="11" t="s">
        <v>627</v>
      </c>
      <c r="E296" s="10"/>
      <c r="F296" s="10"/>
      <c r="G296" s="10"/>
      <c r="H296" s="53"/>
      <c r="I296" s="54">
        <v>0</v>
      </c>
      <c r="J296" s="83">
        <f>J295</f>
        <v>1572500</v>
      </c>
    </row>
    <row r="297" spans="1:10" x14ac:dyDescent="0.35">
      <c r="A297" s="9"/>
      <c r="B297" s="10"/>
      <c r="C297" s="8"/>
      <c r="D297" s="11"/>
      <c r="E297" s="10"/>
      <c r="F297" s="10"/>
      <c r="G297" s="10"/>
      <c r="H297" s="53"/>
      <c r="I297" s="53"/>
      <c r="J297" s="83"/>
    </row>
    <row r="298" spans="1:10" x14ac:dyDescent="0.35">
      <c r="A298" s="9">
        <v>45259</v>
      </c>
      <c r="B298" s="10">
        <v>755</v>
      </c>
      <c r="C298" s="11"/>
      <c r="D298" s="11" t="s">
        <v>388</v>
      </c>
      <c r="E298" s="10">
        <v>1</v>
      </c>
      <c r="F298" s="10" t="s">
        <v>210</v>
      </c>
      <c r="G298" s="10" t="s">
        <v>13</v>
      </c>
      <c r="H298" s="53">
        <f>4500000-(4500000*25%)</f>
        <v>3375000</v>
      </c>
      <c r="I298" s="73">
        <f>H298*E298</f>
        <v>3375000</v>
      </c>
      <c r="J298" s="99">
        <v>4500000</v>
      </c>
    </row>
    <row r="299" spans="1:10" x14ac:dyDescent="0.35">
      <c r="A299" s="8"/>
      <c r="B299" s="10"/>
      <c r="C299" s="8"/>
      <c r="D299" s="8"/>
      <c r="E299" s="14"/>
      <c r="F299" s="14"/>
      <c r="G299" s="14"/>
      <c r="H299" s="57"/>
      <c r="I299" s="57"/>
      <c r="J299" s="83"/>
    </row>
    <row r="300" spans="1:10" x14ac:dyDescent="0.35">
      <c r="A300" s="9">
        <v>45259</v>
      </c>
      <c r="B300" s="10">
        <v>756</v>
      </c>
      <c r="C300" s="11"/>
      <c r="D300" s="11" t="s">
        <v>370</v>
      </c>
      <c r="E300" s="10"/>
      <c r="F300" s="10"/>
      <c r="G300" s="10"/>
      <c r="H300" s="53"/>
      <c r="I300" s="53"/>
    </row>
    <row r="301" spans="1:10" x14ac:dyDescent="0.35">
      <c r="A301" s="11"/>
      <c r="B301" s="10"/>
      <c r="C301" s="11"/>
      <c r="D301" s="11" t="s">
        <v>381</v>
      </c>
      <c r="E301" s="10">
        <v>1</v>
      </c>
      <c r="F301" s="10" t="s">
        <v>20</v>
      </c>
      <c r="G301" s="10" t="s">
        <v>13</v>
      </c>
      <c r="H301" s="53">
        <v>50500</v>
      </c>
      <c r="I301" s="53">
        <f t="shared" ref="I301:I307" si="8">H301*E301</f>
        <v>50500</v>
      </c>
    </row>
    <row r="302" spans="1:10" x14ac:dyDescent="0.35">
      <c r="A302" s="11"/>
      <c r="B302" s="10"/>
      <c r="C302" s="11"/>
      <c r="D302" s="22" t="s">
        <v>382</v>
      </c>
      <c r="E302" s="21">
        <v>12</v>
      </c>
      <c r="F302" s="21" t="s">
        <v>14</v>
      </c>
      <c r="G302" s="21" t="s">
        <v>13</v>
      </c>
      <c r="H302" s="65"/>
      <c r="I302" s="65"/>
      <c r="J302" s="83"/>
    </row>
    <row r="303" spans="1:10" x14ac:dyDescent="0.35">
      <c r="A303" s="11"/>
      <c r="B303" s="10"/>
      <c r="C303" s="11"/>
      <c r="D303" s="11" t="s">
        <v>383</v>
      </c>
      <c r="E303" s="10">
        <v>1</v>
      </c>
      <c r="F303" s="10" t="s">
        <v>210</v>
      </c>
      <c r="G303" s="10" t="s">
        <v>13</v>
      </c>
      <c r="H303" s="53">
        <f>2250000-498962</f>
        <v>1751038</v>
      </c>
      <c r="I303" s="53">
        <f t="shared" si="8"/>
        <v>1751038</v>
      </c>
    </row>
    <row r="304" spans="1:10" x14ac:dyDescent="0.35">
      <c r="A304" s="11"/>
      <c r="B304" s="10"/>
      <c r="C304" s="11"/>
      <c r="D304" s="11" t="s">
        <v>384</v>
      </c>
      <c r="E304" s="10">
        <v>1</v>
      </c>
      <c r="F304" s="10" t="s">
        <v>210</v>
      </c>
      <c r="G304" s="10" t="s">
        <v>13</v>
      </c>
      <c r="H304" s="53">
        <f>2500000-(2500000*25%)</f>
        <v>1875000</v>
      </c>
      <c r="I304" s="53">
        <f t="shared" si="8"/>
        <v>1875000</v>
      </c>
    </row>
    <row r="305" spans="1:11" x14ac:dyDescent="0.35">
      <c r="A305" s="11"/>
      <c r="B305" s="10"/>
      <c r="C305" s="11"/>
      <c r="D305" s="22" t="s">
        <v>385</v>
      </c>
      <c r="E305" s="21">
        <v>2</v>
      </c>
      <c r="F305" s="21" t="s">
        <v>210</v>
      </c>
      <c r="G305" s="21" t="s">
        <v>13</v>
      </c>
      <c r="H305" s="65"/>
      <c r="I305" s="65"/>
    </row>
    <row r="306" spans="1:11" x14ac:dyDescent="0.35">
      <c r="A306" s="11"/>
      <c r="B306" s="10"/>
      <c r="C306" s="11"/>
      <c r="D306" s="22" t="s">
        <v>386</v>
      </c>
      <c r="E306" s="21">
        <v>1</v>
      </c>
      <c r="F306" s="21" t="s">
        <v>210</v>
      </c>
      <c r="G306" s="21" t="s">
        <v>13</v>
      </c>
      <c r="H306" s="65"/>
      <c r="I306" s="65"/>
    </row>
    <row r="307" spans="1:11" x14ac:dyDescent="0.35">
      <c r="A307" s="11"/>
      <c r="B307" s="10"/>
      <c r="C307" s="11"/>
      <c r="D307" s="11" t="s">
        <v>387</v>
      </c>
      <c r="E307" s="10">
        <v>1</v>
      </c>
      <c r="F307" s="10" t="s">
        <v>210</v>
      </c>
      <c r="G307" s="10" t="s">
        <v>200</v>
      </c>
      <c r="H307" s="53">
        <f>100000-(100000*25%)</f>
        <v>75000</v>
      </c>
      <c r="I307" s="53">
        <f t="shared" si="8"/>
        <v>75000</v>
      </c>
      <c r="K307" s="83">
        <f>I308-3751538</f>
        <v>0</v>
      </c>
    </row>
    <row r="308" spans="1:11" x14ac:dyDescent="0.35">
      <c r="A308" s="8"/>
      <c r="B308" s="10"/>
      <c r="C308" s="8"/>
      <c r="D308" s="11"/>
      <c r="E308" s="10"/>
      <c r="F308" s="10"/>
      <c r="G308" s="10"/>
      <c r="H308" s="53"/>
      <c r="I308" s="76">
        <f>SUM(I301:I307)</f>
        <v>3751538</v>
      </c>
      <c r="J308" s="83">
        <v>4467538</v>
      </c>
      <c r="K308" s="83">
        <f>I308-J308</f>
        <v>-716000</v>
      </c>
    </row>
    <row r="309" spans="1:11" x14ac:dyDescent="0.35">
      <c r="A309" s="9">
        <v>45259</v>
      </c>
      <c r="B309" s="10">
        <v>757</v>
      </c>
      <c r="C309" s="11"/>
      <c r="D309" s="22" t="s">
        <v>374</v>
      </c>
      <c r="E309" s="21">
        <v>1</v>
      </c>
      <c r="F309" s="21" t="s">
        <v>210</v>
      </c>
      <c r="G309" s="21" t="s">
        <v>13</v>
      </c>
      <c r="H309" s="61"/>
      <c r="I309" s="61"/>
      <c r="K309" s="98">
        <f>4966500-716000</f>
        <v>4250500</v>
      </c>
    </row>
    <row r="310" spans="1:11" x14ac:dyDescent="0.35">
      <c r="A310" s="8"/>
      <c r="B310" s="10"/>
      <c r="C310" s="11"/>
      <c r="D310" s="22" t="s">
        <v>375</v>
      </c>
      <c r="E310" s="21">
        <v>1</v>
      </c>
      <c r="F310" s="21" t="s">
        <v>210</v>
      </c>
      <c r="G310" s="21" t="s">
        <v>13</v>
      </c>
      <c r="H310" s="61"/>
      <c r="I310" s="61"/>
    </row>
    <row r="311" spans="1:11" x14ac:dyDescent="0.35">
      <c r="A311" s="8"/>
      <c r="B311" s="10"/>
      <c r="C311" s="11"/>
      <c r="D311" s="22" t="s">
        <v>376</v>
      </c>
      <c r="E311" s="21">
        <v>1</v>
      </c>
      <c r="F311" s="21" t="s">
        <v>210</v>
      </c>
      <c r="G311" s="21" t="s">
        <v>13</v>
      </c>
      <c r="H311" s="61"/>
      <c r="I311" s="61"/>
      <c r="J311" s="83"/>
    </row>
    <row r="312" spans="1:11" x14ac:dyDescent="0.35">
      <c r="A312" s="8"/>
      <c r="B312" s="10"/>
      <c r="C312" s="11"/>
      <c r="D312" s="11" t="s">
        <v>377</v>
      </c>
      <c r="E312" s="10">
        <v>1</v>
      </c>
      <c r="F312" s="10" t="s">
        <v>221</v>
      </c>
      <c r="G312" s="10" t="s">
        <v>13</v>
      </c>
      <c r="H312" s="53">
        <f>2000000-(2000000*25%)</f>
        <v>1500000</v>
      </c>
      <c r="I312" s="53">
        <f t="shared" ref="I312:I315" si="9">H312*E312</f>
        <v>1500000</v>
      </c>
    </row>
    <row r="313" spans="1:11" x14ac:dyDescent="0.35">
      <c r="A313" s="8"/>
      <c r="B313" s="10"/>
      <c r="C313" s="11"/>
      <c r="D313" s="11" t="s">
        <v>378</v>
      </c>
      <c r="E313" s="10">
        <v>1</v>
      </c>
      <c r="F313" s="10" t="s">
        <v>210</v>
      </c>
      <c r="G313" s="10" t="s">
        <v>13</v>
      </c>
      <c r="H313" s="60">
        <f>5509500-(5509500*25%)</f>
        <v>4132125</v>
      </c>
      <c r="I313" s="60">
        <f t="shared" si="9"/>
        <v>4132125</v>
      </c>
    </row>
    <row r="314" spans="1:11" x14ac:dyDescent="0.35">
      <c r="A314" s="8"/>
      <c r="B314" s="10"/>
      <c r="C314" s="11"/>
      <c r="D314" s="22" t="s">
        <v>379</v>
      </c>
      <c r="E314" s="21">
        <v>6</v>
      </c>
      <c r="F314" s="21" t="s">
        <v>210</v>
      </c>
      <c r="G314" s="21" t="s">
        <v>13</v>
      </c>
      <c r="H314" s="65"/>
      <c r="I314" s="65"/>
      <c r="J314" s="83"/>
    </row>
    <row r="315" spans="1:11" x14ac:dyDescent="0.35">
      <c r="A315" s="8"/>
      <c r="B315" s="10"/>
      <c r="C315" s="11"/>
      <c r="D315" s="11" t="s">
        <v>380</v>
      </c>
      <c r="E315" s="10">
        <v>1</v>
      </c>
      <c r="F315" s="10" t="s">
        <v>210</v>
      </c>
      <c r="G315" s="10" t="s">
        <v>13</v>
      </c>
      <c r="H315" s="53">
        <f>3000000-(3000000*25%)</f>
        <v>2250000</v>
      </c>
      <c r="I315" s="53">
        <f t="shared" si="9"/>
        <v>2250000</v>
      </c>
    </row>
    <row r="316" spans="1:11" x14ac:dyDescent="0.35">
      <c r="A316" s="8"/>
      <c r="B316" s="10"/>
      <c r="C316" s="8"/>
      <c r="D316" s="22"/>
      <c r="E316" s="21"/>
      <c r="F316" s="21"/>
      <c r="G316" s="21"/>
      <c r="H316" s="65"/>
      <c r="I316" s="76">
        <f>SUM(I309:I315)</f>
        <v>7882125</v>
      </c>
      <c r="K316" s="98">
        <f>13914125-6032000</f>
        <v>7882125</v>
      </c>
    </row>
    <row r="317" spans="1:11" x14ac:dyDescent="0.35">
      <c r="A317" s="9">
        <v>45259</v>
      </c>
      <c r="B317" s="10">
        <v>758</v>
      </c>
      <c r="C317" s="8"/>
      <c r="D317" s="11" t="s">
        <v>370</v>
      </c>
      <c r="E317" s="10"/>
      <c r="F317" s="10"/>
      <c r="G317" s="10"/>
      <c r="H317" s="53"/>
      <c r="I317" s="53"/>
      <c r="J317" s="83"/>
    </row>
    <row r="318" spans="1:11" x14ac:dyDescent="0.35">
      <c r="A318" s="8"/>
      <c r="B318" s="10"/>
      <c r="C318" s="8"/>
      <c r="D318" s="22" t="s">
        <v>371</v>
      </c>
      <c r="E318" s="21">
        <v>1</v>
      </c>
      <c r="F318" s="21" t="s">
        <v>210</v>
      </c>
      <c r="G318" s="21" t="s">
        <v>13</v>
      </c>
      <c r="H318" s="61"/>
      <c r="I318" s="61"/>
    </row>
    <row r="319" spans="1:11" x14ac:dyDescent="0.35">
      <c r="A319" s="8"/>
      <c r="B319" s="10"/>
      <c r="C319" s="8"/>
      <c r="D319" s="22" t="s">
        <v>372</v>
      </c>
      <c r="E319" s="21">
        <v>1</v>
      </c>
      <c r="F319" s="21" t="s">
        <v>210</v>
      </c>
      <c r="G319" s="21" t="s">
        <v>13</v>
      </c>
      <c r="H319" s="61"/>
      <c r="I319" s="61"/>
    </row>
    <row r="320" spans="1:11" x14ac:dyDescent="0.35">
      <c r="A320" s="8"/>
      <c r="B320" s="10"/>
      <c r="C320" s="8"/>
      <c r="D320" s="11" t="s">
        <v>373</v>
      </c>
      <c r="E320" s="10">
        <v>1</v>
      </c>
      <c r="F320" s="10" t="s">
        <v>221</v>
      </c>
      <c r="G320" s="10" t="s">
        <v>13</v>
      </c>
      <c r="H320" s="53">
        <f>450000+175000</f>
        <v>625000</v>
      </c>
      <c r="I320" s="53">
        <f>H320*E320</f>
        <v>625000</v>
      </c>
    </row>
    <row r="321" spans="1:11" x14ac:dyDescent="0.35">
      <c r="A321" s="8"/>
      <c r="B321" s="10"/>
      <c r="C321" s="8"/>
      <c r="D321" s="11" t="s">
        <v>353</v>
      </c>
      <c r="E321" s="10">
        <v>1</v>
      </c>
      <c r="F321" s="10" t="s">
        <v>210</v>
      </c>
      <c r="G321" s="10" t="s">
        <v>13</v>
      </c>
      <c r="H321" s="53">
        <f>1500000-(1500000*25%)</f>
        <v>1125000</v>
      </c>
      <c r="I321" s="53">
        <f>H321*E321</f>
        <v>1125000</v>
      </c>
    </row>
    <row r="322" spans="1:11" x14ac:dyDescent="0.35">
      <c r="A322" s="8"/>
      <c r="B322" s="10"/>
      <c r="C322" s="8"/>
      <c r="D322" s="11"/>
      <c r="E322" s="10"/>
      <c r="F322" s="10"/>
      <c r="G322" s="10"/>
      <c r="H322" s="53"/>
      <c r="I322" s="76">
        <f>SUM(I318:I321)</f>
        <v>1750000</v>
      </c>
      <c r="J322" s="83">
        <v>2087500</v>
      </c>
      <c r="K322" s="98">
        <f>1750000-1575000</f>
        <v>175000</v>
      </c>
    </row>
    <row r="323" spans="1:11" x14ac:dyDescent="0.35">
      <c r="A323" s="8"/>
      <c r="B323" s="10"/>
      <c r="C323" s="8"/>
      <c r="D323" s="11"/>
      <c r="E323" s="10"/>
      <c r="F323" s="10"/>
      <c r="G323" s="10"/>
      <c r="H323" s="53"/>
      <c r="I323" s="53"/>
      <c r="J323" s="83"/>
    </row>
    <row r="324" spans="1:11" x14ac:dyDescent="0.35">
      <c r="A324" s="9">
        <v>45259</v>
      </c>
      <c r="B324" s="10">
        <v>759</v>
      </c>
      <c r="C324" s="8"/>
      <c r="D324" s="11" t="s">
        <v>366</v>
      </c>
      <c r="E324" s="10">
        <v>1</v>
      </c>
      <c r="F324" s="10" t="s">
        <v>210</v>
      </c>
      <c r="G324" s="10" t="s">
        <v>13</v>
      </c>
      <c r="H324" s="53">
        <f>2730000-(2730000*25%)</f>
        <v>2047500</v>
      </c>
      <c r="I324" s="53">
        <f>H324*E324</f>
        <v>2047500</v>
      </c>
      <c r="J324" t="s">
        <v>612</v>
      </c>
    </row>
    <row r="325" spans="1:11" x14ac:dyDescent="0.35">
      <c r="A325" s="8"/>
      <c r="B325" s="10"/>
      <c r="C325" s="8"/>
      <c r="D325" s="11" t="s">
        <v>367</v>
      </c>
      <c r="E325" s="10">
        <v>1</v>
      </c>
      <c r="F325" s="10" t="s">
        <v>210</v>
      </c>
      <c r="G325" s="10" t="s">
        <v>13</v>
      </c>
      <c r="H325" s="53">
        <f>2000000-(2000000*25%)</f>
        <v>1500000</v>
      </c>
      <c r="I325" s="53">
        <f>H325*E325</f>
        <v>1500000</v>
      </c>
      <c r="J325" t="s">
        <v>612</v>
      </c>
    </row>
    <row r="326" spans="1:11" x14ac:dyDescent="0.35">
      <c r="A326" s="8"/>
      <c r="B326" s="10"/>
      <c r="C326" s="8"/>
      <c r="D326" s="11" t="s">
        <v>368</v>
      </c>
      <c r="E326" s="10">
        <v>1</v>
      </c>
      <c r="F326" s="10" t="s">
        <v>210</v>
      </c>
      <c r="G326" s="10" t="s">
        <v>13</v>
      </c>
      <c r="H326" s="53">
        <f>2500000-(2500000*25%)</f>
        <v>1875000</v>
      </c>
      <c r="I326" s="53">
        <f>H326*E326</f>
        <v>1875000</v>
      </c>
      <c r="J326" t="s">
        <v>612</v>
      </c>
    </row>
    <row r="327" spans="1:11" x14ac:dyDescent="0.35">
      <c r="A327" s="8"/>
      <c r="B327" s="10"/>
      <c r="C327" s="8"/>
      <c r="D327" s="11" t="s">
        <v>369</v>
      </c>
      <c r="E327" s="10">
        <v>50</v>
      </c>
      <c r="F327" s="10" t="s">
        <v>14</v>
      </c>
      <c r="G327" s="10" t="s">
        <v>13</v>
      </c>
      <c r="H327" s="53">
        <f>30000-(30000*25%)</f>
        <v>22500</v>
      </c>
      <c r="I327" s="53">
        <f>H327*E327</f>
        <v>1125000</v>
      </c>
      <c r="J327" t="s">
        <v>612</v>
      </c>
    </row>
    <row r="328" spans="1:11" x14ac:dyDescent="0.35">
      <c r="A328" s="9"/>
      <c r="B328" s="10"/>
      <c r="C328" s="8"/>
      <c r="D328" s="11"/>
      <c r="E328" s="10"/>
      <c r="F328" s="10"/>
      <c r="G328" s="10"/>
      <c r="H328" s="53"/>
      <c r="I328" s="73">
        <f>SUM(I324:I327)</f>
        <v>6547500</v>
      </c>
    </row>
    <row r="329" spans="1:11" x14ac:dyDescent="0.35">
      <c r="A329" s="9">
        <v>45259</v>
      </c>
      <c r="B329" s="10">
        <v>760</v>
      </c>
      <c r="C329" s="8"/>
      <c r="D329" s="22" t="s">
        <v>360</v>
      </c>
      <c r="E329" s="21">
        <v>10</v>
      </c>
      <c r="F329" s="21" t="s">
        <v>14</v>
      </c>
      <c r="G329" s="21" t="s">
        <v>13</v>
      </c>
      <c r="H329" s="65"/>
      <c r="I329" s="65">
        <f t="shared" ref="I329:I334" si="10">H329*E329</f>
        <v>0</v>
      </c>
      <c r="J329" s="83"/>
    </row>
    <row r="330" spans="1:11" x14ac:dyDescent="0.35">
      <c r="A330" s="8"/>
      <c r="B330" s="10"/>
      <c r="C330" s="8"/>
      <c r="D330" s="11" t="s">
        <v>361</v>
      </c>
      <c r="E330" s="10">
        <v>1</v>
      </c>
      <c r="F330" s="10" t="s">
        <v>210</v>
      </c>
      <c r="G330" s="10" t="s">
        <v>13</v>
      </c>
      <c r="H330" s="53">
        <f>1600000-(1600000*25%)</f>
        <v>1200000</v>
      </c>
      <c r="I330" s="53">
        <f t="shared" si="10"/>
        <v>1200000</v>
      </c>
    </row>
    <row r="331" spans="1:11" x14ac:dyDescent="0.35">
      <c r="A331" s="8"/>
      <c r="B331" s="10"/>
      <c r="C331" s="8"/>
      <c r="D331" s="22" t="s">
        <v>362</v>
      </c>
      <c r="E331" s="21">
        <v>1</v>
      </c>
      <c r="F331" s="21" t="s">
        <v>210</v>
      </c>
      <c r="G331" s="21" t="s">
        <v>13</v>
      </c>
      <c r="H331" s="65"/>
      <c r="I331" s="65">
        <f t="shared" si="10"/>
        <v>0</v>
      </c>
    </row>
    <row r="332" spans="1:11" x14ac:dyDescent="0.35">
      <c r="A332" s="8"/>
      <c r="B332" s="10"/>
      <c r="C332" s="8"/>
      <c r="D332" s="11" t="s">
        <v>363</v>
      </c>
      <c r="E332" s="10">
        <v>10</v>
      </c>
      <c r="F332" s="10" t="s">
        <v>14</v>
      </c>
      <c r="G332" s="10" t="s">
        <v>13</v>
      </c>
      <c r="H332" s="53">
        <f>20000-(20000*25%)</f>
        <v>15000</v>
      </c>
      <c r="I332" s="53">
        <f t="shared" si="10"/>
        <v>150000</v>
      </c>
      <c r="J332" s="83"/>
    </row>
    <row r="333" spans="1:11" x14ac:dyDescent="0.35">
      <c r="A333" s="8"/>
      <c r="B333" s="10"/>
      <c r="C333" s="8"/>
      <c r="D333" s="22" t="s">
        <v>364</v>
      </c>
      <c r="E333" s="21">
        <v>4</v>
      </c>
      <c r="F333" s="21" t="s">
        <v>14</v>
      </c>
      <c r="G333" s="21" t="s">
        <v>13</v>
      </c>
      <c r="H333" s="65"/>
      <c r="I333" s="65">
        <f t="shared" si="10"/>
        <v>0</v>
      </c>
    </row>
    <row r="334" spans="1:11" x14ac:dyDescent="0.35">
      <c r="A334" s="8"/>
      <c r="B334" s="10"/>
      <c r="C334" s="8"/>
      <c r="D334" s="22" t="s">
        <v>365</v>
      </c>
      <c r="E334" s="21">
        <v>4</v>
      </c>
      <c r="F334" s="21" t="s">
        <v>210</v>
      </c>
      <c r="G334" s="21" t="s">
        <v>13</v>
      </c>
      <c r="H334" s="65"/>
      <c r="I334" s="65">
        <f t="shared" si="10"/>
        <v>0</v>
      </c>
    </row>
    <row r="335" spans="1:11" x14ac:dyDescent="0.35">
      <c r="A335" s="8"/>
      <c r="B335" s="10"/>
      <c r="C335" s="8"/>
      <c r="D335" s="22"/>
      <c r="E335" s="21"/>
      <c r="F335" s="21"/>
      <c r="G335" s="21"/>
      <c r="H335" s="61"/>
      <c r="I335" s="76">
        <v>2850000</v>
      </c>
      <c r="K335" s="98">
        <f>4240000-1390000</f>
        <v>2850000</v>
      </c>
    </row>
    <row r="336" spans="1:11" x14ac:dyDescent="0.35">
      <c r="A336" s="8"/>
      <c r="B336" s="10"/>
      <c r="C336" s="8"/>
      <c r="D336" s="22"/>
      <c r="E336" s="21"/>
      <c r="F336" s="21"/>
      <c r="G336" s="21"/>
      <c r="H336" s="61"/>
      <c r="I336" s="60"/>
    </row>
    <row r="337" spans="1:11" x14ac:dyDescent="0.35">
      <c r="A337" s="9">
        <v>45259</v>
      </c>
      <c r="B337" s="10">
        <v>761</v>
      </c>
      <c r="C337" s="8"/>
      <c r="D337" s="22" t="s">
        <v>354</v>
      </c>
      <c r="E337" s="21">
        <v>1</v>
      </c>
      <c r="F337" s="21" t="s">
        <v>14</v>
      </c>
      <c r="G337" s="21" t="s">
        <v>13</v>
      </c>
      <c r="H337" s="65"/>
      <c r="I337" s="65"/>
    </row>
    <row r="338" spans="1:11" x14ac:dyDescent="0.35">
      <c r="A338" s="8"/>
      <c r="B338" s="10"/>
      <c r="C338" s="8"/>
      <c r="D338" s="22" t="s">
        <v>355</v>
      </c>
      <c r="E338" s="21">
        <v>2</v>
      </c>
      <c r="F338" s="21" t="s">
        <v>210</v>
      </c>
      <c r="G338" s="21" t="s">
        <v>13</v>
      </c>
      <c r="H338" s="65"/>
      <c r="I338" s="65"/>
    </row>
    <row r="339" spans="1:11" x14ac:dyDescent="0.35">
      <c r="A339" s="8"/>
      <c r="B339" s="10"/>
      <c r="C339" s="8"/>
      <c r="D339" s="11" t="s">
        <v>356</v>
      </c>
      <c r="E339" s="10">
        <v>12</v>
      </c>
      <c r="F339" s="10" t="s">
        <v>210</v>
      </c>
      <c r="G339" s="10" t="s">
        <v>13</v>
      </c>
      <c r="H339" s="53">
        <f>125000-(125000*25%)</f>
        <v>93750</v>
      </c>
      <c r="I339" s="53">
        <f t="shared" ref="I339:I341" si="11">H339*E339</f>
        <v>1125000</v>
      </c>
      <c r="J339" s="83"/>
    </row>
    <row r="340" spans="1:11" x14ac:dyDescent="0.35">
      <c r="A340" s="8"/>
      <c r="B340" s="10"/>
      <c r="C340" s="8"/>
      <c r="D340" s="11" t="s">
        <v>357</v>
      </c>
      <c r="E340" s="10">
        <v>1</v>
      </c>
      <c r="F340" s="10" t="s">
        <v>210</v>
      </c>
      <c r="G340" s="10" t="s">
        <v>13</v>
      </c>
      <c r="H340" s="53">
        <f>350000-(350000*25%)</f>
        <v>262500</v>
      </c>
      <c r="I340" s="53">
        <f t="shared" si="11"/>
        <v>262500</v>
      </c>
    </row>
    <row r="341" spans="1:11" x14ac:dyDescent="0.35">
      <c r="A341" s="8"/>
      <c r="B341" s="10"/>
      <c r="C341" s="8"/>
      <c r="D341" s="11" t="s">
        <v>358</v>
      </c>
      <c r="E341" s="10">
        <v>48</v>
      </c>
      <c r="F341" s="10" t="s">
        <v>14</v>
      </c>
      <c r="G341" s="10" t="s">
        <v>13</v>
      </c>
      <c r="H341" s="53">
        <f>6667-(6667*25%)</f>
        <v>5000.25</v>
      </c>
      <c r="I341" s="53">
        <f t="shared" si="11"/>
        <v>240012</v>
      </c>
      <c r="J341" s="83"/>
    </row>
    <row r="342" spans="1:11" x14ac:dyDescent="0.35">
      <c r="A342" s="8"/>
      <c r="B342" s="10"/>
      <c r="C342" s="8"/>
      <c r="D342" s="22" t="s">
        <v>359</v>
      </c>
      <c r="E342" s="21">
        <v>1</v>
      </c>
      <c r="F342" s="21" t="s">
        <v>14</v>
      </c>
      <c r="G342" s="21" t="s">
        <v>13</v>
      </c>
      <c r="H342" s="65"/>
      <c r="I342" s="65"/>
    </row>
    <row r="343" spans="1:11" x14ac:dyDescent="0.35">
      <c r="A343" s="8"/>
      <c r="B343" s="10"/>
      <c r="C343" s="11"/>
      <c r="D343" s="22"/>
      <c r="E343" s="21"/>
      <c r="F343" s="21"/>
      <c r="G343" s="21"/>
      <c r="H343" s="61"/>
      <c r="I343" s="73">
        <f>J343</f>
        <v>1669137</v>
      </c>
      <c r="J343" s="98">
        <v>1669137</v>
      </c>
      <c r="K343" s="97">
        <f>J343-I339-I340-I341</f>
        <v>41625</v>
      </c>
    </row>
    <row r="344" spans="1:11" x14ac:dyDescent="0.35">
      <c r="A344" s="8"/>
      <c r="B344" s="10"/>
      <c r="C344" s="11"/>
      <c r="D344" s="22"/>
      <c r="E344" s="21"/>
      <c r="F344" s="21"/>
      <c r="G344" s="21"/>
      <c r="H344" s="61"/>
      <c r="I344" s="60"/>
    </row>
    <row r="345" spans="1:11" x14ac:dyDescent="0.35">
      <c r="A345" s="9">
        <v>45260</v>
      </c>
      <c r="B345" s="10">
        <v>762</v>
      </c>
      <c r="C345" s="8"/>
      <c r="D345" s="22" t="s">
        <v>352</v>
      </c>
      <c r="E345" s="21"/>
      <c r="F345" s="21"/>
      <c r="G345" s="21"/>
      <c r="H345" s="65"/>
      <c r="I345" s="65"/>
    </row>
    <row r="346" spans="1:11" x14ac:dyDescent="0.35">
      <c r="A346" s="8"/>
      <c r="B346" s="10"/>
      <c r="C346" s="8"/>
      <c r="D346" s="11" t="s">
        <v>353</v>
      </c>
      <c r="E346" s="10">
        <v>1</v>
      </c>
      <c r="F346" s="10" t="s">
        <v>210</v>
      </c>
      <c r="G346" s="10" t="s">
        <v>13</v>
      </c>
      <c r="H346" s="53">
        <f>2800000-(2800000*25%)</f>
        <v>2100000</v>
      </c>
      <c r="I346" s="73">
        <f>H346*E346</f>
        <v>2100000</v>
      </c>
      <c r="J346" t="s">
        <v>612</v>
      </c>
    </row>
    <row r="347" spans="1:11" x14ac:dyDescent="0.35">
      <c r="A347" s="8"/>
      <c r="B347" s="10"/>
      <c r="C347" s="11"/>
      <c r="D347" s="11"/>
      <c r="E347" s="10"/>
      <c r="F347" s="10"/>
      <c r="G347" s="10"/>
      <c r="H347" s="60"/>
      <c r="I347" s="60"/>
      <c r="J347" s="83"/>
    </row>
    <row r="348" spans="1:11" x14ac:dyDescent="0.35">
      <c r="A348" s="9">
        <v>45260</v>
      </c>
      <c r="B348" s="10">
        <v>767</v>
      </c>
      <c r="C348" s="11" t="s">
        <v>261</v>
      </c>
      <c r="D348" s="11" t="s">
        <v>345</v>
      </c>
      <c r="E348" s="10">
        <v>1</v>
      </c>
      <c r="F348" s="10" t="s">
        <v>210</v>
      </c>
      <c r="G348" s="10" t="s">
        <v>200</v>
      </c>
      <c r="H348" s="53">
        <v>2300000</v>
      </c>
      <c r="I348" s="73">
        <f>H348*E348</f>
        <v>2300000</v>
      </c>
      <c r="J348" t="s">
        <v>612</v>
      </c>
    </row>
    <row r="349" spans="1:11" x14ac:dyDescent="0.35">
      <c r="A349" s="8"/>
      <c r="B349" s="10"/>
      <c r="C349" s="11"/>
      <c r="D349" s="11"/>
      <c r="E349" s="10"/>
      <c r="F349" s="10"/>
      <c r="G349" s="10"/>
      <c r="H349" s="53"/>
      <c r="I349" s="53"/>
    </row>
    <row r="350" spans="1:11" x14ac:dyDescent="0.35">
      <c r="A350" s="9">
        <v>45260</v>
      </c>
      <c r="B350" s="10">
        <v>768</v>
      </c>
      <c r="C350" s="11" t="s">
        <v>261</v>
      </c>
      <c r="D350" s="22" t="s">
        <v>346</v>
      </c>
      <c r="E350" s="21"/>
      <c r="F350" s="21"/>
      <c r="G350" s="21"/>
      <c r="H350" s="65"/>
      <c r="I350" s="65"/>
    </row>
    <row r="351" spans="1:11" x14ac:dyDescent="0.35">
      <c r="A351" s="8"/>
      <c r="B351" s="10"/>
      <c r="C351" s="11"/>
      <c r="D351" s="11" t="s">
        <v>347</v>
      </c>
      <c r="E351" s="10">
        <v>5</v>
      </c>
      <c r="F351" s="10" t="s">
        <v>348</v>
      </c>
      <c r="G351" s="10" t="s">
        <v>200</v>
      </c>
      <c r="H351" s="53">
        <f>200000-(200000*30%)</f>
        <v>140000</v>
      </c>
      <c r="I351" s="53">
        <f>H351*E351</f>
        <v>700000</v>
      </c>
    </row>
    <row r="352" spans="1:11" x14ac:dyDescent="0.35">
      <c r="A352" s="8"/>
      <c r="B352" s="14"/>
      <c r="C352" s="11"/>
      <c r="D352" s="11" t="s">
        <v>349</v>
      </c>
      <c r="E352" s="10">
        <v>5</v>
      </c>
      <c r="F352" s="10" t="s">
        <v>348</v>
      </c>
      <c r="G352" s="10" t="s">
        <v>200</v>
      </c>
      <c r="H352" s="53">
        <f>27500-(27500*30%)</f>
        <v>19250</v>
      </c>
      <c r="I352" s="53">
        <f>H352*E352</f>
        <v>96250</v>
      </c>
    </row>
    <row r="353" spans="1:10" x14ac:dyDescent="0.35">
      <c r="A353" s="8"/>
      <c r="B353" s="14"/>
      <c r="C353" s="11"/>
      <c r="D353" s="11" t="s">
        <v>350</v>
      </c>
      <c r="E353" s="10">
        <v>4</v>
      </c>
      <c r="F353" s="10" t="s">
        <v>14</v>
      </c>
      <c r="G353" s="10" t="s">
        <v>200</v>
      </c>
      <c r="H353" s="53">
        <f>65000-(65000*25%)</f>
        <v>48750</v>
      </c>
      <c r="I353" s="53">
        <f>H353*E353</f>
        <v>195000</v>
      </c>
      <c r="J353" s="83"/>
    </row>
    <row r="354" spans="1:10" x14ac:dyDescent="0.35">
      <c r="A354" s="8"/>
      <c r="B354" s="14"/>
      <c r="C354" s="11"/>
      <c r="D354" s="11" t="s">
        <v>351</v>
      </c>
      <c r="E354" s="10">
        <v>4</v>
      </c>
      <c r="F354" s="10" t="s">
        <v>14</v>
      </c>
      <c r="G354" s="10" t="s">
        <v>200</v>
      </c>
      <c r="H354" s="53">
        <f>60000-(60000*25%)</f>
        <v>45000</v>
      </c>
      <c r="I354" s="53">
        <f>H354*E354</f>
        <v>180000</v>
      </c>
    </row>
    <row r="355" spans="1:10" x14ac:dyDescent="0.35">
      <c r="A355" s="11"/>
      <c r="B355" s="10"/>
      <c r="C355" s="11"/>
      <c r="D355" s="11"/>
      <c r="E355" s="10"/>
      <c r="F355" s="10"/>
      <c r="G355" s="10"/>
      <c r="H355" s="53"/>
      <c r="I355" s="73">
        <f>SUM(I350:I354)</f>
        <v>1171250</v>
      </c>
      <c r="J355" s="98">
        <v>5352500</v>
      </c>
    </row>
    <row r="356" spans="1:10" x14ac:dyDescent="0.35">
      <c r="A356" s="11"/>
      <c r="B356" s="10"/>
      <c r="C356" s="11"/>
      <c r="D356" s="11"/>
      <c r="E356" s="10"/>
      <c r="F356" s="10"/>
      <c r="G356" s="10"/>
      <c r="H356" s="53"/>
      <c r="I356" s="53"/>
    </row>
    <row r="357" spans="1:10" x14ac:dyDescent="0.35">
      <c r="A357" s="9">
        <v>45248</v>
      </c>
      <c r="B357" s="10">
        <v>779</v>
      </c>
      <c r="C357" s="11" t="s">
        <v>11</v>
      </c>
      <c r="D357" s="11" t="s">
        <v>329</v>
      </c>
      <c r="E357" s="10">
        <v>12</v>
      </c>
      <c r="F357" s="10" t="s">
        <v>14</v>
      </c>
      <c r="G357" s="10" t="s">
        <v>13</v>
      </c>
      <c r="H357" s="53">
        <v>32000</v>
      </c>
      <c r="I357" s="53">
        <f t="shared" ref="I357:I376" si="12">H357*E357</f>
        <v>384000</v>
      </c>
      <c r="J357" t="s">
        <v>612</v>
      </c>
    </row>
    <row r="358" spans="1:10" x14ac:dyDescent="0.35">
      <c r="A358" s="11"/>
      <c r="B358" s="10"/>
      <c r="C358" s="11"/>
      <c r="D358" s="11" t="s">
        <v>294</v>
      </c>
      <c r="E358" s="10">
        <v>2</v>
      </c>
      <c r="F358" s="10" t="s">
        <v>286</v>
      </c>
      <c r="G358" s="10" t="s">
        <v>13</v>
      </c>
      <c r="H358" s="53">
        <v>13000</v>
      </c>
      <c r="I358" s="53">
        <f t="shared" si="12"/>
        <v>26000</v>
      </c>
      <c r="J358" t="s">
        <v>612</v>
      </c>
    </row>
    <row r="359" spans="1:10" x14ac:dyDescent="0.35">
      <c r="A359" s="11"/>
      <c r="B359" s="10"/>
      <c r="C359" s="11"/>
      <c r="D359" s="11" t="s">
        <v>330</v>
      </c>
      <c r="E359" s="10">
        <v>5</v>
      </c>
      <c r="F359" s="10" t="s">
        <v>17</v>
      </c>
      <c r="G359" s="10" t="s">
        <v>13</v>
      </c>
      <c r="H359" s="53">
        <v>20250</v>
      </c>
      <c r="I359" s="53">
        <f t="shared" si="12"/>
        <v>101250</v>
      </c>
      <c r="J359" t="s">
        <v>612</v>
      </c>
    </row>
    <row r="360" spans="1:10" x14ac:dyDescent="0.35">
      <c r="A360" s="11"/>
      <c r="B360" s="10"/>
      <c r="C360" s="11"/>
      <c r="D360" s="11" t="s">
        <v>331</v>
      </c>
      <c r="E360" s="10">
        <v>15</v>
      </c>
      <c r="F360" s="10" t="s">
        <v>28</v>
      </c>
      <c r="G360" s="10" t="s">
        <v>13</v>
      </c>
      <c r="H360" s="53">
        <v>7500</v>
      </c>
      <c r="I360" s="53">
        <f t="shared" si="12"/>
        <v>112500</v>
      </c>
      <c r="J360" t="s">
        <v>612</v>
      </c>
    </row>
    <row r="361" spans="1:10" x14ac:dyDescent="0.35">
      <c r="A361" s="11"/>
      <c r="B361" s="10"/>
      <c r="C361" s="11"/>
      <c r="D361" s="11" t="s">
        <v>332</v>
      </c>
      <c r="E361" s="10">
        <v>20</v>
      </c>
      <c r="F361" s="10" t="s">
        <v>21</v>
      </c>
      <c r="G361" s="10" t="s">
        <v>13</v>
      </c>
      <c r="H361" s="53">
        <v>27000</v>
      </c>
      <c r="I361" s="53">
        <f t="shared" si="12"/>
        <v>540000</v>
      </c>
      <c r="J361" t="s">
        <v>612</v>
      </c>
    </row>
    <row r="362" spans="1:10" x14ac:dyDescent="0.35">
      <c r="A362" s="11"/>
      <c r="B362" s="10"/>
      <c r="C362" s="11"/>
      <c r="D362" s="11" t="s">
        <v>333</v>
      </c>
      <c r="E362" s="10">
        <v>12</v>
      </c>
      <c r="F362" s="10" t="s">
        <v>17</v>
      </c>
      <c r="G362" s="10" t="s">
        <v>13</v>
      </c>
      <c r="H362" s="53">
        <v>17500</v>
      </c>
      <c r="I362" s="53">
        <f t="shared" si="12"/>
        <v>210000</v>
      </c>
      <c r="J362" t="s">
        <v>612</v>
      </c>
    </row>
    <row r="363" spans="1:10" x14ac:dyDescent="0.35">
      <c r="A363" s="11"/>
      <c r="B363" s="10"/>
      <c r="C363" s="11"/>
      <c r="D363" s="11" t="s">
        <v>93</v>
      </c>
      <c r="E363" s="10">
        <v>5</v>
      </c>
      <c r="F363" s="10" t="s">
        <v>17</v>
      </c>
      <c r="G363" s="10" t="s">
        <v>13</v>
      </c>
      <c r="H363" s="53">
        <v>42000</v>
      </c>
      <c r="I363" s="53">
        <f t="shared" si="12"/>
        <v>210000</v>
      </c>
      <c r="J363" t="s">
        <v>612</v>
      </c>
    </row>
    <row r="364" spans="1:10" x14ac:dyDescent="0.35">
      <c r="A364" s="11"/>
      <c r="B364" s="10"/>
      <c r="C364" s="11"/>
      <c r="D364" s="11" t="s">
        <v>334</v>
      </c>
      <c r="E364" s="10">
        <v>5</v>
      </c>
      <c r="F364" s="10" t="s">
        <v>17</v>
      </c>
      <c r="G364" s="10" t="s">
        <v>13</v>
      </c>
      <c r="H364" s="53">
        <v>51000</v>
      </c>
      <c r="I364" s="53">
        <f t="shared" si="12"/>
        <v>255000</v>
      </c>
      <c r="J364" t="s">
        <v>612</v>
      </c>
    </row>
    <row r="365" spans="1:10" x14ac:dyDescent="0.35">
      <c r="A365" s="11"/>
      <c r="B365" s="10"/>
      <c r="C365" s="11"/>
      <c r="D365" s="11" t="s">
        <v>276</v>
      </c>
      <c r="E365" s="10">
        <v>5</v>
      </c>
      <c r="F365" s="10" t="s">
        <v>17</v>
      </c>
      <c r="G365" s="10" t="s">
        <v>13</v>
      </c>
      <c r="H365" s="53">
        <v>27000</v>
      </c>
      <c r="I365" s="53">
        <f t="shared" si="12"/>
        <v>135000</v>
      </c>
      <c r="J365" t="s">
        <v>612</v>
      </c>
    </row>
    <row r="366" spans="1:10" x14ac:dyDescent="0.35">
      <c r="A366" s="11"/>
      <c r="B366" s="10"/>
      <c r="C366" s="11"/>
      <c r="D366" s="11" t="s">
        <v>335</v>
      </c>
      <c r="E366" s="10">
        <v>30</v>
      </c>
      <c r="F366" s="10" t="s">
        <v>12</v>
      </c>
      <c r="G366" s="10" t="s">
        <v>13</v>
      </c>
      <c r="H366" s="53">
        <v>3750</v>
      </c>
      <c r="I366" s="53">
        <f t="shared" si="12"/>
        <v>112500</v>
      </c>
      <c r="J366" t="s">
        <v>612</v>
      </c>
    </row>
    <row r="367" spans="1:10" x14ac:dyDescent="0.35">
      <c r="A367" s="11"/>
      <c r="B367" s="10"/>
      <c r="C367" s="11"/>
      <c r="D367" s="11" t="s">
        <v>336</v>
      </c>
      <c r="E367" s="10">
        <v>12</v>
      </c>
      <c r="F367" s="10" t="s">
        <v>14</v>
      </c>
      <c r="G367" s="10" t="s">
        <v>13</v>
      </c>
      <c r="H367" s="53">
        <v>2250</v>
      </c>
      <c r="I367" s="53">
        <f t="shared" si="12"/>
        <v>27000</v>
      </c>
      <c r="J367" t="s">
        <v>612</v>
      </c>
    </row>
    <row r="368" spans="1:10" x14ac:dyDescent="0.35">
      <c r="A368" s="11"/>
      <c r="B368" s="10"/>
      <c r="C368" s="11"/>
      <c r="D368" s="11" t="s">
        <v>22</v>
      </c>
      <c r="E368" s="10">
        <v>60</v>
      </c>
      <c r="F368" s="10" t="s">
        <v>20</v>
      </c>
      <c r="G368" s="10" t="s">
        <v>13</v>
      </c>
      <c r="H368" s="53">
        <v>45500</v>
      </c>
      <c r="I368" s="53">
        <f t="shared" si="12"/>
        <v>2730000</v>
      </c>
      <c r="J368" t="s">
        <v>612</v>
      </c>
    </row>
    <row r="369" spans="1:10" x14ac:dyDescent="0.35">
      <c r="A369" s="11"/>
      <c r="B369" s="10"/>
      <c r="C369" s="11"/>
      <c r="D369" s="11" t="s">
        <v>19</v>
      </c>
      <c r="E369" s="10">
        <v>50</v>
      </c>
      <c r="F369" s="10" t="s">
        <v>20</v>
      </c>
      <c r="G369" s="10" t="s">
        <v>13</v>
      </c>
      <c r="H369" s="53">
        <v>40500</v>
      </c>
      <c r="I369" s="53">
        <f t="shared" si="12"/>
        <v>2025000</v>
      </c>
      <c r="J369" t="s">
        <v>612</v>
      </c>
    </row>
    <row r="370" spans="1:10" x14ac:dyDescent="0.35">
      <c r="A370" s="11"/>
      <c r="B370" s="10"/>
      <c r="C370" s="11"/>
      <c r="D370" s="11" t="s">
        <v>337</v>
      </c>
      <c r="E370" s="10">
        <v>1</v>
      </c>
      <c r="F370" s="10" t="s">
        <v>14</v>
      </c>
      <c r="G370" s="10" t="s">
        <v>13</v>
      </c>
      <c r="H370" s="53">
        <v>450000</v>
      </c>
      <c r="I370" s="53">
        <f t="shared" si="12"/>
        <v>450000</v>
      </c>
      <c r="J370" t="s">
        <v>612</v>
      </c>
    </row>
    <row r="371" spans="1:10" x14ac:dyDescent="0.35">
      <c r="A371" s="11"/>
      <c r="B371" s="10"/>
      <c r="C371" s="11"/>
      <c r="D371" s="11" t="s">
        <v>338</v>
      </c>
      <c r="E371" s="10">
        <v>30</v>
      </c>
      <c r="F371" s="10" t="s">
        <v>28</v>
      </c>
      <c r="G371" s="10" t="s">
        <v>13</v>
      </c>
      <c r="H371" s="53">
        <v>11250</v>
      </c>
      <c r="I371" s="53">
        <f t="shared" si="12"/>
        <v>337500</v>
      </c>
      <c r="J371" t="s">
        <v>612</v>
      </c>
    </row>
    <row r="372" spans="1:10" x14ac:dyDescent="0.35">
      <c r="A372" s="11"/>
      <c r="B372" s="10"/>
      <c r="C372" s="11"/>
      <c r="D372" s="11" t="s">
        <v>339</v>
      </c>
      <c r="E372" s="10">
        <v>5</v>
      </c>
      <c r="F372" s="10" t="s">
        <v>340</v>
      </c>
      <c r="G372" s="10" t="s">
        <v>13</v>
      </c>
      <c r="H372" s="53">
        <v>16000</v>
      </c>
      <c r="I372" s="53">
        <f t="shared" si="12"/>
        <v>80000</v>
      </c>
      <c r="J372" t="s">
        <v>612</v>
      </c>
    </row>
    <row r="373" spans="1:10" x14ac:dyDescent="0.35">
      <c r="A373" s="11"/>
      <c r="B373" s="10"/>
      <c r="C373" s="11"/>
      <c r="D373" s="11" t="s">
        <v>341</v>
      </c>
      <c r="E373" s="10">
        <v>2</v>
      </c>
      <c r="F373" s="10" t="s">
        <v>21</v>
      </c>
      <c r="G373" s="10" t="s">
        <v>13</v>
      </c>
      <c r="H373" s="53">
        <v>7250</v>
      </c>
      <c r="I373" s="53">
        <f t="shared" si="12"/>
        <v>14500</v>
      </c>
      <c r="J373" t="s">
        <v>612</v>
      </c>
    </row>
    <row r="374" spans="1:10" x14ac:dyDescent="0.35">
      <c r="A374" s="11"/>
      <c r="B374" s="10"/>
      <c r="C374" s="11"/>
      <c r="D374" s="11" t="s">
        <v>342</v>
      </c>
      <c r="E374" s="10">
        <v>3</v>
      </c>
      <c r="F374" s="10" t="s">
        <v>17</v>
      </c>
      <c r="G374" s="10" t="s">
        <v>13</v>
      </c>
      <c r="H374" s="53">
        <v>7000</v>
      </c>
      <c r="I374" s="53">
        <f t="shared" si="12"/>
        <v>21000</v>
      </c>
      <c r="J374" t="s">
        <v>612</v>
      </c>
    </row>
    <row r="375" spans="1:10" x14ac:dyDescent="0.35">
      <c r="A375" s="11"/>
      <c r="B375" s="10"/>
      <c r="C375" s="11"/>
      <c r="D375" s="11" t="s">
        <v>343</v>
      </c>
      <c r="E375" s="10">
        <v>20</v>
      </c>
      <c r="F375" s="10" t="s">
        <v>28</v>
      </c>
      <c r="G375" s="10" t="s">
        <v>13</v>
      </c>
      <c r="H375" s="53">
        <v>7500</v>
      </c>
      <c r="I375" s="53">
        <f t="shared" si="12"/>
        <v>150000</v>
      </c>
      <c r="J375" t="s">
        <v>612</v>
      </c>
    </row>
    <row r="376" spans="1:10" x14ac:dyDescent="0.35">
      <c r="A376" s="11"/>
      <c r="B376" s="10"/>
      <c r="C376" s="11"/>
      <c r="D376" s="11" t="s">
        <v>344</v>
      </c>
      <c r="E376" s="10">
        <v>1</v>
      </c>
      <c r="F376" s="10" t="s">
        <v>17</v>
      </c>
      <c r="G376" s="10" t="s">
        <v>13</v>
      </c>
      <c r="H376" s="53">
        <v>70000</v>
      </c>
      <c r="I376" s="53">
        <f t="shared" si="12"/>
        <v>70000</v>
      </c>
      <c r="J376" t="s">
        <v>612</v>
      </c>
    </row>
    <row r="377" spans="1:10" x14ac:dyDescent="0.35">
      <c r="A377" s="11"/>
      <c r="B377" s="10"/>
      <c r="C377" s="11"/>
      <c r="D377" s="11"/>
      <c r="E377" s="10"/>
      <c r="F377" s="10"/>
      <c r="G377" s="10"/>
      <c r="H377" s="53"/>
      <c r="I377" s="73">
        <f>SUM(I357:I376)</f>
        <v>7991250</v>
      </c>
    </row>
    <row r="378" spans="1:10" x14ac:dyDescent="0.35">
      <c r="A378" s="9">
        <v>45249</v>
      </c>
      <c r="B378" s="10">
        <v>780</v>
      </c>
      <c r="C378" s="11"/>
      <c r="D378" s="11" t="s">
        <v>316</v>
      </c>
      <c r="E378" s="10">
        <v>2</v>
      </c>
      <c r="F378" s="10" t="s">
        <v>210</v>
      </c>
      <c r="G378" s="10" t="s">
        <v>13</v>
      </c>
      <c r="H378" s="53">
        <v>775000</v>
      </c>
      <c r="I378" s="73">
        <f>H378*E378</f>
        <v>1550000</v>
      </c>
      <c r="J378" t="s">
        <v>612</v>
      </c>
    </row>
    <row r="379" spans="1:10" x14ac:dyDescent="0.35">
      <c r="A379" s="8"/>
      <c r="B379" s="14"/>
      <c r="C379" s="8"/>
      <c r="D379" s="8"/>
      <c r="E379" s="14"/>
      <c r="F379" s="14"/>
      <c r="G379" s="14"/>
      <c r="H379" s="57"/>
      <c r="I379" s="57"/>
      <c r="J379" s="83"/>
    </row>
    <row r="380" spans="1:10" x14ac:dyDescent="0.35">
      <c r="A380" s="9">
        <v>45243</v>
      </c>
      <c r="B380" s="10">
        <v>782</v>
      </c>
      <c r="C380" s="11" t="s">
        <v>309</v>
      </c>
      <c r="D380" s="11" t="s">
        <v>317</v>
      </c>
      <c r="E380" s="10">
        <v>2</v>
      </c>
      <c r="F380" s="10" t="s">
        <v>14</v>
      </c>
      <c r="G380" s="10" t="s">
        <v>200</v>
      </c>
      <c r="H380" s="53">
        <v>75000</v>
      </c>
      <c r="I380" s="53">
        <f>H380*E380</f>
        <v>150000</v>
      </c>
      <c r="J380" t="s">
        <v>612</v>
      </c>
    </row>
    <row r="381" spans="1:10" x14ac:dyDescent="0.35">
      <c r="A381" s="8"/>
      <c r="B381" s="10"/>
      <c r="C381" s="11"/>
      <c r="D381" s="11" t="s">
        <v>318</v>
      </c>
      <c r="E381" s="10">
        <v>40</v>
      </c>
      <c r="F381" s="10" t="s">
        <v>14</v>
      </c>
      <c r="G381" s="10" t="s">
        <v>200</v>
      </c>
      <c r="H381" s="53">
        <v>3750</v>
      </c>
      <c r="I381" s="53">
        <f t="shared" ref="I381:I383" si="13">H381*E381</f>
        <v>150000</v>
      </c>
      <c r="J381" t="s">
        <v>612</v>
      </c>
    </row>
    <row r="382" spans="1:10" x14ac:dyDescent="0.35">
      <c r="A382" s="8"/>
      <c r="B382" s="10"/>
      <c r="C382" s="11"/>
      <c r="D382" s="11" t="s">
        <v>319</v>
      </c>
      <c r="E382" s="10">
        <v>40</v>
      </c>
      <c r="F382" s="10" t="s">
        <v>14</v>
      </c>
      <c r="G382" s="10" t="s">
        <v>200</v>
      </c>
      <c r="H382" s="53">
        <v>1500</v>
      </c>
      <c r="I382" s="53">
        <f t="shared" si="13"/>
        <v>60000</v>
      </c>
      <c r="J382" t="s">
        <v>612</v>
      </c>
    </row>
    <row r="383" spans="1:10" x14ac:dyDescent="0.35">
      <c r="A383" s="8"/>
      <c r="B383" s="10"/>
      <c r="C383" s="11"/>
      <c r="D383" s="11" t="s">
        <v>320</v>
      </c>
      <c r="E383" s="10">
        <v>1</v>
      </c>
      <c r="F383" s="10" t="s">
        <v>14</v>
      </c>
      <c r="G383" s="10" t="s">
        <v>200</v>
      </c>
      <c r="H383" s="53">
        <v>186730</v>
      </c>
      <c r="I383" s="53">
        <f t="shared" si="13"/>
        <v>186730</v>
      </c>
      <c r="J383" t="s">
        <v>612</v>
      </c>
    </row>
    <row r="384" spans="1:10" x14ac:dyDescent="0.35">
      <c r="A384" s="8"/>
      <c r="B384" s="14"/>
      <c r="C384" s="8"/>
      <c r="D384" s="8"/>
      <c r="E384" s="14"/>
      <c r="F384" s="14"/>
      <c r="G384" s="14"/>
      <c r="H384" s="57"/>
      <c r="I384" s="111">
        <f>SUM(I380:I383)</f>
        <v>546730</v>
      </c>
    </row>
    <row r="385" spans="1:10" x14ac:dyDescent="0.35">
      <c r="A385" s="9">
        <v>45243</v>
      </c>
      <c r="B385" s="10">
        <v>783</v>
      </c>
      <c r="C385" s="11" t="s">
        <v>311</v>
      </c>
      <c r="D385" s="11" t="s">
        <v>321</v>
      </c>
      <c r="E385" s="10">
        <v>1</v>
      </c>
      <c r="F385" s="10" t="s">
        <v>14</v>
      </c>
      <c r="G385" s="10" t="s">
        <v>13</v>
      </c>
      <c r="H385" s="53">
        <v>1745850</v>
      </c>
      <c r="I385" s="53">
        <f>H385*E385</f>
        <v>1745850</v>
      </c>
      <c r="J385" t="s">
        <v>612</v>
      </c>
    </row>
    <row r="386" spans="1:10" x14ac:dyDescent="0.35">
      <c r="A386" s="11"/>
      <c r="B386" s="10"/>
      <c r="C386" s="11"/>
      <c r="D386" s="11" t="s">
        <v>322</v>
      </c>
      <c r="E386" s="10">
        <v>2</v>
      </c>
      <c r="F386" s="10" t="s">
        <v>14</v>
      </c>
      <c r="G386" s="10" t="s">
        <v>13</v>
      </c>
      <c r="H386" s="53">
        <v>97500</v>
      </c>
      <c r="I386" s="53">
        <f t="shared" ref="I386:I392" si="14">H386*E386</f>
        <v>195000</v>
      </c>
      <c r="J386" t="s">
        <v>612</v>
      </c>
    </row>
    <row r="387" spans="1:10" x14ac:dyDescent="0.35">
      <c r="A387" s="11"/>
      <c r="B387" s="10"/>
      <c r="C387" s="11"/>
      <c r="D387" s="11" t="s">
        <v>323</v>
      </c>
      <c r="E387" s="10">
        <v>4</v>
      </c>
      <c r="F387" s="10" t="s">
        <v>14</v>
      </c>
      <c r="G387" s="10" t="s">
        <v>13</v>
      </c>
      <c r="H387" s="53">
        <v>37500</v>
      </c>
      <c r="I387" s="53">
        <f t="shared" si="14"/>
        <v>150000</v>
      </c>
      <c r="J387" t="s">
        <v>612</v>
      </c>
    </row>
    <row r="388" spans="1:10" x14ac:dyDescent="0.35">
      <c r="A388" s="11"/>
      <c r="B388" s="10"/>
      <c r="C388" s="11"/>
      <c r="D388" s="11" t="s">
        <v>324</v>
      </c>
      <c r="E388" s="10">
        <v>1</v>
      </c>
      <c r="F388" s="10" t="s">
        <v>14</v>
      </c>
      <c r="G388" s="10" t="s">
        <v>13</v>
      </c>
      <c r="H388" s="53">
        <v>1875000</v>
      </c>
      <c r="I388" s="53">
        <f t="shared" si="14"/>
        <v>1875000</v>
      </c>
      <c r="J388" t="s">
        <v>612</v>
      </c>
    </row>
    <row r="389" spans="1:10" x14ac:dyDescent="0.35">
      <c r="A389" s="11"/>
      <c r="B389" s="10"/>
      <c r="C389" s="11"/>
      <c r="D389" s="11" t="s">
        <v>325</v>
      </c>
      <c r="E389" s="10">
        <v>2</v>
      </c>
      <c r="F389" s="10" t="s">
        <v>14</v>
      </c>
      <c r="G389" s="10" t="s">
        <v>13</v>
      </c>
      <c r="H389" s="53">
        <v>1012500</v>
      </c>
      <c r="I389" s="53">
        <f t="shared" si="14"/>
        <v>2025000</v>
      </c>
      <c r="J389" t="s">
        <v>612</v>
      </c>
    </row>
    <row r="390" spans="1:10" x14ac:dyDescent="0.35">
      <c r="A390" s="11"/>
      <c r="B390" s="10"/>
      <c r="C390" s="11"/>
      <c r="D390" s="11" t="s">
        <v>326</v>
      </c>
      <c r="E390" s="10">
        <v>15</v>
      </c>
      <c r="F390" s="10" t="s">
        <v>14</v>
      </c>
      <c r="G390" s="10" t="s">
        <v>13</v>
      </c>
      <c r="H390" s="53">
        <v>75000</v>
      </c>
      <c r="I390" s="53">
        <f t="shared" si="14"/>
        <v>1125000</v>
      </c>
      <c r="J390" t="s">
        <v>612</v>
      </c>
    </row>
    <row r="391" spans="1:10" x14ac:dyDescent="0.35">
      <c r="A391" s="8"/>
      <c r="B391" s="14"/>
      <c r="C391" s="8"/>
      <c r="D391" s="11" t="s">
        <v>327</v>
      </c>
      <c r="E391" s="10">
        <v>1</v>
      </c>
      <c r="F391" s="10" t="s">
        <v>14</v>
      </c>
      <c r="G391" s="10" t="s">
        <v>13</v>
      </c>
      <c r="H391" s="53">
        <v>2114100</v>
      </c>
      <c r="I391" s="53">
        <f t="shared" si="14"/>
        <v>2114100</v>
      </c>
      <c r="J391" t="s">
        <v>612</v>
      </c>
    </row>
    <row r="392" spans="1:10" x14ac:dyDescent="0.35">
      <c r="A392" s="8"/>
      <c r="B392" s="14"/>
      <c r="C392" s="8"/>
      <c r="D392" s="11" t="s">
        <v>328</v>
      </c>
      <c r="E392" s="10">
        <v>30</v>
      </c>
      <c r="F392" s="10" t="s">
        <v>14</v>
      </c>
      <c r="G392" s="10" t="s">
        <v>13</v>
      </c>
      <c r="H392" s="53">
        <v>40000</v>
      </c>
      <c r="I392" s="53">
        <f t="shared" si="14"/>
        <v>1200000</v>
      </c>
      <c r="J392" t="s">
        <v>612</v>
      </c>
    </row>
    <row r="393" spans="1:10" x14ac:dyDescent="0.35">
      <c r="A393" s="8"/>
      <c r="B393" s="10"/>
      <c r="C393" s="11"/>
      <c r="D393" s="11"/>
      <c r="E393" s="10"/>
      <c r="F393" s="10"/>
      <c r="G393" s="10"/>
      <c r="H393" s="53"/>
      <c r="I393" s="76">
        <f>SUM(I385:I392)</f>
        <v>10429950</v>
      </c>
    </row>
    <row r="394" spans="1:10" x14ac:dyDescent="0.35">
      <c r="A394" s="9">
        <v>45245</v>
      </c>
      <c r="B394" s="10">
        <v>786</v>
      </c>
      <c r="C394" s="11" t="s">
        <v>311</v>
      </c>
      <c r="D394" s="11" t="s">
        <v>315</v>
      </c>
      <c r="E394" s="10">
        <v>1</v>
      </c>
      <c r="F394" s="10" t="s">
        <v>221</v>
      </c>
      <c r="G394" s="10" t="s">
        <v>13</v>
      </c>
      <c r="H394" s="53">
        <v>3075000</v>
      </c>
      <c r="I394" s="73">
        <f>H394*E394</f>
        <v>3075000</v>
      </c>
      <c r="J394" t="s">
        <v>612</v>
      </c>
    </row>
    <row r="395" spans="1:10" x14ac:dyDescent="0.35">
      <c r="A395" s="9"/>
      <c r="B395" s="10"/>
      <c r="C395" s="8"/>
      <c r="D395" s="11"/>
      <c r="E395" s="10"/>
      <c r="F395" s="10"/>
      <c r="G395" s="10"/>
      <c r="H395" s="53"/>
      <c r="I395" s="53"/>
    </row>
    <row r="396" spans="1:10" x14ac:dyDescent="0.35">
      <c r="A396" s="9">
        <v>45238</v>
      </c>
      <c r="B396" s="10">
        <v>791</v>
      </c>
      <c r="C396" s="11" t="s">
        <v>309</v>
      </c>
      <c r="D396" s="11" t="s">
        <v>544</v>
      </c>
      <c r="E396" s="10">
        <v>1</v>
      </c>
      <c r="F396" s="10" t="s">
        <v>210</v>
      </c>
      <c r="G396" s="10" t="s">
        <v>13</v>
      </c>
      <c r="H396" s="53">
        <f>435000</f>
        <v>435000</v>
      </c>
      <c r="I396" s="53">
        <f>H396*E396</f>
        <v>435000</v>
      </c>
    </row>
    <row r="397" spans="1:10" x14ac:dyDescent="0.35">
      <c r="A397" s="9"/>
      <c r="B397" s="10"/>
      <c r="C397" s="11"/>
      <c r="D397" s="22" t="s">
        <v>615</v>
      </c>
      <c r="E397" s="21">
        <v>2</v>
      </c>
      <c r="F397" s="21" t="s">
        <v>240</v>
      </c>
      <c r="G397" s="21" t="s">
        <v>13</v>
      </c>
      <c r="H397" s="65"/>
      <c r="I397" s="53">
        <v>10000</v>
      </c>
      <c r="J397" s="99">
        <v>10000</v>
      </c>
    </row>
    <row r="398" spans="1:10" x14ac:dyDescent="0.35">
      <c r="A398" s="11"/>
      <c r="B398" s="10"/>
      <c r="C398" s="11"/>
      <c r="D398" s="11" t="s">
        <v>545</v>
      </c>
      <c r="E398" s="10">
        <v>4</v>
      </c>
      <c r="F398" s="10" t="s">
        <v>210</v>
      </c>
      <c r="G398" s="10" t="s">
        <v>13</v>
      </c>
      <c r="H398" s="53">
        <v>18750</v>
      </c>
      <c r="I398" s="53">
        <f t="shared" ref="I398" si="15">H398*E398</f>
        <v>75000</v>
      </c>
    </row>
    <row r="399" spans="1:10" x14ac:dyDescent="0.35">
      <c r="A399" s="9"/>
      <c r="B399" s="10"/>
      <c r="C399" s="8"/>
      <c r="D399" s="11"/>
      <c r="E399" s="10"/>
      <c r="F399" s="10"/>
      <c r="G399" s="10"/>
      <c r="H399" s="53"/>
      <c r="I399" s="73">
        <f>SUM(I396:I398)</f>
        <v>520000</v>
      </c>
      <c r="J399" s="83">
        <f>I396+J397+I398</f>
        <v>520000</v>
      </c>
    </row>
    <row r="400" spans="1:10" x14ac:dyDescent="0.35">
      <c r="A400" s="9"/>
      <c r="B400" s="10"/>
      <c r="C400" s="8"/>
      <c r="D400" s="11"/>
      <c r="E400" s="10"/>
      <c r="F400" s="10"/>
      <c r="G400" s="10"/>
      <c r="H400" s="53"/>
      <c r="I400" s="53"/>
      <c r="J400" s="83"/>
    </row>
    <row r="401" spans="1:10" x14ac:dyDescent="0.35">
      <c r="A401" s="9">
        <v>45238</v>
      </c>
      <c r="B401" s="10">
        <v>792</v>
      </c>
      <c r="C401" s="11" t="s">
        <v>307</v>
      </c>
      <c r="D401" s="11" t="s">
        <v>308</v>
      </c>
      <c r="E401" s="10">
        <v>30</v>
      </c>
      <c r="F401" s="10" t="s">
        <v>210</v>
      </c>
      <c r="G401" s="10" t="s">
        <v>13</v>
      </c>
      <c r="H401" s="53">
        <v>75000</v>
      </c>
      <c r="I401" s="73">
        <f>H401*E401</f>
        <v>2250000</v>
      </c>
      <c r="J401" t="s">
        <v>612</v>
      </c>
    </row>
    <row r="402" spans="1:10" x14ac:dyDescent="0.35">
      <c r="A402" s="8"/>
      <c r="B402" s="14"/>
      <c r="C402" s="8"/>
      <c r="D402" s="8"/>
      <c r="E402" s="14"/>
      <c r="F402" s="14"/>
      <c r="G402" s="14"/>
      <c r="H402" s="8"/>
      <c r="I402" s="8"/>
    </row>
    <row r="403" spans="1:10" x14ac:dyDescent="0.35">
      <c r="A403" s="9">
        <v>45257</v>
      </c>
      <c r="B403" s="10">
        <v>793</v>
      </c>
      <c r="C403" s="11" t="s">
        <v>309</v>
      </c>
      <c r="D403" s="11" t="s">
        <v>310</v>
      </c>
      <c r="E403" s="10">
        <v>1</v>
      </c>
      <c r="F403" s="10" t="s">
        <v>210</v>
      </c>
      <c r="G403" s="10" t="s">
        <v>13</v>
      </c>
      <c r="H403" s="53">
        <v>10400</v>
      </c>
      <c r="I403" s="53">
        <f>H403*E403</f>
        <v>10400</v>
      </c>
    </row>
    <row r="404" spans="1:10" x14ac:dyDescent="0.35">
      <c r="A404" s="11"/>
      <c r="B404" s="10"/>
      <c r="C404" s="11"/>
      <c r="D404" s="11"/>
      <c r="E404" s="10"/>
      <c r="F404" s="10"/>
      <c r="G404" s="10"/>
      <c r="H404" s="11"/>
      <c r="I404" s="11"/>
    </row>
    <row r="405" spans="1:10" x14ac:dyDescent="0.35">
      <c r="A405" s="9">
        <v>45257</v>
      </c>
      <c r="B405" s="10">
        <v>794</v>
      </c>
      <c r="C405" s="11" t="s">
        <v>311</v>
      </c>
      <c r="D405" s="11" t="s">
        <v>312</v>
      </c>
      <c r="E405" s="10">
        <v>1</v>
      </c>
      <c r="F405" s="10" t="s">
        <v>210</v>
      </c>
      <c r="G405" s="10" t="s">
        <v>13</v>
      </c>
      <c r="H405" s="53">
        <f>3058558-(3058558*12%)</f>
        <v>2691531.04</v>
      </c>
      <c r="I405" s="110">
        <f>H405*E405</f>
        <v>2691531.04</v>
      </c>
      <c r="J405" t="s">
        <v>612</v>
      </c>
    </row>
    <row r="406" spans="1:10" x14ac:dyDescent="0.35">
      <c r="A406" s="9"/>
      <c r="B406" s="10"/>
      <c r="C406" s="11"/>
      <c r="D406" s="11"/>
      <c r="E406" s="10"/>
      <c r="F406" s="10"/>
      <c r="G406" s="10"/>
      <c r="H406" s="53"/>
      <c r="I406" s="63"/>
    </row>
    <row r="407" spans="1:10" x14ac:dyDescent="0.35">
      <c r="A407" s="9"/>
      <c r="B407" s="10"/>
      <c r="C407" s="11"/>
      <c r="D407" s="11"/>
      <c r="E407" s="10"/>
      <c r="F407" s="10"/>
      <c r="G407" s="10"/>
      <c r="H407" s="53"/>
      <c r="I407" s="63"/>
    </row>
    <row r="408" spans="1:10" x14ac:dyDescent="0.35">
      <c r="A408" s="9"/>
      <c r="B408" s="10">
        <v>808</v>
      </c>
      <c r="C408" s="11"/>
      <c r="D408" s="11"/>
      <c r="E408" s="10"/>
      <c r="F408" s="10"/>
      <c r="G408" s="10"/>
      <c r="H408" s="53"/>
      <c r="I408" s="63"/>
    </row>
    <row r="409" spans="1:10" x14ac:dyDescent="0.35">
      <c r="A409" s="8"/>
      <c r="B409" s="10"/>
      <c r="C409" s="8"/>
      <c r="D409" s="11"/>
      <c r="E409" s="10"/>
      <c r="F409" s="10"/>
      <c r="G409" s="10"/>
      <c r="H409" s="53"/>
      <c r="I409" s="54"/>
    </row>
    <row r="410" spans="1:10" x14ac:dyDescent="0.35">
      <c r="A410" s="9">
        <v>45266</v>
      </c>
      <c r="B410" s="10">
        <v>809</v>
      </c>
      <c r="C410" s="11" t="s">
        <v>11</v>
      </c>
      <c r="D410" s="11" t="s">
        <v>82</v>
      </c>
      <c r="E410" s="10">
        <v>100</v>
      </c>
      <c r="F410" s="10" t="s">
        <v>14</v>
      </c>
      <c r="G410" s="10" t="s">
        <v>13</v>
      </c>
      <c r="H410" s="53">
        <v>2250</v>
      </c>
      <c r="I410" s="53">
        <f>H410*E410</f>
        <v>225000</v>
      </c>
      <c r="J410" t="s">
        <v>612</v>
      </c>
    </row>
    <row r="411" spans="1:10" x14ac:dyDescent="0.35">
      <c r="A411" s="11"/>
      <c r="B411" s="10"/>
      <c r="C411" s="11"/>
      <c r="D411" s="11" t="s">
        <v>290</v>
      </c>
      <c r="E411" s="10">
        <f>144*2</f>
        <v>288</v>
      </c>
      <c r="F411" s="10" t="s">
        <v>14</v>
      </c>
      <c r="G411" s="10" t="s">
        <v>13</v>
      </c>
      <c r="H411" s="53">
        <v>645.84</v>
      </c>
      <c r="I411" s="53">
        <f>H411*E411</f>
        <v>186001.92000000001</v>
      </c>
      <c r="J411" t="s">
        <v>612</v>
      </c>
    </row>
    <row r="412" spans="1:10" x14ac:dyDescent="0.35">
      <c r="A412" s="8"/>
      <c r="B412" s="14"/>
      <c r="C412" s="8"/>
      <c r="D412" s="8"/>
      <c r="E412" s="14"/>
      <c r="F412" s="14"/>
      <c r="G412" s="14"/>
      <c r="H412" s="8"/>
      <c r="I412" s="112">
        <f>SUM(I410:I411)</f>
        <v>411001.92000000004</v>
      </c>
    </row>
    <row r="413" spans="1:10" x14ac:dyDescent="0.35">
      <c r="A413" s="9">
        <v>45266</v>
      </c>
      <c r="B413" s="10">
        <v>810</v>
      </c>
      <c r="C413" s="11" t="s">
        <v>11</v>
      </c>
      <c r="D413" s="11" t="s">
        <v>291</v>
      </c>
      <c r="E413" s="62">
        <v>100</v>
      </c>
      <c r="F413" s="10" t="s">
        <v>12</v>
      </c>
      <c r="G413" s="10" t="s">
        <v>13</v>
      </c>
      <c r="H413" s="60">
        <v>10000</v>
      </c>
      <c r="I413" s="63">
        <f>H413*E413</f>
        <v>1000000</v>
      </c>
      <c r="J413" t="s">
        <v>612</v>
      </c>
    </row>
    <row r="414" spans="1:10" x14ac:dyDescent="0.35">
      <c r="A414" s="11"/>
      <c r="B414" s="10"/>
      <c r="C414" s="11"/>
      <c r="D414" s="11" t="s">
        <v>292</v>
      </c>
      <c r="E414" s="62">
        <v>50</v>
      </c>
      <c r="F414" s="10" t="s">
        <v>12</v>
      </c>
      <c r="G414" s="10" t="s">
        <v>13</v>
      </c>
      <c r="H414" s="60">
        <v>8500</v>
      </c>
      <c r="I414" s="63">
        <f t="shared" ref="I414:I425" si="16">H414*E414</f>
        <v>425000</v>
      </c>
      <c r="J414" t="s">
        <v>612</v>
      </c>
    </row>
    <row r="415" spans="1:10" x14ac:dyDescent="0.35">
      <c r="A415" s="11"/>
      <c r="B415" s="10"/>
      <c r="C415" s="11"/>
      <c r="D415" s="11" t="s">
        <v>293</v>
      </c>
      <c r="E415" s="62">
        <v>50</v>
      </c>
      <c r="F415" s="10" t="s">
        <v>12</v>
      </c>
      <c r="G415" s="10" t="s">
        <v>13</v>
      </c>
      <c r="H415" s="60">
        <v>3000</v>
      </c>
      <c r="I415" s="63">
        <f t="shared" si="16"/>
        <v>150000</v>
      </c>
      <c r="J415" t="s">
        <v>612</v>
      </c>
    </row>
    <row r="416" spans="1:10" x14ac:dyDescent="0.35">
      <c r="A416" s="11"/>
      <c r="B416" s="10"/>
      <c r="C416" s="11"/>
      <c r="D416" s="11" t="s">
        <v>147</v>
      </c>
      <c r="E416" s="62">
        <v>50</v>
      </c>
      <c r="F416" s="10" t="s">
        <v>12</v>
      </c>
      <c r="G416" s="10" t="s">
        <v>13</v>
      </c>
      <c r="H416" s="60">
        <v>17600</v>
      </c>
      <c r="I416" s="63">
        <f t="shared" si="16"/>
        <v>880000</v>
      </c>
      <c r="J416" t="s">
        <v>612</v>
      </c>
    </row>
    <row r="417" spans="1:10" x14ac:dyDescent="0.35">
      <c r="A417" s="11"/>
      <c r="B417" s="10"/>
      <c r="C417" s="11"/>
      <c r="D417" s="11" t="s">
        <v>294</v>
      </c>
      <c r="E417" s="62">
        <v>144</v>
      </c>
      <c r="F417" s="10" t="s">
        <v>207</v>
      </c>
      <c r="G417" s="10" t="s">
        <v>13</v>
      </c>
      <c r="H417" s="60">
        <v>13000</v>
      </c>
      <c r="I417" s="63">
        <f t="shared" si="16"/>
        <v>1872000</v>
      </c>
      <c r="J417" t="s">
        <v>612</v>
      </c>
    </row>
    <row r="418" spans="1:10" x14ac:dyDescent="0.35">
      <c r="A418" s="11"/>
      <c r="B418" s="10"/>
      <c r="C418" s="11"/>
      <c r="D418" s="11" t="s">
        <v>295</v>
      </c>
      <c r="E418" s="62">
        <v>72</v>
      </c>
      <c r="F418" s="10" t="s">
        <v>28</v>
      </c>
      <c r="G418" s="10" t="s">
        <v>13</v>
      </c>
      <c r="H418" s="60">
        <v>3000</v>
      </c>
      <c r="I418" s="63">
        <f t="shared" si="16"/>
        <v>216000</v>
      </c>
      <c r="J418" t="s">
        <v>612</v>
      </c>
    </row>
    <row r="419" spans="1:10" x14ac:dyDescent="0.35">
      <c r="A419" s="11"/>
      <c r="B419" s="10"/>
      <c r="C419" s="11"/>
      <c r="D419" s="11" t="s">
        <v>296</v>
      </c>
      <c r="E419" s="62">
        <v>12</v>
      </c>
      <c r="F419" s="10" t="s">
        <v>14</v>
      </c>
      <c r="G419" s="10" t="s">
        <v>13</v>
      </c>
      <c r="H419" s="60">
        <v>7750</v>
      </c>
      <c r="I419" s="63">
        <f t="shared" si="16"/>
        <v>93000</v>
      </c>
      <c r="J419" t="s">
        <v>612</v>
      </c>
    </row>
    <row r="420" spans="1:10" x14ac:dyDescent="0.35">
      <c r="A420" s="11"/>
      <c r="B420" s="10"/>
      <c r="C420" s="11"/>
      <c r="D420" s="11" t="s">
        <v>67</v>
      </c>
      <c r="E420" s="62">
        <v>36</v>
      </c>
      <c r="F420" s="10" t="s">
        <v>14</v>
      </c>
      <c r="G420" s="10" t="s">
        <v>13</v>
      </c>
      <c r="H420" s="60">
        <f>74750/12</f>
        <v>6229.166666666667</v>
      </c>
      <c r="I420" s="63">
        <f t="shared" si="16"/>
        <v>224250</v>
      </c>
      <c r="J420" t="s">
        <v>612</v>
      </c>
    </row>
    <row r="421" spans="1:10" x14ac:dyDescent="0.35">
      <c r="A421" s="11"/>
      <c r="B421" s="10"/>
      <c r="C421" s="11"/>
      <c r="D421" s="11" t="s">
        <v>163</v>
      </c>
      <c r="E421" s="62">
        <v>24</v>
      </c>
      <c r="F421" s="10" t="s">
        <v>14</v>
      </c>
      <c r="G421" s="10" t="s">
        <v>13</v>
      </c>
      <c r="H421" s="60">
        <v>1200</v>
      </c>
      <c r="I421" s="63">
        <f t="shared" si="16"/>
        <v>28800</v>
      </c>
      <c r="J421" t="s">
        <v>612</v>
      </c>
    </row>
    <row r="422" spans="1:10" x14ac:dyDescent="0.35">
      <c r="A422" s="11"/>
      <c r="B422" s="10"/>
      <c r="C422" s="11"/>
      <c r="D422" s="11" t="s">
        <v>297</v>
      </c>
      <c r="E422" s="62">
        <v>24</v>
      </c>
      <c r="F422" s="10" t="s">
        <v>14</v>
      </c>
      <c r="G422" s="10" t="s">
        <v>13</v>
      </c>
      <c r="H422" s="60">
        <v>9000</v>
      </c>
      <c r="I422" s="63">
        <f t="shared" si="16"/>
        <v>216000</v>
      </c>
      <c r="J422" t="s">
        <v>612</v>
      </c>
    </row>
    <row r="423" spans="1:10" x14ac:dyDescent="0.35">
      <c r="A423" s="11"/>
      <c r="B423" s="10"/>
      <c r="C423" s="11"/>
      <c r="D423" s="11" t="s">
        <v>298</v>
      </c>
      <c r="E423" s="62">
        <v>20</v>
      </c>
      <c r="F423" s="10" t="s">
        <v>14</v>
      </c>
      <c r="G423" s="10" t="s">
        <v>13</v>
      </c>
      <c r="H423" s="60">
        <v>18500</v>
      </c>
      <c r="I423" s="63">
        <f t="shared" si="16"/>
        <v>370000</v>
      </c>
      <c r="J423" t="s">
        <v>612</v>
      </c>
    </row>
    <row r="424" spans="1:10" x14ac:dyDescent="0.35">
      <c r="A424" s="11"/>
      <c r="B424" s="10"/>
      <c r="C424" s="11"/>
      <c r="D424" s="11" t="s">
        <v>299</v>
      </c>
      <c r="E424" s="62">
        <v>10</v>
      </c>
      <c r="F424" s="10" t="s">
        <v>14</v>
      </c>
      <c r="G424" s="10" t="s">
        <v>13</v>
      </c>
      <c r="H424" s="60">
        <v>75000</v>
      </c>
      <c r="I424" s="63">
        <f t="shared" si="16"/>
        <v>750000</v>
      </c>
      <c r="J424" t="s">
        <v>612</v>
      </c>
    </row>
    <row r="425" spans="1:10" x14ac:dyDescent="0.35">
      <c r="A425" s="11"/>
      <c r="B425" s="10"/>
      <c r="C425" s="11"/>
      <c r="D425" s="11" t="s">
        <v>300</v>
      </c>
      <c r="E425" s="62">
        <v>30</v>
      </c>
      <c r="F425" s="10" t="s">
        <v>12</v>
      </c>
      <c r="G425" s="10" t="s">
        <v>13</v>
      </c>
      <c r="H425" s="60">
        <v>2500</v>
      </c>
      <c r="I425" s="63">
        <f t="shared" si="16"/>
        <v>75000</v>
      </c>
      <c r="J425" t="s">
        <v>612</v>
      </c>
    </row>
    <row r="426" spans="1:10" x14ac:dyDescent="0.35">
      <c r="A426" s="9"/>
      <c r="B426" s="10"/>
      <c r="C426" s="11"/>
      <c r="D426" s="11"/>
      <c r="E426" s="10"/>
      <c r="F426" s="10"/>
      <c r="G426" s="10"/>
      <c r="H426" s="53"/>
      <c r="I426" s="73">
        <f>SUM(I413:I425)</f>
        <v>6300050</v>
      </c>
    </row>
    <row r="427" spans="1:10" x14ac:dyDescent="0.35">
      <c r="A427" s="9">
        <v>45272</v>
      </c>
      <c r="B427" s="10">
        <v>817</v>
      </c>
      <c r="C427" s="11" t="s">
        <v>11</v>
      </c>
      <c r="D427" s="11" t="s">
        <v>268</v>
      </c>
      <c r="E427" s="10">
        <v>30</v>
      </c>
      <c r="F427" s="10" t="s">
        <v>14</v>
      </c>
      <c r="G427" s="10" t="s">
        <v>13</v>
      </c>
      <c r="H427" s="53">
        <v>18500</v>
      </c>
      <c r="I427" s="53">
        <f t="shared" ref="I427:I452" si="17">H427*E427</f>
        <v>555000</v>
      </c>
      <c r="J427" t="s">
        <v>612</v>
      </c>
    </row>
    <row r="428" spans="1:10" x14ac:dyDescent="0.35">
      <c r="A428" s="11"/>
      <c r="B428" s="10"/>
      <c r="C428" s="11"/>
      <c r="D428" s="11" t="s">
        <v>269</v>
      </c>
      <c r="E428" s="10">
        <v>5</v>
      </c>
      <c r="F428" s="10" t="s">
        <v>14</v>
      </c>
      <c r="G428" s="10" t="s">
        <v>13</v>
      </c>
      <c r="H428" s="53">
        <v>75000</v>
      </c>
      <c r="I428" s="53">
        <f t="shared" si="17"/>
        <v>375000</v>
      </c>
      <c r="J428" t="s">
        <v>612</v>
      </c>
    </row>
    <row r="429" spans="1:10" x14ac:dyDescent="0.35">
      <c r="A429" s="9"/>
      <c r="B429" s="10"/>
      <c r="C429" s="11"/>
      <c r="D429" s="11" t="s">
        <v>270</v>
      </c>
      <c r="E429" s="10">
        <v>5</v>
      </c>
      <c r="F429" s="10" t="s">
        <v>14</v>
      </c>
      <c r="G429" s="10" t="s">
        <v>13</v>
      </c>
      <c r="H429" s="53">
        <v>54000</v>
      </c>
      <c r="I429" s="53">
        <f t="shared" si="17"/>
        <v>270000</v>
      </c>
      <c r="J429" t="s">
        <v>612</v>
      </c>
    </row>
    <row r="430" spans="1:10" x14ac:dyDescent="0.35">
      <c r="A430" s="11"/>
      <c r="B430" s="10"/>
      <c r="C430" s="11"/>
      <c r="D430" s="11" t="s">
        <v>271</v>
      </c>
      <c r="E430" s="10">
        <v>10</v>
      </c>
      <c r="F430" s="10" t="s">
        <v>25</v>
      </c>
      <c r="G430" s="10" t="s">
        <v>13</v>
      </c>
      <c r="H430" s="53">
        <v>18500</v>
      </c>
      <c r="I430" s="53">
        <f t="shared" si="17"/>
        <v>185000</v>
      </c>
      <c r="J430" t="s">
        <v>612</v>
      </c>
    </row>
    <row r="431" spans="1:10" x14ac:dyDescent="0.35">
      <c r="A431" s="11"/>
      <c r="B431" s="10"/>
      <c r="C431" s="11"/>
      <c r="D431" s="11" t="s">
        <v>272</v>
      </c>
      <c r="E431" s="10">
        <v>60</v>
      </c>
      <c r="F431" s="10" t="s">
        <v>28</v>
      </c>
      <c r="G431" s="10" t="s">
        <v>13</v>
      </c>
      <c r="H431" s="53">
        <v>3000</v>
      </c>
      <c r="I431" s="53">
        <f t="shared" si="17"/>
        <v>180000</v>
      </c>
      <c r="J431" t="s">
        <v>612</v>
      </c>
    </row>
    <row r="432" spans="1:10" x14ac:dyDescent="0.35">
      <c r="A432" s="11"/>
      <c r="B432" s="10"/>
      <c r="C432" s="11"/>
      <c r="D432" s="11" t="s">
        <v>273</v>
      </c>
      <c r="E432" s="10">
        <v>12</v>
      </c>
      <c r="F432" s="10" t="s">
        <v>28</v>
      </c>
      <c r="G432" s="10" t="s">
        <v>13</v>
      </c>
      <c r="H432" s="53">
        <v>9500</v>
      </c>
      <c r="I432" s="53">
        <f t="shared" si="17"/>
        <v>114000</v>
      </c>
      <c r="J432" t="s">
        <v>612</v>
      </c>
    </row>
    <row r="433" spans="1:10" x14ac:dyDescent="0.35">
      <c r="A433" s="9"/>
      <c r="B433" s="10"/>
      <c r="C433" s="11"/>
      <c r="D433" s="11" t="s">
        <v>274</v>
      </c>
      <c r="E433" s="10">
        <v>12</v>
      </c>
      <c r="F433" s="10" t="s">
        <v>14</v>
      </c>
      <c r="G433" s="10" t="s">
        <v>13</v>
      </c>
      <c r="H433" s="53">
        <v>4500</v>
      </c>
      <c r="I433" s="53">
        <f t="shared" si="17"/>
        <v>54000</v>
      </c>
      <c r="J433" t="s">
        <v>612</v>
      </c>
    </row>
    <row r="434" spans="1:10" x14ac:dyDescent="0.35">
      <c r="A434" s="11"/>
      <c r="B434" s="10"/>
      <c r="C434" s="11"/>
      <c r="D434" s="11" t="s">
        <v>275</v>
      </c>
      <c r="E434" s="10">
        <v>24</v>
      </c>
      <c r="F434" s="10" t="s">
        <v>14</v>
      </c>
      <c r="G434" s="10" t="s">
        <v>13</v>
      </c>
      <c r="H434" s="53">
        <v>9500</v>
      </c>
      <c r="I434" s="53">
        <f t="shared" si="17"/>
        <v>228000</v>
      </c>
      <c r="J434" t="s">
        <v>612</v>
      </c>
    </row>
    <row r="435" spans="1:10" x14ac:dyDescent="0.35">
      <c r="A435" s="11"/>
      <c r="B435" s="10"/>
      <c r="C435" s="11"/>
      <c r="D435" s="11" t="s">
        <v>276</v>
      </c>
      <c r="E435" s="10">
        <v>120</v>
      </c>
      <c r="F435" s="10" t="s">
        <v>14</v>
      </c>
      <c r="G435" s="10" t="s">
        <v>13</v>
      </c>
      <c r="H435" s="53">
        <v>2250</v>
      </c>
      <c r="I435" s="53">
        <f t="shared" si="17"/>
        <v>270000</v>
      </c>
      <c r="J435" t="s">
        <v>612</v>
      </c>
    </row>
    <row r="436" spans="1:10" x14ac:dyDescent="0.35">
      <c r="A436" s="11"/>
      <c r="B436" s="10"/>
      <c r="C436" s="11"/>
      <c r="D436" s="11" t="s">
        <v>277</v>
      </c>
      <c r="E436" s="10">
        <v>60</v>
      </c>
      <c r="F436" s="10" t="s">
        <v>14</v>
      </c>
      <c r="G436" s="10" t="s">
        <v>13</v>
      </c>
      <c r="H436" s="53">
        <v>2250</v>
      </c>
      <c r="I436" s="53">
        <f t="shared" si="17"/>
        <v>135000</v>
      </c>
      <c r="J436" t="s">
        <v>612</v>
      </c>
    </row>
    <row r="437" spans="1:10" x14ac:dyDescent="0.35">
      <c r="A437" s="11"/>
      <c r="B437" s="10"/>
      <c r="C437" s="11"/>
      <c r="D437" s="11" t="s">
        <v>278</v>
      </c>
      <c r="E437" s="10">
        <v>10</v>
      </c>
      <c r="F437" s="10" t="s">
        <v>21</v>
      </c>
      <c r="G437" s="10" t="s">
        <v>13</v>
      </c>
      <c r="H437" s="53">
        <v>30000</v>
      </c>
      <c r="I437" s="53">
        <f t="shared" si="17"/>
        <v>300000</v>
      </c>
      <c r="J437" t="s">
        <v>612</v>
      </c>
    </row>
    <row r="438" spans="1:10" x14ac:dyDescent="0.35">
      <c r="A438" s="11"/>
      <c r="B438" s="10"/>
      <c r="C438" s="11"/>
      <c r="D438" s="11" t="s">
        <v>121</v>
      </c>
      <c r="E438" s="10">
        <v>10</v>
      </c>
      <c r="F438" s="10" t="s">
        <v>20</v>
      </c>
      <c r="G438" s="10" t="s">
        <v>13</v>
      </c>
      <c r="H438" s="53">
        <v>65750</v>
      </c>
      <c r="I438" s="53">
        <f t="shared" si="17"/>
        <v>657500</v>
      </c>
      <c r="J438" t="s">
        <v>612</v>
      </c>
    </row>
    <row r="439" spans="1:10" x14ac:dyDescent="0.35">
      <c r="A439" s="9"/>
      <c r="B439" s="10"/>
      <c r="C439" s="11"/>
      <c r="D439" s="11" t="s">
        <v>118</v>
      </c>
      <c r="E439" s="10">
        <v>10</v>
      </c>
      <c r="F439" s="10" t="s">
        <v>20</v>
      </c>
      <c r="G439" s="10" t="s">
        <v>13</v>
      </c>
      <c r="H439" s="53">
        <v>65750</v>
      </c>
      <c r="I439" s="53">
        <f t="shared" si="17"/>
        <v>657500</v>
      </c>
      <c r="J439" t="s">
        <v>612</v>
      </c>
    </row>
    <row r="440" spans="1:10" x14ac:dyDescent="0.35">
      <c r="A440" s="11"/>
      <c r="B440" s="10"/>
      <c r="C440" s="11"/>
      <c r="D440" s="11" t="s">
        <v>120</v>
      </c>
      <c r="E440" s="10">
        <v>15</v>
      </c>
      <c r="F440" s="10" t="s">
        <v>20</v>
      </c>
      <c r="G440" s="10" t="s">
        <v>13</v>
      </c>
      <c r="H440" s="53">
        <v>65750</v>
      </c>
      <c r="I440" s="53">
        <f t="shared" si="17"/>
        <v>986250</v>
      </c>
      <c r="J440" t="s">
        <v>612</v>
      </c>
    </row>
    <row r="441" spans="1:10" x14ac:dyDescent="0.35">
      <c r="A441" s="11"/>
      <c r="B441" s="10"/>
      <c r="C441" s="11"/>
      <c r="D441" s="11" t="s">
        <v>279</v>
      </c>
      <c r="E441" s="10">
        <v>10</v>
      </c>
      <c r="F441" s="10" t="s">
        <v>20</v>
      </c>
      <c r="G441" s="10" t="s">
        <v>24</v>
      </c>
      <c r="H441" s="53">
        <v>55000</v>
      </c>
      <c r="I441" s="53">
        <f t="shared" si="17"/>
        <v>550000</v>
      </c>
      <c r="J441" t="s">
        <v>612</v>
      </c>
    </row>
    <row r="442" spans="1:10" x14ac:dyDescent="0.35">
      <c r="A442" s="11"/>
      <c r="B442" s="10"/>
      <c r="C442" s="11"/>
      <c r="D442" s="11" t="s">
        <v>237</v>
      </c>
      <c r="E442" s="10">
        <v>20</v>
      </c>
      <c r="F442" s="10" t="s">
        <v>20</v>
      </c>
      <c r="G442" s="10" t="s">
        <v>24</v>
      </c>
      <c r="H442" s="53">
        <v>54500</v>
      </c>
      <c r="I442" s="53">
        <f t="shared" si="17"/>
        <v>1090000</v>
      </c>
      <c r="J442" t="s">
        <v>612</v>
      </c>
    </row>
    <row r="443" spans="1:10" x14ac:dyDescent="0.35">
      <c r="A443" s="11"/>
      <c r="B443" s="10"/>
      <c r="C443" s="11"/>
      <c r="D443" s="11" t="s">
        <v>280</v>
      </c>
      <c r="E443" s="10">
        <v>10</v>
      </c>
      <c r="F443" s="10" t="s">
        <v>21</v>
      </c>
      <c r="G443" s="10" t="s">
        <v>13</v>
      </c>
      <c r="H443" s="53">
        <v>60000</v>
      </c>
      <c r="I443" s="53">
        <f t="shared" si="17"/>
        <v>600000</v>
      </c>
      <c r="J443" t="s">
        <v>612</v>
      </c>
    </row>
    <row r="444" spans="1:10" x14ac:dyDescent="0.35">
      <c r="A444" s="11"/>
      <c r="B444" s="10"/>
      <c r="C444" s="11"/>
      <c r="D444" s="11" t="s">
        <v>281</v>
      </c>
      <c r="E444" s="10">
        <v>6</v>
      </c>
      <c r="F444" s="10" t="s">
        <v>17</v>
      </c>
      <c r="G444" s="10" t="s">
        <v>13</v>
      </c>
      <c r="H444" s="53">
        <v>63000</v>
      </c>
      <c r="I444" s="53">
        <f t="shared" si="17"/>
        <v>378000</v>
      </c>
      <c r="J444" t="s">
        <v>612</v>
      </c>
    </row>
    <row r="445" spans="1:10" x14ac:dyDescent="0.35">
      <c r="A445" s="11"/>
      <c r="B445" s="10"/>
      <c r="C445" s="11"/>
      <c r="D445" s="11" t="s">
        <v>282</v>
      </c>
      <c r="E445" s="10">
        <v>4</v>
      </c>
      <c r="F445" s="10" t="s">
        <v>17</v>
      </c>
      <c r="G445" s="10" t="s">
        <v>13</v>
      </c>
      <c r="H445" s="53">
        <v>63000</v>
      </c>
      <c r="I445" s="53">
        <f t="shared" si="17"/>
        <v>252000</v>
      </c>
      <c r="J445" t="s">
        <v>612</v>
      </c>
    </row>
    <row r="446" spans="1:10" x14ac:dyDescent="0.35">
      <c r="A446" s="9"/>
      <c r="B446" s="10"/>
      <c r="C446" s="11"/>
      <c r="D446" s="11" t="s">
        <v>180</v>
      </c>
      <c r="E446" s="10">
        <v>12</v>
      </c>
      <c r="F446" s="10" t="s">
        <v>14</v>
      </c>
      <c r="G446" s="10" t="s">
        <v>13</v>
      </c>
      <c r="H446" s="53">
        <v>5000</v>
      </c>
      <c r="I446" s="53">
        <f t="shared" si="17"/>
        <v>60000</v>
      </c>
      <c r="J446" t="s">
        <v>612</v>
      </c>
    </row>
    <row r="447" spans="1:10" x14ac:dyDescent="0.35">
      <c r="A447" s="9"/>
      <c r="B447" s="10"/>
      <c r="C447" s="11"/>
      <c r="D447" s="11" t="s">
        <v>283</v>
      </c>
      <c r="E447" s="10">
        <v>10</v>
      </c>
      <c r="F447" s="10" t="s">
        <v>284</v>
      </c>
      <c r="G447" s="10" t="s">
        <v>13</v>
      </c>
      <c r="H447" s="53">
        <v>34000</v>
      </c>
      <c r="I447" s="53">
        <f t="shared" si="17"/>
        <v>340000</v>
      </c>
      <c r="J447" t="s">
        <v>612</v>
      </c>
    </row>
    <row r="448" spans="1:10" x14ac:dyDescent="0.35">
      <c r="A448" s="11"/>
      <c r="B448" s="10"/>
      <c r="C448" s="11"/>
      <c r="D448" s="11" t="s">
        <v>285</v>
      </c>
      <c r="E448" s="10">
        <v>24</v>
      </c>
      <c r="F448" s="10" t="s">
        <v>286</v>
      </c>
      <c r="G448" s="10" t="s">
        <v>13</v>
      </c>
      <c r="H448" s="53">
        <v>2750</v>
      </c>
      <c r="I448" s="53">
        <f t="shared" si="17"/>
        <v>66000</v>
      </c>
      <c r="J448" t="s">
        <v>612</v>
      </c>
    </row>
    <row r="449" spans="1:10" x14ac:dyDescent="0.35">
      <c r="A449" s="11"/>
      <c r="B449" s="10"/>
      <c r="C449" s="11"/>
      <c r="D449" s="11" t="s">
        <v>287</v>
      </c>
      <c r="E449" s="10">
        <v>1</v>
      </c>
      <c r="F449" s="10" t="s">
        <v>14</v>
      </c>
      <c r="G449" s="10" t="s">
        <v>13</v>
      </c>
      <c r="H449" s="53">
        <v>156000</v>
      </c>
      <c r="I449" s="53">
        <f t="shared" si="17"/>
        <v>156000</v>
      </c>
      <c r="J449" t="s">
        <v>612</v>
      </c>
    </row>
    <row r="450" spans="1:10" x14ac:dyDescent="0.35">
      <c r="A450" s="9"/>
      <c r="B450" s="10"/>
      <c r="C450" s="11"/>
      <c r="D450" s="11" t="s">
        <v>288</v>
      </c>
      <c r="E450" s="10">
        <v>36</v>
      </c>
      <c r="F450" s="10" t="s">
        <v>14</v>
      </c>
      <c r="G450" s="10" t="s">
        <v>13</v>
      </c>
      <c r="H450" s="53">
        <v>20250</v>
      </c>
      <c r="I450" s="53">
        <f t="shared" si="17"/>
        <v>729000</v>
      </c>
      <c r="J450" t="s">
        <v>612</v>
      </c>
    </row>
    <row r="451" spans="1:10" x14ac:dyDescent="0.35">
      <c r="A451" s="11"/>
      <c r="B451" s="10"/>
      <c r="C451" s="11"/>
      <c r="D451" s="11" t="s">
        <v>289</v>
      </c>
      <c r="E451" s="10">
        <v>12</v>
      </c>
      <c r="F451" s="10" t="s">
        <v>14</v>
      </c>
      <c r="G451" s="10" t="s">
        <v>13</v>
      </c>
      <c r="H451" s="53">
        <v>20250</v>
      </c>
      <c r="I451" s="53">
        <f t="shared" si="17"/>
        <v>243000</v>
      </c>
      <c r="J451" t="s">
        <v>612</v>
      </c>
    </row>
    <row r="452" spans="1:10" x14ac:dyDescent="0.35">
      <c r="A452" s="11"/>
      <c r="B452" s="10"/>
      <c r="C452" s="11"/>
      <c r="D452" s="11" t="s">
        <v>231</v>
      </c>
      <c r="E452" s="10">
        <v>6</v>
      </c>
      <c r="F452" s="10" t="s">
        <v>21</v>
      </c>
      <c r="G452" s="10" t="s">
        <v>13</v>
      </c>
      <c r="H452" s="53">
        <v>19500</v>
      </c>
      <c r="I452" s="53">
        <f t="shared" si="17"/>
        <v>117000</v>
      </c>
      <c r="J452" t="s">
        <v>612</v>
      </c>
    </row>
    <row r="453" spans="1:10" x14ac:dyDescent="0.35">
      <c r="A453" s="11"/>
      <c r="B453" s="10"/>
      <c r="C453" s="11"/>
      <c r="D453" s="11"/>
      <c r="E453" s="10"/>
      <c r="F453" s="10"/>
      <c r="G453" s="10"/>
      <c r="H453" s="77"/>
      <c r="I453" s="73">
        <f>SUM(I427:I452)</f>
        <v>9548250</v>
      </c>
    </row>
    <row r="454" spans="1:10" x14ac:dyDescent="0.35">
      <c r="A454" s="9">
        <v>45273</v>
      </c>
      <c r="B454" s="10">
        <v>820</v>
      </c>
      <c r="C454" s="11"/>
      <c r="D454" s="11" t="s">
        <v>264</v>
      </c>
      <c r="E454" s="10">
        <v>8</v>
      </c>
      <c r="F454" s="10" t="s">
        <v>14</v>
      </c>
      <c r="G454" s="10" t="s">
        <v>200</v>
      </c>
      <c r="H454" s="60">
        <v>2275000</v>
      </c>
      <c r="I454" s="60">
        <f>H454*E454</f>
        <v>18200000</v>
      </c>
      <c r="J454" t="s">
        <v>612</v>
      </c>
    </row>
    <row r="455" spans="1:10" x14ac:dyDescent="0.35">
      <c r="A455" s="11"/>
      <c r="B455" s="10"/>
      <c r="C455" s="11"/>
      <c r="D455" s="11" t="s">
        <v>265</v>
      </c>
      <c r="E455" s="10">
        <v>5</v>
      </c>
      <c r="F455" s="10" t="s">
        <v>14</v>
      </c>
      <c r="G455" s="10" t="s">
        <v>200</v>
      </c>
      <c r="H455" s="60">
        <v>2275000</v>
      </c>
      <c r="I455" s="60">
        <f>H455*E455</f>
        <v>11375000</v>
      </c>
      <c r="J455" t="s">
        <v>612</v>
      </c>
    </row>
    <row r="456" spans="1:10" x14ac:dyDescent="0.35">
      <c r="A456" s="11"/>
      <c r="B456" s="10"/>
      <c r="C456" s="11"/>
      <c r="D456" s="22" t="s">
        <v>266</v>
      </c>
      <c r="E456" s="21">
        <v>30</v>
      </c>
      <c r="F456" s="21" t="s">
        <v>14</v>
      </c>
      <c r="G456" s="21" t="s">
        <v>200</v>
      </c>
      <c r="H456" s="61"/>
      <c r="I456" s="73">
        <f>SUM(I454:I455)</f>
        <v>29575000</v>
      </c>
    </row>
    <row r="457" spans="1:10" x14ac:dyDescent="0.35">
      <c r="A457" s="11"/>
      <c r="B457" s="10"/>
      <c r="C457" s="11"/>
      <c r="D457" s="11"/>
      <c r="E457" s="10"/>
      <c r="F457" s="10"/>
      <c r="G457" s="10"/>
      <c r="H457" s="77"/>
      <c r="I457" s="53"/>
    </row>
    <row r="458" spans="1:10" x14ac:dyDescent="0.35">
      <c r="A458" s="9">
        <v>45275</v>
      </c>
      <c r="B458" s="10">
        <v>826</v>
      </c>
      <c r="C458" s="11" t="s">
        <v>11</v>
      </c>
      <c r="D458" s="11" t="s">
        <v>29</v>
      </c>
      <c r="E458" s="10">
        <v>50</v>
      </c>
      <c r="F458" s="10" t="s">
        <v>20</v>
      </c>
      <c r="G458" s="10" t="s">
        <v>13</v>
      </c>
      <c r="H458" s="53">
        <v>44000</v>
      </c>
      <c r="I458" s="53">
        <f>H458*E458</f>
        <v>2200000</v>
      </c>
      <c r="J458" t="s">
        <v>612</v>
      </c>
    </row>
    <row r="459" spans="1:10" x14ac:dyDescent="0.35">
      <c r="A459" s="11"/>
      <c r="B459" s="10"/>
      <c r="C459" s="11"/>
      <c r="D459" s="11" t="s">
        <v>26</v>
      </c>
      <c r="E459" s="10">
        <v>50</v>
      </c>
      <c r="F459" s="10" t="s">
        <v>20</v>
      </c>
      <c r="G459" s="10" t="s">
        <v>13</v>
      </c>
      <c r="H459" s="53">
        <v>50000</v>
      </c>
      <c r="I459" s="53">
        <f>H459*E459</f>
        <v>2500000</v>
      </c>
      <c r="J459" t="s">
        <v>612</v>
      </c>
    </row>
    <row r="460" spans="1:10" x14ac:dyDescent="0.35">
      <c r="A460" s="11"/>
      <c r="B460" s="10"/>
      <c r="C460" s="11"/>
      <c r="D460" s="11" t="s">
        <v>260</v>
      </c>
      <c r="E460" s="10">
        <v>70</v>
      </c>
      <c r="F460" s="10" t="s">
        <v>12</v>
      </c>
      <c r="G460" s="10" t="s">
        <v>13</v>
      </c>
      <c r="H460" s="53">
        <v>3750</v>
      </c>
      <c r="I460" s="53">
        <f>H460*E460</f>
        <v>262500</v>
      </c>
      <c r="J460" t="s">
        <v>612</v>
      </c>
    </row>
    <row r="461" spans="1:10" x14ac:dyDescent="0.35">
      <c r="A461" s="11"/>
      <c r="B461" s="10"/>
      <c r="C461" s="11"/>
      <c r="D461" s="11"/>
      <c r="E461" s="10"/>
      <c r="F461" s="10"/>
      <c r="G461" s="10"/>
      <c r="H461" s="53"/>
      <c r="I461" s="76">
        <f>SUM(I458:I460)</f>
        <v>4962500</v>
      </c>
    </row>
    <row r="462" spans="1:10" x14ac:dyDescent="0.35">
      <c r="A462" s="9">
        <v>45278</v>
      </c>
      <c r="B462" s="10">
        <v>827</v>
      </c>
      <c r="C462" s="11" t="s">
        <v>261</v>
      </c>
      <c r="D462" s="11" t="s">
        <v>262</v>
      </c>
      <c r="E462" s="10">
        <v>84</v>
      </c>
      <c r="F462" s="10" t="s">
        <v>14</v>
      </c>
      <c r="G462" s="10" t="s">
        <v>200</v>
      </c>
      <c r="H462" s="60">
        <v>115000</v>
      </c>
      <c r="I462" s="60">
        <f>H462*E462</f>
        <v>9660000</v>
      </c>
      <c r="J462" t="s">
        <v>612</v>
      </c>
    </row>
    <row r="463" spans="1:10" x14ac:dyDescent="0.35">
      <c r="A463" s="11"/>
      <c r="B463" s="10"/>
      <c r="C463" s="11"/>
      <c r="D463" s="11" t="s">
        <v>263</v>
      </c>
      <c r="E463" s="10">
        <v>9</v>
      </c>
      <c r="F463" s="10" t="s">
        <v>14</v>
      </c>
      <c r="G463" s="10" t="s">
        <v>200</v>
      </c>
      <c r="H463" s="60">
        <v>430000</v>
      </c>
      <c r="I463" s="60">
        <f t="shared" ref="I463" si="18">H463*E463</f>
        <v>3870000</v>
      </c>
      <c r="J463" t="s">
        <v>612</v>
      </c>
    </row>
    <row r="464" spans="1:10" x14ac:dyDescent="0.35">
      <c r="A464" s="11"/>
      <c r="B464" s="10"/>
      <c r="C464" s="11"/>
      <c r="D464" s="11"/>
      <c r="E464" s="10"/>
      <c r="F464" s="10"/>
      <c r="G464" s="10"/>
      <c r="H464" s="77"/>
      <c r="I464" s="73">
        <f>SUM(I462:I463)</f>
        <v>13530000</v>
      </c>
    </row>
    <row r="465" spans="1:10" x14ac:dyDescent="0.35">
      <c r="A465" s="9">
        <v>45279</v>
      </c>
      <c r="B465" s="10">
        <v>829</v>
      </c>
      <c r="C465" s="11" t="s">
        <v>11</v>
      </c>
      <c r="D465" s="11" t="s">
        <v>26</v>
      </c>
      <c r="E465" s="10">
        <v>50</v>
      </c>
      <c r="F465" s="10" t="s">
        <v>20</v>
      </c>
      <c r="G465" s="10" t="s">
        <v>13</v>
      </c>
      <c r="H465" s="53">
        <v>50000</v>
      </c>
      <c r="I465" s="73">
        <f>H465*E465</f>
        <v>2500000</v>
      </c>
      <c r="J465" t="s">
        <v>612</v>
      </c>
    </row>
    <row r="466" spans="1:10" x14ac:dyDescent="0.35">
      <c r="A466" s="11"/>
      <c r="B466" s="10"/>
      <c r="C466" s="11"/>
      <c r="D466" s="11"/>
      <c r="E466" s="10"/>
      <c r="F466" s="10"/>
      <c r="G466" s="10"/>
      <c r="H466" s="77"/>
      <c r="I466" s="53"/>
    </row>
    <row r="467" spans="1:10" x14ac:dyDescent="0.35">
      <c r="A467" s="9">
        <v>45280</v>
      </c>
      <c r="B467" s="10">
        <v>834</v>
      </c>
      <c r="C467" s="11" t="s">
        <v>258</v>
      </c>
      <c r="D467" s="11" t="s">
        <v>259</v>
      </c>
      <c r="E467" s="10">
        <v>50</v>
      </c>
      <c r="F467" s="10" t="s">
        <v>14</v>
      </c>
      <c r="G467" s="10" t="s">
        <v>13</v>
      </c>
      <c r="H467" s="53">
        <v>68000</v>
      </c>
      <c r="I467" s="73">
        <f>H467*E467</f>
        <v>3400000</v>
      </c>
      <c r="J467" t="s">
        <v>612</v>
      </c>
    </row>
    <row r="468" spans="1:10" x14ac:dyDescent="0.35">
      <c r="A468" s="11"/>
      <c r="B468" s="10"/>
      <c r="C468" s="11"/>
      <c r="D468" s="11"/>
      <c r="E468" s="10"/>
      <c r="F468" s="10"/>
      <c r="G468" s="10"/>
      <c r="H468" s="77"/>
      <c r="I468" s="53"/>
    </row>
    <row r="469" spans="1:10" x14ac:dyDescent="0.35">
      <c r="A469" s="9">
        <v>45280</v>
      </c>
      <c r="B469" s="10">
        <v>835</v>
      </c>
      <c r="C469" s="11" t="s">
        <v>56</v>
      </c>
      <c r="D469" s="11" t="s">
        <v>251</v>
      </c>
      <c r="E469" s="10">
        <v>100</v>
      </c>
      <c r="F469" s="10" t="s">
        <v>20</v>
      </c>
      <c r="G469" s="10" t="s">
        <v>13</v>
      </c>
      <c r="H469" s="53">
        <v>43200</v>
      </c>
      <c r="I469" s="53">
        <f>H469*E469</f>
        <v>4320000</v>
      </c>
      <c r="J469" t="s">
        <v>612</v>
      </c>
    </row>
    <row r="470" spans="1:10" x14ac:dyDescent="0.35">
      <c r="A470" s="11"/>
      <c r="B470" s="10"/>
      <c r="C470" s="11"/>
      <c r="D470" s="11" t="s">
        <v>252</v>
      </c>
      <c r="E470" s="10">
        <v>150</v>
      </c>
      <c r="F470" s="10" t="s">
        <v>20</v>
      </c>
      <c r="G470" s="10" t="s">
        <v>13</v>
      </c>
      <c r="H470" s="53">
        <v>38200</v>
      </c>
      <c r="I470" s="53">
        <f>H470*E470</f>
        <v>5730000</v>
      </c>
      <c r="J470" t="s">
        <v>612</v>
      </c>
    </row>
    <row r="471" spans="1:10" x14ac:dyDescent="0.35">
      <c r="A471" s="11"/>
      <c r="B471" s="10"/>
      <c r="C471" s="11"/>
      <c r="D471" s="11" t="s">
        <v>253</v>
      </c>
      <c r="E471" s="10">
        <v>48</v>
      </c>
      <c r="F471" s="10" t="s">
        <v>14</v>
      </c>
      <c r="G471" s="10" t="s">
        <v>13</v>
      </c>
      <c r="H471" s="53">
        <v>9229.17</v>
      </c>
      <c r="I471" s="53">
        <f>H471*E471</f>
        <v>443000.16000000003</v>
      </c>
      <c r="J471" t="s">
        <v>612</v>
      </c>
    </row>
    <row r="472" spans="1:10" x14ac:dyDescent="0.35">
      <c r="A472" s="8"/>
      <c r="B472" s="10"/>
      <c r="C472" s="8"/>
      <c r="D472" s="11"/>
      <c r="E472" s="10"/>
      <c r="F472" s="10"/>
      <c r="G472" s="10"/>
      <c r="H472" s="53"/>
      <c r="I472" s="76">
        <f>SUM(I469:I471)</f>
        <v>10493000.16</v>
      </c>
      <c r="J472" s="83"/>
    </row>
    <row r="473" spans="1:10" x14ac:dyDescent="0.35">
      <c r="A473" s="9">
        <v>45280</v>
      </c>
      <c r="B473" s="10">
        <v>836</v>
      </c>
      <c r="C473" s="11" t="s">
        <v>11</v>
      </c>
      <c r="D473" s="11" t="s">
        <v>230</v>
      </c>
      <c r="E473" s="10">
        <v>10</v>
      </c>
      <c r="F473" s="10" t="s">
        <v>14</v>
      </c>
      <c r="G473" s="10" t="s">
        <v>13</v>
      </c>
      <c r="H473" s="53">
        <v>57500</v>
      </c>
      <c r="I473" s="73">
        <f>H473*E473</f>
        <v>575000</v>
      </c>
      <c r="J473" t="s">
        <v>612</v>
      </c>
    </row>
    <row r="474" spans="1:10" x14ac:dyDescent="0.35">
      <c r="A474" s="8"/>
      <c r="B474" s="10"/>
      <c r="C474" s="11"/>
      <c r="D474" s="11"/>
      <c r="E474" s="10"/>
      <c r="F474" s="10"/>
      <c r="G474" s="10"/>
      <c r="H474" s="53"/>
      <c r="I474" s="53"/>
    </row>
    <row r="475" spans="1:10" x14ac:dyDescent="0.35">
      <c r="A475" s="9">
        <v>45280</v>
      </c>
      <c r="B475" s="10">
        <v>837</v>
      </c>
      <c r="C475" s="11" t="s">
        <v>254</v>
      </c>
      <c r="D475" s="11" t="s">
        <v>255</v>
      </c>
      <c r="E475" s="10">
        <f>6*12</f>
        <v>72</v>
      </c>
      <c r="F475" s="10" t="s">
        <v>240</v>
      </c>
      <c r="G475" s="10" t="s">
        <v>200</v>
      </c>
      <c r="H475" s="53">
        <v>300</v>
      </c>
      <c r="I475" s="53">
        <f>H475*E475</f>
        <v>21600</v>
      </c>
      <c r="J475" t="s">
        <v>612</v>
      </c>
    </row>
    <row r="476" spans="1:10" x14ac:dyDescent="0.35">
      <c r="A476" s="11"/>
      <c r="B476" s="10"/>
      <c r="C476" s="11"/>
      <c r="D476" s="11" t="s">
        <v>256</v>
      </c>
      <c r="E476" s="10">
        <v>126</v>
      </c>
      <c r="F476" s="10" t="s">
        <v>240</v>
      </c>
      <c r="G476" s="10" t="s">
        <v>200</v>
      </c>
      <c r="H476" s="53">
        <f>700+93.42</f>
        <v>793.42</v>
      </c>
      <c r="I476" s="53">
        <f>H476*E476</f>
        <v>99970.92</v>
      </c>
      <c r="J476" t="s">
        <v>612</v>
      </c>
    </row>
    <row r="477" spans="1:10" x14ac:dyDescent="0.35">
      <c r="A477" s="9"/>
      <c r="B477" s="10"/>
      <c r="C477" s="11"/>
      <c r="D477" s="11" t="s">
        <v>257</v>
      </c>
      <c r="E477" s="10">
        <v>24</v>
      </c>
      <c r="F477" s="10" t="s">
        <v>240</v>
      </c>
      <c r="G477" s="10" t="s">
        <v>200</v>
      </c>
      <c r="H477" s="53">
        <v>7200</v>
      </c>
      <c r="I477" s="53">
        <f>H477*E477</f>
        <v>172800</v>
      </c>
      <c r="J477" t="s">
        <v>612</v>
      </c>
    </row>
    <row r="478" spans="1:10" x14ac:dyDescent="0.35">
      <c r="A478" s="11"/>
      <c r="B478" s="10"/>
      <c r="C478" s="11"/>
      <c r="D478" s="11"/>
      <c r="E478" s="10"/>
      <c r="F478" s="10"/>
      <c r="G478" s="10"/>
      <c r="H478" s="53"/>
      <c r="I478" s="73">
        <f>SUM(I475:I477)</f>
        <v>294370.92</v>
      </c>
    </row>
    <row r="479" spans="1:10" x14ac:dyDescent="0.35">
      <c r="A479" s="9">
        <v>45281</v>
      </c>
      <c r="B479" s="10">
        <v>838</v>
      </c>
      <c r="C479" s="11" t="s">
        <v>56</v>
      </c>
      <c r="D479" s="11" t="s">
        <v>251</v>
      </c>
      <c r="E479" s="10">
        <v>50</v>
      </c>
      <c r="F479" s="10" t="s">
        <v>20</v>
      </c>
      <c r="G479" s="10" t="s">
        <v>13</v>
      </c>
      <c r="H479" s="53">
        <v>43500</v>
      </c>
      <c r="I479" s="53">
        <f>H479*E479</f>
        <v>2175000</v>
      </c>
      <c r="J479" s="83"/>
    </row>
    <row r="480" spans="1:10" x14ac:dyDescent="0.35">
      <c r="A480" s="8"/>
      <c r="B480" s="10"/>
      <c r="C480" s="8"/>
      <c r="D480" s="11" t="s">
        <v>252</v>
      </c>
      <c r="E480" s="10">
        <v>100</v>
      </c>
      <c r="F480" s="10" t="s">
        <v>20</v>
      </c>
      <c r="G480" s="10" t="s">
        <v>13</v>
      </c>
      <c r="H480" s="53">
        <v>38200</v>
      </c>
      <c r="I480" s="53">
        <f>H480*E480</f>
        <v>3820000</v>
      </c>
    </row>
    <row r="481" spans="1:10" x14ac:dyDescent="0.35">
      <c r="A481" s="9"/>
      <c r="B481" s="10"/>
      <c r="C481" s="11"/>
      <c r="D481" s="11"/>
      <c r="E481" s="10"/>
      <c r="F481" s="10"/>
      <c r="G481" s="10"/>
      <c r="H481" s="78"/>
      <c r="I481" s="109">
        <f>SUM(I479:I480)</f>
        <v>5995000</v>
      </c>
    </row>
    <row r="482" spans="1:10" x14ac:dyDescent="0.35">
      <c r="A482" s="9">
        <v>45282</v>
      </c>
      <c r="B482" s="10">
        <v>839</v>
      </c>
      <c r="C482" s="11" t="s">
        <v>11</v>
      </c>
      <c r="D482" s="11" t="s">
        <v>73</v>
      </c>
      <c r="E482" s="10">
        <v>2</v>
      </c>
      <c r="F482" s="10" t="s">
        <v>14</v>
      </c>
      <c r="G482" s="10" t="s">
        <v>13</v>
      </c>
      <c r="H482" s="53">
        <v>94000</v>
      </c>
      <c r="I482" s="53">
        <f>H482*E482</f>
        <v>188000</v>
      </c>
      <c r="J482" t="s">
        <v>612</v>
      </c>
    </row>
    <row r="483" spans="1:10" x14ac:dyDescent="0.35">
      <c r="A483" s="9"/>
      <c r="B483" s="10"/>
      <c r="C483" s="11"/>
      <c r="D483" s="11" t="s">
        <v>248</v>
      </c>
      <c r="E483" s="10">
        <v>2</v>
      </c>
      <c r="F483" s="10" t="s">
        <v>14</v>
      </c>
      <c r="G483" s="10" t="s">
        <v>13</v>
      </c>
      <c r="H483" s="53">
        <v>94000</v>
      </c>
      <c r="I483" s="53">
        <f t="shared" ref="I483:I485" si="19">H483*E483</f>
        <v>188000</v>
      </c>
      <c r="J483" t="s">
        <v>612</v>
      </c>
    </row>
    <row r="484" spans="1:10" x14ac:dyDescent="0.35">
      <c r="A484" s="11"/>
      <c r="B484" s="10"/>
      <c r="C484" s="11"/>
      <c r="D484" s="11" t="s">
        <v>249</v>
      </c>
      <c r="E484" s="10">
        <v>30</v>
      </c>
      <c r="F484" s="10" t="s">
        <v>28</v>
      </c>
      <c r="G484" s="10" t="s">
        <v>13</v>
      </c>
      <c r="H484" s="53">
        <v>2500</v>
      </c>
      <c r="I484" s="53">
        <f t="shared" si="19"/>
        <v>75000</v>
      </c>
      <c r="J484" t="s">
        <v>612</v>
      </c>
    </row>
    <row r="485" spans="1:10" x14ac:dyDescent="0.35">
      <c r="A485" s="11"/>
      <c r="B485" s="10"/>
      <c r="C485" s="11"/>
      <c r="D485" s="11" t="s">
        <v>250</v>
      </c>
      <c r="E485" s="10">
        <v>20</v>
      </c>
      <c r="F485" s="10" t="s">
        <v>52</v>
      </c>
      <c r="G485" s="10" t="s">
        <v>24</v>
      </c>
      <c r="H485" s="53">
        <v>4500</v>
      </c>
      <c r="I485" s="53">
        <f t="shared" si="19"/>
        <v>90000</v>
      </c>
      <c r="J485" t="s">
        <v>612</v>
      </c>
    </row>
    <row r="486" spans="1:10" x14ac:dyDescent="0.35">
      <c r="A486" s="11"/>
      <c r="B486" s="10"/>
      <c r="C486" s="11"/>
      <c r="D486" s="11"/>
      <c r="E486" s="10"/>
      <c r="F486" s="10"/>
      <c r="G486" s="10"/>
      <c r="H486" s="78"/>
      <c r="I486" s="109">
        <f>SUM(I482:I485)</f>
        <v>541000</v>
      </c>
    </row>
    <row r="487" spans="1:10" x14ac:dyDescent="0.35">
      <c r="A487" s="9">
        <v>45282</v>
      </c>
      <c r="B487" s="10">
        <v>840</v>
      </c>
      <c r="C487" s="11" t="s">
        <v>238</v>
      </c>
      <c r="D487" s="11" t="s">
        <v>239</v>
      </c>
      <c r="E487" s="10">
        <v>3</v>
      </c>
      <c r="F487" s="10" t="s">
        <v>240</v>
      </c>
      <c r="G487" s="10" t="s">
        <v>200</v>
      </c>
      <c r="H487" s="53">
        <v>15000</v>
      </c>
      <c r="I487" s="53">
        <f t="shared" ref="I487:I494" si="20">H487*E487</f>
        <v>45000</v>
      </c>
      <c r="J487" t="s">
        <v>612</v>
      </c>
    </row>
    <row r="488" spans="1:10" x14ac:dyDescent="0.35">
      <c r="A488" s="11"/>
      <c r="B488" s="10"/>
      <c r="C488" s="11"/>
      <c r="D488" s="11" t="s">
        <v>241</v>
      </c>
      <c r="E488" s="10">
        <v>3</v>
      </c>
      <c r="F488" s="10" t="s">
        <v>240</v>
      </c>
      <c r="G488" s="10" t="s">
        <v>200</v>
      </c>
      <c r="H488" s="53">
        <v>15000</v>
      </c>
      <c r="I488" s="53">
        <f t="shared" si="20"/>
        <v>45000</v>
      </c>
      <c r="J488" t="s">
        <v>612</v>
      </c>
    </row>
    <row r="489" spans="1:10" x14ac:dyDescent="0.35">
      <c r="A489" s="11"/>
      <c r="B489" s="10"/>
      <c r="C489" s="11"/>
      <c r="D489" s="11" t="s">
        <v>242</v>
      </c>
      <c r="E489" s="10">
        <v>3</v>
      </c>
      <c r="F489" s="10" t="s">
        <v>240</v>
      </c>
      <c r="G489" s="10" t="s">
        <v>200</v>
      </c>
      <c r="H489" s="53">
        <v>15000</v>
      </c>
      <c r="I489" s="53">
        <f t="shared" si="20"/>
        <v>45000</v>
      </c>
      <c r="J489" t="s">
        <v>612</v>
      </c>
    </row>
    <row r="490" spans="1:10" x14ac:dyDescent="0.35">
      <c r="A490" s="11"/>
      <c r="B490" s="10"/>
      <c r="C490" s="11"/>
      <c r="D490" s="11" t="s">
        <v>243</v>
      </c>
      <c r="E490" s="10">
        <v>3</v>
      </c>
      <c r="F490" s="10" t="s">
        <v>240</v>
      </c>
      <c r="G490" s="10" t="s">
        <v>200</v>
      </c>
      <c r="H490" s="53">
        <v>15034.7</v>
      </c>
      <c r="I490" s="53">
        <f t="shared" si="20"/>
        <v>45104.100000000006</v>
      </c>
      <c r="J490" t="s">
        <v>612</v>
      </c>
    </row>
    <row r="491" spans="1:10" x14ac:dyDescent="0.35">
      <c r="A491" s="11"/>
      <c r="B491" s="10"/>
      <c r="C491" s="11"/>
      <c r="D491" s="11" t="s">
        <v>244</v>
      </c>
      <c r="E491" s="10">
        <v>18</v>
      </c>
      <c r="F491" s="10" t="s">
        <v>240</v>
      </c>
      <c r="G491" s="10" t="s">
        <v>200</v>
      </c>
      <c r="H491" s="53">
        <v>8650</v>
      </c>
      <c r="I491" s="53">
        <f t="shared" si="20"/>
        <v>155700</v>
      </c>
      <c r="J491" t="s">
        <v>612</v>
      </c>
    </row>
    <row r="492" spans="1:10" x14ac:dyDescent="0.35">
      <c r="A492" s="11"/>
      <c r="B492" s="10"/>
      <c r="C492" s="11"/>
      <c r="D492" s="11" t="s">
        <v>245</v>
      </c>
      <c r="E492" s="10">
        <v>18</v>
      </c>
      <c r="F492" s="10" t="s">
        <v>240</v>
      </c>
      <c r="G492" s="10" t="s">
        <v>200</v>
      </c>
      <c r="H492" s="53">
        <v>8650</v>
      </c>
      <c r="I492" s="53">
        <f t="shared" si="20"/>
        <v>155700</v>
      </c>
      <c r="J492" t="s">
        <v>612</v>
      </c>
    </row>
    <row r="493" spans="1:10" x14ac:dyDescent="0.35">
      <c r="A493" s="11"/>
      <c r="B493" s="10"/>
      <c r="C493" s="11"/>
      <c r="D493" s="11" t="s">
        <v>246</v>
      </c>
      <c r="E493" s="10">
        <v>18</v>
      </c>
      <c r="F493" s="10" t="s">
        <v>240</v>
      </c>
      <c r="G493" s="10" t="s">
        <v>200</v>
      </c>
      <c r="H493" s="53">
        <v>8600</v>
      </c>
      <c r="I493" s="53">
        <f t="shared" si="20"/>
        <v>154800</v>
      </c>
      <c r="J493" t="s">
        <v>612</v>
      </c>
    </row>
    <row r="494" spans="1:10" x14ac:dyDescent="0.35">
      <c r="A494" s="11"/>
      <c r="B494" s="10"/>
      <c r="C494" s="11"/>
      <c r="D494" s="11" t="s">
        <v>247</v>
      </c>
      <c r="E494" s="10">
        <v>18</v>
      </c>
      <c r="F494" s="10" t="s">
        <v>240</v>
      </c>
      <c r="G494" s="10" t="s">
        <v>200</v>
      </c>
      <c r="H494" s="53">
        <v>8600</v>
      </c>
      <c r="I494" s="53">
        <f t="shared" si="20"/>
        <v>154800</v>
      </c>
      <c r="J494" t="s">
        <v>612</v>
      </c>
    </row>
    <row r="495" spans="1:10" x14ac:dyDescent="0.35">
      <c r="A495" s="11"/>
      <c r="B495" s="10"/>
      <c r="C495" s="11"/>
      <c r="D495" s="11"/>
      <c r="E495" s="10"/>
      <c r="F495" s="10"/>
      <c r="G495" s="10"/>
      <c r="H495" s="78"/>
      <c r="I495" s="113">
        <f>SUM(I487:I494)</f>
        <v>801104.1</v>
      </c>
    </row>
    <row r="496" spans="1:10" x14ac:dyDescent="0.35">
      <c r="A496" s="9">
        <v>45288</v>
      </c>
      <c r="B496" s="10">
        <v>852</v>
      </c>
      <c r="C496" s="11" t="s">
        <v>11</v>
      </c>
      <c r="D496" s="11" t="s">
        <v>229</v>
      </c>
      <c r="E496" s="10">
        <v>144</v>
      </c>
      <c r="F496" s="10" t="s">
        <v>207</v>
      </c>
      <c r="G496" s="10" t="s">
        <v>13</v>
      </c>
      <c r="H496" s="53">
        <v>13000</v>
      </c>
      <c r="I496" s="53">
        <f>H496*E496</f>
        <v>1872000</v>
      </c>
      <c r="J496" t="s">
        <v>612</v>
      </c>
    </row>
    <row r="497" spans="1:10" x14ac:dyDescent="0.35">
      <c r="A497" s="9"/>
      <c r="B497" s="10"/>
      <c r="C497" s="11"/>
      <c r="D497" s="11" t="s">
        <v>230</v>
      </c>
      <c r="E497" s="10">
        <v>20</v>
      </c>
      <c r="F497" s="10" t="s">
        <v>14</v>
      </c>
      <c r="G497" s="10" t="s">
        <v>13</v>
      </c>
      <c r="H497" s="53">
        <v>57500</v>
      </c>
      <c r="I497" s="53">
        <f t="shared" ref="I497:I502" si="21">H497*E497</f>
        <v>1150000</v>
      </c>
      <c r="J497" t="s">
        <v>612</v>
      </c>
    </row>
    <row r="498" spans="1:10" x14ac:dyDescent="0.35">
      <c r="A498" s="9"/>
      <c r="B498" s="10"/>
      <c r="C498" s="11"/>
      <c r="D498" s="11" t="s">
        <v>145</v>
      </c>
      <c r="E498" s="10">
        <v>50</v>
      </c>
      <c r="F498" s="10" t="s">
        <v>12</v>
      </c>
      <c r="G498" s="10" t="s">
        <v>13</v>
      </c>
      <c r="H498" s="53">
        <v>10000</v>
      </c>
      <c r="I498" s="53">
        <f t="shared" si="21"/>
        <v>500000</v>
      </c>
      <c r="J498" t="s">
        <v>612</v>
      </c>
    </row>
    <row r="499" spans="1:10" x14ac:dyDescent="0.35">
      <c r="A499" s="9"/>
      <c r="B499" s="10"/>
      <c r="C499" s="11"/>
      <c r="D499" s="11" t="s">
        <v>231</v>
      </c>
      <c r="E499" s="10">
        <v>100</v>
      </c>
      <c r="F499" s="10" t="s">
        <v>21</v>
      </c>
      <c r="G499" s="10" t="s">
        <v>13</v>
      </c>
      <c r="H499" s="53">
        <v>19500</v>
      </c>
      <c r="I499" s="53">
        <f t="shared" si="21"/>
        <v>1950000</v>
      </c>
      <c r="J499" t="s">
        <v>612</v>
      </c>
    </row>
    <row r="500" spans="1:10" x14ac:dyDescent="0.35">
      <c r="A500" s="9"/>
      <c r="B500" s="10"/>
      <c r="C500" s="11"/>
      <c r="D500" s="11" t="s">
        <v>232</v>
      </c>
      <c r="E500" s="10">
        <v>10</v>
      </c>
      <c r="F500" s="10" t="s">
        <v>20</v>
      </c>
      <c r="G500" s="10" t="s">
        <v>13</v>
      </c>
      <c r="H500" s="53">
        <v>56000</v>
      </c>
      <c r="I500" s="53">
        <f t="shared" si="21"/>
        <v>560000</v>
      </c>
      <c r="J500" t="s">
        <v>612</v>
      </c>
    </row>
    <row r="501" spans="1:10" x14ac:dyDescent="0.35">
      <c r="A501" s="9"/>
      <c r="B501" s="10"/>
      <c r="C501" s="11"/>
      <c r="D501" s="11" t="s">
        <v>233</v>
      </c>
      <c r="E501" s="10">
        <v>5</v>
      </c>
      <c r="F501" s="10" t="s">
        <v>21</v>
      </c>
      <c r="G501" s="10" t="s">
        <v>13</v>
      </c>
      <c r="H501" s="53">
        <f>150000/5</f>
        <v>30000</v>
      </c>
      <c r="I501" s="53">
        <f t="shared" si="21"/>
        <v>150000</v>
      </c>
      <c r="J501" t="s">
        <v>612</v>
      </c>
    </row>
    <row r="502" spans="1:10" x14ac:dyDescent="0.35">
      <c r="A502" s="9"/>
      <c r="B502" s="10"/>
      <c r="C502" s="11"/>
      <c r="D502" s="11" t="s">
        <v>234</v>
      </c>
      <c r="E502" s="10">
        <v>10</v>
      </c>
      <c r="F502" s="10" t="s">
        <v>28</v>
      </c>
      <c r="G502" s="10" t="s">
        <v>13</v>
      </c>
      <c r="H502" s="53">
        <v>9500</v>
      </c>
      <c r="I502" s="53">
        <f t="shared" si="21"/>
        <v>95000</v>
      </c>
      <c r="J502" t="s">
        <v>612</v>
      </c>
    </row>
    <row r="503" spans="1:10" x14ac:dyDescent="0.35">
      <c r="A503" s="11"/>
      <c r="B503" s="10"/>
      <c r="C503" s="11"/>
      <c r="D503" s="11"/>
      <c r="E503" s="10"/>
      <c r="F503" s="10"/>
      <c r="G503" s="10"/>
      <c r="H503" s="53"/>
      <c r="I503" s="73">
        <f>SUM(I496:I502)</f>
        <v>6277000</v>
      </c>
    </row>
    <row r="504" spans="1:10" x14ac:dyDescent="0.35">
      <c r="A504" s="9">
        <v>45268</v>
      </c>
      <c r="B504" s="10">
        <v>853</v>
      </c>
      <c r="C504" s="11" t="s">
        <v>198</v>
      </c>
      <c r="D504" s="11" t="s">
        <v>199</v>
      </c>
      <c r="E504" s="10">
        <v>2</v>
      </c>
      <c r="F504" s="10" t="s">
        <v>14</v>
      </c>
      <c r="G504" s="10" t="s">
        <v>200</v>
      </c>
      <c r="H504" s="53">
        <v>69000</v>
      </c>
      <c r="I504" s="53">
        <f>H504*E504</f>
        <v>138000</v>
      </c>
      <c r="J504" t="s">
        <v>612</v>
      </c>
    </row>
    <row r="505" spans="1:10" x14ac:dyDescent="0.35">
      <c r="A505" s="9"/>
      <c r="B505" s="10"/>
      <c r="C505" s="11"/>
      <c r="D505" s="11" t="s">
        <v>201</v>
      </c>
      <c r="E505" s="10">
        <v>1</v>
      </c>
      <c r="F505" s="10" t="s">
        <v>14</v>
      </c>
      <c r="G505" s="10" t="s">
        <v>200</v>
      </c>
      <c r="H505" s="53">
        <v>78000</v>
      </c>
      <c r="I505" s="53">
        <f>H505*E505</f>
        <v>78000</v>
      </c>
      <c r="J505" t="s">
        <v>612</v>
      </c>
    </row>
    <row r="506" spans="1:10" x14ac:dyDescent="0.35">
      <c r="A506" s="9"/>
      <c r="B506" s="10"/>
      <c r="C506" s="11"/>
      <c r="D506" s="11" t="s">
        <v>202</v>
      </c>
      <c r="E506" s="10">
        <v>30</v>
      </c>
      <c r="F506" s="10" t="s">
        <v>14</v>
      </c>
      <c r="G506" s="10" t="s">
        <v>200</v>
      </c>
      <c r="H506" s="53">
        <v>2218</v>
      </c>
      <c r="I506" s="53">
        <f>H506*E506</f>
        <v>66540</v>
      </c>
      <c r="J506" t="s">
        <v>612</v>
      </c>
    </row>
    <row r="507" spans="1:10" x14ac:dyDescent="0.35">
      <c r="A507" s="8"/>
      <c r="B507" s="14"/>
      <c r="C507" s="8"/>
      <c r="D507" s="8"/>
      <c r="E507" s="14"/>
      <c r="F507" s="14"/>
      <c r="G507" s="14"/>
      <c r="H507" s="8"/>
      <c r="I507" s="112">
        <f>SUM(I504:I506)</f>
        <v>282540</v>
      </c>
      <c r="J507" s="83"/>
    </row>
    <row r="508" spans="1:10" x14ac:dyDescent="0.35">
      <c r="A508" s="9">
        <v>45261</v>
      </c>
      <c r="B508" s="10">
        <v>854</v>
      </c>
      <c r="C508" s="11" t="s">
        <v>203</v>
      </c>
      <c r="D508" s="11" t="s">
        <v>204</v>
      </c>
      <c r="E508" s="10">
        <v>20</v>
      </c>
      <c r="F508" s="10" t="s">
        <v>14</v>
      </c>
      <c r="G508" s="10" t="s">
        <v>13</v>
      </c>
      <c r="H508" s="53">
        <v>80000</v>
      </c>
      <c r="I508" s="53">
        <f>H508*E508</f>
        <v>1600000</v>
      </c>
      <c r="J508" t="s">
        <v>612</v>
      </c>
    </row>
    <row r="509" spans="1:10" x14ac:dyDescent="0.35">
      <c r="A509" s="11"/>
      <c r="B509" s="10"/>
      <c r="C509" s="11"/>
      <c r="D509" s="11" t="s">
        <v>205</v>
      </c>
      <c r="E509" s="10">
        <v>3</v>
      </c>
      <c r="F509" s="10" t="s">
        <v>14</v>
      </c>
      <c r="G509" s="10" t="s">
        <v>13</v>
      </c>
      <c r="H509" s="53">
        <f>560000-(560000*23%)</f>
        <v>431200</v>
      </c>
      <c r="I509" s="53">
        <f>H509*E509</f>
        <v>1293600</v>
      </c>
      <c r="J509" t="s">
        <v>612</v>
      </c>
    </row>
    <row r="510" spans="1:10" x14ac:dyDescent="0.35">
      <c r="A510" s="8"/>
      <c r="B510" s="14"/>
      <c r="C510" s="8"/>
      <c r="D510" s="8"/>
      <c r="E510" s="14"/>
      <c r="F510" s="14"/>
      <c r="G510" s="14"/>
      <c r="H510" s="8"/>
      <c r="I510" s="112">
        <f>SUM(I508:I509)</f>
        <v>2893600</v>
      </c>
      <c r="J510" s="83"/>
    </row>
    <row r="511" spans="1:10" x14ac:dyDescent="0.35">
      <c r="A511" s="9">
        <v>45261</v>
      </c>
      <c r="B511" s="10">
        <v>855</v>
      </c>
      <c r="C511" s="11"/>
      <c r="D511" s="11" t="s">
        <v>206</v>
      </c>
      <c r="E511" s="10">
        <v>16</v>
      </c>
      <c r="F511" s="10" t="s">
        <v>207</v>
      </c>
      <c r="G511" s="10" t="s">
        <v>200</v>
      </c>
      <c r="H511" s="53">
        <v>750000</v>
      </c>
      <c r="I511" s="73">
        <f>H511*E511</f>
        <v>12000000</v>
      </c>
      <c r="J511" t="s">
        <v>612</v>
      </c>
    </row>
    <row r="512" spans="1:10" x14ac:dyDescent="0.35">
      <c r="A512" s="11"/>
      <c r="B512" s="10"/>
      <c r="C512" s="11"/>
      <c r="D512" s="11" t="s">
        <v>208</v>
      </c>
      <c r="E512" s="10"/>
      <c r="F512" s="10"/>
      <c r="G512" s="10"/>
      <c r="H512" s="53"/>
      <c r="I512" s="54"/>
    </row>
    <row r="513" spans="1:10" x14ac:dyDescent="0.35">
      <c r="A513" s="8"/>
      <c r="B513" s="14"/>
      <c r="C513" s="8"/>
      <c r="D513" s="8"/>
      <c r="E513" s="14"/>
      <c r="F513" s="14"/>
      <c r="G513" s="14"/>
      <c r="H513" s="8"/>
      <c r="I513" s="8"/>
    </row>
    <row r="514" spans="1:10" x14ac:dyDescent="0.35">
      <c r="A514" s="9">
        <v>45261</v>
      </c>
      <c r="B514" s="10">
        <v>856</v>
      </c>
      <c r="C514" s="11"/>
      <c r="D514" s="11" t="s">
        <v>209</v>
      </c>
      <c r="E514" s="10">
        <v>1</v>
      </c>
      <c r="F514" s="10" t="s">
        <v>210</v>
      </c>
      <c r="G514" s="10" t="s">
        <v>200</v>
      </c>
      <c r="H514" s="53">
        <f>4100000-(4100000*20%)</f>
        <v>3280000</v>
      </c>
      <c r="I514" s="73">
        <f>H514*E514</f>
        <v>3280000</v>
      </c>
      <c r="J514" t="s">
        <v>612</v>
      </c>
    </row>
    <row r="515" spans="1:10" x14ac:dyDescent="0.35">
      <c r="A515" s="11"/>
      <c r="B515" s="10"/>
      <c r="C515" s="11"/>
      <c r="D515" s="11" t="s">
        <v>208</v>
      </c>
      <c r="E515" s="10"/>
      <c r="F515" s="10"/>
      <c r="G515" s="10"/>
      <c r="H515" s="53"/>
      <c r="I515" s="54"/>
    </row>
    <row r="516" spans="1:10" x14ac:dyDescent="0.35">
      <c r="A516" s="8"/>
      <c r="B516" s="14"/>
      <c r="C516" s="8"/>
      <c r="D516" s="8"/>
      <c r="E516" s="14"/>
      <c r="F516" s="14"/>
      <c r="G516" s="14"/>
      <c r="H516" s="8"/>
      <c r="I516" s="8"/>
    </row>
    <row r="517" spans="1:10" x14ac:dyDescent="0.35">
      <c r="A517" s="9">
        <v>45261</v>
      </c>
      <c r="B517" s="10">
        <v>857</v>
      </c>
      <c r="C517" s="11"/>
      <c r="D517" s="11" t="s">
        <v>211</v>
      </c>
      <c r="E517" s="10">
        <v>30</v>
      </c>
      <c r="F517" s="10" t="s">
        <v>210</v>
      </c>
      <c r="G517" s="10" t="s">
        <v>200</v>
      </c>
      <c r="H517" s="53">
        <v>330000</v>
      </c>
      <c r="I517" s="73">
        <f>H517*E517</f>
        <v>9900000</v>
      </c>
      <c r="J517" t="s">
        <v>612</v>
      </c>
    </row>
    <row r="518" spans="1:10" x14ac:dyDescent="0.35">
      <c r="A518" s="8"/>
      <c r="B518" s="14"/>
      <c r="C518" s="8"/>
      <c r="D518" s="8"/>
      <c r="E518" s="14"/>
      <c r="F518" s="14"/>
      <c r="G518" s="14"/>
      <c r="H518" s="57"/>
      <c r="I518" s="57"/>
      <c r="J518" s="83"/>
    </row>
    <row r="519" spans="1:10" x14ac:dyDescent="0.35">
      <c r="A519" s="11"/>
      <c r="B519" s="10"/>
      <c r="C519" s="11"/>
      <c r="D519" s="11"/>
      <c r="E519" s="10"/>
      <c r="F519" s="10"/>
      <c r="G519" s="10"/>
      <c r="H519" s="53"/>
      <c r="I519" s="54"/>
    </row>
    <row r="520" spans="1:10" x14ac:dyDescent="0.35">
      <c r="A520" s="9">
        <v>45261</v>
      </c>
      <c r="B520" s="10">
        <v>859</v>
      </c>
      <c r="C520" s="11"/>
      <c r="D520" s="11" t="s">
        <v>216</v>
      </c>
      <c r="E520" s="10">
        <v>1</v>
      </c>
      <c r="F520" s="10" t="s">
        <v>207</v>
      </c>
      <c r="G520" s="10" t="s">
        <v>13</v>
      </c>
      <c r="H520" s="53">
        <f>800000-(800000*20%)</f>
        <v>640000</v>
      </c>
      <c r="I520" s="73">
        <f>H520*E520</f>
        <v>640000</v>
      </c>
      <c r="J520" t="s">
        <v>612</v>
      </c>
    </row>
    <row r="521" spans="1:10" x14ac:dyDescent="0.35">
      <c r="A521" s="11"/>
      <c r="B521" s="10"/>
      <c r="C521" s="11"/>
      <c r="D521" s="11"/>
      <c r="E521" s="10"/>
      <c r="F521" s="10"/>
      <c r="G521" s="10"/>
      <c r="H521" s="53"/>
      <c r="I521" s="54"/>
      <c r="J521" s="83"/>
    </row>
    <row r="522" spans="1:10" x14ac:dyDescent="0.35">
      <c r="A522" s="9">
        <v>45261</v>
      </c>
      <c r="B522" s="10">
        <v>860</v>
      </c>
      <c r="C522" s="11" t="s">
        <v>217</v>
      </c>
      <c r="D522" s="11" t="s">
        <v>218</v>
      </c>
      <c r="E522" s="10">
        <v>1</v>
      </c>
      <c r="F522" s="10" t="s">
        <v>14</v>
      </c>
      <c r="G522" s="10" t="s">
        <v>219</v>
      </c>
      <c r="H522" s="53">
        <v>711000</v>
      </c>
      <c r="I522" s="53">
        <f>H522*E522</f>
        <v>711000</v>
      </c>
      <c r="J522" t="s">
        <v>612</v>
      </c>
    </row>
    <row r="523" spans="1:10" x14ac:dyDescent="0.35">
      <c r="A523" s="9"/>
      <c r="B523" s="10"/>
      <c r="C523" s="11"/>
      <c r="D523" s="11" t="s">
        <v>220</v>
      </c>
      <c r="E523" s="10">
        <v>1</v>
      </c>
      <c r="F523" s="10" t="s">
        <v>221</v>
      </c>
      <c r="G523" s="10" t="s">
        <v>219</v>
      </c>
      <c r="H523" s="53">
        <f>320000+120000+120000+195000</f>
        <v>755000</v>
      </c>
      <c r="I523" s="53">
        <f t="shared" ref="I523:I525" si="22">H523*E523</f>
        <v>755000</v>
      </c>
      <c r="J523" t="s">
        <v>612</v>
      </c>
    </row>
    <row r="524" spans="1:10" x14ac:dyDescent="0.35">
      <c r="A524" s="11"/>
      <c r="B524" s="10"/>
      <c r="C524" s="11"/>
      <c r="D524" s="11" t="s">
        <v>222</v>
      </c>
      <c r="E524" s="10">
        <v>1</v>
      </c>
      <c r="F524" s="10" t="s">
        <v>14</v>
      </c>
      <c r="G524" s="10" t="s">
        <v>219</v>
      </c>
      <c r="H524" s="53">
        <v>700000</v>
      </c>
      <c r="I524" s="53">
        <f t="shared" si="22"/>
        <v>700000</v>
      </c>
      <c r="J524" t="s">
        <v>612</v>
      </c>
    </row>
    <row r="525" spans="1:10" x14ac:dyDescent="0.35">
      <c r="A525" s="11"/>
      <c r="B525" s="10"/>
      <c r="C525" s="11"/>
      <c r="D525" s="11" t="s">
        <v>223</v>
      </c>
      <c r="E525" s="10">
        <v>1</v>
      </c>
      <c r="F525" s="10" t="s">
        <v>14</v>
      </c>
      <c r="G525" s="10" t="s">
        <v>219</v>
      </c>
      <c r="H525" s="53">
        <v>754000</v>
      </c>
      <c r="I525" s="53">
        <f t="shared" si="22"/>
        <v>754000</v>
      </c>
      <c r="J525" t="s">
        <v>612</v>
      </c>
    </row>
    <row r="526" spans="1:10" x14ac:dyDescent="0.35">
      <c r="A526" s="11"/>
      <c r="B526" s="10"/>
      <c r="C526" s="11"/>
      <c r="D526" s="11"/>
      <c r="E526" s="10"/>
      <c r="F526" s="10"/>
      <c r="G526" s="10"/>
      <c r="H526" s="53"/>
      <c r="I526" s="76">
        <f>SUM(I522:I525)</f>
        <v>2920000</v>
      </c>
    </row>
    <row r="527" spans="1:10" x14ac:dyDescent="0.35">
      <c r="A527" s="9">
        <v>45261</v>
      </c>
      <c r="B527" s="10">
        <v>861</v>
      </c>
      <c r="C527" s="11"/>
      <c r="D527" s="11" t="s">
        <v>224</v>
      </c>
      <c r="E527" s="10">
        <v>30</v>
      </c>
      <c r="F527" s="10" t="s">
        <v>14</v>
      </c>
      <c r="G527" s="10" t="s">
        <v>200</v>
      </c>
      <c r="H527" s="53">
        <v>48000</v>
      </c>
      <c r="I527" s="73">
        <f>H527*E527</f>
        <v>1440000</v>
      </c>
      <c r="J527" s="83" t="s">
        <v>612</v>
      </c>
    </row>
    <row r="528" spans="1:10" x14ac:dyDescent="0.35">
      <c r="A528" s="9"/>
      <c r="B528" s="10"/>
      <c r="C528" s="11"/>
      <c r="D528" s="11" t="s">
        <v>225</v>
      </c>
      <c r="E528" s="10"/>
      <c r="F528" s="10"/>
      <c r="G528" s="10"/>
      <c r="H528" s="53"/>
      <c r="I528" s="54"/>
    </row>
    <row r="529" spans="1:10" x14ac:dyDescent="0.35">
      <c r="A529" s="11"/>
      <c r="B529" s="10"/>
      <c r="C529" s="11"/>
      <c r="D529" s="11"/>
      <c r="E529" s="10"/>
      <c r="F529" s="10"/>
      <c r="G529" s="10"/>
      <c r="H529" s="53"/>
      <c r="I529" s="54"/>
    </row>
    <row r="530" spans="1:10" x14ac:dyDescent="0.35">
      <c r="A530" s="9">
        <v>45261</v>
      </c>
      <c r="B530" s="10">
        <v>862</v>
      </c>
      <c r="C530" s="11"/>
      <c r="D530" s="11" t="s">
        <v>224</v>
      </c>
      <c r="E530" s="10">
        <v>30</v>
      </c>
      <c r="F530" s="10" t="s">
        <v>14</v>
      </c>
      <c r="G530" s="10" t="s">
        <v>200</v>
      </c>
      <c r="H530" s="53">
        <v>48000</v>
      </c>
      <c r="I530" s="73">
        <f>H530*E530</f>
        <v>1440000</v>
      </c>
      <c r="J530" s="83" t="s">
        <v>612</v>
      </c>
    </row>
    <row r="531" spans="1:10" x14ac:dyDescent="0.35">
      <c r="A531" s="9"/>
      <c r="B531" s="10"/>
      <c r="C531" s="11"/>
      <c r="D531" s="11" t="s">
        <v>226</v>
      </c>
      <c r="E531" s="10"/>
      <c r="F531" s="10"/>
      <c r="G531" s="10"/>
      <c r="H531" s="53"/>
      <c r="I531" s="54"/>
    </row>
    <row r="532" spans="1:10" x14ac:dyDescent="0.35">
      <c r="A532" s="8"/>
      <c r="B532" s="14"/>
      <c r="C532" s="8"/>
      <c r="D532" s="8"/>
      <c r="E532" s="14"/>
      <c r="F532" s="14"/>
      <c r="G532" s="14"/>
      <c r="H532" s="8"/>
      <c r="I532" s="8"/>
    </row>
    <row r="533" spans="1:10" x14ac:dyDescent="0.35">
      <c r="A533" s="9">
        <v>45261</v>
      </c>
      <c r="B533" s="10">
        <v>863</v>
      </c>
      <c r="C533" s="11"/>
      <c r="D533" s="11" t="s">
        <v>224</v>
      </c>
      <c r="E533" s="10">
        <f>12+18</f>
        <v>30</v>
      </c>
      <c r="F533" s="10" t="s">
        <v>14</v>
      </c>
      <c r="G533" s="10" t="s">
        <v>200</v>
      </c>
      <c r="H533" s="53">
        <v>48000</v>
      </c>
      <c r="I533" s="73">
        <f>H533*E533</f>
        <v>1440000</v>
      </c>
      <c r="J533" s="83" t="s">
        <v>612</v>
      </c>
    </row>
    <row r="534" spans="1:10" x14ac:dyDescent="0.35">
      <c r="A534" s="9"/>
      <c r="B534" s="10"/>
      <c r="C534" s="11"/>
      <c r="D534" s="11" t="s">
        <v>227</v>
      </c>
      <c r="E534" s="10"/>
      <c r="F534" s="10"/>
      <c r="G534" s="10"/>
      <c r="H534" s="53"/>
      <c r="I534" s="54"/>
      <c r="J534" s="83"/>
    </row>
    <row r="535" spans="1:10" x14ac:dyDescent="0.35">
      <c r="A535" s="8"/>
      <c r="B535" s="14"/>
      <c r="C535" s="8"/>
      <c r="D535" s="8"/>
      <c r="E535" s="14"/>
      <c r="F535" s="14"/>
      <c r="G535" s="14"/>
      <c r="H535" s="8"/>
      <c r="I535" s="8"/>
    </row>
    <row r="536" spans="1:10" x14ac:dyDescent="0.35">
      <c r="A536" s="9">
        <v>45261</v>
      </c>
      <c r="B536" s="10">
        <v>864</v>
      </c>
      <c r="C536" s="11"/>
      <c r="D536" s="11" t="s">
        <v>228</v>
      </c>
      <c r="E536" s="10">
        <v>9</v>
      </c>
      <c r="F536" s="10" t="s">
        <v>14</v>
      </c>
      <c r="G536" s="10" t="s">
        <v>200</v>
      </c>
      <c r="H536" s="53">
        <v>225000</v>
      </c>
      <c r="I536" s="73">
        <f>H536*E536</f>
        <v>2025000</v>
      </c>
      <c r="J536" t="s">
        <v>612</v>
      </c>
    </row>
    <row r="537" spans="1:10" x14ac:dyDescent="0.35">
      <c r="A537" s="9"/>
      <c r="B537" s="10"/>
      <c r="C537" s="11"/>
      <c r="D537" s="11" t="s">
        <v>227</v>
      </c>
      <c r="E537" s="10"/>
      <c r="F537" s="10"/>
      <c r="G537" s="10"/>
      <c r="H537" s="53"/>
      <c r="I537" s="54"/>
    </row>
    <row r="538" spans="1:10" x14ac:dyDescent="0.35">
      <c r="A538" s="8"/>
      <c r="B538" s="14"/>
      <c r="C538" s="8"/>
      <c r="D538" s="8"/>
      <c r="E538" s="14"/>
      <c r="F538" s="14"/>
      <c r="G538" s="14"/>
      <c r="H538" s="8"/>
      <c r="I538" s="8"/>
      <c r="J538" s="83"/>
    </row>
    <row r="539" spans="1:10" x14ac:dyDescent="0.35">
      <c r="A539" s="9">
        <v>45261</v>
      </c>
      <c r="B539" s="10">
        <v>865</v>
      </c>
      <c r="C539" s="11"/>
      <c r="D539" s="11" t="s">
        <v>196</v>
      </c>
      <c r="E539" s="10">
        <v>5</v>
      </c>
      <c r="F539" s="10" t="s">
        <v>14</v>
      </c>
      <c r="G539" s="10" t="s">
        <v>13</v>
      </c>
      <c r="H539" s="53">
        <v>150000</v>
      </c>
      <c r="I539" s="73">
        <f>H539*E539</f>
        <v>750000</v>
      </c>
      <c r="J539" t="s">
        <v>612</v>
      </c>
    </row>
    <row r="540" spans="1:10" x14ac:dyDescent="0.35">
      <c r="A540" s="11"/>
      <c r="B540" s="10"/>
      <c r="C540" s="11"/>
      <c r="D540" s="11"/>
      <c r="E540" s="10"/>
      <c r="F540" s="10"/>
      <c r="G540" s="10"/>
      <c r="H540" s="53"/>
      <c r="I540" s="54"/>
    </row>
    <row r="541" spans="1:10" x14ac:dyDescent="0.35">
      <c r="A541" s="9">
        <v>45261</v>
      </c>
      <c r="B541" s="10">
        <v>866</v>
      </c>
      <c r="C541" s="8"/>
      <c r="D541" s="11" t="s">
        <v>547</v>
      </c>
      <c r="E541" s="10">
        <v>50</v>
      </c>
      <c r="F541" s="10" t="s">
        <v>14</v>
      </c>
      <c r="G541" s="10" t="s">
        <v>200</v>
      </c>
      <c r="H541" s="53">
        <f>75000-(75000*25%)</f>
        <v>56250</v>
      </c>
      <c r="I541" s="110">
        <f>H541*E541</f>
        <v>2812500</v>
      </c>
      <c r="J541" t="s">
        <v>612</v>
      </c>
    </row>
    <row r="542" spans="1:10" x14ac:dyDescent="0.35">
      <c r="A542" s="8"/>
      <c r="B542" s="14"/>
      <c r="C542" s="8"/>
      <c r="D542" s="17" t="s">
        <v>548</v>
      </c>
      <c r="E542" s="14"/>
      <c r="F542" s="14"/>
      <c r="G542" s="14"/>
      <c r="H542" s="8"/>
      <c r="I542" s="8"/>
    </row>
    <row r="543" spans="1:10" x14ac:dyDescent="0.35">
      <c r="A543" s="8"/>
      <c r="B543" s="14"/>
      <c r="C543" s="8"/>
      <c r="D543" s="8"/>
      <c r="E543" s="14"/>
      <c r="F543" s="14"/>
      <c r="G543" s="14"/>
      <c r="H543" s="8"/>
      <c r="I543" s="8"/>
    </row>
    <row r="544" spans="1:10" x14ac:dyDescent="0.35">
      <c r="A544" s="9">
        <v>45261</v>
      </c>
      <c r="B544" s="10">
        <v>867</v>
      </c>
      <c r="C544" s="8"/>
      <c r="D544" s="11" t="s">
        <v>546</v>
      </c>
      <c r="E544" s="10">
        <v>3</v>
      </c>
      <c r="F544" s="10" t="s">
        <v>14</v>
      </c>
      <c r="G544" s="10" t="s">
        <v>200</v>
      </c>
      <c r="H544" s="53">
        <v>2275000</v>
      </c>
      <c r="I544" s="110">
        <f>H544*E544</f>
        <v>6825000</v>
      </c>
      <c r="J544" t="s">
        <v>612</v>
      </c>
    </row>
    <row r="545" spans="1:10" x14ac:dyDescent="0.35">
      <c r="A545" s="11"/>
      <c r="B545" s="10"/>
      <c r="C545" s="11"/>
      <c r="D545" s="11"/>
      <c r="E545" s="10"/>
      <c r="F545" s="10"/>
      <c r="G545" s="10"/>
      <c r="H545" s="11"/>
      <c r="I545" s="56"/>
    </row>
    <row r="546" spans="1:10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3"/>
    </row>
    <row r="547" spans="1:10" x14ac:dyDescent="0.35">
      <c r="A547" s="9"/>
      <c r="B547" s="10"/>
      <c r="C547" s="11"/>
      <c r="D547" s="11"/>
      <c r="E547" s="10"/>
      <c r="F547" s="145" t="s">
        <v>611</v>
      </c>
      <c r="G547" s="146"/>
      <c r="H547" s="147"/>
      <c r="I547" s="95">
        <f>I4+I8+I73+I77+I81+I84+I88+I90+I99+I100+I102+I108+I118+I119+I126+I132+I133+I144+I147+I151+I163+I170+I173+I177+I195+I219+I225+I226+I228+I232+I236+I239+I245+I256+I257+I261+I264+I265+I269+I270+I273+I277+I278+I287+I288+I292+I293+I298+I328+I343+I346+I348+I355+I377+I378+I384+I393+I394+I399+I401+I405+I412+I426+I453+I456+I461+I464+I465+I467+I472+I473+I478+I481+I486+I495+I503+I507+I510+I511+I514+I517+I520+I526+I527+I530+I533+I536+I539+I541+I544+I168+I335+I322+I316+I308</f>
        <v>388207218.04000008</v>
      </c>
    </row>
    <row r="548" spans="1:10" x14ac:dyDescent="0.35">
      <c r="A548" s="11"/>
      <c r="B548" s="10"/>
      <c r="C548" s="11"/>
      <c r="D548" s="11"/>
      <c r="E548" s="10"/>
      <c r="F548" s="145" t="s">
        <v>549</v>
      </c>
      <c r="G548" s="146"/>
      <c r="H548" s="147"/>
      <c r="I548" s="96">
        <f>I574</f>
        <v>84747000</v>
      </c>
    </row>
    <row r="549" spans="1:10" x14ac:dyDescent="0.35">
      <c r="A549" s="8"/>
      <c r="B549" s="8"/>
      <c r="C549" s="8"/>
      <c r="D549" s="8"/>
      <c r="E549" s="8"/>
      <c r="F549" s="8"/>
      <c r="G549" s="8"/>
      <c r="H549" s="8"/>
      <c r="I549" s="85">
        <f>SUM(I547:I548)</f>
        <v>472954218.04000008</v>
      </c>
      <c r="J549" s="83">
        <v>476119662</v>
      </c>
    </row>
    <row r="550" spans="1:10" x14ac:dyDescent="0.35">
      <c r="A550" s="9"/>
      <c r="B550" s="10"/>
      <c r="C550" s="11"/>
      <c r="D550" s="11"/>
      <c r="E550" s="10"/>
      <c r="F550" s="10"/>
      <c r="G550" s="10"/>
      <c r="H550" s="53"/>
      <c r="I550" s="53"/>
      <c r="J550" s="94">
        <f>I549-J549</f>
        <v>-3165443.9599999189</v>
      </c>
    </row>
    <row r="551" spans="1:10" ht="15.5" x14ac:dyDescent="0.35">
      <c r="A551" s="1" t="s">
        <v>194</v>
      </c>
    </row>
    <row r="552" spans="1:10" ht="15.5" x14ac:dyDescent="0.35">
      <c r="A552" s="1" t="s">
        <v>31</v>
      </c>
    </row>
    <row r="553" spans="1:10" ht="23" x14ac:dyDescent="0.35">
      <c r="A553" s="3" t="s">
        <v>1</v>
      </c>
      <c r="B553" s="4" t="s">
        <v>2</v>
      </c>
      <c r="C553" s="4" t="s">
        <v>3</v>
      </c>
      <c r="D553" s="4" t="s">
        <v>4</v>
      </c>
      <c r="E553" s="5" t="s">
        <v>5</v>
      </c>
      <c r="F553" s="5" t="s">
        <v>6</v>
      </c>
      <c r="G553" s="5" t="s">
        <v>7</v>
      </c>
      <c r="H553" s="6" t="s">
        <v>8</v>
      </c>
      <c r="I553" s="6" t="s">
        <v>9</v>
      </c>
    </row>
    <row r="554" spans="1:10" x14ac:dyDescent="0.35">
      <c r="A554" s="9">
        <v>45201</v>
      </c>
      <c r="B554" s="10">
        <v>642</v>
      </c>
      <c r="C554" s="11" t="s">
        <v>498</v>
      </c>
      <c r="D554" s="11" t="s">
        <v>501</v>
      </c>
      <c r="E554" s="10">
        <v>17</v>
      </c>
      <c r="F554" s="10" t="s">
        <v>502</v>
      </c>
      <c r="G554" s="10" t="s">
        <v>24</v>
      </c>
      <c r="H554" s="53">
        <v>100000</v>
      </c>
      <c r="I554" s="73">
        <f t="shared" ref="I554" si="23">H554*E554</f>
        <v>1700000</v>
      </c>
      <c r="J554" t="s">
        <v>612</v>
      </c>
    </row>
    <row r="555" spans="1:10" x14ac:dyDescent="0.35">
      <c r="A555" s="17"/>
      <c r="B555" s="16"/>
      <c r="C555" s="17"/>
      <c r="D555" s="17"/>
      <c r="E555" s="16"/>
      <c r="F555" s="16"/>
      <c r="G555" s="16"/>
      <c r="H555" s="27"/>
      <c r="I555" s="27"/>
    </row>
    <row r="556" spans="1:10" x14ac:dyDescent="0.35">
      <c r="A556" s="9">
        <v>45239</v>
      </c>
      <c r="B556" s="10">
        <v>686</v>
      </c>
      <c r="C556" s="11" t="s">
        <v>11</v>
      </c>
      <c r="D556" s="11" t="s">
        <v>237</v>
      </c>
      <c r="E556" s="10">
        <v>50</v>
      </c>
      <c r="F556" s="10" t="s">
        <v>20</v>
      </c>
      <c r="G556" s="10" t="s">
        <v>24</v>
      </c>
      <c r="H556" s="53">
        <v>54500</v>
      </c>
      <c r="I556" s="53">
        <f>H556*E556</f>
        <v>2725000</v>
      </c>
      <c r="J556" t="s">
        <v>612</v>
      </c>
    </row>
    <row r="557" spans="1:10" x14ac:dyDescent="0.35">
      <c r="A557" s="11"/>
      <c r="B557" s="10"/>
      <c r="C557" s="11"/>
      <c r="D557" s="11" t="s">
        <v>454</v>
      </c>
      <c r="E557" s="10">
        <v>30</v>
      </c>
      <c r="F557" s="10" t="s">
        <v>20</v>
      </c>
      <c r="G557" s="10" t="s">
        <v>24</v>
      </c>
      <c r="H557" s="53">
        <v>55000</v>
      </c>
      <c r="I557" s="53">
        <f t="shared" ref="I557:I564" si="24">H557*E557</f>
        <v>1650000</v>
      </c>
      <c r="J557" t="s">
        <v>612</v>
      </c>
    </row>
    <row r="558" spans="1:10" x14ac:dyDescent="0.35">
      <c r="A558" s="11"/>
      <c r="B558" s="10"/>
      <c r="C558" s="11"/>
      <c r="D558" s="11" t="s">
        <v>455</v>
      </c>
      <c r="E558" s="10">
        <v>10</v>
      </c>
      <c r="F558" s="10" t="s">
        <v>20</v>
      </c>
      <c r="G558" s="10" t="s">
        <v>24</v>
      </c>
      <c r="H558" s="53">
        <v>55000</v>
      </c>
      <c r="I558" s="53">
        <f t="shared" si="24"/>
        <v>550000</v>
      </c>
      <c r="J558" t="s">
        <v>612</v>
      </c>
    </row>
    <row r="559" spans="1:10" x14ac:dyDescent="0.35">
      <c r="A559" s="11"/>
      <c r="B559" s="10"/>
      <c r="C559" s="11"/>
      <c r="D559" s="11" t="s">
        <v>117</v>
      </c>
      <c r="E559" s="10">
        <v>10</v>
      </c>
      <c r="F559" s="10" t="s">
        <v>20</v>
      </c>
      <c r="G559" s="10" t="s">
        <v>24</v>
      </c>
      <c r="H559" s="53">
        <v>50000</v>
      </c>
      <c r="I559" s="53">
        <f t="shared" si="24"/>
        <v>500000</v>
      </c>
      <c r="J559" t="s">
        <v>612</v>
      </c>
    </row>
    <row r="560" spans="1:10" x14ac:dyDescent="0.35">
      <c r="A560" s="11"/>
      <c r="B560" s="10"/>
      <c r="C560" s="11"/>
      <c r="D560" s="11" t="s">
        <v>456</v>
      </c>
      <c r="E560" s="10">
        <f>6*12</f>
        <v>72</v>
      </c>
      <c r="F560" s="10" t="s">
        <v>14</v>
      </c>
      <c r="G560" s="10" t="s">
        <v>13</v>
      </c>
      <c r="H560" s="60">
        <v>2250</v>
      </c>
      <c r="I560" s="53">
        <f t="shared" si="24"/>
        <v>162000</v>
      </c>
      <c r="J560" t="s">
        <v>612</v>
      </c>
    </row>
    <row r="561" spans="1:10" x14ac:dyDescent="0.35">
      <c r="A561" s="11"/>
      <c r="B561" s="10"/>
      <c r="C561" s="11"/>
      <c r="D561" s="11" t="s">
        <v>457</v>
      </c>
      <c r="E561" s="10">
        <v>72</v>
      </c>
      <c r="F561" s="10" t="s">
        <v>14</v>
      </c>
      <c r="G561" s="10" t="s">
        <v>13</v>
      </c>
      <c r="H561" s="60">
        <v>2250</v>
      </c>
      <c r="I561" s="53">
        <f t="shared" si="24"/>
        <v>162000</v>
      </c>
      <c r="J561" t="s">
        <v>612</v>
      </c>
    </row>
    <row r="562" spans="1:10" x14ac:dyDescent="0.35">
      <c r="A562" s="11"/>
      <c r="B562" s="10"/>
      <c r="C562" s="11"/>
      <c r="D562" s="11" t="s">
        <v>458</v>
      </c>
      <c r="E562" s="10">
        <v>72</v>
      </c>
      <c r="F562" s="10" t="s">
        <v>14</v>
      </c>
      <c r="G562" s="10" t="s">
        <v>13</v>
      </c>
      <c r="H562" s="60">
        <v>2250</v>
      </c>
      <c r="I562" s="53">
        <f t="shared" si="24"/>
        <v>162000</v>
      </c>
      <c r="J562" t="s">
        <v>612</v>
      </c>
    </row>
    <row r="563" spans="1:10" x14ac:dyDescent="0.35">
      <c r="A563" s="11"/>
      <c r="B563" s="10"/>
      <c r="C563" s="11"/>
      <c r="D563" s="11" t="s">
        <v>459</v>
      </c>
      <c r="E563" s="10">
        <v>72</v>
      </c>
      <c r="F563" s="10" t="s">
        <v>14</v>
      </c>
      <c r="G563" s="10" t="s">
        <v>13</v>
      </c>
      <c r="H563" s="60">
        <v>2250</v>
      </c>
      <c r="I563" s="53">
        <f t="shared" si="24"/>
        <v>162000</v>
      </c>
      <c r="J563" t="s">
        <v>612</v>
      </c>
    </row>
    <row r="564" spans="1:10" x14ac:dyDescent="0.35">
      <c r="A564" s="11"/>
      <c r="B564" s="10"/>
      <c r="C564" s="11"/>
      <c r="D564" s="11" t="s">
        <v>460</v>
      </c>
      <c r="E564" s="10">
        <v>2</v>
      </c>
      <c r="F564" s="10" t="s">
        <v>14</v>
      </c>
      <c r="G564" s="10" t="s">
        <v>13</v>
      </c>
      <c r="H564" s="53">
        <v>162000</v>
      </c>
      <c r="I564" s="53">
        <f t="shared" si="24"/>
        <v>324000</v>
      </c>
      <c r="J564" t="s">
        <v>612</v>
      </c>
    </row>
    <row r="565" spans="1:10" x14ac:dyDescent="0.35">
      <c r="A565" s="9"/>
      <c r="B565" s="10"/>
      <c r="C565" s="11"/>
      <c r="D565" s="11"/>
      <c r="E565" s="19"/>
      <c r="F565" s="10"/>
      <c r="G565" s="10"/>
      <c r="H565" s="18"/>
      <c r="I565" s="105">
        <f>SUM(I556:I564)</f>
        <v>6397000</v>
      </c>
    </row>
    <row r="566" spans="1:10" x14ac:dyDescent="0.35">
      <c r="A566" s="9">
        <v>45287</v>
      </c>
      <c r="B566" s="10">
        <v>842</v>
      </c>
      <c r="C566" s="11" t="s">
        <v>11</v>
      </c>
      <c r="D566" s="11" t="s">
        <v>236</v>
      </c>
      <c r="E566" s="10">
        <v>20</v>
      </c>
      <c r="F566" s="10" t="s">
        <v>21</v>
      </c>
      <c r="G566" s="10" t="s">
        <v>24</v>
      </c>
      <c r="H566" s="53">
        <v>30000</v>
      </c>
      <c r="I566" s="53">
        <f>H566*E566</f>
        <v>600000</v>
      </c>
      <c r="J566" t="s">
        <v>612</v>
      </c>
    </row>
    <row r="567" spans="1:10" x14ac:dyDescent="0.35">
      <c r="A567" s="11"/>
      <c r="B567" s="10"/>
      <c r="C567" s="11"/>
      <c r="D567" s="11" t="s">
        <v>27</v>
      </c>
      <c r="E567" s="10">
        <v>20</v>
      </c>
      <c r="F567" s="10" t="s">
        <v>20</v>
      </c>
      <c r="G567" s="10" t="s">
        <v>24</v>
      </c>
      <c r="H567" s="53">
        <v>55000</v>
      </c>
      <c r="I567" s="53">
        <f>H567*E567</f>
        <v>1100000</v>
      </c>
      <c r="J567" t="s">
        <v>612</v>
      </c>
    </row>
    <row r="568" spans="1:10" x14ac:dyDescent="0.35">
      <c r="A568" s="9"/>
      <c r="B568" s="10"/>
      <c r="C568" s="11"/>
      <c r="D568" s="11" t="s">
        <v>237</v>
      </c>
      <c r="E568" s="10">
        <v>20</v>
      </c>
      <c r="F568" s="10" t="s">
        <v>20</v>
      </c>
      <c r="G568" s="10" t="s">
        <v>24</v>
      </c>
      <c r="H568" s="53">
        <v>54500</v>
      </c>
      <c r="I568" s="53">
        <f>H568*E568</f>
        <v>1090000</v>
      </c>
      <c r="J568" t="s">
        <v>612</v>
      </c>
    </row>
    <row r="569" spans="1:10" x14ac:dyDescent="0.35">
      <c r="A569" s="11"/>
      <c r="B569" s="10"/>
      <c r="C569" s="11"/>
      <c r="D569" s="11"/>
      <c r="E569" s="19"/>
      <c r="F569" s="10"/>
      <c r="G569" s="10"/>
      <c r="H569" s="18"/>
      <c r="I569" s="106">
        <f>SUM(I566:I568)</f>
        <v>2790000</v>
      </c>
    </row>
    <row r="570" spans="1:10" x14ac:dyDescent="0.35">
      <c r="A570" s="9">
        <v>45287</v>
      </c>
      <c r="B570" s="10">
        <v>858</v>
      </c>
      <c r="C570" s="11" t="s">
        <v>212</v>
      </c>
      <c r="D570" s="11" t="s">
        <v>213</v>
      </c>
      <c r="E570" s="19">
        <v>550</v>
      </c>
      <c r="F570" s="10" t="s">
        <v>12</v>
      </c>
      <c r="G570" s="10" t="s">
        <v>24</v>
      </c>
      <c r="H570" s="58">
        <v>90000</v>
      </c>
      <c r="I570" s="58">
        <f>H570*E570</f>
        <v>49500000</v>
      </c>
      <c r="J570" t="s">
        <v>612</v>
      </c>
    </row>
    <row r="571" spans="1:10" x14ac:dyDescent="0.35">
      <c r="A571" s="11"/>
      <c r="B571" s="10"/>
      <c r="C571" s="11"/>
      <c r="D571" s="11" t="s">
        <v>214</v>
      </c>
      <c r="E571" s="19">
        <v>450</v>
      </c>
      <c r="F571" s="10" t="s">
        <v>14</v>
      </c>
      <c r="G571" s="10" t="s">
        <v>24</v>
      </c>
      <c r="H571" s="58">
        <v>33000</v>
      </c>
      <c r="I571" s="58">
        <f>H571*E571</f>
        <v>14850000</v>
      </c>
      <c r="J571" t="s">
        <v>612</v>
      </c>
    </row>
    <row r="572" spans="1:10" x14ac:dyDescent="0.35">
      <c r="A572" s="11"/>
      <c r="B572" s="10"/>
      <c r="C572" s="11"/>
      <c r="D572" s="11" t="s">
        <v>215</v>
      </c>
      <c r="E572" s="19">
        <v>300</v>
      </c>
      <c r="F572" s="10" t="s">
        <v>14</v>
      </c>
      <c r="G572" s="10" t="s">
        <v>24</v>
      </c>
      <c r="H572" s="58">
        <v>31700</v>
      </c>
      <c r="I572" s="58">
        <f>H572*E572</f>
        <v>9510000</v>
      </c>
      <c r="J572" s="52" t="s">
        <v>612</v>
      </c>
    </row>
    <row r="573" spans="1:10" x14ac:dyDescent="0.35">
      <c r="I573" s="107">
        <f>SUM(I570:I572)</f>
        <v>73860000</v>
      </c>
    </row>
    <row r="574" spans="1:10" x14ac:dyDescent="0.35">
      <c r="E574" s="148" t="s">
        <v>549</v>
      </c>
      <c r="F574" s="148"/>
      <c r="G574" s="148"/>
      <c r="H574" s="148"/>
      <c r="I574" s="85">
        <f>I554+I565+I569+I573</f>
        <v>84747000</v>
      </c>
      <c r="J574" s="51"/>
    </row>
    <row r="575" spans="1:10" x14ac:dyDescent="0.35">
      <c r="A575" s="11"/>
      <c r="B575" s="10"/>
      <c r="C575" s="11"/>
      <c r="D575" s="11"/>
      <c r="E575" s="10"/>
      <c r="F575" s="10"/>
      <c r="G575" s="10"/>
      <c r="H575" s="60"/>
      <c r="I575" s="60"/>
    </row>
    <row r="576" spans="1:10" x14ac:dyDescent="0.35">
      <c r="A576" s="11"/>
      <c r="B576" s="10"/>
      <c r="C576" s="11"/>
      <c r="D576" s="11"/>
      <c r="E576" s="10"/>
      <c r="F576" s="10"/>
      <c r="G576" s="10"/>
      <c r="H576" s="60"/>
      <c r="I576" s="64"/>
    </row>
    <row r="577" spans="1:9" x14ac:dyDescent="0.35">
      <c r="A577" s="8"/>
      <c r="B577" s="8"/>
      <c r="C577" s="8"/>
      <c r="D577" s="8"/>
      <c r="E577" s="8"/>
      <c r="F577" s="8"/>
      <c r="G577" s="8"/>
      <c r="H577" s="8"/>
      <c r="I577" s="8"/>
    </row>
    <row r="578" spans="1:9" x14ac:dyDescent="0.35">
      <c r="A578" s="9"/>
      <c r="B578" s="10"/>
      <c r="C578" s="11"/>
      <c r="D578" s="11"/>
      <c r="E578" s="10"/>
      <c r="F578" s="10"/>
      <c r="G578" s="10"/>
      <c r="H578" s="60"/>
      <c r="I578" s="60"/>
    </row>
    <row r="579" spans="1:9" x14ac:dyDescent="0.35">
      <c r="A579" s="11"/>
      <c r="B579" s="10"/>
      <c r="C579" s="11"/>
      <c r="D579" s="11"/>
      <c r="E579" s="10"/>
      <c r="F579" s="10"/>
      <c r="G579" s="10"/>
      <c r="H579" s="60"/>
      <c r="I579" s="64"/>
    </row>
    <row r="580" spans="1:9" x14ac:dyDescent="0.35">
      <c r="A580" s="8"/>
      <c r="B580" s="8"/>
      <c r="C580" s="8"/>
      <c r="D580" s="8"/>
      <c r="E580" s="8"/>
      <c r="F580" s="8"/>
      <c r="G580" s="8"/>
      <c r="H580" s="8"/>
      <c r="I580" s="8"/>
    </row>
    <row r="581" spans="1:9" x14ac:dyDescent="0.35">
      <c r="A581" s="9"/>
      <c r="B581" s="10"/>
      <c r="C581" s="11"/>
      <c r="D581" s="11"/>
      <c r="E581" s="10"/>
      <c r="F581" s="10"/>
      <c r="G581" s="10"/>
      <c r="H581" s="53"/>
      <c r="I581" s="53"/>
    </row>
    <row r="582" spans="1:9" x14ac:dyDescent="0.35">
      <c r="A582" s="11"/>
      <c r="B582" s="10"/>
      <c r="C582" s="11"/>
      <c r="D582" s="11"/>
      <c r="E582" s="10"/>
      <c r="F582" s="10"/>
      <c r="G582" s="10"/>
      <c r="H582" s="53"/>
      <c r="I582" s="54"/>
    </row>
    <row r="583" spans="1:9" x14ac:dyDescent="0.35">
      <c r="A583" s="8"/>
      <c r="B583" s="8"/>
      <c r="C583" s="8"/>
      <c r="D583" s="8"/>
      <c r="E583" s="8"/>
      <c r="F583" s="8"/>
      <c r="G583" s="8"/>
      <c r="H583" s="8"/>
      <c r="I583" s="8"/>
    </row>
    <row r="584" spans="1:9" x14ac:dyDescent="0.35">
      <c r="A584" s="9"/>
      <c r="B584" s="10"/>
      <c r="C584" s="11"/>
      <c r="D584" s="11"/>
      <c r="E584" s="10"/>
      <c r="F584" s="10"/>
      <c r="G584" s="10"/>
      <c r="H584" s="53"/>
      <c r="I584" s="53"/>
    </row>
    <row r="585" spans="1:9" x14ac:dyDescent="0.35">
      <c r="A585" s="11"/>
      <c r="B585" s="10"/>
      <c r="C585" s="11"/>
      <c r="D585" s="11"/>
      <c r="E585" s="10"/>
      <c r="F585" s="10"/>
      <c r="G585" s="10"/>
      <c r="H585" s="53"/>
      <c r="I585" s="54"/>
    </row>
    <row r="586" spans="1:9" x14ac:dyDescent="0.35">
      <c r="A586" s="8"/>
      <c r="B586" s="8"/>
      <c r="C586" s="8"/>
      <c r="D586" s="8"/>
      <c r="E586" s="8"/>
      <c r="F586" s="8"/>
      <c r="G586" s="8"/>
      <c r="H586" s="8"/>
      <c r="I586" s="8"/>
    </row>
    <row r="587" spans="1:9" x14ac:dyDescent="0.35">
      <c r="A587" s="9"/>
      <c r="B587" s="10"/>
      <c r="C587" s="11"/>
      <c r="D587" s="11"/>
      <c r="E587" s="10"/>
      <c r="F587" s="10"/>
      <c r="G587" s="10"/>
      <c r="H587" s="53"/>
      <c r="I587" s="53"/>
    </row>
    <row r="588" spans="1:9" x14ac:dyDescent="0.35">
      <c r="A588" s="11"/>
      <c r="B588" s="10"/>
      <c r="C588" s="11"/>
      <c r="D588" s="11"/>
      <c r="E588" s="10"/>
      <c r="F588" s="10"/>
      <c r="G588" s="10"/>
      <c r="H588" s="53"/>
      <c r="I588" s="54"/>
    </row>
    <row r="589" spans="1:9" x14ac:dyDescent="0.35">
      <c r="A589" s="8"/>
      <c r="B589" s="8"/>
      <c r="C589" s="8"/>
      <c r="D589" s="8"/>
      <c r="E589" s="8"/>
      <c r="F589" s="8"/>
      <c r="G589" s="8"/>
      <c r="H589" s="8"/>
      <c r="I589" s="8"/>
    </row>
    <row r="590" spans="1:9" x14ac:dyDescent="0.35">
      <c r="A590" s="9"/>
      <c r="B590" s="10"/>
      <c r="C590" s="11"/>
      <c r="D590" s="11"/>
      <c r="E590" s="10"/>
      <c r="F590" s="10"/>
      <c r="G590" s="10"/>
      <c r="H590" s="53"/>
      <c r="I590" s="53"/>
    </row>
    <row r="591" spans="1:9" x14ac:dyDescent="0.35">
      <c r="A591" s="11"/>
      <c r="B591" s="10"/>
      <c r="C591" s="11"/>
      <c r="D591" s="11"/>
      <c r="E591" s="10"/>
      <c r="F591" s="10"/>
      <c r="G591" s="10"/>
      <c r="H591" s="53"/>
      <c r="I591" s="53"/>
    </row>
    <row r="592" spans="1:9" x14ac:dyDescent="0.35">
      <c r="A592" s="11"/>
      <c r="B592" s="10"/>
      <c r="C592" s="11"/>
      <c r="D592" s="11"/>
      <c r="E592" s="10"/>
      <c r="F592" s="10"/>
      <c r="G592" s="10"/>
      <c r="H592" s="53"/>
      <c r="I592" s="54"/>
    </row>
    <row r="593" spans="1:9" x14ac:dyDescent="0.35">
      <c r="A593" s="8"/>
      <c r="B593" s="8"/>
      <c r="C593" s="8"/>
      <c r="D593" s="8"/>
      <c r="E593" s="8"/>
      <c r="F593" s="8"/>
      <c r="G593" s="8"/>
      <c r="H593" s="8"/>
      <c r="I593" s="8"/>
    </row>
    <row r="594" spans="1:9" x14ac:dyDescent="0.35">
      <c r="A594" s="9"/>
      <c r="B594" s="10"/>
      <c r="C594" s="11"/>
      <c r="D594" s="11"/>
      <c r="E594" s="10"/>
      <c r="F594" s="10"/>
      <c r="G594" s="10"/>
      <c r="H594" s="53"/>
      <c r="I594" s="53"/>
    </row>
    <row r="595" spans="1:9" x14ac:dyDescent="0.35">
      <c r="A595" s="11"/>
      <c r="B595" s="10"/>
      <c r="C595" s="11"/>
      <c r="D595" s="11"/>
      <c r="E595" s="10"/>
      <c r="F595" s="10"/>
      <c r="G595" s="10"/>
      <c r="H595" s="53"/>
      <c r="I595" s="53"/>
    </row>
    <row r="596" spans="1:9" x14ac:dyDescent="0.35">
      <c r="A596" s="11"/>
      <c r="B596" s="10"/>
      <c r="C596" s="11"/>
      <c r="D596" s="11"/>
      <c r="E596" s="10"/>
      <c r="F596" s="10"/>
      <c r="G596" s="10"/>
      <c r="H596" s="53"/>
      <c r="I596" s="54"/>
    </row>
    <row r="597" spans="1:9" x14ac:dyDescent="0.35">
      <c r="A597" s="8"/>
      <c r="B597" s="8"/>
      <c r="C597" s="8"/>
      <c r="D597" s="8"/>
      <c r="E597" s="8"/>
      <c r="F597" s="8"/>
      <c r="G597" s="8"/>
      <c r="H597" s="8"/>
      <c r="I597" s="8"/>
    </row>
    <row r="598" spans="1:9" x14ac:dyDescent="0.35">
      <c r="A598" s="9"/>
      <c r="B598" s="10"/>
      <c r="C598" s="11"/>
      <c r="D598" s="11"/>
      <c r="E598" s="10"/>
      <c r="F598" s="10"/>
      <c r="G598" s="10"/>
      <c r="H598" s="53"/>
      <c r="I598" s="78"/>
    </row>
    <row r="599" spans="1:9" x14ac:dyDescent="0.35">
      <c r="A599" s="11"/>
      <c r="B599" s="10"/>
      <c r="C599" s="11"/>
      <c r="D599" s="11"/>
      <c r="E599" s="10"/>
      <c r="F599" s="10"/>
      <c r="G599" s="10"/>
      <c r="H599" s="53"/>
      <c r="I599" s="78"/>
    </row>
    <row r="600" spans="1:9" x14ac:dyDescent="0.35">
      <c r="A600" s="11"/>
      <c r="B600" s="10"/>
      <c r="C600" s="11"/>
      <c r="D600" s="11"/>
      <c r="E600" s="10"/>
      <c r="F600" s="10"/>
      <c r="G600" s="10"/>
      <c r="H600" s="53"/>
      <c r="I600" s="78"/>
    </row>
    <row r="601" spans="1:9" x14ac:dyDescent="0.35">
      <c r="A601" s="11"/>
      <c r="B601" s="10"/>
      <c r="C601" s="11"/>
      <c r="D601" s="11"/>
      <c r="E601" s="10"/>
      <c r="F601" s="10"/>
      <c r="G601" s="10"/>
      <c r="H601" s="53"/>
      <c r="I601" s="78"/>
    </row>
    <row r="602" spans="1:9" x14ac:dyDescent="0.35">
      <c r="A602" s="11"/>
      <c r="B602" s="10"/>
      <c r="C602" s="11"/>
      <c r="D602" s="11"/>
      <c r="E602" s="10"/>
      <c r="F602" s="10"/>
      <c r="G602" s="10"/>
      <c r="H602" s="53"/>
      <c r="I602" s="78"/>
    </row>
    <row r="603" spans="1:9" x14ac:dyDescent="0.35">
      <c r="A603" s="11"/>
      <c r="B603" s="10"/>
      <c r="C603" s="11"/>
      <c r="D603" s="11"/>
      <c r="E603" s="10"/>
      <c r="F603" s="10"/>
      <c r="G603" s="10"/>
      <c r="H603" s="53"/>
      <c r="I603" s="78"/>
    </row>
    <row r="604" spans="1:9" x14ac:dyDescent="0.35">
      <c r="A604" s="11"/>
      <c r="B604" s="10"/>
      <c r="C604" s="11"/>
      <c r="D604" s="11"/>
      <c r="E604" s="10"/>
      <c r="F604" s="10"/>
      <c r="G604" s="10"/>
      <c r="H604" s="53"/>
      <c r="I604" s="79"/>
    </row>
    <row r="605" spans="1:9" x14ac:dyDescent="0.35">
      <c r="A605" s="8"/>
      <c r="B605" s="8"/>
      <c r="C605" s="8"/>
      <c r="D605" s="8"/>
      <c r="E605" s="8"/>
      <c r="F605" s="8"/>
      <c r="G605" s="8"/>
      <c r="H605" s="8"/>
      <c r="I605" s="8"/>
    </row>
    <row r="606" spans="1:9" x14ac:dyDescent="0.35">
      <c r="A606" s="9"/>
      <c r="B606" s="10"/>
      <c r="C606" s="11"/>
      <c r="D606" s="11"/>
      <c r="E606" s="10"/>
      <c r="F606" s="10"/>
      <c r="G606" s="10"/>
      <c r="H606" s="53"/>
      <c r="I606" s="53"/>
    </row>
    <row r="607" spans="1:9" x14ac:dyDescent="0.35">
      <c r="A607" s="9"/>
      <c r="B607" s="10"/>
      <c r="C607" s="11"/>
      <c r="D607" s="11"/>
      <c r="E607" s="10"/>
      <c r="F607" s="10"/>
      <c r="G607" s="10"/>
      <c r="H607" s="53"/>
      <c r="I607" s="54"/>
    </row>
    <row r="608" spans="1:9" x14ac:dyDescent="0.35">
      <c r="A608" s="8"/>
      <c r="B608" s="8"/>
      <c r="C608" s="8"/>
      <c r="D608" s="8"/>
      <c r="E608" s="8"/>
      <c r="F608" s="8"/>
      <c r="G608" s="8"/>
      <c r="H608" s="8"/>
      <c r="I608" s="8"/>
    </row>
    <row r="609" spans="1:9" x14ac:dyDescent="0.35">
      <c r="A609" s="9"/>
      <c r="B609" s="10"/>
      <c r="C609" s="11"/>
      <c r="D609" s="11"/>
      <c r="E609" s="10"/>
      <c r="F609" s="10"/>
      <c r="G609" s="10"/>
      <c r="H609" s="53"/>
      <c r="I609" s="53"/>
    </row>
    <row r="610" spans="1:9" x14ac:dyDescent="0.35">
      <c r="A610" s="11"/>
      <c r="B610" s="10"/>
      <c r="C610" s="11"/>
      <c r="D610" s="11"/>
      <c r="E610" s="10"/>
      <c r="F610" s="10"/>
      <c r="G610" s="10"/>
      <c r="H610" s="53"/>
      <c r="I610" s="53"/>
    </row>
    <row r="611" spans="1:9" x14ac:dyDescent="0.35">
      <c r="A611" s="11"/>
      <c r="B611" s="10"/>
      <c r="C611" s="11"/>
      <c r="D611" s="11"/>
      <c r="E611" s="10"/>
      <c r="F611" s="10"/>
      <c r="G611" s="10"/>
      <c r="H611" s="53"/>
      <c r="I611" s="54"/>
    </row>
    <row r="612" spans="1:9" x14ac:dyDescent="0.35">
      <c r="A612" s="8"/>
      <c r="B612" s="8"/>
      <c r="C612" s="8"/>
      <c r="D612" s="8"/>
      <c r="E612" s="8"/>
      <c r="F612" s="8"/>
      <c r="G612" s="8"/>
      <c r="H612" s="8"/>
      <c r="I612" s="8"/>
    </row>
    <row r="613" spans="1:9" x14ac:dyDescent="0.35">
      <c r="A613" s="9"/>
      <c r="B613" s="10"/>
      <c r="C613" s="11"/>
      <c r="D613" s="11"/>
      <c r="E613" s="10"/>
      <c r="F613" s="10"/>
      <c r="G613" s="82"/>
      <c r="H613" s="53"/>
      <c r="I613" s="53"/>
    </row>
    <row r="614" spans="1:9" x14ac:dyDescent="0.35">
      <c r="A614" s="11"/>
      <c r="B614" s="10"/>
      <c r="C614" s="11"/>
      <c r="D614" s="11"/>
      <c r="E614" s="11"/>
      <c r="F614" s="11"/>
      <c r="G614" s="11"/>
      <c r="H614" s="53"/>
      <c r="I614" s="54"/>
    </row>
  </sheetData>
  <mergeCells count="3">
    <mergeCell ref="F547:H547"/>
    <mergeCell ref="F548:H548"/>
    <mergeCell ref="E574:H57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opLeftCell="A14" workbookViewId="0">
      <selection sqref="A1:J24"/>
    </sheetView>
  </sheetViews>
  <sheetFormatPr defaultRowHeight="14.5" x14ac:dyDescent="0.35"/>
  <cols>
    <col min="1" max="1" width="10.54296875" customWidth="1"/>
    <col min="2" max="2" width="5.7265625" bestFit="1" customWidth="1"/>
    <col min="3" max="3" width="15" bestFit="1" customWidth="1"/>
    <col min="4" max="4" width="27.26953125" bestFit="1" customWidth="1"/>
    <col min="5" max="5" width="4.81640625" bestFit="1" customWidth="1"/>
    <col min="6" max="6" width="4.7265625" bestFit="1" customWidth="1"/>
    <col min="7" max="7" width="11.26953125" customWidth="1"/>
    <col min="9" max="9" width="12.54296875" customWidth="1"/>
    <col min="10" max="10" width="14.6328125" bestFit="1" customWidth="1"/>
  </cols>
  <sheetData>
    <row r="1" spans="1:10" ht="15.5" x14ac:dyDescent="0.35">
      <c r="A1" s="1" t="s">
        <v>194</v>
      </c>
    </row>
    <row r="2" spans="1:10" ht="15.5" x14ac:dyDescent="0.35">
      <c r="A2" s="1" t="s">
        <v>31</v>
      </c>
    </row>
    <row r="3" spans="1:10" ht="23" x14ac:dyDescent="0.35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6" t="s">
        <v>9</v>
      </c>
    </row>
    <row r="4" spans="1:10" x14ac:dyDescent="0.35">
      <c r="A4" s="9">
        <v>45201</v>
      </c>
      <c r="B4" s="10">
        <v>642</v>
      </c>
      <c r="C4" s="11" t="s">
        <v>498</v>
      </c>
      <c r="D4" s="11" t="s">
        <v>501</v>
      </c>
      <c r="E4" s="10">
        <v>17</v>
      </c>
      <c r="F4" s="10" t="s">
        <v>502</v>
      </c>
      <c r="G4" s="10" t="s">
        <v>24</v>
      </c>
      <c r="H4" s="53">
        <v>100000</v>
      </c>
      <c r="I4" s="53">
        <f t="shared" ref="I4" si="0">H4*E4</f>
        <v>1700000</v>
      </c>
    </row>
    <row r="5" spans="1:10" x14ac:dyDescent="0.35">
      <c r="A5" s="17"/>
      <c r="B5" s="16"/>
      <c r="C5" s="17"/>
      <c r="D5" s="17"/>
      <c r="E5" s="16"/>
      <c r="F5" s="16"/>
      <c r="G5" s="16"/>
      <c r="H5" s="27"/>
      <c r="I5" s="27"/>
    </row>
    <row r="6" spans="1:10" x14ac:dyDescent="0.35">
      <c r="A6" s="9">
        <v>45239</v>
      </c>
      <c r="B6" s="10">
        <v>686</v>
      </c>
      <c r="C6" s="11" t="s">
        <v>11</v>
      </c>
      <c r="D6" s="11" t="s">
        <v>237</v>
      </c>
      <c r="E6" s="10">
        <v>50</v>
      </c>
      <c r="F6" s="10" t="s">
        <v>20</v>
      </c>
      <c r="G6" s="10" t="s">
        <v>24</v>
      </c>
      <c r="H6" s="53">
        <v>54500</v>
      </c>
      <c r="I6" s="53">
        <f>H6*E6</f>
        <v>2725000</v>
      </c>
    </row>
    <row r="7" spans="1:10" x14ac:dyDescent="0.35">
      <c r="A7" s="11"/>
      <c r="B7" s="10"/>
      <c r="C7" s="11"/>
      <c r="D7" s="11" t="s">
        <v>454</v>
      </c>
      <c r="E7" s="10">
        <v>30</v>
      </c>
      <c r="F7" s="10" t="s">
        <v>20</v>
      </c>
      <c r="G7" s="10" t="s">
        <v>24</v>
      </c>
      <c r="H7" s="53">
        <v>55000</v>
      </c>
      <c r="I7" s="53">
        <f t="shared" ref="I7:I14" si="1">H7*E7</f>
        <v>1650000</v>
      </c>
    </row>
    <row r="8" spans="1:10" x14ac:dyDescent="0.35">
      <c r="A8" s="11"/>
      <c r="B8" s="10"/>
      <c r="C8" s="11"/>
      <c r="D8" s="11" t="s">
        <v>455</v>
      </c>
      <c r="E8" s="10">
        <v>10</v>
      </c>
      <c r="F8" s="10" t="s">
        <v>20</v>
      </c>
      <c r="G8" s="10" t="s">
        <v>24</v>
      </c>
      <c r="H8" s="53">
        <v>55000</v>
      </c>
      <c r="I8" s="53">
        <f t="shared" si="1"/>
        <v>550000</v>
      </c>
    </row>
    <row r="9" spans="1:10" x14ac:dyDescent="0.35">
      <c r="A9" s="11"/>
      <c r="B9" s="10"/>
      <c r="C9" s="11"/>
      <c r="D9" s="11" t="s">
        <v>117</v>
      </c>
      <c r="E9" s="10">
        <v>10</v>
      </c>
      <c r="F9" s="10" t="s">
        <v>20</v>
      </c>
      <c r="G9" s="10" t="s">
        <v>24</v>
      </c>
      <c r="H9" s="53">
        <v>50000</v>
      </c>
      <c r="I9" s="53">
        <f t="shared" si="1"/>
        <v>500000</v>
      </c>
    </row>
    <row r="10" spans="1:10" x14ac:dyDescent="0.35">
      <c r="A10" s="11"/>
      <c r="B10" s="10"/>
      <c r="C10" s="11"/>
      <c r="D10" s="11" t="s">
        <v>456</v>
      </c>
      <c r="E10" s="10">
        <f>6*12</f>
        <v>72</v>
      </c>
      <c r="F10" s="10" t="s">
        <v>14</v>
      </c>
      <c r="G10" s="10" t="s">
        <v>13</v>
      </c>
      <c r="H10" s="60">
        <v>2250</v>
      </c>
      <c r="I10" s="53">
        <f t="shared" si="1"/>
        <v>162000</v>
      </c>
    </row>
    <row r="11" spans="1:10" x14ac:dyDescent="0.35">
      <c r="A11" s="11"/>
      <c r="B11" s="10"/>
      <c r="C11" s="11"/>
      <c r="D11" s="11" t="s">
        <v>457</v>
      </c>
      <c r="E11" s="10">
        <v>72</v>
      </c>
      <c r="F11" s="10" t="s">
        <v>14</v>
      </c>
      <c r="G11" s="10" t="s">
        <v>13</v>
      </c>
      <c r="H11" s="60">
        <v>2250</v>
      </c>
      <c r="I11" s="53">
        <f t="shared" si="1"/>
        <v>162000</v>
      </c>
    </row>
    <row r="12" spans="1:10" x14ac:dyDescent="0.35">
      <c r="A12" s="11"/>
      <c r="B12" s="10"/>
      <c r="C12" s="11"/>
      <c r="D12" s="11" t="s">
        <v>458</v>
      </c>
      <c r="E12" s="10">
        <v>72</v>
      </c>
      <c r="F12" s="10" t="s">
        <v>14</v>
      </c>
      <c r="G12" s="10" t="s">
        <v>13</v>
      </c>
      <c r="H12" s="60">
        <v>2250</v>
      </c>
      <c r="I12" s="53">
        <f t="shared" si="1"/>
        <v>162000</v>
      </c>
    </row>
    <row r="13" spans="1:10" x14ac:dyDescent="0.35">
      <c r="A13" s="11"/>
      <c r="B13" s="10"/>
      <c r="C13" s="11"/>
      <c r="D13" s="11" t="s">
        <v>459</v>
      </c>
      <c r="E13" s="10">
        <v>72</v>
      </c>
      <c r="F13" s="10" t="s">
        <v>14</v>
      </c>
      <c r="G13" s="10" t="s">
        <v>13</v>
      </c>
      <c r="H13" s="60">
        <v>2250</v>
      </c>
      <c r="I13" s="53">
        <f t="shared" si="1"/>
        <v>162000</v>
      </c>
    </row>
    <row r="14" spans="1:10" x14ac:dyDescent="0.35">
      <c r="A14" s="11"/>
      <c r="B14" s="10"/>
      <c r="C14" s="11"/>
      <c r="D14" s="11" t="s">
        <v>460</v>
      </c>
      <c r="E14" s="10">
        <v>2</v>
      </c>
      <c r="F14" s="10" t="s">
        <v>14</v>
      </c>
      <c r="G14" s="10" t="s">
        <v>13</v>
      </c>
      <c r="H14" s="53">
        <v>162000</v>
      </c>
      <c r="I14" s="53">
        <f t="shared" si="1"/>
        <v>324000</v>
      </c>
    </row>
    <row r="15" spans="1:10" x14ac:dyDescent="0.35">
      <c r="A15" s="9"/>
      <c r="B15" s="10"/>
      <c r="C15" s="11"/>
      <c r="D15" s="11"/>
      <c r="E15" s="19"/>
      <c r="F15" s="10"/>
      <c r="G15" s="10"/>
      <c r="H15" s="18"/>
      <c r="I15" s="18"/>
    </row>
    <row r="16" spans="1:10" x14ac:dyDescent="0.35">
      <c r="A16" s="9">
        <v>45287</v>
      </c>
      <c r="B16" s="10">
        <v>842</v>
      </c>
      <c r="C16" s="11" t="s">
        <v>11</v>
      </c>
      <c r="D16" s="11" t="s">
        <v>236</v>
      </c>
      <c r="E16" s="10">
        <v>20</v>
      </c>
      <c r="F16" s="10" t="s">
        <v>21</v>
      </c>
      <c r="G16" s="10" t="s">
        <v>24</v>
      </c>
      <c r="H16" s="53">
        <v>30000</v>
      </c>
      <c r="I16" s="53">
        <f>H16*E16</f>
        <v>600000</v>
      </c>
      <c r="J16" t="s">
        <v>612</v>
      </c>
    </row>
    <row r="17" spans="1:10" x14ac:dyDescent="0.35">
      <c r="A17" s="11"/>
      <c r="B17" s="10"/>
      <c r="C17" s="11"/>
      <c r="D17" s="11" t="s">
        <v>27</v>
      </c>
      <c r="E17" s="10">
        <v>20</v>
      </c>
      <c r="F17" s="10" t="s">
        <v>20</v>
      </c>
      <c r="G17" s="10" t="s">
        <v>24</v>
      </c>
      <c r="H17" s="53">
        <v>55000</v>
      </c>
      <c r="I17" s="53">
        <f>H17*E17</f>
        <v>1100000</v>
      </c>
      <c r="J17" t="s">
        <v>612</v>
      </c>
    </row>
    <row r="18" spans="1:10" x14ac:dyDescent="0.35">
      <c r="A18" s="9"/>
      <c r="B18" s="10"/>
      <c r="C18" s="11"/>
      <c r="D18" s="11" t="s">
        <v>237</v>
      </c>
      <c r="E18" s="10">
        <v>20</v>
      </c>
      <c r="F18" s="10" t="s">
        <v>20</v>
      </c>
      <c r="G18" s="10" t="s">
        <v>24</v>
      </c>
      <c r="H18" s="53">
        <v>54500</v>
      </c>
      <c r="I18" s="53">
        <f>H18*E18</f>
        <v>1090000</v>
      </c>
      <c r="J18" t="s">
        <v>612</v>
      </c>
    </row>
    <row r="19" spans="1:10" x14ac:dyDescent="0.35">
      <c r="A19" s="11"/>
      <c r="B19" s="10"/>
      <c r="C19" s="11"/>
      <c r="D19" s="11"/>
      <c r="E19" s="19"/>
      <c r="F19" s="10"/>
      <c r="G19" s="10"/>
      <c r="H19" s="18"/>
      <c r="I19" s="28"/>
    </row>
    <row r="20" spans="1:10" x14ac:dyDescent="0.35">
      <c r="A20" s="9">
        <v>45287</v>
      </c>
      <c r="B20" s="10">
        <v>858</v>
      </c>
      <c r="C20" s="11" t="s">
        <v>212</v>
      </c>
      <c r="D20" s="11" t="s">
        <v>213</v>
      </c>
      <c r="E20" s="19">
        <v>550</v>
      </c>
      <c r="F20" s="10" t="s">
        <v>12</v>
      </c>
      <c r="G20" s="10" t="s">
        <v>24</v>
      </c>
      <c r="H20" s="58">
        <v>85500</v>
      </c>
      <c r="I20" s="58">
        <f>H20*E20</f>
        <v>47025000</v>
      </c>
      <c r="J20" t="s">
        <v>612</v>
      </c>
    </row>
    <row r="21" spans="1:10" x14ac:dyDescent="0.35">
      <c r="A21" s="11"/>
      <c r="B21" s="10"/>
      <c r="C21" s="11"/>
      <c r="D21" s="11" t="s">
        <v>214</v>
      </c>
      <c r="E21" s="19">
        <v>450</v>
      </c>
      <c r="F21" s="10" t="s">
        <v>14</v>
      </c>
      <c r="G21" s="10" t="s">
        <v>24</v>
      </c>
      <c r="H21" s="58">
        <v>33000</v>
      </c>
      <c r="I21" s="58">
        <f>H21*E21</f>
        <v>14850000</v>
      </c>
      <c r="J21" t="s">
        <v>612</v>
      </c>
    </row>
    <row r="22" spans="1:10" x14ac:dyDescent="0.35">
      <c r="A22" s="11"/>
      <c r="B22" s="10"/>
      <c r="C22" s="11"/>
      <c r="D22" s="11" t="s">
        <v>215</v>
      </c>
      <c r="E22" s="19">
        <v>300</v>
      </c>
      <c r="F22" s="10" t="s">
        <v>14</v>
      </c>
      <c r="G22" s="10" t="s">
        <v>24</v>
      </c>
      <c r="H22" s="58">
        <v>31600</v>
      </c>
      <c r="I22" s="58">
        <f>H22*E22</f>
        <v>9480000</v>
      </c>
      <c r="J22" s="52" t="s">
        <v>612</v>
      </c>
    </row>
    <row r="23" spans="1:10" x14ac:dyDescent="0.35">
      <c r="I23" s="36"/>
    </row>
    <row r="24" spans="1:10" x14ac:dyDescent="0.35">
      <c r="E24" s="148" t="s">
        <v>549</v>
      </c>
      <c r="F24" s="148"/>
      <c r="G24" s="148"/>
      <c r="H24" s="148"/>
      <c r="I24" s="85">
        <f>SUM(I4:I23)</f>
        <v>82242000</v>
      </c>
      <c r="J24" s="51"/>
    </row>
  </sheetData>
  <mergeCells count="1">
    <mergeCell ref="E24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A0B0-5F03-4E2C-8AE8-195B4AB2AD7F}">
  <dimension ref="A1:K572"/>
  <sheetViews>
    <sheetView topLeftCell="A535" workbookViewId="0">
      <selection activeCell="D6" sqref="D6"/>
    </sheetView>
  </sheetViews>
  <sheetFormatPr defaultRowHeight="14.5" x14ac:dyDescent="0.35"/>
  <cols>
    <col min="1" max="1" width="10.81640625" customWidth="1"/>
    <col min="2" max="2" width="5.7265625" bestFit="1" customWidth="1"/>
    <col min="3" max="3" width="15" bestFit="1" customWidth="1"/>
    <col min="4" max="4" width="40.7265625" customWidth="1"/>
    <col min="5" max="5" width="4.81640625" bestFit="1" customWidth="1"/>
    <col min="6" max="6" width="8.7265625" bestFit="1" customWidth="1"/>
    <col min="7" max="7" width="12.26953125" bestFit="1" customWidth="1"/>
    <col min="8" max="8" width="10" bestFit="1" customWidth="1"/>
    <col min="9" max="9" width="13.54296875" bestFit="1" customWidth="1"/>
    <col min="10" max="10" width="14.6328125" bestFit="1" customWidth="1"/>
    <col min="11" max="11" width="12.54296875" bestFit="1" customWidth="1"/>
  </cols>
  <sheetData>
    <row r="1" spans="1:10" ht="15.5" x14ac:dyDescent="0.35">
      <c r="A1" s="1" t="s">
        <v>195</v>
      </c>
    </row>
    <row r="2" spans="1:10" ht="15.5" x14ac:dyDescent="0.35">
      <c r="A2" s="1" t="s">
        <v>30</v>
      </c>
    </row>
    <row r="3" spans="1:10" ht="23" x14ac:dyDescent="0.35">
      <c r="A3" s="31" t="s">
        <v>1</v>
      </c>
      <c r="B3" s="32" t="s">
        <v>2</v>
      </c>
      <c r="C3" s="32" t="s">
        <v>3</v>
      </c>
      <c r="D3" s="32" t="s">
        <v>4</v>
      </c>
      <c r="E3" s="33" t="s">
        <v>5</v>
      </c>
      <c r="F3" s="33" t="s">
        <v>6</v>
      </c>
      <c r="G3" s="33" t="s">
        <v>7</v>
      </c>
      <c r="H3" s="34" t="s">
        <v>8</v>
      </c>
      <c r="I3" s="34" t="s">
        <v>9</v>
      </c>
    </row>
    <row r="4" spans="1:10" x14ac:dyDescent="0.35">
      <c r="A4" s="9">
        <v>45268</v>
      </c>
      <c r="B4" s="10">
        <v>853</v>
      </c>
      <c r="C4" s="11" t="s">
        <v>198</v>
      </c>
      <c r="D4" s="11" t="s">
        <v>199</v>
      </c>
      <c r="E4" s="10">
        <v>2</v>
      </c>
      <c r="F4" s="10" t="s">
        <v>14</v>
      </c>
      <c r="G4" s="10" t="s">
        <v>200</v>
      </c>
      <c r="H4" s="53">
        <v>69000</v>
      </c>
      <c r="I4" s="53">
        <f>H4*E4</f>
        <v>138000</v>
      </c>
    </row>
    <row r="5" spans="1:10" x14ac:dyDescent="0.35">
      <c r="A5" s="9"/>
      <c r="B5" s="10"/>
      <c r="C5" s="11"/>
      <c r="D5" s="11" t="s">
        <v>201</v>
      </c>
      <c r="E5" s="10">
        <v>1</v>
      </c>
      <c r="F5" s="10" t="s">
        <v>14</v>
      </c>
      <c r="G5" s="10" t="s">
        <v>200</v>
      </c>
      <c r="H5" s="53">
        <v>78000</v>
      </c>
      <c r="I5" s="53">
        <f>H5*E5</f>
        <v>78000</v>
      </c>
    </row>
    <row r="6" spans="1:10" x14ac:dyDescent="0.35">
      <c r="A6" s="9"/>
      <c r="B6" s="10"/>
      <c r="C6" s="11"/>
      <c r="D6" s="11" t="s">
        <v>202</v>
      </c>
      <c r="E6" s="10">
        <v>30</v>
      </c>
      <c r="F6" s="10" t="s">
        <v>14</v>
      </c>
      <c r="G6" s="10" t="s">
        <v>200</v>
      </c>
      <c r="H6" s="53">
        <v>2218</v>
      </c>
      <c r="I6" s="53">
        <f>H6*E6</f>
        <v>66540</v>
      </c>
    </row>
    <row r="7" spans="1:10" x14ac:dyDescent="0.35">
      <c r="A7" s="11"/>
      <c r="B7" s="10"/>
      <c r="C7" s="11"/>
      <c r="D7" s="11"/>
      <c r="E7" s="10"/>
      <c r="F7" s="10"/>
      <c r="G7" s="10"/>
      <c r="H7" s="53"/>
      <c r="I7" s="54">
        <f>SUM(I4:I6)</f>
        <v>282540</v>
      </c>
      <c r="J7" s="83">
        <f>I7</f>
        <v>282540</v>
      </c>
    </row>
    <row r="8" spans="1:10" x14ac:dyDescent="0.35">
      <c r="A8" s="8"/>
      <c r="B8" s="14"/>
      <c r="C8" s="8"/>
      <c r="D8" s="8"/>
      <c r="E8" s="14"/>
      <c r="F8" s="14"/>
      <c r="G8" s="14"/>
      <c r="H8" s="8"/>
      <c r="I8" s="8"/>
    </row>
    <row r="9" spans="1:10" x14ac:dyDescent="0.35">
      <c r="A9" s="9">
        <v>45261</v>
      </c>
      <c r="B9" s="10">
        <v>854</v>
      </c>
      <c r="C9" s="11" t="s">
        <v>203</v>
      </c>
      <c r="D9" s="11" t="s">
        <v>204</v>
      </c>
      <c r="E9" s="10">
        <v>20</v>
      </c>
      <c r="F9" s="10" t="s">
        <v>14</v>
      </c>
      <c r="G9" s="10" t="s">
        <v>13</v>
      </c>
      <c r="H9" s="53">
        <v>80000</v>
      </c>
      <c r="I9" s="53">
        <f>H9*E9</f>
        <v>1600000</v>
      </c>
    </row>
    <row r="10" spans="1:10" x14ac:dyDescent="0.35">
      <c r="A10" s="11"/>
      <c r="B10" s="10"/>
      <c r="C10" s="11"/>
      <c r="D10" s="11" t="s">
        <v>205</v>
      </c>
      <c r="E10" s="10">
        <v>3</v>
      </c>
      <c r="F10" s="10" t="s">
        <v>14</v>
      </c>
      <c r="G10" s="10" t="s">
        <v>13</v>
      </c>
      <c r="H10" s="53">
        <f>560000-(560000*23%)</f>
        <v>431200</v>
      </c>
      <c r="I10" s="53">
        <f>H10*E10</f>
        <v>1293600</v>
      </c>
    </row>
    <row r="11" spans="1:10" x14ac:dyDescent="0.35">
      <c r="A11" s="11"/>
      <c r="B11" s="10"/>
      <c r="C11" s="11"/>
      <c r="D11" s="11"/>
      <c r="E11" s="10"/>
      <c r="F11" s="10"/>
      <c r="G11" s="10"/>
      <c r="H11" s="11"/>
      <c r="I11" s="56">
        <f>SUM(I9:I10)</f>
        <v>2893600</v>
      </c>
      <c r="J11" s="83">
        <f>I11</f>
        <v>2893600</v>
      </c>
    </row>
    <row r="12" spans="1:10" x14ac:dyDescent="0.35">
      <c r="A12" s="8"/>
      <c r="B12" s="14"/>
      <c r="C12" s="8"/>
      <c r="D12" s="8"/>
      <c r="E12" s="14"/>
      <c r="F12" s="14"/>
      <c r="G12" s="14"/>
      <c r="H12" s="8"/>
      <c r="I12" s="8"/>
    </row>
    <row r="13" spans="1:10" x14ac:dyDescent="0.35">
      <c r="A13" s="9">
        <v>45261</v>
      </c>
      <c r="B13" s="10">
        <v>855</v>
      </c>
      <c r="C13" s="11"/>
      <c r="D13" s="11" t="s">
        <v>206</v>
      </c>
      <c r="E13" s="10">
        <v>16</v>
      </c>
      <c r="F13" s="10" t="s">
        <v>207</v>
      </c>
      <c r="G13" s="10" t="s">
        <v>200</v>
      </c>
      <c r="H13" s="53">
        <v>750000</v>
      </c>
      <c r="I13" s="53">
        <f>H13*E13</f>
        <v>12000000</v>
      </c>
    </row>
    <row r="14" spans="1:10" x14ac:dyDescent="0.35">
      <c r="A14" s="11"/>
      <c r="B14" s="10"/>
      <c r="C14" s="11"/>
      <c r="D14" s="11" t="s">
        <v>208</v>
      </c>
      <c r="E14" s="10"/>
      <c r="F14" s="10"/>
      <c r="G14" s="10"/>
      <c r="H14" s="53"/>
      <c r="I14" s="54">
        <f>SUM(I13)</f>
        <v>12000000</v>
      </c>
      <c r="J14" s="83">
        <f>I14</f>
        <v>12000000</v>
      </c>
    </row>
    <row r="15" spans="1:10" x14ac:dyDescent="0.35">
      <c r="A15" s="8"/>
      <c r="B15" s="14"/>
      <c r="C15" s="8"/>
      <c r="D15" s="8"/>
      <c r="E15" s="14"/>
      <c r="F15" s="14"/>
      <c r="G15" s="14"/>
      <c r="H15" s="8"/>
      <c r="I15" s="8"/>
    </row>
    <row r="16" spans="1:10" x14ac:dyDescent="0.35">
      <c r="A16" s="9">
        <v>45261</v>
      </c>
      <c r="B16" s="10">
        <v>856</v>
      </c>
      <c r="C16" s="11"/>
      <c r="D16" s="11" t="s">
        <v>209</v>
      </c>
      <c r="E16" s="10">
        <v>1</v>
      </c>
      <c r="F16" s="10" t="s">
        <v>210</v>
      </c>
      <c r="G16" s="10" t="s">
        <v>200</v>
      </c>
      <c r="H16" s="53">
        <f>4100000-(4100000*20%)</f>
        <v>3280000</v>
      </c>
      <c r="I16" s="53">
        <f>H16*E16</f>
        <v>3280000</v>
      </c>
    </row>
    <row r="17" spans="1:10" x14ac:dyDescent="0.35">
      <c r="A17" s="11"/>
      <c r="B17" s="10"/>
      <c r="C17" s="11"/>
      <c r="D17" s="11" t="s">
        <v>208</v>
      </c>
      <c r="E17" s="10"/>
      <c r="F17" s="10"/>
      <c r="G17" s="10"/>
      <c r="H17" s="53"/>
      <c r="I17" s="54">
        <f>SUM(I16)</f>
        <v>3280000</v>
      </c>
      <c r="J17" s="83">
        <f>I17</f>
        <v>3280000</v>
      </c>
    </row>
    <row r="18" spans="1:10" x14ac:dyDescent="0.35">
      <c r="A18" s="8"/>
      <c r="B18" s="14"/>
      <c r="C18" s="8"/>
      <c r="D18" s="8"/>
      <c r="E18" s="14"/>
      <c r="F18" s="14"/>
      <c r="G18" s="14"/>
      <c r="H18" s="8"/>
      <c r="I18" s="8"/>
    </row>
    <row r="19" spans="1:10" x14ac:dyDescent="0.35">
      <c r="A19" s="9">
        <v>45261</v>
      </c>
      <c r="B19" s="10">
        <v>857</v>
      </c>
      <c r="C19" s="11"/>
      <c r="D19" s="11" t="s">
        <v>211</v>
      </c>
      <c r="E19" s="10">
        <v>30</v>
      </c>
      <c r="F19" s="10" t="s">
        <v>210</v>
      </c>
      <c r="G19" s="10" t="s">
        <v>200</v>
      </c>
      <c r="H19" s="53">
        <v>330000</v>
      </c>
      <c r="I19" s="53">
        <f>H19*E19</f>
        <v>9900000</v>
      </c>
    </row>
    <row r="20" spans="1:10" x14ac:dyDescent="0.35">
      <c r="A20" s="8"/>
      <c r="B20" s="10"/>
      <c r="C20" s="11"/>
      <c r="D20" s="11"/>
      <c r="E20" s="10"/>
      <c r="F20" s="10"/>
      <c r="G20" s="10"/>
      <c r="H20" s="53"/>
      <c r="I20" s="54">
        <f>SUM(I19)</f>
        <v>9900000</v>
      </c>
      <c r="J20" s="83">
        <f>I20</f>
        <v>9900000</v>
      </c>
    </row>
    <row r="21" spans="1:10" x14ac:dyDescent="0.35">
      <c r="A21" s="8"/>
      <c r="B21" s="14"/>
      <c r="C21" s="8"/>
      <c r="D21" s="8"/>
      <c r="E21" s="14"/>
      <c r="F21" s="14"/>
      <c r="G21" s="14"/>
      <c r="H21" s="57"/>
      <c r="I21" s="57"/>
    </row>
    <row r="22" spans="1:10" x14ac:dyDescent="0.35">
      <c r="A22" s="9">
        <v>45287</v>
      </c>
      <c r="B22" s="10">
        <v>858</v>
      </c>
      <c r="C22" s="11" t="s">
        <v>212</v>
      </c>
      <c r="D22" s="11" t="s">
        <v>213</v>
      </c>
      <c r="E22" s="19">
        <v>550</v>
      </c>
      <c r="F22" s="10" t="s">
        <v>12</v>
      </c>
      <c r="G22" s="10" t="s">
        <v>24</v>
      </c>
      <c r="H22" s="58">
        <v>85500</v>
      </c>
      <c r="I22" s="58">
        <f>H22*E22</f>
        <v>47025000</v>
      </c>
    </row>
    <row r="23" spans="1:10" x14ac:dyDescent="0.35">
      <c r="A23" s="11"/>
      <c r="B23" s="10"/>
      <c r="C23" s="11"/>
      <c r="D23" s="11" t="s">
        <v>214</v>
      </c>
      <c r="E23" s="19">
        <v>450</v>
      </c>
      <c r="F23" s="10" t="s">
        <v>14</v>
      </c>
      <c r="G23" s="10" t="s">
        <v>24</v>
      </c>
      <c r="H23" s="58">
        <v>33000</v>
      </c>
      <c r="I23" s="58">
        <f>H23*E23</f>
        <v>14850000</v>
      </c>
    </row>
    <row r="24" spans="1:10" x14ac:dyDescent="0.35">
      <c r="A24" s="11"/>
      <c r="B24" s="10"/>
      <c r="C24" s="11"/>
      <c r="D24" s="11" t="s">
        <v>215</v>
      </c>
      <c r="E24" s="19">
        <v>300</v>
      </c>
      <c r="F24" s="10" t="s">
        <v>14</v>
      </c>
      <c r="G24" s="10" t="s">
        <v>24</v>
      </c>
      <c r="H24" s="58">
        <v>31600</v>
      </c>
      <c r="I24" s="58">
        <f>H24*E24</f>
        <v>9480000</v>
      </c>
    </row>
    <row r="25" spans="1:10" x14ac:dyDescent="0.35">
      <c r="A25" s="9"/>
      <c r="B25" s="10"/>
      <c r="C25" s="11"/>
      <c r="D25" s="11"/>
      <c r="E25" s="19"/>
      <c r="F25" s="10"/>
      <c r="G25" s="10"/>
      <c r="H25" s="58"/>
      <c r="I25" s="59">
        <f>SUM(I22:I24)</f>
        <v>71355000</v>
      </c>
      <c r="J25" s="36">
        <f>I25</f>
        <v>71355000</v>
      </c>
    </row>
    <row r="26" spans="1:10" x14ac:dyDescent="0.35">
      <c r="A26" s="11"/>
      <c r="B26" s="10"/>
      <c r="C26" s="11"/>
      <c r="D26" s="11"/>
      <c r="E26" s="10"/>
      <c r="F26" s="10"/>
      <c r="G26" s="10"/>
      <c r="H26" s="53"/>
      <c r="I26" s="54"/>
    </row>
    <row r="27" spans="1:10" x14ac:dyDescent="0.35">
      <c r="A27" s="9">
        <v>45261</v>
      </c>
      <c r="B27" s="10">
        <v>859</v>
      </c>
      <c r="C27" s="11"/>
      <c r="D27" s="11" t="s">
        <v>216</v>
      </c>
      <c r="E27" s="10">
        <v>1</v>
      </c>
      <c r="F27" s="10" t="s">
        <v>207</v>
      </c>
      <c r="G27" s="10" t="s">
        <v>13</v>
      </c>
      <c r="H27" s="53">
        <f>800000-(800000*20%)</f>
        <v>640000</v>
      </c>
      <c r="I27" s="53">
        <f>H27*E27</f>
        <v>640000</v>
      </c>
    </row>
    <row r="28" spans="1:10" x14ac:dyDescent="0.35">
      <c r="A28" s="9"/>
      <c r="B28" s="10"/>
      <c r="C28" s="11"/>
      <c r="D28" s="11"/>
      <c r="E28" s="10"/>
      <c r="F28" s="10"/>
      <c r="G28" s="10"/>
      <c r="H28" s="53"/>
      <c r="I28" s="54">
        <f>SUM(I27)</f>
        <v>640000</v>
      </c>
      <c r="J28" s="83">
        <f>I28</f>
        <v>640000</v>
      </c>
    </row>
    <row r="29" spans="1:10" x14ac:dyDescent="0.35">
      <c r="A29" s="11"/>
      <c r="B29" s="10"/>
      <c r="C29" s="11"/>
      <c r="D29" s="11"/>
      <c r="E29" s="10"/>
      <c r="F29" s="10"/>
      <c r="G29" s="10"/>
      <c r="H29" s="53"/>
      <c r="I29" s="54"/>
    </row>
    <row r="30" spans="1:10" x14ac:dyDescent="0.35">
      <c r="A30" s="9">
        <v>45261</v>
      </c>
      <c r="B30" s="10">
        <v>860</v>
      </c>
      <c r="C30" s="11" t="s">
        <v>217</v>
      </c>
      <c r="D30" s="11" t="s">
        <v>218</v>
      </c>
      <c r="E30" s="10">
        <v>1</v>
      </c>
      <c r="F30" s="10" t="s">
        <v>14</v>
      </c>
      <c r="G30" s="10" t="s">
        <v>219</v>
      </c>
      <c r="H30" s="53">
        <v>711000</v>
      </c>
      <c r="I30" s="53">
        <f>H30*E30</f>
        <v>711000</v>
      </c>
    </row>
    <row r="31" spans="1:10" x14ac:dyDescent="0.35">
      <c r="A31" s="9"/>
      <c r="B31" s="10"/>
      <c r="C31" s="11"/>
      <c r="D31" s="11" t="s">
        <v>220</v>
      </c>
      <c r="E31" s="10">
        <v>1</v>
      </c>
      <c r="F31" s="10" t="s">
        <v>221</v>
      </c>
      <c r="G31" s="10" t="s">
        <v>219</v>
      </c>
      <c r="H31" s="53">
        <f>320000+120000+120000+195000</f>
        <v>755000</v>
      </c>
      <c r="I31" s="53">
        <f t="shared" ref="I31:I33" si="0">H31*E31</f>
        <v>755000</v>
      </c>
    </row>
    <row r="32" spans="1:10" x14ac:dyDescent="0.35">
      <c r="A32" s="11"/>
      <c r="B32" s="10"/>
      <c r="C32" s="11"/>
      <c r="D32" s="11" t="s">
        <v>222</v>
      </c>
      <c r="E32" s="10">
        <v>1</v>
      </c>
      <c r="F32" s="10" t="s">
        <v>14</v>
      </c>
      <c r="G32" s="10" t="s">
        <v>219</v>
      </c>
      <c r="H32" s="53">
        <v>700000</v>
      </c>
      <c r="I32" s="53">
        <f t="shared" si="0"/>
        <v>700000</v>
      </c>
    </row>
    <row r="33" spans="1:10" x14ac:dyDescent="0.35">
      <c r="A33" s="11"/>
      <c r="B33" s="10"/>
      <c r="C33" s="11"/>
      <c r="D33" s="11" t="s">
        <v>223</v>
      </c>
      <c r="E33" s="10">
        <v>1</v>
      </c>
      <c r="F33" s="10" t="s">
        <v>14</v>
      </c>
      <c r="G33" s="10" t="s">
        <v>219</v>
      </c>
      <c r="H33" s="53">
        <v>754000</v>
      </c>
      <c r="I33" s="53">
        <f t="shared" si="0"/>
        <v>754000</v>
      </c>
    </row>
    <row r="34" spans="1:10" x14ac:dyDescent="0.35">
      <c r="A34" s="9"/>
      <c r="B34" s="10"/>
      <c r="C34" s="11"/>
      <c r="D34" s="11"/>
      <c r="E34" s="10"/>
      <c r="F34" s="10"/>
      <c r="G34" s="10"/>
      <c r="H34" s="53"/>
      <c r="I34" s="54">
        <f>SUM(I30:I33)</f>
        <v>2920000</v>
      </c>
      <c r="J34" s="83">
        <f>I34</f>
        <v>2920000</v>
      </c>
    </row>
    <row r="35" spans="1:10" x14ac:dyDescent="0.35">
      <c r="A35" s="11"/>
      <c r="B35" s="10"/>
      <c r="C35" s="11"/>
      <c r="D35" s="11"/>
      <c r="E35" s="10"/>
      <c r="F35" s="10"/>
      <c r="G35" s="10"/>
      <c r="H35" s="53"/>
      <c r="I35" s="54"/>
    </row>
    <row r="36" spans="1:10" x14ac:dyDescent="0.35">
      <c r="A36" s="9">
        <v>45261</v>
      </c>
      <c r="B36" s="10">
        <v>861</v>
      </c>
      <c r="C36" s="11"/>
      <c r="D36" s="11" t="s">
        <v>224</v>
      </c>
      <c r="E36" s="10">
        <v>30</v>
      </c>
      <c r="F36" s="10" t="s">
        <v>14</v>
      </c>
      <c r="G36" s="10" t="s">
        <v>200</v>
      </c>
      <c r="H36" s="53">
        <v>48000</v>
      </c>
      <c r="I36" s="53">
        <f>H36*E36</f>
        <v>1440000</v>
      </c>
    </row>
    <row r="37" spans="1:10" x14ac:dyDescent="0.35">
      <c r="A37" s="9"/>
      <c r="B37" s="10"/>
      <c r="C37" s="11"/>
      <c r="D37" s="11" t="s">
        <v>225</v>
      </c>
      <c r="E37" s="10"/>
      <c r="F37" s="10"/>
      <c r="G37" s="10"/>
      <c r="H37" s="53"/>
      <c r="I37" s="54">
        <f>SUM(I36)</f>
        <v>1440000</v>
      </c>
      <c r="J37" s="83">
        <f>I37</f>
        <v>1440000</v>
      </c>
    </row>
    <row r="38" spans="1:10" x14ac:dyDescent="0.35">
      <c r="A38" s="11"/>
      <c r="B38" s="10"/>
      <c r="C38" s="11"/>
      <c r="D38" s="11"/>
      <c r="E38" s="10"/>
      <c r="F38" s="10"/>
      <c r="G38" s="10"/>
      <c r="H38" s="53"/>
      <c r="I38" s="54"/>
    </row>
    <row r="39" spans="1:10" x14ac:dyDescent="0.35">
      <c r="A39" s="9">
        <v>45261</v>
      </c>
      <c r="B39" s="10">
        <v>862</v>
      </c>
      <c r="C39" s="11"/>
      <c r="D39" s="11" t="s">
        <v>224</v>
      </c>
      <c r="E39" s="10">
        <v>30</v>
      </c>
      <c r="F39" s="10" t="s">
        <v>14</v>
      </c>
      <c r="G39" s="10" t="s">
        <v>200</v>
      </c>
      <c r="H39" s="53">
        <v>48000</v>
      </c>
      <c r="I39" s="53">
        <f>H39*E39</f>
        <v>1440000</v>
      </c>
    </row>
    <row r="40" spans="1:10" x14ac:dyDescent="0.35">
      <c r="A40" s="9"/>
      <c r="B40" s="10"/>
      <c r="C40" s="11"/>
      <c r="D40" s="11" t="s">
        <v>226</v>
      </c>
      <c r="E40" s="10"/>
      <c r="F40" s="10"/>
      <c r="G40" s="10"/>
      <c r="H40" s="53"/>
      <c r="I40" s="54">
        <f>SUM(I39)</f>
        <v>1440000</v>
      </c>
      <c r="J40" s="83">
        <f>I40</f>
        <v>1440000</v>
      </c>
    </row>
    <row r="41" spans="1:10" x14ac:dyDescent="0.35">
      <c r="A41" s="8"/>
      <c r="B41" s="14"/>
      <c r="C41" s="8"/>
      <c r="D41" s="8"/>
      <c r="E41" s="14"/>
      <c r="F41" s="14"/>
      <c r="G41" s="14"/>
      <c r="H41" s="8"/>
      <c r="I41" s="8"/>
    </row>
    <row r="42" spans="1:10" x14ac:dyDescent="0.35">
      <c r="A42" s="9">
        <v>45261</v>
      </c>
      <c r="B42" s="10">
        <v>863</v>
      </c>
      <c r="C42" s="11"/>
      <c r="D42" s="11" t="s">
        <v>224</v>
      </c>
      <c r="E42" s="10">
        <f>12+18</f>
        <v>30</v>
      </c>
      <c r="F42" s="10" t="s">
        <v>14</v>
      </c>
      <c r="G42" s="10" t="s">
        <v>200</v>
      </c>
      <c r="H42" s="53">
        <v>48000</v>
      </c>
      <c r="I42" s="53">
        <f>H42*E42</f>
        <v>1440000</v>
      </c>
    </row>
    <row r="43" spans="1:10" x14ac:dyDescent="0.35">
      <c r="A43" s="9"/>
      <c r="B43" s="10"/>
      <c r="C43" s="11"/>
      <c r="D43" s="11" t="s">
        <v>227</v>
      </c>
      <c r="E43" s="10"/>
      <c r="F43" s="10"/>
      <c r="G43" s="10"/>
      <c r="H43" s="53"/>
      <c r="I43" s="54">
        <f>SUM(I42)</f>
        <v>1440000</v>
      </c>
      <c r="J43" s="83">
        <f>I43</f>
        <v>1440000</v>
      </c>
    </row>
    <row r="44" spans="1:10" x14ac:dyDescent="0.35">
      <c r="A44" s="8"/>
      <c r="B44" s="14"/>
      <c r="C44" s="8"/>
      <c r="D44" s="8"/>
      <c r="E44" s="14"/>
      <c r="F44" s="14"/>
      <c r="G44" s="14"/>
      <c r="H44" s="8"/>
      <c r="I44" s="8"/>
    </row>
    <row r="45" spans="1:10" x14ac:dyDescent="0.35">
      <c r="A45" s="9">
        <v>45261</v>
      </c>
      <c r="B45" s="10">
        <v>864</v>
      </c>
      <c r="C45" s="11"/>
      <c r="D45" s="11" t="s">
        <v>228</v>
      </c>
      <c r="E45" s="10">
        <v>9</v>
      </c>
      <c r="F45" s="10" t="s">
        <v>14</v>
      </c>
      <c r="G45" s="10" t="s">
        <v>200</v>
      </c>
      <c r="H45" s="53">
        <v>225000</v>
      </c>
      <c r="I45" s="53">
        <f>H45*E45</f>
        <v>2025000</v>
      </c>
    </row>
    <row r="46" spans="1:10" x14ac:dyDescent="0.35">
      <c r="A46" s="9"/>
      <c r="B46" s="10"/>
      <c r="C46" s="11"/>
      <c r="D46" s="11" t="s">
        <v>227</v>
      </c>
      <c r="E46" s="10"/>
      <c r="F46" s="10"/>
      <c r="G46" s="10"/>
      <c r="H46" s="53"/>
      <c r="I46" s="54">
        <f>SUM(I45)</f>
        <v>2025000</v>
      </c>
      <c r="J46" s="83">
        <f>I46</f>
        <v>2025000</v>
      </c>
    </row>
    <row r="47" spans="1:10" x14ac:dyDescent="0.35">
      <c r="A47" s="8"/>
      <c r="B47" s="14"/>
      <c r="C47" s="8"/>
      <c r="D47" s="8"/>
      <c r="E47" s="14"/>
      <c r="F47" s="14"/>
      <c r="G47" s="14"/>
      <c r="H47" s="8"/>
      <c r="I47" s="8"/>
    </row>
    <row r="48" spans="1:10" x14ac:dyDescent="0.35">
      <c r="A48" s="9">
        <v>45261</v>
      </c>
      <c r="B48" s="10">
        <v>865</v>
      </c>
      <c r="C48" s="11"/>
      <c r="D48" s="11" t="s">
        <v>196</v>
      </c>
      <c r="E48" s="10">
        <v>5</v>
      </c>
      <c r="F48" s="10" t="s">
        <v>14</v>
      </c>
      <c r="G48" s="10" t="s">
        <v>13</v>
      </c>
      <c r="H48" s="53">
        <v>150000</v>
      </c>
      <c r="I48" s="53">
        <f>H48*E48</f>
        <v>750000</v>
      </c>
    </row>
    <row r="49" spans="1:10" x14ac:dyDescent="0.35">
      <c r="A49" s="11"/>
      <c r="B49" s="10"/>
      <c r="C49" s="11"/>
      <c r="D49" s="11"/>
      <c r="E49" s="10"/>
      <c r="F49" s="10"/>
      <c r="G49" s="10"/>
      <c r="H49" s="53"/>
      <c r="I49" s="54">
        <f>SUM(I48)</f>
        <v>750000</v>
      </c>
      <c r="J49" s="83">
        <f>I49</f>
        <v>750000</v>
      </c>
    </row>
    <row r="50" spans="1:10" x14ac:dyDescent="0.35">
      <c r="A50" s="17"/>
      <c r="B50" s="16"/>
      <c r="C50" s="17"/>
      <c r="D50" s="17"/>
      <c r="E50" s="16"/>
      <c r="F50" s="16"/>
      <c r="G50" s="16"/>
      <c r="H50" s="27"/>
      <c r="I50" s="27"/>
    </row>
    <row r="51" spans="1:10" x14ac:dyDescent="0.35">
      <c r="A51" s="9">
        <v>45288</v>
      </c>
      <c r="B51" s="10">
        <v>852</v>
      </c>
      <c r="C51" s="11" t="s">
        <v>11</v>
      </c>
      <c r="D51" s="11" t="s">
        <v>229</v>
      </c>
      <c r="E51" s="10">
        <v>144</v>
      </c>
      <c r="F51" s="10" t="s">
        <v>207</v>
      </c>
      <c r="G51" s="10" t="s">
        <v>13</v>
      </c>
      <c r="H51" s="53">
        <v>13000</v>
      </c>
      <c r="I51" s="53">
        <f>H51*E51</f>
        <v>1872000</v>
      </c>
    </row>
    <row r="52" spans="1:10" x14ac:dyDescent="0.35">
      <c r="A52" s="9"/>
      <c r="B52" s="10"/>
      <c r="C52" s="11"/>
      <c r="D52" s="11" t="s">
        <v>230</v>
      </c>
      <c r="E52" s="10">
        <v>20</v>
      </c>
      <c r="F52" s="10" t="s">
        <v>14</v>
      </c>
      <c r="G52" s="10" t="s">
        <v>13</v>
      </c>
      <c r="H52" s="53">
        <v>57500</v>
      </c>
      <c r="I52" s="53">
        <f t="shared" ref="I52:I57" si="1">H52*E52</f>
        <v>1150000</v>
      </c>
    </row>
    <row r="53" spans="1:10" x14ac:dyDescent="0.35">
      <c r="A53" s="9"/>
      <c r="B53" s="10"/>
      <c r="C53" s="11"/>
      <c r="D53" s="11" t="s">
        <v>145</v>
      </c>
      <c r="E53" s="10">
        <v>50</v>
      </c>
      <c r="F53" s="10" t="s">
        <v>12</v>
      </c>
      <c r="G53" s="10" t="s">
        <v>13</v>
      </c>
      <c r="H53" s="53">
        <v>10000</v>
      </c>
      <c r="I53" s="53">
        <f t="shared" si="1"/>
        <v>500000</v>
      </c>
    </row>
    <row r="54" spans="1:10" x14ac:dyDescent="0.35">
      <c r="A54" s="9"/>
      <c r="B54" s="10"/>
      <c r="C54" s="11"/>
      <c r="D54" s="11" t="s">
        <v>231</v>
      </c>
      <c r="E54" s="10">
        <v>100</v>
      </c>
      <c r="F54" s="10" t="s">
        <v>21</v>
      </c>
      <c r="G54" s="10" t="s">
        <v>13</v>
      </c>
      <c r="H54" s="53">
        <v>19500</v>
      </c>
      <c r="I54" s="53">
        <f t="shared" si="1"/>
        <v>1950000</v>
      </c>
    </row>
    <row r="55" spans="1:10" x14ac:dyDescent="0.35">
      <c r="A55" s="9"/>
      <c r="B55" s="10"/>
      <c r="C55" s="11"/>
      <c r="D55" s="11" t="s">
        <v>232</v>
      </c>
      <c r="E55" s="10">
        <v>10</v>
      </c>
      <c r="F55" s="10" t="s">
        <v>20</v>
      </c>
      <c r="G55" s="10" t="s">
        <v>13</v>
      </c>
      <c r="H55" s="53">
        <v>56000</v>
      </c>
      <c r="I55" s="53">
        <f t="shared" si="1"/>
        <v>560000</v>
      </c>
    </row>
    <row r="56" spans="1:10" x14ac:dyDescent="0.35">
      <c r="A56" s="9"/>
      <c r="B56" s="10"/>
      <c r="C56" s="11"/>
      <c r="D56" s="11" t="s">
        <v>233</v>
      </c>
      <c r="E56" s="10">
        <v>5</v>
      </c>
      <c r="F56" s="10" t="s">
        <v>21</v>
      </c>
      <c r="G56" s="10" t="s">
        <v>13</v>
      </c>
      <c r="H56" s="53">
        <f>150000/5</f>
        <v>30000</v>
      </c>
      <c r="I56" s="53">
        <f t="shared" si="1"/>
        <v>150000</v>
      </c>
    </row>
    <row r="57" spans="1:10" x14ac:dyDescent="0.35">
      <c r="A57" s="9"/>
      <c r="B57" s="10"/>
      <c r="C57" s="11"/>
      <c r="D57" s="11" t="s">
        <v>234</v>
      </c>
      <c r="E57" s="10">
        <v>10</v>
      </c>
      <c r="F57" s="10" t="s">
        <v>28</v>
      </c>
      <c r="G57" s="10" t="s">
        <v>13</v>
      </c>
      <c r="H57" s="53">
        <v>9500</v>
      </c>
      <c r="I57" s="53">
        <f t="shared" si="1"/>
        <v>95000</v>
      </c>
    </row>
    <row r="58" spans="1:10" x14ac:dyDescent="0.35">
      <c r="A58" s="9"/>
      <c r="B58" s="10"/>
      <c r="C58" s="11"/>
      <c r="D58" s="11" t="s">
        <v>235</v>
      </c>
      <c r="E58" s="10"/>
      <c r="F58" s="10"/>
      <c r="G58" s="10"/>
      <c r="H58" s="53"/>
      <c r="I58" s="54">
        <f>SUM(I51:I57)</f>
        <v>6277000</v>
      </c>
      <c r="J58" s="83">
        <f>I58</f>
        <v>6277000</v>
      </c>
    </row>
    <row r="59" spans="1:10" x14ac:dyDescent="0.35">
      <c r="A59" s="17"/>
      <c r="B59" s="16"/>
      <c r="C59" s="17"/>
      <c r="D59" s="17"/>
      <c r="E59" s="16"/>
      <c r="F59" s="16"/>
      <c r="G59" s="16"/>
      <c r="H59" s="27"/>
      <c r="I59" s="30"/>
    </row>
    <row r="60" spans="1:10" x14ac:dyDescent="0.35">
      <c r="A60" s="9">
        <v>45287</v>
      </c>
      <c r="B60" s="10">
        <v>842</v>
      </c>
      <c r="C60" s="11" t="s">
        <v>11</v>
      </c>
      <c r="D60" s="11" t="s">
        <v>236</v>
      </c>
      <c r="E60" s="10">
        <v>20</v>
      </c>
      <c r="F60" s="10" t="s">
        <v>21</v>
      </c>
      <c r="G60" s="10" t="s">
        <v>24</v>
      </c>
      <c r="H60" s="53">
        <v>30000</v>
      </c>
      <c r="I60" s="53">
        <f>H60*E60</f>
        <v>600000</v>
      </c>
    </row>
    <row r="61" spans="1:10" x14ac:dyDescent="0.35">
      <c r="A61" s="11"/>
      <c r="B61" s="10"/>
      <c r="C61" s="11"/>
      <c r="D61" s="11" t="s">
        <v>27</v>
      </c>
      <c r="E61" s="10">
        <v>20</v>
      </c>
      <c r="F61" s="10" t="s">
        <v>20</v>
      </c>
      <c r="G61" s="10" t="s">
        <v>24</v>
      </c>
      <c r="H61" s="53">
        <v>55000</v>
      </c>
      <c r="I61" s="53">
        <f>H61*E61</f>
        <v>1100000</v>
      </c>
    </row>
    <row r="62" spans="1:10" x14ac:dyDescent="0.35">
      <c r="A62" s="9"/>
      <c r="B62" s="10"/>
      <c r="C62" s="11"/>
      <c r="D62" s="11" t="s">
        <v>237</v>
      </c>
      <c r="E62" s="10">
        <v>20</v>
      </c>
      <c r="F62" s="10" t="s">
        <v>20</v>
      </c>
      <c r="G62" s="10" t="s">
        <v>24</v>
      </c>
      <c r="H62" s="53">
        <v>54500</v>
      </c>
      <c r="I62" s="53">
        <f>H62*E62</f>
        <v>1090000</v>
      </c>
    </row>
    <row r="63" spans="1:10" x14ac:dyDescent="0.35">
      <c r="A63" s="11"/>
      <c r="B63" s="10"/>
      <c r="C63" s="11"/>
      <c r="D63" s="11"/>
      <c r="E63" s="10"/>
      <c r="F63" s="10"/>
      <c r="G63" s="10"/>
      <c r="H63" s="53"/>
      <c r="I63" s="54">
        <f>SUM(I60:I62)</f>
        <v>2790000</v>
      </c>
      <c r="J63" s="83">
        <f>I63</f>
        <v>2790000</v>
      </c>
    </row>
    <row r="64" spans="1:10" x14ac:dyDescent="0.35">
      <c r="A64" s="11"/>
      <c r="B64" s="10"/>
      <c r="C64" s="11"/>
      <c r="D64" s="11"/>
      <c r="E64" s="10"/>
      <c r="F64" s="10"/>
      <c r="G64" s="10"/>
      <c r="H64" s="18"/>
      <c r="I64" s="18"/>
    </row>
    <row r="65" spans="1:10" x14ac:dyDescent="0.35">
      <c r="A65" s="9">
        <v>45282</v>
      </c>
      <c r="B65" s="10">
        <v>840</v>
      </c>
      <c r="C65" s="11" t="s">
        <v>238</v>
      </c>
      <c r="D65" s="11" t="s">
        <v>239</v>
      </c>
      <c r="E65" s="10">
        <v>3</v>
      </c>
      <c r="F65" s="10" t="s">
        <v>240</v>
      </c>
      <c r="G65" s="10" t="s">
        <v>200</v>
      </c>
      <c r="H65" s="53">
        <v>15000</v>
      </c>
      <c r="I65" s="53">
        <f t="shared" ref="I65:I72" si="2">H65*E65</f>
        <v>45000</v>
      </c>
    </row>
    <row r="66" spans="1:10" x14ac:dyDescent="0.35">
      <c r="A66" s="11"/>
      <c r="B66" s="10"/>
      <c r="C66" s="11"/>
      <c r="D66" s="11" t="s">
        <v>241</v>
      </c>
      <c r="E66" s="10">
        <v>3</v>
      </c>
      <c r="F66" s="10" t="s">
        <v>240</v>
      </c>
      <c r="G66" s="10" t="s">
        <v>200</v>
      </c>
      <c r="H66" s="53">
        <v>15000</v>
      </c>
      <c r="I66" s="53">
        <f t="shared" si="2"/>
        <v>45000</v>
      </c>
    </row>
    <row r="67" spans="1:10" x14ac:dyDescent="0.35">
      <c r="A67" s="11"/>
      <c r="B67" s="10"/>
      <c r="C67" s="11"/>
      <c r="D67" s="11" t="s">
        <v>242</v>
      </c>
      <c r="E67" s="10">
        <v>3</v>
      </c>
      <c r="F67" s="10" t="s">
        <v>240</v>
      </c>
      <c r="G67" s="10" t="s">
        <v>200</v>
      </c>
      <c r="H67" s="53">
        <v>15000</v>
      </c>
      <c r="I67" s="53">
        <f t="shared" si="2"/>
        <v>45000</v>
      </c>
    </row>
    <row r="68" spans="1:10" x14ac:dyDescent="0.35">
      <c r="A68" s="11"/>
      <c r="B68" s="10"/>
      <c r="C68" s="11"/>
      <c r="D68" s="11" t="s">
        <v>243</v>
      </c>
      <c r="E68" s="10">
        <v>3</v>
      </c>
      <c r="F68" s="10" t="s">
        <v>240</v>
      </c>
      <c r="G68" s="10" t="s">
        <v>200</v>
      </c>
      <c r="H68" s="53">
        <v>15034.7</v>
      </c>
      <c r="I68" s="53">
        <f t="shared" si="2"/>
        <v>45104.100000000006</v>
      </c>
    </row>
    <row r="69" spans="1:10" x14ac:dyDescent="0.35">
      <c r="A69" s="11"/>
      <c r="B69" s="10"/>
      <c r="C69" s="11"/>
      <c r="D69" s="11" t="s">
        <v>244</v>
      </c>
      <c r="E69" s="10">
        <v>18</v>
      </c>
      <c r="F69" s="10" t="s">
        <v>240</v>
      </c>
      <c r="G69" s="10" t="s">
        <v>200</v>
      </c>
      <c r="H69" s="53">
        <v>8650</v>
      </c>
      <c r="I69" s="53">
        <f t="shared" si="2"/>
        <v>155700</v>
      </c>
    </row>
    <row r="70" spans="1:10" x14ac:dyDescent="0.35">
      <c r="A70" s="11"/>
      <c r="B70" s="10"/>
      <c r="C70" s="11"/>
      <c r="D70" s="11" t="s">
        <v>245</v>
      </c>
      <c r="E70" s="10">
        <v>18</v>
      </c>
      <c r="F70" s="10" t="s">
        <v>240</v>
      </c>
      <c r="G70" s="10" t="s">
        <v>200</v>
      </c>
      <c r="H70" s="53">
        <v>8650</v>
      </c>
      <c r="I70" s="53">
        <f t="shared" si="2"/>
        <v>155700</v>
      </c>
    </row>
    <row r="71" spans="1:10" x14ac:dyDescent="0.35">
      <c r="A71" s="11"/>
      <c r="B71" s="10"/>
      <c r="C71" s="11"/>
      <c r="D71" s="11" t="s">
        <v>246</v>
      </c>
      <c r="E71" s="10">
        <v>18</v>
      </c>
      <c r="F71" s="10" t="s">
        <v>240</v>
      </c>
      <c r="G71" s="10" t="s">
        <v>200</v>
      </c>
      <c r="H71" s="53">
        <v>8600</v>
      </c>
      <c r="I71" s="53">
        <f t="shared" si="2"/>
        <v>154800</v>
      </c>
    </row>
    <row r="72" spans="1:10" x14ac:dyDescent="0.35">
      <c r="A72" s="11"/>
      <c r="B72" s="10"/>
      <c r="C72" s="11"/>
      <c r="D72" s="11" t="s">
        <v>247</v>
      </c>
      <c r="E72" s="10">
        <v>18</v>
      </c>
      <c r="F72" s="10" t="s">
        <v>240</v>
      </c>
      <c r="G72" s="10" t="s">
        <v>200</v>
      </c>
      <c r="H72" s="53">
        <v>8600</v>
      </c>
      <c r="I72" s="53">
        <f t="shared" si="2"/>
        <v>154800</v>
      </c>
    </row>
    <row r="73" spans="1:10" x14ac:dyDescent="0.35">
      <c r="A73" s="9"/>
      <c r="B73" s="10"/>
      <c r="C73" s="11"/>
      <c r="D73" s="11"/>
      <c r="E73" s="10"/>
      <c r="F73" s="10"/>
      <c r="G73" s="10"/>
      <c r="H73" s="53"/>
      <c r="I73" s="54">
        <f>SUM(I65:I72)</f>
        <v>801104.1</v>
      </c>
      <c r="J73" s="83">
        <f>I73</f>
        <v>801104.1</v>
      </c>
    </row>
    <row r="74" spans="1:10" x14ac:dyDescent="0.35">
      <c r="A74" s="9"/>
      <c r="B74" s="10"/>
      <c r="C74" s="11"/>
      <c r="D74" s="11"/>
      <c r="E74" s="10"/>
      <c r="F74" s="10"/>
      <c r="G74" s="10"/>
      <c r="H74" s="18"/>
      <c r="I74" s="18"/>
    </row>
    <row r="75" spans="1:10" x14ac:dyDescent="0.35">
      <c r="A75" s="9">
        <v>45282</v>
      </c>
      <c r="B75" s="10">
        <v>839</v>
      </c>
      <c r="C75" s="11" t="s">
        <v>11</v>
      </c>
      <c r="D75" s="11" t="s">
        <v>73</v>
      </c>
      <c r="E75" s="10">
        <v>2</v>
      </c>
      <c r="F75" s="10" t="s">
        <v>14</v>
      </c>
      <c r="G75" s="10" t="s">
        <v>13</v>
      </c>
      <c r="H75" s="53">
        <v>94000</v>
      </c>
      <c r="I75" s="53">
        <f>H75*E75</f>
        <v>188000</v>
      </c>
    </row>
    <row r="76" spans="1:10" x14ac:dyDescent="0.35">
      <c r="A76" s="9"/>
      <c r="B76" s="10"/>
      <c r="C76" s="11"/>
      <c r="D76" s="11" t="s">
        <v>248</v>
      </c>
      <c r="E76" s="10">
        <v>2</v>
      </c>
      <c r="F76" s="10" t="s">
        <v>14</v>
      </c>
      <c r="G76" s="10" t="s">
        <v>13</v>
      </c>
      <c r="H76" s="53">
        <v>94000</v>
      </c>
      <c r="I76" s="53">
        <f t="shared" ref="I76:I78" si="3">H76*E76</f>
        <v>188000</v>
      </c>
    </row>
    <row r="77" spans="1:10" x14ac:dyDescent="0.35">
      <c r="A77" s="11"/>
      <c r="B77" s="10"/>
      <c r="C77" s="11"/>
      <c r="D77" s="11" t="s">
        <v>249</v>
      </c>
      <c r="E77" s="10">
        <v>30</v>
      </c>
      <c r="F77" s="10" t="s">
        <v>28</v>
      </c>
      <c r="G77" s="10" t="s">
        <v>13</v>
      </c>
      <c r="H77" s="53">
        <v>2500</v>
      </c>
      <c r="I77" s="53">
        <f t="shared" si="3"/>
        <v>75000</v>
      </c>
    </row>
    <row r="78" spans="1:10" x14ac:dyDescent="0.35">
      <c r="A78" s="11"/>
      <c r="B78" s="10"/>
      <c r="C78" s="11"/>
      <c r="D78" s="11" t="s">
        <v>250</v>
      </c>
      <c r="E78" s="10">
        <v>20</v>
      </c>
      <c r="F78" s="10" t="s">
        <v>52</v>
      </c>
      <c r="G78" s="10" t="s">
        <v>24</v>
      </c>
      <c r="H78" s="53">
        <v>4500</v>
      </c>
      <c r="I78" s="53">
        <f t="shared" si="3"/>
        <v>90000</v>
      </c>
    </row>
    <row r="79" spans="1:10" x14ac:dyDescent="0.35">
      <c r="A79" s="11"/>
      <c r="B79" s="10"/>
      <c r="C79" s="11"/>
      <c r="D79" s="11"/>
      <c r="E79" s="10"/>
      <c r="F79" s="10"/>
      <c r="G79" s="10"/>
      <c r="H79" s="53"/>
      <c r="I79" s="54">
        <f>SUM(I75:I78)</f>
        <v>541000</v>
      </c>
      <c r="J79" s="83">
        <f>I79</f>
        <v>541000</v>
      </c>
    </row>
    <row r="80" spans="1:10" x14ac:dyDescent="0.35">
      <c r="A80" s="9"/>
      <c r="B80" s="10"/>
      <c r="C80" s="15"/>
      <c r="D80" s="11"/>
      <c r="E80" s="10"/>
      <c r="F80" s="10"/>
      <c r="G80" s="10"/>
      <c r="H80" s="18"/>
      <c r="I80" s="18"/>
    </row>
    <row r="81" spans="1:10" x14ac:dyDescent="0.35">
      <c r="A81" s="9">
        <v>45281</v>
      </c>
      <c r="B81" s="10">
        <v>838</v>
      </c>
      <c r="C81" s="11" t="s">
        <v>56</v>
      </c>
      <c r="D81" s="11" t="s">
        <v>251</v>
      </c>
      <c r="E81" s="10">
        <v>50</v>
      </c>
      <c r="F81" s="10" t="s">
        <v>20</v>
      </c>
      <c r="G81" s="10" t="s">
        <v>13</v>
      </c>
      <c r="H81" s="53">
        <v>43500</v>
      </c>
      <c r="I81" s="53">
        <f>H81*E81</f>
        <v>2175000</v>
      </c>
    </row>
    <row r="82" spans="1:10" x14ac:dyDescent="0.35">
      <c r="A82" s="8"/>
      <c r="B82" s="10"/>
      <c r="C82" s="8"/>
      <c r="D82" s="11" t="s">
        <v>252</v>
      </c>
      <c r="E82" s="10">
        <v>100</v>
      </c>
      <c r="F82" s="10" t="s">
        <v>20</v>
      </c>
      <c r="G82" s="10" t="s">
        <v>13</v>
      </c>
      <c r="H82" s="53">
        <v>38200</v>
      </c>
      <c r="I82" s="53">
        <f>H82*E82</f>
        <v>3820000</v>
      </c>
    </row>
    <row r="83" spans="1:10" x14ac:dyDescent="0.35">
      <c r="A83" s="8"/>
      <c r="B83" s="10"/>
      <c r="C83" s="8"/>
      <c r="D83" s="11"/>
      <c r="E83" s="10"/>
      <c r="F83" s="10"/>
      <c r="G83" s="10"/>
      <c r="H83" s="53"/>
      <c r="I83" s="54">
        <f>SUM(I81:I82)</f>
        <v>5995000</v>
      </c>
      <c r="J83" s="83">
        <f>I83</f>
        <v>5995000</v>
      </c>
    </row>
    <row r="84" spans="1:10" x14ac:dyDescent="0.35">
      <c r="A84" s="9"/>
      <c r="B84" s="10"/>
      <c r="C84" s="11"/>
      <c r="D84" s="11"/>
      <c r="E84" s="10"/>
      <c r="F84" s="10"/>
      <c r="G84" s="10"/>
      <c r="H84" s="18"/>
      <c r="I84" s="18"/>
    </row>
    <row r="85" spans="1:10" x14ac:dyDescent="0.35">
      <c r="A85" s="9">
        <v>45280</v>
      </c>
      <c r="B85" s="10">
        <v>835</v>
      </c>
      <c r="C85" s="11" t="s">
        <v>56</v>
      </c>
      <c r="D85" s="11" t="s">
        <v>251</v>
      </c>
      <c r="E85" s="10">
        <v>100</v>
      </c>
      <c r="F85" s="10" t="s">
        <v>20</v>
      </c>
      <c r="G85" s="10" t="s">
        <v>13</v>
      </c>
      <c r="H85" s="53">
        <v>43200</v>
      </c>
      <c r="I85" s="53">
        <f>H85*E85</f>
        <v>4320000</v>
      </c>
    </row>
    <row r="86" spans="1:10" x14ac:dyDescent="0.35">
      <c r="A86" s="11"/>
      <c r="B86" s="10"/>
      <c r="C86" s="11"/>
      <c r="D86" s="11" t="s">
        <v>252</v>
      </c>
      <c r="E86" s="10">
        <v>150</v>
      </c>
      <c r="F86" s="10" t="s">
        <v>20</v>
      </c>
      <c r="G86" s="10" t="s">
        <v>13</v>
      </c>
      <c r="H86" s="53">
        <v>38200</v>
      </c>
      <c r="I86" s="53">
        <f>H86*E86</f>
        <v>5730000</v>
      </c>
    </row>
    <row r="87" spans="1:10" x14ac:dyDescent="0.35">
      <c r="A87" s="11"/>
      <c r="B87" s="10"/>
      <c r="C87" s="11"/>
      <c r="D87" s="11" t="s">
        <v>253</v>
      </c>
      <c r="E87" s="10">
        <v>48</v>
      </c>
      <c r="F87" s="10" t="s">
        <v>14</v>
      </c>
      <c r="G87" s="10" t="s">
        <v>13</v>
      </c>
      <c r="H87" s="53">
        <v>9229.17</v>
      </c>
      <c r="I87" s="53">
        <f>H87*E87</f>
        <v>443000.16000000003</v>
      </c>
    </row>
    <row r="88" spans="1:10" x14ac:dyDescent="0.35">
      <c r="A88" s="9"/>
      <c r="B88" s="10"/>
      <c r="C88" s="11"/>
      <c r="D88" s="11"/>
      <c r="E88" s="10"/>
      <c r="F88" s="10"/>
      <c r="G88" s="10"/>
      <c r="H88" s="53"/>
      <c r="I88" s="54">
        <f>SUM(I85:I87)</f>
        <v>10493000.16</v>
      </c>
      <c r="J88" s="83">
        <f>I88</f>
        <v>10493000.16</v>
      </c>
    </row>
    <row r="89" spans="1:10" x14ac:dyDescent="0.35">
      <c r="A89" s="8"/>
      <c r="B89" s="10"/>
      <c r="C89" s="8"/>
      <c r="D89" s="11"/>
      <c r="E89" s="10"/>
      <c r="F89" s="10"/>
      <c r="G89" s="10"/>
      <c r="H89" s="53"/>
      <c r="I89" s="54"/>
    </row>
    <row r="90" spans="1:10" x14ac:dyDescent="0.35">
      <c r="A90" s="9">
        <v>45280</v>
      </c>
      <c r="B90" s="10">
        <v>836</v>
      </c>
      <c r="C90" s="11" t="s">
        <v>11</v>
      </c>
      <c r="D90" s="11" t="s">
        <v>230</v>
      </c>
      <c r="E90" s="10">
        <v>10</v>
      </c>
      <c r="F90" s="10" t="s">
        <v>14</v>
      </c>
      <c r="G90" s="10" t="s">
        <v>13</v>
      </c>
      <c r="H90" s="53">
        <v>57500</v>
      </c>
      <c r="I90" s="53">
        <f>H90*E90</f>
        <v>575000</v>
      </c>
    </row>
    <row r="91" spans="1:10" x14ac:dyDescent="0.35">
      <c r="A91" s="9"/>
      <c r="B91" s="10"/>
      <c r="C91" s="11"/>
      <c r="D91" s="11"/>
      <c r="E91" s="10"/>
      <c r="F91" s="10"/>
      <c r="G91" s="10"/>
      <c r="H91" s="53"/>
      <c r="I91" s="54">
        <f>SUM(I90)</f>
        <v>575000</v>
      </c>
      <c r="J91" s="83">
        <f>I91</f>
        <v>575000</v>
      </c>
    </row>
    <row r="92" spans="1:10" x14ac:dyDescent="0.35">
      <c r="A92" s="8"/>
      <c r="B92" s="10"/>
      <c r="C92" s="11"/>
      <c r="D92" s="11"/>
      <c r="E92" s="10"/>
      <c r="F92" s="10"/>
      <c r="G92" s="10"/>
      <c r="H92" s="53"/>
      <c r="I92" s="53"/>
    </row>
    <row r="93" spans="1:10" x14ac:dyDescent="0.35">
      <c r="A93" s="9">
        <v>45280</v>
      </c>
      <c r="B93" s="10">
        <v>837</v>
      </c>
      <c r="C93" s="11" t="s">
        <v>254</v>
      </c>
      <c r="D93" s="11" t="s">
        <v>255</v>
      </c>
      <c r="E93" s="10">
        <f>6*12</f>
        <v>72</v>
      </c>
      <c r="F93" s="10" t="s">
        <v>240</v>
      </c>
      <c r="G93" s="10" t="s">
        <v>200</v>
      </c>
      <c r="H93" s="53">
        <v>300</v>
      </c>
      <c r="I93" s="53">
        <f>H93*E93</f>
        <v>21600</v>
      </c>
    </row>
    <row r="94" spans="1:10" x14ac:dyDescent="0.35">
      <c r="A94" s="11"/>
      <c r="B94" s="10"/>
      <c r="C94" s="11"/>
      <c r="D94" s="11" t="s">
        <v>256</v>
      </c>
      <c r="E94" s="10">
        <v>126</v>
      </c>
      <c r="F94" s="10" t="s">
        <v>240</v>
      </c>
      <c r="G94" s="10" t="s">
        <v>200</v>
      </c>
      <c r="H94" s="53">
        <f>700+93.42</f>
        <v>793.42</v>
      </c>
      <c r="I94" s="53">
        <f>H94*E94</f>
        <v>99970.92</v>
      </c>
    </row>
    <row r="95" spans="1:10" x14ac:dyDescent="0.35">
      <c r="A95" s="9"/>
      <c r="B95" s="10"/>
      <c r="C95" s="11"/>
      <c r="D95" s="11" t="s">
        <v>257</v>
      </c>
      <c r="E95" s="10">
        <v>24</v>
      </c>
      <c r="F95" s="10" t="s">
        <v>240</v>
      </c>
      <c r="G95" s="10" t="s">
        <v>200</v>
      </c>
      <c r="H95" s="53">
        <v>7200</v>
      </c>
      <c r="I95" s="53">
        <f>H95*E95</f>
        <v>172800</v>
      </c>
    </row>
    <row r="96" spans="1:10" x14ac:dyDescent="0.35">
      <c r="A96" s="11"/>
      <c r="B96" s="10"/>
      <c r="C96" s="11"/>
      <c r="D96" s="11"/>
      <c r="E96" s="10"/>
      <c r="F96" s="10"/>
      <c r="G96" s="10"/>
      <c r="H96" s="53"/>
      <c r="I96" s="54">
        <f>SUM(I93:I95)</f>
        <v>294370.92</v>
      </c>
      <c r="J96" s="83">
        <f>I96</f>
        <v>294370.92</v>
      </c>
    </row>
    <row r="97" spans="1:10" x14ac:dyDescent="0.35">
      <c r="A97" s="11"/>
      <c r="B97" s="10"/>
      <c r="C97" s="11"/>
      <c r="D97" s="11"/>
      <c r="E97" s="10"/>
      <c r="F97" s="10"/>
      <c r="G97" s="10"/>
      <c r="H97" s="18"/>
      <c r="I97" s="18"/>
    </row>
    <row r="98" spans="1:10" x14ac:dyDescent="0.35">
      <c r="A98" s="9">
        <v>45280</v>
      </c>
      <c r="B98" s="10">
        <v>834</v>
      </c>
      <c r="C98" s="11" t="s">
        <v>258</v>
      </c>
      <c r="D98" s="11" t="s">
        <v>259</v>
      </c>
      <c r="E98" s="10">
        <v>50</v>
      </c>
      <c r="F98" s="10" t="s">
        <v>14</v>
      </c>
      <c r="G98" s="10" t="s">
        <v>13</v>
      </c>
      <c r="H98" s="53">
        <v>68000</v>
      </c>
      <c r="I98" s="53">
        <f>H98*E98</f>
        <v>3400000</v>
      </c>
    </row>
    <row r="99" spans="1:10" x14ac:dyDescent="0.35">
      <c r="A99" s="9"/>
      <c r="B99" s="10"/>
      <c r="C99" s="11"/>
      <c r="D99" s="11"/>
      <c r="E99" s="10"/>
      <c r="F99" s="10"/>
      <c r="G99" s="10"/>
      <c r="H99" s="53"/>
      <c r="I99" s="54">
        <f>SUM(I98)</f>
        <v>3400000</v>
      </c>
      <c r="J99" s="83">
        <f>I99</f>
        <v>3400000</v>
      </c>
    </row>
    <row r="100" spans="1:10" x14ac:dyDescent="0.35">
      <c r="A100" s="8"/>
      <c r="B100" s="8"/>
      <c r="C100" s="8"/>
      <c r="D100" s="8"/>
      <c r="E100" s="8"/>
      <c r="F100" s="8"/>
      <c r="G100" s="8"/>
      <c r="H100" s="8"/>
      <c r="I100" s="8"/>
    </row>
    <row r="101" spans="1:10" x14ac:dyDescent="0.35">
      <c r="A101" s="9">
        <v>45279</v>
      </c>
      <c r="B101" s="10">
        <v>829</v>
      </c>
      <c r="C101" s="11" t="s">
        <v>11</v>
      </c>
      <c r="D101" s="11" t="s">
        <v>26</v>
      </c>
      <c r="E101" s="10">
        <v>50</v>
      </c>
      <c r="F101" s="10" t="s">
        <v>20</v>
      </c>
      <c r="G101" s="10" t="s">
        <v>13</v>
      </c>
      <c r="H101" s="53">
        <v>50000</v>
      </c>
      <c r="I101" s="53">
        <f>H101*E101</f>
        <v>2500000</v>
      </c>
    </row>
    <row r="102" spans="1:10" x14ac:dyDescent="0.35">
      <c r="A102" s="11"/>
      <c r="B102" s="10"/>
      <c r="C102" s="11"/>
      <c r="D102" s="11"/>
      <c r="E102" s="10"/>
      <c r="F102" s="10"/>
      <c r="G102" s="10"/>
      <c r="H102" s="53"/>
      <c r="I102" s="54">
        <f>SUM(I101)</f>
        <v>2500000</v>
      </c>
      <c r="J102" s="83">
        <f>I102</f>
        <v>2500000</v>
      </c>
    </row>
    <row r="103" spans="1:10" x14ac:dyDescent="0.35">
      <c r="A103" s="11"/>
      <c r="B103" s="10"/>
      <c r="C103" s="11"/>
      <c r="D103" s="11"/>
      <c r="E103" s="10"/>
      <c r="F103" s="10"/>
      <c r="G103" s="10"/>
      <c r="H103" s="18"/>
      <c r="I103" s="18"/>
    </row>
    <row r="104" spans="1:10" x14ac:dyDescent="0.35">
      <c r="A104" s="9">
        <v>45275</v>
      </c>
      <c r="B104" s="10">
        <v>826</v>
      </c>
      <c r="C104" s="11" t="s">
        <v>11</v>
      </c>
      <c r="D104" s="11" t="s">
        <v>29</v>
      </c>
      <c r="E104" s="10">
        <v>50</v>
      </c>
      <c r="F104" s="10" t="s">
        <v>20</v>
      </c>
      <c r="G104" s="10" t="s">
        <v>13</v>
      </c>
      <c r="H104" s="53">
        <v>44000</v>
      </c>
      <c r="I104" s="53">
        <f>H104*E104</f>
        <v>2200000</v>
      </c>
    </row>
    <row r="105" spans="1:10" x14ac:dyDescent="0.35">
      <c r="A105" s="11"/>
      <c r="B105" s="10"/>
      <c r="C105" s="11"/>
      <c r="D105" s="11" t="s">
        <v>26</v>
      </c>
      <c r="E105" s="10">
        <v>50</v>
      </c>
      <c r="F105" s="10" t="s">
        <v>20</v>
      </c>
      <c r="G105" s="10" t="s">
        <v>13</v>
      </c>
      <c r="H105" s="53">
        <v>50000</v>
      </c>
      <c r="I105" s="53">
        <f>H105*E105</f>
        <v>2500000</v>
      </c>
    </row>
    <row r="106" spans="1:10" x14ac:dyDescent="0.35">
      <c r="A106" s="11"/>
      <c r="B106" s="10"/>
      <c r="C106" s="11"/>
      <c r="D106" s="11" t="s">
        <v>260</v>
      </c>
      <c r="E106" s="10">
        <v>70</v>
      </c>
      <c r="F106" s="10" t="s">
        <v>12</v>
      </c>
      <c r="G106" s="10" t="s">
        <v>13</v>
      </c>
      <c r="H106" s="53">
        <v>3750</v>
      </c>
      <c r="I106" s="53">
        <f>H106*E106</f>
        <v>262500</v>
      </c>
    </row>
    <row r="107" spans="1:10" x14ac:dyDescent="0.35">
      <c r="A107" s="11"/>
      <c r="B107" s="10"/>
      <c r="C107" s="11"/>
      <c r="D107" s="11"/>
      <c r="E107" s="10"/>
      <c r="F107" s="10"/>
      <c r="G107" s="10"/>
      <c r="H107" s="53"/>
      <c r="I107" s="54">
        <f>SUM(I104:I106)</f>
        <v>4962500</v>
      </c>
      <c r="J107" s="83">
        <f>I107</f>
        <v>4962500</v>
      </c>
    </row>
    <row r="108" spans="1:10" x14ac:dyDescent="0.35">
      <c r="A108" s="11"/>
      <c r="B108" s="10"/>
      <c r="C108" s="11"/>
      <c r="D108" s="11"/>
      <c r="E108" s="10"/>
      <c r="F108" s="10"/>
      <c r="G108" s="10"/>
      <c r="H108" s="53"/>
      <c r="I108" s="54"/>
    </row>
    <row r="109" spans="1:10" x14ac:dyDescent="0.35">
      <c r="A109" s="9">
        <v>45278</v>
      </c>
      <c r="B109" s="10">
        <v>827</v>
      </c>
      <c r="C109" s="11" t="s">
        <v>261</v>
      </c>
      <c r="D109" s="11" t="s">
        <v>262</v>
      </c>
      <c r="E109" s="10">
        <v>84</v>
      </c>
      <c r="F109" s="10" t="s">
        <v>14</v>
      </c>
      <c r="G109" s="10" t="s">
        <v>200</v>
      </c>
      <c r="H109" s="60">
        <v>115000</v>
      </c>
      <c r="I109" s="60">
        <f>H109*E109</f>
        <v>9660000</v>
      </c>
    </row>
    <row r="110" spans="1:10" x14ac:dyDescent="0.35">
      <c r="A110" s="11"/>
      <c r="B110" s="10"/>
      <c r="C110" s="11"/>
      <c r="D110" s="11" t="s">
        <v>263</v>
      </c>
      <c r="E110" s="10">
        <v>9</v>
      </c>
      <c r="F110" s="10" t="s">
        <v>14</v>
      </c>
      <c r="G110" s="10" t="s">
        <v>200</v>
      </c>
      <c r="H110" s="60">
        <v>430000</v>
      </c>
      <c r="I110" s="60">
        <f t="shared" ref="I110" si="4">H110*E110</f>
        <v>3870000</v>
      </c>
    </row>
    <row r="111" spans="1:10" x14ac:dyDescent="0.35">
      <c r="A111" s="11"/>
      <c r="B111" s="10"/>
      <c r="C111" s="11"/>
      <c r="D111" s="11"/>
      <c r="E111" s="10"/>
      <c r="F111" s="10"/>
      <c r="G111" s="10"/>
      <c r="H111" s="53"/>
      <c r="I111" s="56">
        <f>SUM(I109:I110)</f>
        <v>13530000</v>
      </c>
      <c r="J111" s="83">
        <f>I111</f>
        <v>13530000</v>
      </c>
    </row>
    <row r="112" spans="1:10" x14ac:dyDescent="0.35">
      <c r="A112" s="8"/>
      <c r="B112" s="8"/>
      <c r="C112" s="8"/>
      <c r="D112" s="8"/>
      <c r="E112" s="8"/>
      <c r="F112" s="8"/>
      <c r="G112" s="8"/>
      <c r="H112" s="8"/>
      <c r="I112" s="8"/>
    </row>
    <row r="113" spans="1:10" x14ac:dyDescent="0.35">
      <c r="A113" s="9">
        <v>45273</v>
      </c>
      <c r="B113" s="10">
        <v>820</v>
      </c>
      <c r="C113" s="11"/>
      <c r="D113" s="11" t="s">
        <v>264</v>
      </c>
      <c r="E113" s="10">
        <v>8</v>
      </c>
      <c r="F113" s="10" t="s">
        <v>14</v>
      </c>
      <c r="G113" s="10" t="s">
        <v>200</v>
      </c>
      <c r="H113" s="60">
        <v>2275000</v>
      </c>
      <c r="I113" s="60">
        <f>H113*E113</f>
        <v>18200000</v>
      </c>
    </row>
    <row r="114" spans="1:10" x14ac:dyDescent="0.35">
      <c r="A114" s="11"/>
      <c r="B114" s="10"/>
      <c r="C114" s="11"/>
      <c r="D114" s="11" t="s">
        <v>265</v>
      </c>
      <c r="E114" s="10">
        <v>5</v>
      </c>
      <c r="F114" s="10" t="s">
        <v>14</v>
      </c>
      <c r="G114" s="10" t="s">
        <v>200</v>
      </c>
      <c r="H114" s="60">
        <v>2275000</v>
      </c>
      <c r="I114" s="60">
        <f>H114*E114</f>
        <v>11375000</v>
      </c>
    </row>
    <row r="115" spans="1:10" x14ac:dyDescent="0.35">
      <c r="A115" s="11"/>
      <c r="B115" s="10"/>
      <c r="C115" s="11"/>
      <c r="D115" s="22" t="s">
        <v>266</v>
      </c>
      <c r="E115" s="21">
        <v>30</v>
      </c>
      <c r="F115" s="21" t="s">
        <v>14</v>
      </c>
      <c r="G115" s="21" t="s">
        <v>200</v>
      </c>
      <c r="H115" s="61">
        <f>3350000/30</f>
        <v>111666.66666666667</v>
      </c>
      <c r="I115" s="61">
        <f>H115*E115</f>
        <v>3350000</v>
      </c>
    </row>
    <row r="116" spans="1:10" x14ac:dyDescent="0.35">
      <c r="A116" s="11"/>
      <c r="B116" s="10"/>
      <c r="C116" s="11"/>
      <c r="D116" s="11"/>
      <c r="E116" s="10"/>
      <c r="F116" s="10"/>
      <c r="G116" s="10"/>
      <c r="H116" s="11"/>
      <c r="I116" s="56">
        <f>SUM(I113:I115)</f>
        <v>32925000</v>
      </c>
      <c r="J116" s="83">
        <f>I116</f>
        <v>32925000</v>
      </c>
    </row>
    <row r="117" spans="1:10" x14ac:dyDescent="0.35">
      <c r="A117" s="11"/>
      <c r="B117" s="10"/>
      <c r="C117" s="11"/>
      <c r="D117" s="11"/>
      <c r="E117" s="10"/>
      <c r="F117" s="10"/>
      <c r="G117" s="10"/>
      <c r="H117" s="18"/>
      <c r="I117" s="18"/>
    </row>
    <row r="118" spans="1:10" x14ac:dyDescent="0.35">
      <c r="A118" s="9">
        <v>45272</v>
      </c>
      <c r="B118" s="10">
        <v>817</v>
      </c>
      <c r="C118" s="11" t="s">
        <v>11</v>
      </c>
      <c r="D118" s="11" t="s">
        <v>268</v>
      </c>
      <c r="E118" s="10">
        <v>30</v>
      </c>
      <c r="F118" s="10" t="s">
        <v>14</v>
      </c>
      <c r="G118" s="10" t="s">
        <v>13</v>
      </c>
      <c r="H118" s="53">
        <v>18500</v>
      </c>
      <c r="I118" s="53">
        <f t="shared" ref="I118:I143" si="5">H118*E118</f>
        <v>555000</v>
      </c>
    </row>
    <row r="119" spans="1:10" x14ac:dyDescent="0.35">
      <c r="A119" s="11"/>
      <c r="B119" s="10"/>
      <c r="C119" s="11"/>
      <c r="D119" s="11" t="s">
        <v>269</v>
      </c>
      <c r="E119" s="10">
        <v>5</v>
      </c>
      <c r="F119" s="10" t="s">
        <v>14</v>
      </c>
      <c r="G119" s="10" t="s">
        <v>13</v>
      </c>
      <c r="H119" s="53">
        <v>75000</v>
      </c>
      <c r="I119" s="53">
        <f t="shared" si="5"/>
        <v>375000</v>
      </c>
    </row>
    <row r="120" spans="1:10" x14ac:dyDescent="0.35">
      <c r="A120" s="9"/>
      <c r="B120" s="10"/>
      <c r="C120" s="11"/>
      <c r="D120" s="11" t="s">
        <v>270</v>
      </c>
      <c r="E120" s="10">
        <v>5</v>
      </c>
      <c r="F120" s="10" t="s">
        <v>14</v>
      </c>
      <c r="G120" s="10" t="s">
        <v>13</v>
      </c>
      <c r="H120" s="53">
        <v>54000</v>
      </c>
      <c r="I120" s="53">
        <f t="shared" si="5"/>
        <v>270000</v>
      </c>
    </row>
    <row r="121" spans="1:10" x14ac:dyDescent="0.35">
      <c r="A121" s="11"/>
      <c r="B121" s="10"/>
      <c r="C121" s="11"/>
      <c r="D121" s="11" t="s">
        <v>271</v>
      </c>
      <c r="E121" s="10">
        <v>10</v>
      </c>
      <c r="F121" s="10" t="s">
        <v>25</v>
      </c>
      <c r="G121" s="10" t="s">
        <v>13</v>
      </c>
      <c r="H121" s="53">
        <v>18500</v>
      </c>
      <c r="I121" s="53">
        <f t="shared" si="5"/>
        <v>185000</v>
      </c>
    </row>
    <row r="122" spans="1:10" x14ac:dyDescent="0.35">
      <c r="A122" s="11"/>
      <c r="B122" s="10"/>
      <c r="C122" s="11"/>
      <c r="D122" s="11" t="s">
        <v>272</v>
      </c>
      <c r="E122" s="10">
        <v>60</v>
      </c>
      <c r="F122" s="10" t="s">
        <v>28</v>
      </c>
      <c r="G122" s="10" t="s">
        <v>13</v>
      </c>
      <c r="H122" s="53">
        <v>3000</v>
      </c>
      <c r="I122" s="53">
        <f t="shared" si="5"/>
        <v>180000</v>
      </c>
    </row>
    <row r="123" spans="1:10" x14ac:dyDescent="0.35">
      <c r="A123" s="11"/>
      <c r="B123" s="10"/>
      <c r="C123" s="11"/>
      <c r="D123" s="11" t="s">
        <v>273</v>
      </c>
      <c r="E123" s="10">
        <v>12</v>
      </c>
      <c r="F123" s="10" t="s">
        <v>28</v>
      </c>
      <c r="G123" s="10" t="s">
        <v>13</v>
      </c>
      <c r="H123" s="53">
        <v>9500</v>
      </c>
      <c r="I123" s="53">
        <f t="shared" si="5"/>
        <v>114000</v>
      </c>
    </row>
    <row r="124" spans="1:10" x14ac:dyDescent="0.35">
      <c r="A124" s="9"/>
      <c r="B124" s="10"/>
      <c r="C124" s="11"/>
      <c r="D124" s="11" t="s">
        <v>274</v>
      </c>
      <c r="E124" s="10">
        <v>12</v>
      </c>
      <c r="F124" s="10" t="s">
        <v>14</v>
      </c>
      <c r="G124" s="10" t="s">
        <v>13</v>
      </c>
      <c r="H124" s="53">
        <v>4500</v>
      </c>
      <c r="I124" s="53">
        <f t="shared" si="5"/>
        <v>54000</v>
      </c>
    </row>
    <row r="125" spans="1:10" x14ac:dyDescent="0.35">
      <c r="A125" s="11"/>
      <c r="B125" s="10"/>
      <c r="C125" s="11"/>
      <c r="D125" s="11" t="s">
        <v>275</v>
      </c>
      <c r="E125" s="10">
        <v>24</v>
      </c>
      <c r="F125" s="10" t="s">
        <v>14</v>
      </c>
      <c r="G125" s="10" t="s">
        <v>13</v>
      </c>
      <c r="H125" s="53">
        <v>9500</v>
      </c>
      <c r="I125" s="53">
        <f t="shared" si="5"/>
        <v>228000</v>
      </c>
    </row>
    <row r="126" spans="1:10" x14ac:dyDescent="0.35">
      <c r="A126" s="11"/>
      <c r="B126" s="10"/>
      <c r="C126" s="11"/>
      <c r="D126" s="11" t="s">
        <v>276</v>
      </c>
      <c r="E126" s="10">
        <v>120</v>
      </c>
      <c r="F126" s="10" t="s">
        <v>14</v>
      </c>
      <c r="G126" s="10" t="s">
        <v>13</v>
      </c>
      <c r="H126" s="53">
        <v>2250</v>
      </c>
      <c r="I126" s="53">
        <f t="shared" si="5"/>
        <v>270000</v>
      </c>
    </row>
    <row r="127" spans="1:10" x14ac:dyDescent="0.35">
      <c r="A127" s="11"/>
      <c r="B127" s="10"/>
      <c r="C127" s="11"/>
      <c r="D127" s="11" t="s">
        <v>277</v>
      </c>
      <c r="E127" s="10">
        <v>60</v>
      </c>
      <c r="F127" s="10" t="s">
        <v>14</v>
      </c>
      <c r="G127" s="10" t="s">
        <v>13</v>
      </c>
      <c r="H127" s="53">
        <v>2250</v>
      </c>
      <c r="I127" s="53">
        <f t="shared" si="5"/>
        <v>135000</v>
      </c>
    </row>
    <row r="128" spans="1:10" x14ac:dyDescent="0.35">
      <c r="A128" s="11"/>
      <c r="B128" s="10"/>
      <c r="C128" s="11"/>
      <c r="D128" s="11" t="s">
        <v>278</v>
      </c>
      <c r="E128" s="10">
        <v>10</v>
      </c>
      <c r="F128" s="10" t="s">
        <v>21</v>
      </c>
      <c r="G128" s="10" t="s">
        <v>13</v>
      </c>
      <c r="H128" s="53">
        <v>30000</v>
      </c>
      <c r="I128" s="53">
        <f t="shared" si="5"/>
        <v>300000</v>
      </c>
    </row>
    <row r="129" spans="1:10" x14ac:dyDescent="0.35">
      <c r="A129" s="11"/>
      <c r="B129" s="10"/>
      <c r="C129" s="11"/>
      <c r="D129" s="11" t="s">
        <v>121</v>
      </c>
      <c r="E129" s="10">
        <v>10</v>
      </c>
      <c r="F129" s="10" t="s">
        <v>20</v>
      </c>
      <c r="G129" s="10" t="s">
        <v>13</v>
      </c>
      <c r="H129" s="53">
        <v>65750</v>
      </c>
      <c r="I129" s="53">
        <f t="shared" si="5"/>
        <v>657500</v>
      </c>
    </row>
    <row r="130" spans="1:10" x14ac:dyDescent="0.35">
      <c r="A130" s="9"/>
      <c r="B130" s="10"/>
      <c r="C130" s="11"/>
      <c r="D130" s="11" t="s">
        <v>118</v>
      </c>
      <c r="E130" s="10">
        <v>10</v>
      </c>
      <c r="F130" s="10" t="s">
        <v>20</v>
      </c>
      <c r="G130" s="10" t="s">
        <v>13</v>
      </c>
      <c r="H130" s="53">
        <v>65750</v>
      </c>
      <c r="I130" s="53">
        <f t="shared" si="5"/>
        <v>657500</v>
      </c>
    </row>
    <row r="131" spans="1:10" x14ac:dyDescent="0.35">
      <c r="A131" s="11"/>
      <c r="B131" s="10"/>
      <c r="C131" s="11"/>
      <c r="D131" s="11" t="s">
        <v>120</v>
      </c>
      <c r="E131" s="10">
        <v>15</v>
      </c>
      <c r="F131" s="10" t="s">
        <v>20</v>
      </c>
      <c r="G131" s="10" t="s">
        <v>13</v>
      </c>
      <c r="H131" s="53">
        <v>65750</v>
      </c>
      <c r="I131" s="53">
        <f t="shared" si="5"/>
        <v>986250</v>
      </c>
    </row>
    <row r="132" spans="1:10" x14ac:dyDescent="0.35">
      <c r="A132" s="11"/>
      <c r="B132" s="10"/>
      <c r="C132" s="11"/>
      <c r="D132" s="11" t="s">
        <v>279</v>
      </c>
      <c r="E132" s="10">
        <v>10</v>
      </c>
      <c r="F132" s="10" t="s">
        <v>20</v>
      </c>
      <c r="G132" s="10" t="s">
        <v>24</v>
      </c>
      <c r="H132" s="53">
        <v>55000</v>
      </c>
      <c r="I132" s="53">
        <f t="shared" si="5"/>
        <v>550000</v>
      </c>
    </row>
    <row r="133" spans="1:10" x14ac:dyDescent="0.35">
      <c r="A133" s="11"/>
      <c r="B133" s="10"/>
      <c r="C133" s="11"/>
      <c r="D133" s="11" t="s">
        <v>237</v>
      </c>
      <c r="E133" s="10">
        <v>20</v>
      </c>
      <c r="F133" s="10" t="s">
        <v>20</v>
      </c>
      <c r="G133" s="10" t="s">
        <v>24</v>
      </c>
      <c r="H133" s="53">
        <v>54500</v>
      </c>
      <c r="I133" s="53">
        <f t="shared" si="5"/>
        <v>1090000</v>
      </c>
    </row>
    <row r="134" spans="1:10" x14ac:dyDescent="0.35">
      <c r="A134" s="11"/>
      <c r="B134" s="10"/>
      <c r="C134" s="11"/>
      <c r="D134" s="11" t="s">
        <v>280</v>
      </c>
      <c r="E134" s="10">
        <v>10</v>
      </c>
      <c r="F134" s="10" t="s">
        <v>21</v>
      </c>
      <c r="G134" s="10" t="s">
        <v>13</v>
      </c>
      <c r="H134" s="53">
        <v>60000</v>
      </c>
      <c r="I134" s="53">
        <f t="shared" si="5"/>
        <v>600000</v>
      </c>
    </row>
    <row r="135" spans="1:10" x14ac:dyDescent="0.35">
      <c r="A135" s="11"/>
      <c r="B135" s="10"/>
      <c r="C135" s="11"/>
      <c r="D135" s="11" t="s">
        <v>281</v>
      </c>
      <c r="E135" s="10">
        <v>6</v>
      </c>
      <c r="F135" s="10" t="s">
        <v>17</v>
      </c>
      <c r="G135" s="10" t="s">
        <v>13</v>
      </c>
      <c r="H135" s="53">
        <v>63000</v>
      </c>
      <c r="I135" s="53">
        <f t="shared" si="5"/>
        <v>378000</v>
      </c>
    </row>
    <row r="136" spans="1:10" x14ac:dyDescent="0.35">
      <c r="A136" s="11"/>
      <c r="B136" s="10"/>
      <c r="C136" s="11"/>
      <c r="D136" s="11" t="s">
        <v>282</v>
      </c>
      <c r="E136" s="10">
        <v>4</v>
      </c>
      <c r="F136" s="10" t="s">
        <v>17</v>
      </c>
      <c r="G136" s="10" t="s">
        <v>13</v>
      </c>
      <c r="H136" s="53">
        <v>63000</v>
      </c>
      <c r="I136" s="53">
        <f t="shared" si="5"/>
        <v>252000</v>
      </c>
    </row>
    <row r="137" spans="1:10" x14ac:dyDescent="0.35">
      <c r="A137" s="9"/>
      <c r="B137" s="10"/>
      <c r="C137" s="11"/>
      <c r="D137" s="11" t="s">
        <v>180</v>
      </c>
      <c r="E137" s="10">
        <v>12</v>
      </c>
      <c r="F137" s="10" t="s">
        <v>14</v>
      </c>
      <c r="G137" s="10" t="s">
        <v>13</v>
      </c>
      <c r="H137" s="53">
        <v>5000</v>
      </c>
      <c r="I137" s="53">
        <f t="shared" si="5"/>
        <v>60000</v>
      </c>
    </row>
    <row r="138" spans="1:10" x14ac:dyDescent="0.35">
      <c r="A138" s="9"/>
      <c r="B138" s="10"/>
      <c r="C138" s="11"/>
      <c r="D138" s="11" t="s">
        <v>283</v>
      </c>
      <c r="E138" s="10">
        <v>10</v>
      </c>
      <c r="F138" s="10" t="s">
        <v>284</v>
      </c>
      <c r="G138" s="10" t="s">
        <v>13</v>
      </c>
      <c r="H138" s="53">
        <v>34000</v>
      </c>
      <c r="I138" s="53">
        <f t="shared" si="5"/>
        <v>340000</v>
      </c>
    </row>
    <row r="139" spans="1:10" x14ac:dyDescent="0.35">
      <c r="A139" s="11"/>
      <c r="B139" s="10"/>
      <c r="C139" s="11"/>
      <c r="D139" s="11" t="s">
        <v>285</v>
      </c>
      <c r="E139" s="10">
        <v>24</v>
      </c>
      <c r="F139" s="10" t="s">
        <v>286</v>
      </c>
      <c r="G139" s="10" t="s">
        <v>13</v>
      </c>
      <c r="H139" s="53">
        <v>2750</v>
      </c>
      <c r="I139" s="53">
        <f t="shared" si="5"/>
        <v>66000</v>
      </c>
    </row>
    <row r="140" spans="1:10" x14ac:dyDescent="0.35">
      <c r="A140" s="11"/>
      <c r="B140" s="10"/>
      <c r="C140" s="11"/>
      <c r="D140" s="11" t="s">
        <v>287</v>
      </c>
      <c r="E140" s="10">
        <v>1</v>
      </c>
      <c r="F140" s="10" t="s">
        <v>14</v>
      </c>
      <c r="G140" s="10" t="s">
        <v>13</v>
      </c>
      <c r="H140" s="53">
        <v>156000</v>
      </c>
      <c r="I140" s="53">
        <f t="shared" si="5"/>
        <v>156000</v>
      </c>
    </row>
    <row r="141" spans="1:10" x14ac:dyDescent="0.35">
      <c r="A141" s="9"/>
      <c r="B141" s="10"/>
      <c r="C141" s="11"/>
      <c r="D141" s="11" t="s">
        <v>288</v>
      </c>
      <c r="E141" s="10">
        <v>36</v>
      </c>
      <c r="F141" s="10" t="s">
        <v>14</v>
      </c>
      <c r="G141" s="10" t="s">
        <v>13</v>
      </c>
      <c r="H141" s="53">
        <v>20250</v>
      </c>
      <c r="I141" s="53">
        <f t="shared" si="5"/>
        <v>729000</v>
      </c>
    </row>
    <row r="142" spans="1:10" x14ac:dyDescent="0.35">
      <c r="A142" s="11"/>
      <c r="B142" s="10"/>
      <c r="C142" s="11"/>
      <c r="D142" s="11" t="s">
        <v>289</v>
      </c>
      <c r="E142" s="10">
        <v>12</v>
      </c>
      <c r="F142" s="10" t="s">
        <v>14</v>
      </c>
      <c r="G142" s="10" t="s">
        <v>13</v>
      </c>
      <c r="H142" s="53">
        <v>20250</v>
      </c>
      <c r="I142" s="53">
        <f t="shared" si="5"/>
        <v>243000</v>
      </c>
    </row>
    <row r="143" spans="1:10" x14ac:dyDescent="0.35">
      <c r="A143" s="11"/>
      <c r="B143" s="10"/>
      <c r="C143" s="11"/>
      <c r="D143" s="11" t="s">
        <v>231</v>
      </c>
      <c r="E143" s="10">
        <v>6</v>
      </c>
      <c r="F143" s="10" t="s">
        <v>21</v>
      </c>
      <c r="G143" s="10" t="s">
        <v>13</v>
      </c>
      <c r="H143" s="53">
        <v>19500</v>
      </c>
      <c r="I143" s="53">
        <f t="shared" si="5"/>
        <v>117000</v>
      </c>
    </row>
    <row r="144" spans="1:10" x14ac:dyDescent="0.35">
      <c r="A144" s="11"/>
      <c r="B144" s="10"/>
      <c r="C144" s="11"/>
      <c r="D144" s="11"/>
      <c r="E144" s="10"/>
      <c r="F144" s="10"/>
      <c r="G144" s="10"/>
      <c r="H144" s="53"/>
      <c r="I144" s="54">
        <f>SUM(I118:I143)</f>
        <v>9548250</v>
      </c>
      <c r="J144" s="83">
        <f>I144</f>
        <v>9548250</v>
      </c>
    </row>
    <row r="145" spans="1:10" x14ac:dyDescent="0.35">
      <c r="A145" s="8"/>
      <c r="B145" s="8"/>
      <c r="C145" s="8"/>
      <c r="D145" s="8"/>
      <c r="E145" s="8"/>
      <c r="F145" s="8"/>
      <c r="G145" s="8"/>
      <c r="H145" s="8"/>
      <c r="I145" s="8"/>
    </row>
    <row r="146" spans="1:10" x14ac:dyDescent="0.35">
      <c r="A146" s="9">
        <v>45266</v>
      </c>
      <c r="B146" s="10">
        <v>809</v>
      </c>
      <c r="C146" s="11" t="s">
        <v>11</v>
      </c>
      <c r="D146" s="11" t="s">
        <v>82</v>
      </c>
      <c r="E146" s="10">
        <v>100</v>
      </c>
      <c r="F146" s="10" t="s">
        <v>14</v>
      </c>
      <c r="G146" s="10" t="s">
        <v>13</v>
      </c>
      <c r="H146" s="53">
        <v>2250</v>
      </c>
      <c r="I146" s="53">
        <f>H146*E146</f>
        <v>225000</v>
      </c>
    </row>
    <row r="147" spans="1:10" x14ac:dyDescent="0.35">
      <c r="A147" s="11"/>
      <c r="B147" s="10"/>
      <c r="C147" s="11"/>
      <c r="D147" s="11" t="s">
        <v>290</v>
      </c>
      <c r="E147" s="10">
        <f>144*2</f>
        <v>288</v>
      </c>
      <c r="F147" s="10" t="s">
        <v>14</v>
      </c>
      <c r="G147" s="10" t="s">
        <v>13</v>
      </c>
      <c r="H147" s="53">
        <v>645.84</v>
      </c>
      <c r="I147" s="53">
        <f>H147*E147</f>
        <v>186001.92000000001</v>
      </c>
    </row>
    <row r="148" spans="1:10" x14ac:dyDescent="0.35">
      <c r="A148" s="11"/>
      <c r="B148" s="10"/>
      <c r="C148" s="11"/>
      <c r="D148" s="11"/>
      <c r="E148" s="10"/>
      <c r="F148" s="10"/>
      <c r="G148" s="10"/>
      <c r="H148" s="53"/>
      <c r="I148" s="54">
        <f>SUM(I146:I147)</f>
        <v>411001.92000000004</v>
      </c>
      <c r="J148" s="83">
        <f>I148</f>
        <v>411001.92000000004</v>
      </c>
    </row>
    <row r="149" spans="1:10" x14ac:dyDescent="0.35">
      <c r="A149" s="8"/>
      <c r="B149" s="14"/>
      <c r="C149" s="8"/>
      <c r="D149" s="8"/>
      <c r="E149" s="14"/>
      <c r="F149" s="14"/>
      <c r="G149" s="14"/>
      <c r="H149" s="8"/>
      <c r="I149" s="8"/>
    </row>
    <row r="150" spans="1:10" x14ac:dyDescent="0.35">
      <c r="A150" s="9">
        <v>45266</v>
      </c>
      <c r="B150" s="10">
        <v>810</v>
      </c>
      <c r="C150" s="11" t="s">
        <v>11</v>
      </c>
      <c r="D150" s="11" t="s">
        <v>291</v>
      </c>
      <c r="E150" s="62">
        <v>100</v>
      </c>
      <c r="F150" s="10" t="s">
        <v>12</v>
      </c>
      <c r="G150" s="10" t="s">
        <v>13</v>
      </c>
      <c r="H150" s="60">
        <v>10000</v>
      </c>
      <c r="I150" s="63">
        <f>H150*E150</f>
        <v>1000000</v>
      </c>
    </row>
    <row r="151" spans="1:10" x14ac:dyDescent="0.35">
      <c r="A151" s="11"/>
      <c r="B151" s="10"/>
      <c r="C151" s="11"/>
      <c r="D151" s="11" t="s">
        <v>292</v>
      </c>
      <c r="E151" s="62">
        <v>50</v>
      </c>
      <c r="F151" s="10" t="s">
        <v>12</v>
      </c>
      <c r="G151" s="10" t="s">
        <v>13</v>
      </c>
      <c r="H151" s="60">
        <v>8500</v>
      </c>
      <c r="I151" s="63">
        <f t="shared" ref="I151:I162" si="6">H151*E151</f>
        <v>425000</v>
      </c>
    </row>
    <row r="152" spans="1:10" x14ac:dyDescent="0.35">
      <c r="A152" s="11"/>
      <c r="B152" s="10"/>
      <c r="C152" s="11"/>
      <c r="D152" s="11" t="s">
        <v>293</v>
      </c>
      <c r="E152" s="62">
        <v>50</v>
      </c>
      <c r="F152" s="10" t="s">
        <v>12</v>
      </c>
      <c r="G152" s="10" t="s">
        <v>13</v>
      </c>
      <c r="H152" s="60">
        <v>3000</v>
      </c>
      <c r="I152" s="63">
        <f t="shared" si="6"/>
        <v>150000</v>
      </c>
    </row>
    <row r="153" spans="1:10" x14ac:dyDescent="0.35">
      <c r="A153" s="11"/>
      <c r="B153" s="10"/>
      <c r="C153" s="11"/>
      <c r="D153" s="11" t="s">
        <v>147</v>
      </c>
      <c r="E153" s="62">
        <v>50</v>
      </c>
      <c r="F153" s="10" t="s">
        <v>12</v>
      </c>
      <c r="G153" s="10" t="s">
        <v>13</v>
      </c>
      <c r="H153" s="60">
        <v>17600</v>
      </c>
      <c r="I153" s="63">
        <f t="shared" si="6"/>
        <v>880000</v>
      </c>
    </row>
    <row r="154" spans="1:10" x14ac:dyDescent="0.35">
      <c r="A154" s="11"/>
      <c r="B154" s="10"/>
      <c r="C154" s="11"/>
      <c r="D154" s="11" t="s">
        <v>294</v>
      </c>
      <c r="E154" s="62">
        <v>144</v>
      </c>
      <c r="F154" s="10" t="s">
        <v>207</v>
      </c>
      <c r="G154" s="10" t="s">
        <v>13</v>
      </c>
      <c r="H154" s="60">
        <v>13000</v>
      </c>
      <c r="I154" s="63">
        <f t="shared" si="6"/>
        <v>1872000</v>
      </c>
    </row>
    <row r="155" spans="1:10" x14ac:dyDescent="0.35">
      <c r="A155" s="11"/>
      <c r="B155" s="10"/>
      <c r="C155" s="11"/>
      <c r="D155" s="11" t="s">
        <v>295</v>
      </c>
      <c r="E155" s="62">
        <v>72</v>
      </c>
      <c r="F155" s="10" t="s">
        <v>28</v>
      </c>
      <c r="G155" s="10" t="s">
        <v>13</v>
      </c>
      <c r="H155" s="60">
        <v>3000</v>
      </c>
      <c r="I155" s="63">
        <f t="shared" si="6"/>
        <v>216000</v>
      </c>
    </row>
    <row r="156" spans="1:10" x14ac:dyDescent="0.35">
      <c r="A156" s="11"/>
      <c r="B156" s="10"/>
      <c r="C156" s="11"/>
      <c r="D156" s="11" t="s">
        <v>296</v>
      </c>
      <c r="E156" s="62">
        <v>12</v>
      </c>
      <c r="F156" s="10" t="s">
        <v>14</v>
      </c>
      <c r="G156" s="10" t="s">
        <v>13</v>
      </c>
      <c r="H156" s="60">
        <v>7750</v>
      </c>
      <c r="I156" s="63">
        <f t="shared" si="6"/>
        <v>93000</v>
      </c>
    </row>
    <row r="157" spans="1:10" x14ac:dyDescent="0.35">
      <c r="A157" s="11"/>
      <c r="B157" s="10"/>
      <c r="C157" s="11"/>
      <c r="D157" s="11" t="s">
        <v>67</v>
      </c>
      <c r="E157" s="62">
        <v>36</v>
      </c>
      <c r="F157" s="10" t="s">
        <v>14</v>
      </c>
      <c r="G157" s="10" t="s">
        <v>13</v>
      </c>
      <c r="H157" s="60">
        <f>74750/12</f>
        <v>6229.166666666667</v>
      </c>
      <c r="I157" s="63">
        <f t="shared" si="6"/>
        <v>224250</v>
      </c>
    </row>
    <row r="158" spans="1:10" x14ac:dyDescent="0.35">
      <c r="A158" s="11"/>
      <c r="B158" s="10"/>
      <c r="C158" s="11"/>
      <c r="D158" s="11" t="s">
        <v>163</v>
      </c>
      <c r="E158" s="62">
        <v>24</v>
      </c>
      <c r="F158" s="10" t="s">
        <v>14</v>
      </c>
      <c r="G158" s="10" t="s">
        <v>13</v>
      </c>
      <c r="H158" s="60">
        <v>1200</v>
      </c>
      <c r="I158" s="63">
        <f t="shared" si="6"/>
        <v>28800</v>
      </c>
    </row>
    <row r="159" spans="1:10" x14ac:dyDescent="0.35">
      <c r="A159" s="11"/>
      <c r="B159" s="10"/>
      <c r="C159" s="11"/>
      <c r="D159" s="11" t="s">
        <v>297</v>
      </c>
      <c r="E159" s="62">
        <v>24</v>
      </c>
      <c r="F159" s="10" t="s">
        <v>14</v>
      </c>
      <c r="G159" s="10" t="s">
        <v>13</v>
      </c>
      <c r="H159" s="60">
        <v>9000</v>
      </c>
      <c r="I159" s="63">
        <f t="shared" si="6"/>
        <v>216000</v>
      </c>
    </row>
    <row r="160" spans="1:10" x14ac:dyDescent="0.35">
      <c r="A160" s="11"/>
      <c r="B160" s="10"/>
      <c r="C160" s="11"/>
      <c r="D160" s="11" t="s">
        <v>298</v>
      </c>
      <c r="E160" s="62">
        <v>20</v>
      </c>
      <c r="F160" s="10" t="s">
        <v>14</v>
      </c>
      <c r="G160" s="10" t="s">
        <v>13</v>
      </c>
      <c r="H160" s="60">
        <v>18500</v>
      </c>
      <c r="I160" s="63">
        <f t="shared" si="6"/>
        <v>370000</v>
      </c>
    </row>
    <row r="161" spans="1:10" x14ac:dyDescent="0.35">
      <c r="A161" s="11"/>
      <c r="B161" s="10"/>
      <c r="C161" s="11"/>
      <c r="D161" s="11" t="s">
        <v>299</v>
      </c>
      <c r="E161" s="62">
        <v>10</v>
      </c>
      <c r="F161" s="10" t="s">
        <v>14</v>
      </c>
      <c r="G161" s="10" t="s">
        <v>13</v>
      </c>
      <c r="H161" s="60">
        <v>75000</v>
      </c>
      <c r="I161" s="63">
        <f t="shared" si="6"/>
        <v>750000</v>
      </c>
    </row>
    <row r="162" spans="1:10" x14ac:dyDescent="0.35">
      <c r="A162" s="11"/>
      <c r="B162" s="10"/>
      <c r="C162" s="11"/>
      <c r="D162" s="11" t="s">
        <v>300</v>
      </c>
      <c r="E162" s="62">
        <v>30</v>
      </c>
      <c r="F162" s="10" t="s">
        <v>12</v>
      </c>
      <c r="G162" s="10" t="s">
        <v>13</v>
      </c>
      <c r="H162" s="60">
        <v>2500</v>
      </c>
      <c r="I162" s="63">
        <f t="shared" si="6"/>
        <v>75000</v>
      </c>
    </row>
    <row r="163" spans="1:10" x14ac:dyDescent="0.35">
      <c r="A163" s="11"/>
      <c r="B163" s="10"/>
      <c r="C163" s="11"/>
      <c r="D163" s="11"/>
      <c r="E163" s="62"/>
      <c r="F163" s="10"/>
      <c r="G163" s="10"/>
      <c r="H163" s="60"/>
      <c r="I163" s="56">
        <f>SUM(I150:I162)</f>
        <v>6300050</v>
      </c>
      <c r="J163" s="83">
        <f>I163</f>
        <v>6300050</v>
      </c>
    </row>
    <row r="164" spans="1:10" x14ac:dyDescent="0.35">
      <c r="A164" s="9"/>
      <c r="B164" s="10"/>
      <c r="C164" s="11"/>
      <c r="D164" s="11"/>
      <c r="E164" s="10"/>
      <c r="F164" s="10"/>
      <c r="G164" s="10"/>
      <c r="H164" s="18"/>
      <c r="I164" s="26"/>
    </row>
    <row r="165" spans="1:10" x14ac:dyDescent="0.35">
      <c r="A165" s="9">
        <v>45261</v>
      </c>
      <c r="B165" s="10">
        <v>799</v>
      </c>
      <c r="C165" s="11"/>
      <c r="D165" s="11" t="s">
        <v>301</v>
      </c>
      <c r="E165" s="10">
        <v>15</v>
      </c>
      <c r="F165" s="10" t="s">
        <v>302</v>
      </c>
      <c r="G165" s="10" t="s">
        <v>13</v>
      </c>
      <c r="H165" s="60">
        <v>30000</v>
      </c>
      <c r="I165" s="60">
        <f>H165*E165</f>
        <v>450000</v>
      </c>
    </row>
    <row r="166" spans="1:10" x14ac:dyDescent="0.35">
      <c r="A166" s="11"/>
      <c r="B166" s="10"/>
      <c r="C166" s="11"/>
      <c r="D166" s="11" t="s">
        <v>303</v>
      </c>
      <c r="E166" s="10">
        <v>3</v>
      </c>
      <c r="F166" s="10" t="s">
        <v>240</v>
      </c>
      <c r="G166" s="10" t="s">
        <v>13</v>
      </c>
      <c r="H166" s="60">
        <v>40000</v>
      </c>
      <c r="I166" s="60">
        <f>H166*E166</f>
        <v>120000</v>
      </c>
    </row>
    <row r="167" spans="1:10" x14ac:dyDescent="0.35">
      <c r="A167" s="11"/>
      <c r="B167" s="10"/>
      <c r="C167" s="11"/>
      <c r="D167" s="11" t="s">
        <v>304</v>
      </c>
      <c r="E167" s="10">
        <v>2</v>
      </c>
      <c r="F167" s="10" t="s">
        <v>207</v>
      </c>
      <c r="G167" s="10" t="s">
        <v>13</v>
      </c>
      <c r="H167" s="60">
        <v>160000</v>
      </c>
      <c r="I167" s="60">
        <f>H167*E167</f>
        <v>320000</v>
      </c>
    </row>
    <row r="168" spans="1:10" x14ac:dyDescent="0.35">
      <c r="A168" s="11"/>
      <c r="B168" s="10"/>
      <c r="C168" s="11"/>
      <c r="D168" s="11" t="s">
        <v>305</v>
      </c>
      <c r="E168" s="10">
        <v>2</v>
      </c>
      <c r="F168" s="10" t="s">
        <v>240</v>
      </c>
      <c r="G168" s="10" t="s">
        <v>13</v>
      </c>
      <c r="H168" s="60">
        <v>115000</v>
      </c>
      <c r="I168" s="60">
        <f>H168*E168</f>
        <v>230000</v>
      </c>
    </row>
    <row r="169" spans="1:10" x14ac:dyDescent="0.35">
      <c r="A169" s="11"/>
      <c r="B169" s="10"/>
      <c r="C169" s="11"/>
      <c r="D169" s="11" t="s">
        <v>306</v>
      </c>
      <c r="E169" s="10">
        <v>3</v>
      </c>
      <c r="F169" s="10" t="s">
        <v>240</v>
      </c>
      <c r="G169" s="10" t="s">
        <v>13</v>
      </c>
      <c r="H169" s="60">
        <v>40000</v>
      </c>
      <c r="I169" s="60">
        <f>H169*E169</f>
        <v>120000</v>
      </c>
    </row>
    <row r="170" spans="1:10" x14ac:dyDescent="0.35">
      <c r="A170" s="11"/>
      <c r="B170" s="10"/>
      <c r="C170" s="11"/>
      <c r="D170" s="11"/>
      <c r="E170" s="10"/>
      <c r="F170" s="10"/>
      <c r="G170" s="10"/>
      <c r="H170" s="60"/>
      <c r="I170" s="64">
        <f>SUM(I165:I169)</f>
        <v>1240000</v>
      </c>
      <c r="J170" s="83">
        <f>I170</f>
        <v>1240000</v>
      </c>
    </row>
    <row r="171" spans="1:10" x14ac:dyDescent="0.35">
      <c r="A171" s="11"/>
      <c r="B171" s="10"/>
      <c r="C171" s="15"/>
      <c r="D171" s="11"/>
      <c r="E171" s="25"/>
      <c r="F171" s="10"/>
      <c r="G171" s="10"/>
      <c r="H171" s="18"/>
      <c r="I171" s="26"/>
    </row>
    <row r="172" spans="1:10" x14ac:dyDescent="0.35">
      <c r="A172" s="9">
        <v>45238</v>
      </c>
      <c r="B172" s="10">
        <v>792</v>
      </c>
      <c r="C172" s="11" t="s">
        <v>307</v>
      </c>
      <c r="D172" s="11" t="s">
        <v>308</v>
      </c>
      <c r="E172" s="10">
        <v>30</v>
      </c>
      <c r="F172" s="10" t="s">
        <v>210</v>
      </c>
      <c r="G172" s="10" t="s">
        <v>13</v>
      </c>
      <c r="H172" s="53">
        <v>75000</v>
      </c>
      <c r="I172" s="53">
        <f>H172*E172</f>
        <v>2250000</v>
      </c>
    </row>
    <row r="173" spans="1:10" x14ac:dyDescent="0.35">
      <c r="A173" s="11"/>
      <c r="B173" s="10"/>
      <c r="C173" s="11"/>
      <c r="D173" s="11"/>
      <c r="E173" s="10"/>
      <c r="F173" s="10"/>
      <c r="G173" s="10"/>
      <c r="H173" s="53"/>
      <c r="I173" s="54">
        <f>SUM(I172)</f>
        <v>2250000</v>
      </c>
      <c r="J173" s="83">
        <f>I173</f>
        <v>2250000</v>
      </c>
    </row>
    <row r="174" spans="1:10" x14ac:dyDescent="0.35">
      <c r="A174" s="8"/>
      <c r="B174" s="14"/>
      <c r="C174" s="8"/>
      <c r="D174" s="8"/>
      <c r="E174" s="14"/>
      <c r="F174" s="14"/>
      <c r="G174" s="14"/>
      <c r="H174" s="8"/>
      <c r="I174" s="8"/>
    </row>
    <row r="175" spans="1:10" x14ac:dyDescent="0.35">
      <c r="A175" s="9">
        <v>45257</v>
      </c>
      <c r="B175" s="10">
        <v>793</v>
      </c>
      <c r="C175" s="11" t="s">
        <v>309</v>
      </c>
      <c r="D175" s="11" t="s">
        <v>310</v>
      </c>
      <c r="E175" s="10">
        <v>1</v>
      </c>
      <c r="F175" s="10" t="s">
        <v>210</v>
      </c>
      <c r="G175" s="10" t="s">
        <v>13</v>
      </c>
      <c r="H175" s="53">
        <v>10400</v>
      </c>
      <c r="I175" s="53">
        <f>H175*E175</f>
        <v>10400</v>
      </c>
    </row>
    <row r="176" spans="1:10" x14ac:dyDescent="0.35">
      <c r="A176" s="11"/>
      <c r="B176" s="10"/>
      <c r="C176" s="11"/>
      <c r="D176" s="11"/>
      <c r="E176" s="10"/>
      <c r="F176" s="10"/>
      <c r="G176" s="10"/>
      <c r="H176" s="53"/>
      <c r="I176" s="54">
        <f>SUM(I175)</f>
        <v>10400</v>
      </c>
      <c r="J176" s="83">
        <f>I176</f>
        <v>10400</v>
      </c>
    </row>
    <row r="177" spans="1:10" x14ac:dyDescent="0.35">
      <c r="A177" s="11"/>
      <c r="B177" s="10"/>
      <c r="C177" s="11"/>
      <c r="D177" s="11"/>
      <c r="E177" s="10"/>
      <c r="F177" s="10"/>
      <c r="G177" s="10"/>
      <c r="H177" s="11"/>
      <c r="I177" s="11"/>
    </row>
    <row r="178" spans="1:10" x14ac:dyDescent="0.35">
      <c r="A178" s="9">
        <v>45257</v>
      </c>
      <c r="B178" s="10">
        <v>794</v>
      </c>
      <c r="C178" s="11" t="s">
        <v>311</v>
      </c>
      <c r="D178" s="11" t="s">
        <v>312</v>
      </c>
      <c r="E178" s="10">
        <v>1</v>
      </c>
      <c r="F178" s="10" t="s">
        <v>210</v>
      </c>
      <c r="G178" s="10" t="s">
        <v>13</v>
      </c>
      <c r="H178" s="53">
        <f>3058558-(3058558*12%)</f>
        <v>2691531.04</v>
      </c>
      <c r="I178" s="63">
        <f>H178*E178</f>
        <v>2691531.04</v>
      </c>
    </row>
    <row r="179" spans="1:10" x14ac:dyDescent="0.35">
      <c r="A179" s="11"/>
      <c r="B179" s="10"/>
      <c r="C179" s="11"/>
      <c r="D179" s="11"/>
      <c r="E179" s="10"/>
      <c r="F179" s="10"/>
      <c r="G179" s="10"/>
      <c r="H179" s="11"/>
      <c r="I179" s="56">
        <f>SUM(I178)</f>
        <v>2691531.04</v>
      </c>
      <c r="J179" s="83">
        <f>I179</f>
        <v>2691531.04</v>
      </c>
    </row>
    <row r="180" spans="1:10" x14ac:dyDescent="0.35">
      <c r="A180" s="8"/>
      <c r="B180" s="8"/>
      <c r="C180" s="8"/>
      <c r="D180" s="8"/>
      <c r="E180" s="8"/>
      <c r="F180" s="8"/>
      <c r="G180" s="8"/>
      <c r="H180" s="8"/>
      <c r="I180" s="8"/>
    </row>
    <row r="181" spans="1:10" x14ac:dyDescent="0.35">
      <c r="A181" s="9">
        <v>45238</v>
      </c>
      <c r="B181" s="10">
        <v>791</v>
      </c>
      <c r="C181" s="11" t="s">
        <v>309</v>
      </c>
      <c r="D181" s="11" t="s">
        <v>313</v>
      </c>
      <c r="E181" s="10">
        <v>1</v>
      </c>
      <c r="F181" s="10" t="s">
        <v>210</v>
      </c>
      <c r="G181" s="10" t="s">
        <v>13</v>
      </c>
      <c r="H181" s="53">
        <f>435000</f>
        <v>435000</v>
      </c>
      <c r="I181" s="53">
        <f>H181*E181</f>
        <v>435000</v>
      </c>
    </row>
    <row r="182" spans="1:10" x14ac:dyDescent="0.35">
      <c r="A182" s="11"/>
      <c r="B182" s="10"/>
      <c r="C182" s="11"/>
      <c r="D182" s="11" t="s">
        <v>314</v>
      </c>
      <c r="E182" s="10">
        <v>4</v>
      </c>
      <c r="F182" s="10" t="s">
        <v>210</v>
      </c>
      <c r="G182" s="10" t="s">
        <v>13</v>
      </c>
      <c r="H182" s="53">
        <v>18750</v>
      </c>
      <c r="I182" s="53">
        <f t="shared" ref="I182" si="7">H182*E182</f>
        <v>75000</v>
      </c>
    </row>
    <row r="183" spans="1:10" x14ac:dyDescent="0.35">
      <c r="A183" s="11"/>
      <c r="B183" s="10"/>
      <c r="C183" s="11"/>
      <c r="D183" s="11"/>
      <c r="E183" s="10"/>
      <c r="F183" s="10"/>
      <c r="G183" s="10"/>
      <c r="H183" s="53"/>
      <c r="I183" s="54">
        <f>SUM(I181:I182)</f>
        <v>510000</v>
      </c>
      <c r="J183" s="83">
        <f>I183</f>
        <v>510000</v>
      </c>
    </row>
    <row r="184" spans="1:10" x14ac:dyDescent="0.35">
      <c r="A184" s="11"/>
      <c r="B184" s="10"/>
      <c r="C184" s="11"/>
      <c r="D184" s="11"/>
      <c r="E184" s="10"/>
      <c r="F184" s="10"/>
      <c r="G184" s="10"/>
      <c r="H184" s="18"/>
      <c r="I184" s="26"/>
    </row>
    <row r="185" spans="1:10" x14ac:dyDescent="0.35">
      <c r="A185" s="9">
        <v>45245</v>
      </c>
      <c r="B185" s="10">
        <v>786</v>
      </c>
      <c r="C185" s="11" t="s">
        <v>311</v>
      </c>
      <c r="D185" s="11" t="s">
        <v>315</v>
      </c>
      <c r="E185" s="10">
        <v>1</v>
      </c>
      <c r="F185" s="10" t="s">
        <v>221</v>
      </c>
      <c r="G185" s="10" t="s">
        <v>13</v>
      </c>
      <c r="H185" s="53">
        <v>3075000</v>
      </c>
      <c r="I185" s="53">
        <f>H185*E185</f>
        <v>3075000</v>
      </c>
    </row>
    <row r="186" spans="1:10" x14ac:dyDescent="0.35">
      <c r="A186" s="11"/>
      <c r="B186" s="10"/>
      <c r="C186" s="11"/>
      <c r="D186" s="11"/>
      <c r="E186" s="10"/>
      <c r="F186" s="10"/>
      <c r="G186" s="10"/>
      <c r="H186" s="53"/>
      <c r="I186" s="54">
        <f>SUM(I185)</f>
        <v>3075000</v>
      </c>
      <c r="J186" s="83">
        <f>I186</f>
        <v>3075000</v>
      </c>
    </row>
    <row r="187" spans="1:10" x14ac:dyDescent="0.35">
      <c r="A187" s="11"/>
      <c r="B187" s="10"/>
      <c r="C187" s="11"/>
      <c r="D187" s="11"/>
      <c r="E187" s="10"/>
      <c r="F187" s="10"/>
      <c r="G187" s="10"/>
      <c r="H187" s="18"/>
      <c r="I187" s="26"/>
    </row>
    <row r="188" spans="1:10" x14ac:dyDescent="0.35">
      <c r="A188" s="9">
        <v>45249</v>
      </c>
      <c r="B188" s="10">
        <v>780</v>
      </c>
      <c r="C188" s="11"/>
      <c r="D188" s="11" t="s">
        <v>316</v>
      </c>
      <c r="E188" s="10">
        <v>2</v>
      </c>
      <c r="F188" s="10" t="s">
        <v>210</v>
      </c>
      <c r="G188" s="10" t="s">
        <v>13</v>
      </c>
      <c r="H188" s="53">
        <v>775000</v>
      </c>
      <c r="I188" s="53">
        <f>H188*E188</f>
        <v>1550000</v>
      </c>
    </row>
    <row r="189" spans="1:10" x14ac:dyDescent="0.35">
      <c r="A189" s="11"/>
      <c r="B189" s="10"/>
      <c r="C189" s="11"/>
      <c r="D189" s="11"/>
      <c r="E189" s="10"/>
      <c r="F189" s="10"/>
      <c r="G189" s="10"/>
      <c r="H189" s="53"/>
      <c r="I189" s="54">
        <f>SUM(I188)</f>
        <v>1550000</v>
      </c>
      <c r="J189" s="83">
        <f>I189</f>
        <v>1550000</v>
      </c>
    </row>
    <row r="190" spans="1:10" x14ac:dyDescent="0.35">
      <c r="A190" s="8"/>
      <c r="B190" s="14"/>
      <c r="C190" s="8"/>
      <c r="D190" s="8"/>
      <c r="E190" s="14"/>
      <c r="F190" s="14"/>
      <c r="G190" s="14"/>
      <c r="H190" s="57"/>
      <c r="I190" s="57"/>
    </row>
    <row r="191" spans="1:10" x14ac:dyDescent="0.35">
      <c r="A191" s="9">
        <v>45243</v>
      </c>
      <c r="B191" s="10">
        <v>782</v>
      </c>
      <c r="C191" s="11" t="s">
        <v>309</v>
      </c>
      <c r="D191" s="11" t="s">
        <v>317</v>
      </c>
      <c r="E191" s="10">
        <v>2</v>
      </c>
      <c r="F191" s="10" t="s">
        <v>14</v>
      </c>
      <c r="G191" s="10" t="s">
        <v>200</v>
      </c>
      <c r="H191" s="53">
        <v>75000</v>
      </c>
      <c r="I191" s="53">
        <f>H191*E191</f>
        <v>150000</v>
      </c>
    </row>
    <row r="192" spans="1:10" x14ac:dyDescent="0.35">
      <c r="A192" s="8"/>
      <c r="B192" s="10"/>
      <c r="C192" s="11"/>
      <c r="D192" s="11" t="s">
        <v>318</v>
      </c>
      <c r="E192" s="10">
        <v>40</v>
      </c>
      <c r="F192" s="10" t="s">
        <v>14</v>
      </c>
      <c r="G192" s="10" t="s">
        <v>200</v>
      </c>
      <c r="H192" s="53">
        <v>3750</v>
      </c>
      <c r="I192" s="53">
        <f t="shared" ref="I192:I194" si="8">H192*E192</f>
        <v>150000</v>
      </c>
    </row>
    <row r="193" spans="1:10" x14ac:dyDescent="0.35">
      <c r="A193" s="8"/>
      <c r="B193" s="10"/>
      <c r="C193" s="11"/>
      <c r="D193" s="11" t="s">
        <v>319</v>
      </c>
      <c r="E193" s="10">
        <v>40</v>
      </c>
      <c r="F193" s="10" t="s">
        <v>14</v>
      </c>
      <c r="G193" s="10" t="s">
        <v>200</v>
      </c>
      <c r="H193" s="53">
        <v>1500</v>
      </c>
      <c r="I193" s="53">
        <f t="shared" si="8"/>
        <v>60000</v>
      </c>
    </row>
    <row r="194" spans="1:10" x14ac:dyDescent="0.35">
      <c r="A194" s="8"/>
      <c r="B194" s="10"/>
      <c r="C194" s="11"/>
      <c r="D194" s="11" t="s">
        <v>320</v>
      </c>
      <c r="E194" s="10">
        <v>1</v>
      </c>
      <c r="F194" s="10" t="s">
        <v>14</v>
      </c>
      <c r="G194" s="10" t="s">
        <v>200</v>
      </c>
      <c r="H194" s="53">
        <v>186730</v>
      </c>
      <c r="I194" s="53">
        <f t="shared" si="8"/>
        <v>186730</v>
      </c>
    </row>
    <row r="195" spans="1:10" x14ac:dyDescent="0.35">
      <c r="A195" s="8"/>
      <c r="B195" s="10"/>
      <c r="C195" s="11"/>
      <c r="D195" s="11"/>
      <c r="E195" s="10"/>
      <c r="F195" s="10"/>
      <c r="G195" s="10"/>
      <c r="H195" s="53"/>
      <c r="I195" s="54">
        <f>SUM(I191:I194)</f>
        <v>546730</v>
      </c>
      <c r="J195" s="83">
        <f>I195</f>
        <v>546730</v>
      </c>
    </row>
    <row r="196" spans="1:10" x14ac:dyDescent="0.35">
      <c r="A196" s="8"/>
      <c r="B196" s="14"/>
      <c r="C196" s="8"/>
      <c r="D196" s="8"/>
      <c r="E196" s="14"/>
      <c r="F196" s="14"/>
      <c r="G196" s="14"/>
      <c r="H196" s="57"/>
      <c r="I196" s="57"/>
    </row>
    <row r="197" spans="1:10" x14ac:dyDescent="0.35">
      <c r="A197" s="9">
        <v>45243</v>
      </c>
      <c r="B197" s="10">
        <v>783</v>
      </c>
      <c r="C197" s="11" t="s">
        <v>311</v>
      </c>
      <c r="D197" s="11" t="s">
        <v>321</v>
      </c>
      <c r="E197" s="10">
        <v>1</v>
      </c>
      <c r="F197" s="10" t="s">
        <v>14</v>
      </c>
      <c r="G197" s="10" t="s">
        <v>13</v>
      </c>
      <c r="H197" s="53">
        <v>1745850</v>
      </c>
      <c r="I197" s="53">
        <f>H197*E197</f>
        <v>1745850</v>
      </c>
    </row>
    <row r="198" spans="1:10" x14ac:dyDescent="0.35">
      <c r="A198" s="11"/>
      <c r="B198" s="10"/>
      <c r="C198" s="11"/>
      <c r="D198" s="11" t="s">
        <v>322</v>
      </c>
      <c r="E198" s="10">
        <v>2</v>
      </c>
      <c r="F198" s="10" t="s">
        <v>14</v>
      </c>
      <c r="G198" s="10" t="s">
        <v>13</v>
      </c>
      <c r="H198" s="53">
        <v>97500</v>
      </c>
      <c r="I198" s="53">
        <f t="shared" ref="I198:I204" si="9">H198*E198</f>
        <v>195000</v>
      </c>
    </row>
    <row r="199" spans="1:10" x14ac:dyDescent="0.35">
      <c r="A199" s="11"/>
      <c r="B199" s="10"/>
      <c r="C199" s="11"/>
      <c r="D199" s="11" t="s">
        <v>323</v>
      </c>
      <c r="E199" s="10">
        <v>4</v>
      </c>
      <c r="F199" s="10" t="s">
        <v>14</v>
      </c>
      <c r="G199" s="10" t="s">
        <v>13</v>
      </c>
      <c r="H199" s="53">
        <v>37500</v>
      </c>
      <c r="I199" s="53">
        <f t="shared" si="9"/>
        <v>150000</v>
      </c>
    </row>
    <row r="200" spans="1:10" x14ac:dyDescent="0.35">
      <c r="A200" s="11"/>
      <c r="B200" s="10"/>
      <c r="C200" s="11"/>
      <c r="D200" s="11" t="s">
        <v>324</v>
      </c>
      <c r="E200" s="10">
        <v>1</v>
      </c>
      <c r="F200" s="10" t="s">
        <v>14</v>
      </c>
      <c r="G200" s="10" t="s">
        <v>13</v>
      </c>
      <c r="H200" s="53">
        <v>1875000</v>
      </c>
      <c r="I200" s="53">
        <f t="shared" si="9"/>
        <v>1875000</v>
      </c>
    </row>
    <row r="201" spans="1:10" x14ac:dyDescent="0.35">
      <c r="A201" s="11"/>
      <c r="B201" s="10"/>
      <c r="C201" s="11"/>
      <c r="D201" s="11" t="s">
        <v>325</v>
      </c>
      <c r="E201" s="10">
        <v>2</v>
      </c>
      <c r="F201" s="10" t="s">
        <v>14</v>
      </c>
      <c r="G201" s="10" t="s">
        <v>13</v>
      </c>
      <c r="H201" s="53">
        <v>1012500</v>
      </c>
      <c r="I201" s="53">
        <f t="shared" si="9"/>
        <v>2025000</v>
      </c>
    </row>
    <row r="202" spans="1:10" x14ac:dyDescent="0.35">
      <c r="A202" s="11"/>
      <c r="B202" s="10"/>
      <c r="C202" s="11"/>
      <c r="D202" s="11" t="s">
        <v>326</v>
      </c>
      <c r="E202" s="10">
        <v>15</v>
      </c>
      <c r="F202" s="10" t="s">
        <v>14</v>
      </c>
      <c r="G202" s="10" t="s">
        <v>13</v>
      </c>
      <c r="H202" s="53">
        <v>75000</v>
      </c>
      <c r="I202" s="53">
        <f t="shared" si="9"/>
        <v>1125000</v>
      </c>
    </row>
    <row r="203" spans="1:10" x14ac:dyDescent="0.35">
      <c r="A203" s="8"/>
      <c r="B203" s="14"/>
      <c r="C203" s="8"/>
      <c r="D203" s="11" t="s">
        <v>327</v>
      </c>
      <c r="E203" s="10">
        <v>1</v>
      </c>
      <c r="F203" s="10" t="s">
        <v>14</v>
      </c>
      <c r="G203" s="10" t="s">
        <v>13</v>
      </c>
      <c r="H203" s="53">
        <v>2114100</v>
      </c>
      <c r="I203" s="53">
        <f t="shared" si="9"/>
        <v>2114100</v>
      </c>
    </row>
    <row r="204" spans="1:10" x14ac:dyDescent="0.35">
      <c r="A204" s="8"/>
      <c r="B204" s="14"/>
      <c r="C204" s="8"/>
      <c r="D204" s="11" t="s">
        <v>328</v>
      </c>
      <c r="E204" s="10">
        <v>30</v>
      </c>
      <c r="F204" s="10" t="s">
        <v>14</v>
      </c>
      <c r="G204" s="10" t="s">
        <v>13</v>
      </c>
      <c r="H204" s="53">
        <v>40000</v>
      </c>
      <c r="I204" s="53">
        <f t="shared" si="9"/>
        <v>1200000</v>
      </c>
    </row>
    <row r="205" spans="1:10" x14ac:dyDescent="0.35">
      <c r="A205" s="8"/>
      <c r="B205" s="14"/>
      <c r="C205" s="8"/>
      <c r="D205" s="8"/>
      <c r="E205" s="14"/>
      <c r="F205" s="14"/>
      <c r="G205" s="14"/>
      <c r="H205" s="57"/>
      <c r="I205" s="54">
        <f>SUM(I197:I204)</f>
        <v>10429950</v>
      </c>
      <c r="J205" s="83">
        <f>I205</f>
        <v>10429950</v>
      </c>
    </row>
    <row r="206" spans="1:10" x14ac:dyDescent="0.35">
      <c r="A206" s="9"/>
      <c r="B206" s="10"/>
      <c r="C206" s="15"/>
      <c r="D206" s="11"/>
      <c r="E206" s="25"/>
      <c r="F206" s="10"/>
      <c r="G206" s="10"/>
      <c r="H206" s="12"/>
      <c r="I206" s="12"/>
    </row>
    <row r="207" spans="1:10" x14ac:dyDescent="0.35">
      <c r="A207" s="9">
        <v>45248</v>
      </c>
      <c r="B207" s="10">
        <v>779</v>
      </c>
      <c r="C207" s="11" t="s">
        <v>11</v>
      </c>
      <c r="D207" s="11" t="s">
        <v>329</v>
      </c>
      <c r="E207" s="10">
        <v>12</v>
      </c>
      <c r="F207" s="10" t="s">
        <v>14</v>
      </c>
      <c r="G207" s="10" t="s">
        <v>13</v>
      </c>
      <c r="H207" s="53">
        <v>32000</v>
      </c>
      <c r="I207" s="53">
        <f t="shared" ref="I207:I226" si="10">H207*E207</f>
        <v>384000</v>
      </c>
    </row>
    <row r="208" spans="1:10" x14ac:dyDescent="0.35">
      <c r="A208" s="11"/>
      <c r="B208" s="10"/>
      <c r="C208" s="11"/>
      <c r="D208" s="11" t="s">
        <v>294</v>
      </c>
      <c r="E208" s="10">
        <v>2</v>
      </c>
      <c r="F208" s="10" t="s">
        <v>286</v>
      </c>
      <c r="G208" s="10" t="s">
        <v>13</v>
      </c>
      <c r="H208" s="53">
        <v>13000</v>
      </c>
      <c r="I208" s="53">
        <f t="shared" si="10"/>
        <v>26000</v>
      </c>
    </row>
    <row r="209" spans="1:9" x14ac:dyDescent="0.35">
      <c r="A209" s="11"/>
      <c r="B209" s="10"/>
      <c r="C209" s="11"/>
      <c r="D209" s="11" t="s">
        <v>330</v>
      </c>
      <c r="E209" s="10">
        <v>5</v>
      </c>
      <c r="F209" s="10" t="s">
        <v>17</v>
      </c>
      <c r="G209" s="10" t="s">
        <v>13</v>
      </c>
      <c r="H209" s="53">
        <v>20250</v>
      </c>
      <c r="I209" s="53">
        <f t="shared" si="10"/>
        <v>101250</v>
      </c>
    </row>
    <row r="210" spans="1:9" x14ac:dyDescent="0.35">
      <c r="A210" s="11"/>
      <c r="B210" s="10"/>
      <c r="C210" s="11"/>
      <c r="D210" s="11" t="s">
        <v>331</v>
      </c>
      <c r="E210" s="10">
        <v>15</v>
      </c>
      <c r="F210" s="10" t="s">
        <v>28</v>
      </c>
      <c r="G210" s="10" t="s">
        <v>13</v>
      </c>
      <c r="H210" s="53">
        <v>7500</v>
      </c>
      <c r="I210" s="53">
        <f t="shared" si="10"/>
        <v>112500</v>
      </c>
    </row>
    <row r="211" spans="1:9" x14ac:dyDescent="0.35">
      <c r="A211" s="11"/>
      <c r="B211" s="10"/>
      <c r="C211" s="11"/>
      <c r="D211" s="11" t="s">
        <v>332</v>
      </c>
      <c r="E211" s="10">
        <v>20</v>
      </c>
      <c r="F211" s="10" t="s">
        <v>21</v>
      </c>
      <c r="G211" s="10" t="s">
        <v>13</v>
      </c>
      <c r="H211" s="53">
        <v>27000</v>
      </c>
      <c r="I211" s="53">
        <f t="shared" si="10"/>
        <v>540000</v>
      </c>
    </row>
    <row r="212" spans="1:9" x14ac:dyDescent="0.35">
      <c r="A212" s="11"/>
      <c r="B212" s="10"/>
      <c r="C212" s="11"/>
      <c r="D212" s="11" t="s">
        <v>333</v>
      </c>
      <c r="E212" s="10">
        <v>12</v>
      </c>
      <c r="F212" s="10" t="s">
        <v>17</v>
      </c>
      <c r="G212" s="10" t="s">
        <v>13</v>
      </c>
      <c r="H212" s="53">
        <v>17500</v>
      </c>
      <c r="I212" s="53">
        <f t="shared" si="10"/>
        <v>210000</v>
      </c>
    </row>
    <row r="213" spans="1:9" x14ac:dyDescent="0.35">
      <c r="A213" s="11"/>
      <c r="B213" s="10"/>
      <c r="C213" s="11"/>
      <c r="D213" s="11" t="s">
        <v>93</v>
      </c>
      <c r="E213" s="10">
        <v>5</v>
      </c>
      <c r="F213" s="10" t="s">
        <v>17</v>
      </c>
      <c r="G213" s="10" t="s">
        <v>13</v>
      </c>
      <c r="H213" s="53">
        <v>42000</v>
      </c>
      <c r="I213" s="53">
        <f t="shared" si="10"/>
        <v>210000</v>
      </c>
    </row>
    <row r="214" spans="1:9" x14ac:dyDescent="0.35">
      <c r="A214" s="11"/>
      <c r="B214" s="10"/>
      <c r="C214" s="11"/>
      <c r="D214" s="11" t="s">
        <v>334</v>
      </c>
      <c r="E214" s="10">
        <v>5</v>
      </c>
      <c r="F214" s="10" t="s">
        <v>17</v>
      </c>
      <c r="G214" s="10" t="s">
        <v>13</v>
      </c>
      <c r="H214" s="53">
        <v>51000</v>
      </c>
      <c r="I214" s="53">
        <f t="shared" si="10"/>
        <v>255000</v>
      </c>
    </row>
    <row r="215" spans="1:9" x14ac:dyDescent="0.35">
      <c r="A215" s="11"/>
      <c r="B215" s="10"/>
      <c r="C215" s="11"/>
      <c r="D215" s="11" t="s">
        <v>276</v>
      </c>
      <c r="E215" s="10">
        <v>5</v>
      </c>
      <c r="F215" s="10" t="s">
        <v>17</v>
      </c>
      <c r="G215" s="10" t="s">
        <v>13</v>
      </c>
      <c r="H215" s="53">
        <v>27000</v>
      </c>
      <c r="I215" s="53">
        <f t="shared" si="10"/>
        <v>135000</v>
      </c>
    </row>
    <row r="216" spans="1:9" x14ac:dyDescent="0.35">
      <c r="A216" s="11"/>
      <c r="B216" s="10"/>
      <c r="C216" s="11"/>
      <c r="D216" s="11" t="s">
        <v>335</v>
      </c>
      <c r="E216" s="10">
        <v>30</v>
      </c>
      <c r="F216" s="10" t="s">
        <v>12</v>
      </c>
      <c r="G216" s="10" t="s">
        <v>13</v>
      </c>
      <c r="H216" s="53">
        <v>3750</v>
      </c>
      <c r="I216" s="53">
        <f t="shared" si="10"/>
        <v>112500</v>
      </c>
    </row>
    <row r="217" spans="1:9" x14ac:dyDescent="0.35">
      <c r="A217" s="11"/>
      <c r="B217" s="10"/>
      <c r="C217" s="11"/>
      <c r="D217" s="11" t="s">
        <v>336</v>
      </c>
      <c r="E217" s="10">
        <v>12</v>
      </c>
      <c r="F217" s="10" t="s">
        <v>14</v>
      </c>
      <c r="G217" s="10" t="s">
        <v>13</v>
      </c>
      <c r="H217" s="53">
        <v>2250</v>
      </c>
      <c r="I217" s="53">
        <f t="shared" si="10"/>
        <v>27000</v>
      </c>
    </row>
    <row r="218" spans="1:9" x14ac:dyDescent="0.35">
      <c r="A218" s="11"/>
      <c r="B218" s="10"/>
      <c r="C218" s="11"/>
      <c r="D218" s="11" t="s">
        <v>22</v>
      </c>
      <c r="E218" s="10">
        <v>60</v>
      </c>
      <c r="F218" s="10" t="s">
        <v>20</v>
      </c>
      <c r="G218" s="10" t="s">
        <v>13</v>
      </c>
      <c r="H218" s="53">
        <v>45500</v>
      </c>
      <c r="I218" s="53">
        <f t="shared" si="10"/>
        <v>2730000</v>
      </c>
    </row>
    <row r="219" spans="1:9" x14ac:dyDescent="0.35">
      <c r="A219" s="11"/>
      <c r="B219" s="10"/>
      <c r="C219" s="11"/>
      <c r="D219" s="11" t="s">
        <v>19</v>
      </c>
      <c r="E219" s="10">
        <v>50</v>
      </c>
      <c r="F219" s="10" t="s">
        <v>20</v>
      </c>
      <c r="G219" s="10" t="s">
        <v>13</v>
      </c>
      <c r="H219" s="53">
        <v>40500</v>
      </c>
      <c r="I219" s="53">
        <f t="shared" si="10"/>
        <v>2025000</v>
      </c>
    </row>
    <row r="220" spans="1:9" x14ac:dyDescent="0.35">
      <c r="A220" s="11"/>
      <c r="B220" s="10"/>
      <c r="C220" s="11"/>
      <c r="D220" s="11" t="s">
        <v>337</v>
      </c>
      <c r="E220" s="10">
        <v>1</v>
      </c>
      <c r="F220" s="10" t="s">
        <v>14</v>
      </c>
      <c r="G220" s="10" t="s">
        <v>13</v>
      </c>
      <c r="H220" s="53">
        <v>450000</v>
      </c>
      <c r="I220" s="53">
        <f t="shared" si="10"/>
        <v>450000</v>
      </c>
    </row>
    <row r="221" spans="1:9" x14ac:dyDescent="0.35">
      <c r="A221" s="11"/>
      <c r="B221" s="10"/>
      <c r="C221" s="11"/>
      <c r="D221" s="11" t="s">
        <v>338</v>
      </c>
      <c r="E221" s="10">
        <v>30</v>
      </c>
      <c r="F221" s="10" t="s">
        <v>28</v>
      </c>
      <c r="G221" s="10" t="s">
        <v>13</v>
      </c>
      <c r="H221" s="53">
        <v>11250</v>
      </c>
      <c r="I221" s="53">
        <f t="shared" si="10"/>
        <v>337500</v>
      </c>
    </row>
    <row r="222" spans="1:9" x14ac:dyDescent="0.35">
      <c r="A222" s="11"/>
      <c r="B222" s="10"/>
      <c r="C222" s="11"/>
      <c r="D222" s="11" t="s">
        <v>339</v>
      </c>
      <c r="E222" s="10">
        <v>5</v>
      </c>
      <c r="F222" s="10" t="s">
        <v>340</v>
      </c>
      <c r="G222" s="10" t="s">
        <v>13</v>
      </c>
      <c r="H222" s="53">
        <v>16000</v>
      </c>
      <c r="I222" s="53">
        <f t="shared" si="10"/>
        <v>80000</v>
      </c>
    </row>
    <row r="223" spans="1:9" x14ac:dyDescent="0.35">
      <c r="A223" s="11"/>
      <c r="B223" s="10"/>
      <c r="C223" s="11"/>
      <c r="D223" s="11" t="s">
        <v>341</v>
      </c>
      <c r="E223" s="10">
        <v>2</v>
      </c>
      <c r="F223" s="10" t="s">
        <v>21</v>
      </c>
      <c r="G223" s="10" t="s">
        <v>13</v>
      </c>
      <c r="H223" s="53">
        <v>7250</v>
      </c>
      <c r="I223" s="53">
        <f t="shared" si="10"/>
        <v>14500</v>
      </c>
    </row>
    <row r="224" spans="1:9" x14ac:dyDescent="0.35">
      <c r="A224" s="11"/>
      <c r="B224" s="10"/>
      <c r="C224" s="11"/>
      <c r="D224" s="11" t="s">
        <v>342</v>
      </c>
      <c r="E224" s="10">
        <v>3</v>
      </c>
      <c r="F224" s="10" t="s">
        <v>17</v>
      </c>
      <c r="G224" s="10" t="s">
        <v>13</v>
      </c>
      <c r="H224" s="53">
        <v>7000</v>
      </c>
      <c r="I224" s="53">
        <f t="shared" si="10"/>
        <v>21000</v>
      </c>
    </row>
    <row r="225" spans="1:11" x14ac:dyDescent="0.35">
      <c r="A225" s="11"/>
      <c r="B225" s="10"/>
      <c r="C225" s="11"/>
      <c r="D225" s="11" t="s">
        <v>343</v>
      </c>
      <c r="E225" s="10">
        <v>20</v>
      </c>
      <c r="F225" s="10" t="s">
        <v>28</v>
      </c>
      <c r="G225" s="10" t="s">
        <v>13</v>
      </c>
      <c r="H225" s="53">
        <v>7500</v>
      </c>
      <c r="I225" s="53">
        <f t="shared" si="10"/>
        <v>150000</v>
      </c>
    </row>
    <row r="226" spans="1:11" x14ac:dyDescent="0.35">
      <c r="A226" s="11"/>
      <c r="B226" s="10"/>
      <c r="C226" s="11"/>
      <c r="D226" s="11" t="s">
        <v>344</v>
      </c>
      <c r="E226" s="10">
        <v>1</v>
      </c>
      <c r="F226" s="10" t="s">
        <v>17</v>
      </c>
      <c r="G226" s="10" t="s">
        <v>13</v>
      </c>
      <c r="H226" s="53">
        <v>70000</v>
      </c>
      <c r="I226" s="53">
        <f t="shared" si="10"/>
        <v>70000</v>
      </c>
    </row>
    <row r="227" spans="1:11" x14ac:dyDescent="0.35">
      <c r="A227" s="11"/>
      <c r="B227" s="10"/>
      <c r="C227" s="11"/>
      <c r="D227" s="11"/>
      <c r="E227" s="10"/>
      <c r="F227" s="10"/>
      <c r="G227" s="10"/>
      <c r="H227" s="53"/>
      <c r="I227" s="54">
        <f>SUM(I207:I226)</f>
        <v>7991250</v>
      </c>
      <c r="J227" s="83">
        <f>I227</f>
        <v>7991250</v>
      </c>
    </row>
    <row r="228" spans="1:11" x14ac:dyDescent="0.35">
      <c r="A228" s="11"/>
      <c r="B228" s="10"/>
      <c r="C228" s="11"/>
      <c r="D228" s="11"/>
      <c r="E228" s="19"/>
      <c r="F228" s="10"/>
      <c r="G228" s="10"/>
      <c r="H228" s="18"/>
      <c r="I228" s="26"/>
    </row>
    <row r="229" spans="1:11" x14ac:dyDescent="0.35">
      <c r="A229" s="9">
        <v>45260</v>
      </c>
      <c r="B229" s="10">
        <v>767</v>
      </c>
      <c r="C229" s="11" t="s">
        <v>261</v>
      </c>
      <c r="D229" s="11" t="s">
        <v>345</v>
      </c>
      <c r="E229" s="10">
        <v>1</v>
      </c>
      <c r="F229" s="10" t="s">
        <v>210</v>
      </c>
      <c r="G229" s="10" t="s">
        <v>200</v>
      </c>
      <c r="H229" s="53">
        <v>2300000</v>
      </c>
      <c r="I229" s="53">
        <f>H229*E229</f>
        <v>2300000</v>
      </c>
    </row>
    <row r="230" spans="1:11" x14ac:dyDescent="0.35">
      <c r="A230" s="8"/>
      <c r="B230" s="10"/>
      <c r="C230" s="11"/>
      <c r="D230" s="11"/>
      <c r="E230" s="10"/>
      <c r="F230" s="10"/>
      <c r="G230" s="10"/>
      <c r="H230" s="53"/>
      <c r="I230" s="54">
        <f>SUM(I229)</f>
        <v>2300000</v>
      </c>
      <c r="J230" s="83">
        <f>I230</f>
        <v>2300000</v>
      </c>
      <c r="K230" s="36"/>
    </row>
    <row r="231" spans="1:11" x14ac:dyDescent="0.35">
      <c r="A231" s="8"/>
      <c r="B231" s="10"/>
      <c r="C231" s="8"/>
      <c r="D231" s="8"/>
      <c r="E231" s="14"/>
      <c r="F231" s="14"/>
      <c r="G231" s="14"/>
      <c r="H231" s="57"/>
      <c r="I231" s="57"/>
    </row>
    <row r="232" spans="1:11" x14ac:dyDescent="0.35">
      <c r="A232" s="9">
        <v>45260</v>
      </c>
      <c r="B232" s="10">
        <v>768</v>
      </c>
      <c r="C232" s="11" t="s">
        <v>261</v>
      </c>
      <c r="D232" s="22" t="s">
        <v>346</v>
      </c>
      <c r="E232" s="21"/>
      <c r="F232" s="21"/>
      <c r="G232" s="21"/>
      <c r="H232" s="65"/>
      <c r="I232" s="65"/>
    </row>
    <row r="233" spans="1:11" x14ac:dyDescent="0.35">
      <c r="A233" s="8"/>
      <c r="B233" s="10"/>
      <c r="C233" s="11"/>
      <c r="D233" s="11" t="s">
        <v>347</v>
      </c>
      <c r="E233" s="10">
        <v>5</v>
      </c>
      <c r="F233" s="10" t="s">
        <v>348</v>
      </c>
      <c r="G233" s="10" t="s">
        <v>200</v>
      </c>
      <c r="H233" s="53">
        <f>200000-(200000*30%)</f>
        <v>140000</v>
      </c>
      <c r="I233" s="53">
        <f>H233*E233</f>
        <v>700000</v>
      </c>
    </row>
    <row r="234" spans="1:11" x14ac:dyDescent="0.35">
      <c r="A234" s="8"/>
      <c r="B234" s="14"/>
      <c r="C234" s="11"/>
      <c r="D234" s="11" t="s">
        <v>349</v>
      </c>
      <c r="E234" s="10">
        <v>5</v>
      </c>
      <c r="F234" s="10" t="s">
        <v>348</v>
      </c>
      <c r="G234" s="10" t="s">
        <v>200</v>
      </c>
      <c r="H234" s="53">
        <f>27500-(27500*30%)</f>
        <v>19250</v>
      </c>
      <c r="I234" s="53">
        <f>H234*E234</f>
        <v>96250</v>
      </c>
    </row>
    <row r="235" spans="1:11" x14ac:dyDescent="0.35">
      <c r="A235" s="8"/>
      <c r="B235" s="14"/>
      <c r="C235" s="11"/>
      <c r="D235" s="11" t="s">
        <v>350</v>
      </c>
      <c r="E235" s="10">
        <v>4</v>
      </c>
      <c r="F235" s="10" t="s">
        <v>14</v>
      </c>
      <c r="G235" s="10" t="s">
        <v>200</v>
      </c>
      <c r="H235" s="53">
        <f>65000-(65000*25%)</f>
        <v>48750</v>
      </c>
      <c r="I235" s="53">
        <f>H235*E235</f>
        <v>195000</v>
      </c>
    </row>
    <row r="236" spans="1:11" x14ac:dyDescent="0.35">
      <c r="A236" s="8"/>
      <c r="B236" s="14"/>
      <c r="C236" s="11"/>
      <c r="D236" s="11" t="s">
        <v>351</v>
      </c>
      <c r="E236" s="10">
        <v>4</v>
      </c>
      <c r="F236" s="10" t="s">
        <v>14</v>
      </c>
      <c r="G236" s="10" t="s">
        <v>200</v>
      </c>
      <c r="H236" s="53">
        <f>60000-(60000*25%)</f>
        <v>45000</v>
      </c>
      <c r="I236" s="53">
        <f>H236*E236</f>
        <v>180000</v>
      </c>
    </row>
    <row r="237" spans="1:11" x14ac:dyDescent="0.35">
      <c r="A237" s="8"/>
      <c r="B237" s="14"/>
      <c r="C237" s="11"/>
      <c r="D237" s="11"/>
      <c r="E237" s="10"/>
      <c r="F237" s="10"/>
      <c r="G237" s="10"/>
      <c r="H237" s="53"/>
      <c r="I237" s="54">
        <f>SUM(I232:I236)</f>
        <v>1171250</v>
      </c>
      <c r="J237" s="83">
        <f>I237</f>
        <v>1171250</v>
      </c>
    </row>
    <row r="238" spans="1:11" x14ac:dyDescent="0.35">
      <c r="A238" s="8"/>
      <c r="B238" s="14"/>
      <c r="C238" s="8"/>
      <c r="D238" s="11"/>
      <c r="E238" s="19"/>
      <c r="F238" s="10"/>
      <c r="G238" s="10"/>
      <c r="H238" s="18"/>
      <c r="I238" s="20"/>
    </row>
    <row r="239" spans="1:11" x14ac:dyDescent="0.35">
      <c r="A239" s="9">
        <v>45260</v>
      </c>
      <c r="B239" s="10">
        <v>762</v>
      </c>
      <c r="C239" s="8"/>
      <c r="D239" s="22" t="s">
        <v>352</v>
      </c>
      <c r="E239" s="21"/>
      <c r="F239" s="21"/>
      <c r="G239" s="21"/>
      <c r="H239" s="65"/>
      <c r="I239" s="65"/>
    </row>
    <row r="240" spans="1:11" x14ac:dyDescent="0.35">
      <c r="A240" s="8"/>
      <c r="B240" s="10"/>
      <c r="C240" s="8"/>
      <c r="D240" s="11" t="s">
        <v>353</v>
      </c>
      <c r="E240" s="10">
        <v>1</v>
      </c>
      <c r="F240" s="10" t="s">
        <v>210</v>
      </c>
      <c r="G240" s="10" t="s">
        <v>13</v>
      </c>
      <c r="H240" s="53">
        <f>2800000-(2800000*25%)</f>
        <v>2100000</v>
      </c>
      <c r="I240" s="53">
        <f>H240*E240</f>
        <v>2100000</v>
      </c>
    </row>
    <row r="241" spans="1:10" x14ac:dyDescent="0.35">
      <c r="A241" s="8"/>
      <c r="B241" s="10"/>
      <c r="C241" s="8"/>
      <c r="D241" s="11"/>
      <c r="E241" s="10"/>
      <c r="F241" s="10"/>
      <c r="G241" s="10"/>
      <c r="H241" s="53"/>
      <c r="I241" s="54">
        <f>SUM(I239:I240)</f>
        <v>2100000</v>
      </c>
      <c r="J241" s="83">
        <f>I241</f>
        <v>2100000</v>
      </c>
    </row>
    <row r="242" spans="1:10" x14ac:dyDescent="0.35">
      <c r="A242" s="11"/>
      <c r="B242" s="10"/>
      <c r="C242" s="11"/>
      <c r="D242" s="11"/>
      <c r="E242" s="19"/>
      <c r="F242" s="10"/>
      <c r="G242" s="10"/>
      <c r="H242" s="18"/>
      <c r="I242" s="18"/>
    </row>
    <row r="243" spans="1:10" x14ac:dyDescent="0.35">
      <c r="A243" s="9">
        <v>45259</v>
      </c>
      <c r="B243" s="10">
        <v>761</v>
      </c>
      <c r="C243" s="8"/>
      <c r="D243" s="22" t="s">
        <v>354</v>
      </c>
      <c r="E243" s="21">
        <v>1</v>
      </c>
      <c r="F243" s="21" t="s">
        <v>14</v>
      </c>
      <c r="G243" s="21" t="s">
        <v>13</v>
      </c>
      <c r="H243" s="65"/>
      <c r="I243" s="65"/>
    </row>
    <row r="244" spans="1:10" x14ac:dyDescent="0.35">
      <c r="A244" s="8"/>
      <c r="B244" s="10"/>
      <c r="C244" s="8"/>
      <c r="D244" s="22" t="s">
        <v>355</v>
      </c>
      <c r="E244" s="21">
        <v>2</v>
      </c>
      <c r="F244" s="21" t="s">
        <v>210</v>
      </c>
      <c r="G244" s="21" t="s">
        <v>13</v>
      </c>
      <c r="H244" s="65"/>
      <c r="I244" s="65"/>
    </row>
    <row r="245" spans="1:10" x14ac:dyDescent="0.35">
      <c r="A245" s="8"/>
      <c r="B245" s="10"/>
      <c r="C245" s="8"/>
      <c r="D245" s="11" t="s">
        <v>356</v>
      </c>
      <c r="E245" s="10">
        <v>12</v>
      </c>
      <c r="F245" s="10" t="s">
        <v>210</v>
      </c>
      <c r="G245" s="10" t="s">
        <v>13</v>
      </c>
      <c r="H245" s="53">
        <f>125000-(125000*25%)</f>
        <v>93750</v>
      </c>
      <c r="I245" s="53">
        <f t="shared" ref="I245:I247" si="11">H245*E245</f>
        <v>1125000</v>
      </c>
    </row>
    <row r="246" spans="1:10" x14ac:dyDescent="0.35">
      <c r="A246" s="8"/>
      <c r="B246" s="10"/>
      <c r="C246" s="8"/>
      <c r="D246" s="11" t="s">
        <v>357</v>
      </c>
      <c r="E246" s="10">
        <v>1</v>
      </c>
      <c r="F246" s="10" t="s">
        <v>210</v>
      </c>
      <c r="G246" s="10" t="s">
        <v>13</v>
      </c>
      <c r="H246" s="53">
        <f>350000-(350000*25%)</f>
        <v>262500</v>
      </c>
      <c r="I246" s="53">
        <f t="shared" si="11"/>
        <v>262500</v>
      </c>
    </row>
    <row r="247" spans="1:10" x14ac:dyDescent="0.35">
      <c r="A247" s="8"/>
      <c r="B247" s="10"/>
      <c r="C247" s="8"/>
      <c r="D247" s="11" t="s">
        <v>358</v>
      </c>
      <c r="E247" s="10">
        <v>48</v>
      </c>
      <c r="F247" s="10" t="s">
        <v>14</v>
      </c>
      <c r="G247" s="10" t="s">
        <v>13</v>
      </c>
      <c r="H247" s="53">
        <f>6667-(6667*25%)</f>
        <v>5000.25</v>
      </c>
      <c r="I247" s="53">
        <f t="shared" si="11"/>
        <v>240012</v>
      </c>
    </row>
    <row r="248" spans="1:10" x14ac:dyDescent="0.35">
      <c r="A248" s="8"/>
      <c r="B248" s="10"/>
      <c r="C248" s="8"/>
      <c r="D248" s="22" t="s">
        <v>359</v>
      </c>
      <c r="E248" s="21">
        <v>1</v>
      </c>
      <c r="F248" s="21" t="s">
        <v>14</v>
      </c>
      <c r="G248" s="21" t="s">
        <v>13</v>
      </c>
      <c r="H248" s="65"/>
      <c r="I248" s="65"/>
    </row>
    <row r="249" spans="1:10" x14ac:dyDescent="0.35">
      <c r="A249" s="8"/>
      <c r="B249" s="10"/>
      <c r="C249" s="8"/>
      <c r="D249" s="8"/>
      <c r="E249" s="14"/>
      <c r="F249" s="14"/>
      <c r="G249" s="14"/>
      <c r="H249" s="57"/>
      <c r="I249" s="54">
        <f>SUM(I243:I248)</f>
        <v>1627512</v>
      </c>
      <c r="J249" s="83">
        <f>I249</f>
        <v>1627512</v>
      </c>
    </row>
    <row r="250" spans="1:10" x14ac:dyDescent="0.35">
      <c r="A250" s="8"/>
      <c r="B250" s="8"/>
      <c r="C250" s="8"/>
      <c r="D250" s="8"/>
      <c r="E250" s="8"/>
      <c r="F250" s="8"/>
      <c r="G250" s="8"/>
      <c r="H250" s="8"/>
      <c r="I250" s="8"/>
    </row>
    <row r="251" spans="1:10" x14ac:dyDescent="0.35">
      <c r="A251" s="9">
        <v>45259</v>
      </c>
      <c r="B251" s="10">
        <v>760</v>
      </c>
      <c r="C251" s="8"/>
      <c r="D251" s="22" t="s">
        <v>360</v>
      </c>
      <c r="E251" s="21">
        <v>10</v>
      </c>
      <c r="F251" s="21" t="s">
        <v>14</v>
      </c>
      <c r="G251" s="21" t="s">
        <v>13</v>
      </c>
      <c r="H251" s="65"/>
      <c r="I251" s="65">
        <f t="shared" ref="I251:I256" si="12">H251*E251</f>
        <v>0</v>
      </c>
    </row>
    <row r="252" spans="1:10" x14ac:dyDescent="0.35">
      <c r="A252" s="8"/>
      <c r="B252" s="10"/>
      <c r="C252" s="8"/>
      <c r="D252" s="11" t="s">
        <v>361</v>
      </c>
      <c r="E252" s="10">
        <v>1</v>
      </c>
      <c r="F252" s="10" t="s">
        <v>210</v>
      </c>
      <c r="G252" s="10" t="s">
        <v>13</v>
      </c>
      <c r="H252" s="53">
        <f>1600000-(1600000*25%)</f>
        <v>1200000</v>
      </c>
      <c r="I252" s="53">
        <f t="shared" si="12"/>
        <v>1200000</v>
      </c>
    </row>
    <row r="253" spans="1:10" x14ac:dyDescent="0.35">
      <c r="A253" s="8"/>
      <c r="B253" s="10"/>
      <c r="C253" s="8"/>
      <c r="D253" s="22" t="s">
        <v>362</v>
      </c>
      <c r="E253" s="21">
        <v>1</v>
      </c>
      <c r="F253" s="21" t="s">
        <v>210</v>
      </c>
      <c r="G253" s="21" t="s">
        <v>13</v>
      </c>
      <c r="H253" s="65"/>
      <c r="I253" s="65">
        <f t="shared" si="12"/>
        <v>0</v>
      </c>
    </row>
    <row r="254" spans="1:10" x14ac:dyDescent="0.35">
      <c r="A254" s="8"/>
      <c r="B254" s="10"/>
      <c r="C254" s="8"/>
      <c r="D254" s="11" t="s">
        <v>363</v>
      </c>
      <c r="E254" s="10">
        <v>10</v>
      </c>
      <c r="F254" s="10" t="s">
        <v>14</v>
      </c>
      <c r="G254" s="10" t="s">
        <v>13</v>
      </c>
      <c r="H254" s="53">
        <f>20000-(20000*25%)</f>
        <v>15000</v>
      </c>
      <c r="I254" s="53">
        <f t="shared" si="12"/>
        <v>150000</v>
      </c>
    </row>
    <row r="255" spans="1:10" x14ac:dyDescent="0.35">
      <c r="A255" s="8"/>
      <c r="B255" s="10"/>
      <c r="C255" s="8"/>
      <c r="D255" s="22" t="s">
        <v>364</v>
      </c>
      <c r="E255" s="21">
        <v>4</v>
      </c>
      <c r="F255" s="21" t="s">
        <v>14</v>
      </c>
      <c r="G255" s="21" t="s">
        <v>13</v>
      </c>
      <c r="H255" s="65"/>
      <c r="I255" s="65">
        <f t="shared" si="12"/>
        <v>0</v>
      </c>
    </row>
    <row r="256" spans="1:10" x14ac:dyDescent="0.35">
      <c r="A256" s="8"/>
      <c r="B256" s="10"/>
      <c r="C256" s="8"/>
      <c r="D256" s="22" t="s">
        <v>365</v>
      </c>
      <c r="E256" s="21">
        <v>4</v>
      </c>
      <c r="F256" s="21" t="s">
        <v>210</v>
      </c>
      <c r="G256" s="21" t="s">
        <v>13</v>
      </c>
      <c r="H256" s="65"/>
      <c r="I256" s="65">
        <f t="shared" si="12"/>
        <v>0</v>
      </c>
    </row>
    <row r="257" spans="1:10" x14ac:dyDescent="0.35">
      <c r="A257" s="8"/>
      <c r="B257" s="10"/>
      <c r="C257" s="8"/>
      <c r="D257" s="11"/>
      <c r="E257" s="10"/>
      <c r="F257" s="10"/>
      <c r="G257" s="10"/>
      <c r="H257" s="53"/>
      <c r="I257" s="54">
        <f>SUM(I251:I256)</f>
        <v>1350000</v>
      </c>
      <c r="J257" s="83">
        <f>I257</f>
        <v>1350000</v>
      </c>
    </row>
    <row r="258" spans="1:10" x14ac:dyDescent="0.35">
      <c r="A258" s="8"/>
      <c r="B258" s="8"/>
      <c r="C258" s="8"/>
      <c r="D258" s="8"/>
      <c r="E258" s="8"/>
      <c r="F258" s="8"/>
      <c r="G258" s="8"/>
      <c r="H258" s="8"/>
      <c r="I258" s="8"/>
    </row>
    <row r="259" spans="1:10" x14ac:dyDescent="0.35">
      <c r="A259" s="9">
        <v>45259</v>
      </c>
      <c r="B259" s="10">
        <v>759</v>
      </c>
      <c r="C259" s="8"/>
      <c r="D259" s="11" t="s">
        <v>366</v>
      </c>
      <c r="E259" s="10">
        <v>1</v>
      </c>
      <c r="F259" s="10" t="s">
        <v>210</v>
      </c>
      <c r="G259" s="10" t="s">
        <v>13</v>
      </c>
      <c r="H259" s="53">
        <f>2730000-(2730000*25%)</f>
        <v>2047500</v>
      </c>
      <c r="I259" s="53">
        <f>H259*E259</f>
        <v>2047500</v>
      </c>
    </row>
    <row r="260" spans="1:10" x14ac:dyDescent="0.35">
      <c r="A260" s="8"/>
      <c r="B260" s="10"/>
      <c r="C260" s="8"/>
      <c r="D260" s="11" t="s">
        <v>367</v>
      </c>
      <c r="E260" s="10">
        <v>1</v>
      </c>
      <c r="F260" s="10" t="s">
        <v>210</v>
      </c>
      <c r="G260" s="10" t="s">
        <v>13</v>
      </c>
      <c r="H260" s="53">
        <f>2000000-(2000000*25%)</f>
        <v>1500000</v>
      </c>
      <c r="I260" s="53">
        <f>H260*E260</f>
        <v>1500000</v>
      </c>
    </row>
    <row r="261" spans="1:10" x14ac:dyDescent="0.35">
      <c r="A261" s="8"/>
      <c r="B261" s="10"/>
      <c r="C261" s="8"/>
      <c r="D261" s="11" t="s">
        <v>368</v>
      </c>
      <c r="E261" s="10">
        <v>1</v>
      </c>
      <c r="F261" s="10" t="s">
        <v>210</v>
      </c>
      <c r="G261" s="10" t="s">
        <v>13</v>
      </c>
      <c r="H261" s="53">
        <f>2500000-(2500000*25%)</f>
        <v>1875000</v>
      </c>
      <c r="I261" s="53">
        <f>H261*E261</f>
        <v>1875000</v>
      </c>
    </row>
    <row r="262" spans="1:10" x14ac:dyDescent="0.35">
      <c r="A262" s="8"/>
      <c r="B262" s="10"/>
      <c r="C262" s="8"/>
      <c r="D262" s="11" t="s">
        <v>369</v>
      </c>
      <c r="E262" s="10">
        <v>50</v>
      </c>
      <c r="F262" s="10" t="s">
        <v>14</v>
      </c>
      <c r="G262" s="10" t="s">
        <v>13</v>
      </c>
      <c r="H262" s="53">
        <f>30000-(30000*25%)</f>
        <v>22500</v>
      </c>
      <c r="I262" s="53">
        <f>H262*E262</f>
        <v>1125000</v>
      </c>
    </row>
    <row r="263" spans="1:10" x14ac:dyDescent="0.35">
      <c r="A263" s="8"/>
      <c r="B263" s="10"/>
      <c r="C263" s="8"/>
      <c r="D263" s="11"/>
      <c r="E263" s="10"/>
      <c r="F263" s="10"/>
      <c r="G263" s="10"/>
      <c r="H263" s="53"/>
      <c r="I263" s="54">
        <f>SUM(I259:I262)</f>
        <v>6547500</v>
      </c>
      <c r="J263" s="83">
        <f>I263</f>
        <v>6547500</v>
      </c>
    </row>
    <row r="264" spans="1:10" x14ac:dyDescent="0.35">
      <c r="A264" s="8"/>
      <c r="B264" s="8"/>
      <c r="C264" s="8"/>
      <c r="D264" s="8"/>
      <c r="E264" s="8"/>
      <c r="F264" s="8"/>
      <c r="G264" s="8"/>
      <c r="H264" s="8"/>
      <c r="I264" s="8"/>
    </row>
    <row r="265" spans="1:10" x14ac:dyDescent="0.35">
      <c r="A265" s="9">
        <v>45259</v>
      </c>
      <c r="B265" s="10">
        <v>758</v>
      </c>
      <c r="C265" s="8"/>
      <c r="D265" s="11" t="s">
        <v>370</v>
      </c>
      <c r="E265" s="10"/>
      <c r="F265" s="10"/>
      <c r="G265" s="10"/>
      <c r="H265" s="53"/>
      <c r="I265" s="53"/>
    </row>
    <row r="266" spans="1:10" x14ac:dyDescent="0.35">
      <c r="A266" s="8"/>
      <c r="B266" s="10"/>
      <c r="C266" s="8"/>
      <c r="D266" s="22" t="s">
        <v>371</v>
      </c>
      <c r="E266" s="21">
        <v>1</v>
      </c>
      <c r="F266" s="21" t="s">
        <v>210</v>
      </c>
      <c r="G266" s="21" t="s">
        <v>13</v>
      </c>
      <c r="H266" s="61"/>
      <c r="I266" s="61"/>
    </row>
    <row r="267" spans="1:10" x14ac:dyDescent="0.35">
      <c r="A267" s="8"/>
      <c r="B267" s="10"/>
      <c r="C267" s="8"/>
      <c r="D267" s="22" t="s">
        <v>372</v>
      </c>
      <c r="E267" s="21">
        <v>1</v>
      </c>
      <c r="F267" s="21" t="s">
        <v>210</v>
      </c>
      <c r="G267" s="21" t="s">
        <v>13</v>
      </c>
      <c r="H267" s="61"/>
      <c r="I267" s="61"/>
    </row>
    <row r="268" spans="1:10" x14ac:dyDescent="0.35">
      <c r="A268" s="8"/>
      <c r="B268" s="10"/>
      <c r="C268" s="8"/>
      <c r="D268" s="11" t="s">
        <v>373</v>
      </c>
      <c r="E268" s="10">
        <v>1</v>
      </c>
      <c r="F268" s="10" t="s">
        <v>221</v>
      </c>
      <c r="G268" s="10" t="s">
        <v>13</v>
      </c>
      <c r="H268" s="53">
        <f>600000-(600000*25%)</f>
        <v>450000</v>
      </c>
      <c r="I268" s="53">
        <f>H268*E268</f>
        <v>450000</v>
      </c>
    </row>
    <row r="269" spans="1:10" x14ac:dyDescent="0.35">
      <c r="A269" s="8"/>
      <c r="B269" s="10"/>
      <c r="C269" s="8"/>
      <c r="D269" s="11" t="s">
        <v>353</v>
      </c>
      <c r="E269" s="10">
        <v>1</v>
      </c>
      <c r="F269" s="10" t="s">
        <v>210</v>
      </c>
      <c r="G269" s="10" t="s">
        <v>13</v>
      </c>
      <c r="H269" s="53">
        <f>1500000-(1500000*25%)</f>
        <v>1125000</v>
      </c>
      <c r="I269" s="53">
        <f>H269*E269</f>
        <v>1125000</v>
      </c>
    </row>
    <row r="270" spans="1:10" x14ac:dyDescent="0.35">
      <c r="A270" s="8"/>
      <c r="B270" s="10"/>
      <c r="C270" s="8"/>
      <c r="D270" s="11"/>
      <c r="E270" s="10"/>
      <c r="F270" s="10"/>
      <c r="G270" s="10"/>
      <c r="H270" s="53"/>
      <c r="I270" s="54">
        <f>SUM(I265:I269)</f>
        <v>1575000</v>
      </c>
      <c r="J270" s="83">
        <f>I270</f>
        <v>1575000</v>
      </c>
    </row>
    <row r="271" spans="1:10" x14ac:dyDescent="0.35">
      <c r="A271" s="8"/>
      <c r="B271" s="8"/>
      <c r="C271" s="8"/>
      <c r="D271" s="8"/>
      <c r="E271" s="8"/>
      <c r="F271" s="8"/>
      <c r="G271" s="8"/>
      <c r="H271" s="8"/>
      <c r="I271" s="8"/>
    </row>
    <row r="272" spans="1:10" x14ac:dyDescent="0.35">
      <c r="A272" s="9">
        <v>45259</v>
      </c>
      <c r="B272" s="10">
        <v>757</v>
      </c>
      <c r="C272" s="11"/>
      <c r="D272" s="22" t="s">
        <v>374</v>
      </c>
      <c r="E272" s="21">
        <v>1</v>
      </c>
      <c r="F272" s="21" t="s">
        <v>210</v>
      </c>
      <c r="G272" s="21" t="s">
        <v>13</v>
      </c>
      <c r="H272" s="61"/>
      <c r="I272" s="61"/>
    </row>
    <row r="273" spans="1:10" x14ac:dyDescent="0.35">
      <c r="A273" s="8"/>
      <c r="B273" s="10"/>
      <c r="C273" s="11"/>
      <c r="D273" s="22" t="s">
        <v>375</v>
      </c>
      <c r="E273" s="21">
        <v>1</v>
      </c>
      <c r="F273" s="21" t="s">
        <v>210</v>
      </c>
      <c r="G273" s="21" t="s">
        <v>13</v>
      </c>
      <c r="H273" s="61"/>
      <c r="I273" s="61"/>
    </row>
    <row r="274" spans="1:10" x14ac:dyDescent="0.35">
      <c r="A274" s="8"/>
      <c r="B274" s="10"/>
      <c r="C274" s="11"/>
      <c r="D274" s="22" t="s">
        <v>376</v>
      </c>
      <c r="E274" s="21">
        <v>1</v>
      </c>
      <c r="F274" s="21" t="s">
        <v>210</v>
      </c>
      <c r="G274" s="21" t="s">
        <v>13</v>
      </c>
      <c r="H274" s="61"/>
      <c r="I274" s="61"/>
    </row>
    <row r="275" spans="1:10" x14ac:dyDescent="0.35">
      <c r="A275" s="8"/>
      <c r="B275" s="10"/>
      <c r="C275" s="11"/>
      <c r="D275" s="11" t="s">
        <v>377</v>
      </c>
      <c r="E275" s="10">
        <v>1</v>
      </c>
      <c r="F275" s="10" t="s">
        <v>221</v>
      </c>
      <c r="G275" s="10" t="s">
        <v>13</v>
      </c>
      <c r="H275" s="53">
        <f>2000000-(2000000*25%)</f>
        <v>1500000</v>
      </c>
      <c r="I275" s="53">
        <f t="shared" ref="I275:I278" si="13">H275*E275</f>
        <v>1500000</v>
      </c>
    </row>
    <row r="276" spans="1:10" x14ac:dyDescent="0.35">
      <c r="A276" s="8"/>
      <c r="B276" s="10"/>
      <c r="C276" s="11"/>
      <c r="D276" s="11" t="s">
        <v>378</v>
      </c>
      <c r="E276" s="10">
        <v>1</v>
      </c>
      <c r="F276" s="10" t="s">
        <v>210</v>
      </c>
      <c r="G276" s="10" t="s">
        <v>13</v>
      </c>
      <c r="H276" s="60">
        <f>5509500-(5509500*25%)</f>
        <v>4132125</v>
      </c>
      <c r="I276" s="60">
        <f t="shared" si="13"/>
        <v>4132125</v>
      </c>
    </row>
    <row r="277" spans="1:10" x14ac:dyDescent="0.35">
      <c r="A277" s="8"/>
      <c r="B277" s="10"/>
      <c r="C277" s="11"/>
      <c r="D277" s="22" t="s">
        <v>379</v>
      </c>
      <c r="E277" s="21">
        <v>6</v>
      </c>
      <c r="F277" s="21" t="s">
        <v>210</v>
      </c>
      <c r="G277" s="21" t="s">
        <v>13</v>
      </c>
      <c r="H277" s="65"/>
      <c r="I277" s="65"/>
    </row>
    <row r="278" spans="1:10" x14ac:dyDescent="0.35">
      <c r="A278" s="8"/>
      <c r="B278" s="10"/>
      <c r="C278" s="11"/>
      <c r="D278" s="11" t="s">
        <v>380</v>
      </c>
      <c r="E278" s="10">
        <v>1</v>
      </c>
      <c r="F278" s="10" t="s">
        <v>210</v>
      </c>
      <c r="G278" s="10" t="s">
        <v>13</v>
      </c>
      <c r="H278" s="53">
        <f>3000000-(3000000*25%)</f>
        <v>2250000</v>
      </c>
      <c r="I278" s="53">
        <f t="shared" si="13"/>
        <v>2250000</v>
      </c>
    </row>
    <row r="279" spans="1:10" x14ac:dyDescent="0.35">
      <c r="A279" s="8"/>
      <c r="B279" s="10"/>
      <c r="C279" s="11"/>
      <c r="D279" s="11"/>
      <c r="E279" s="10"/>
      <c r="F279" s="10"/>
      <c r="G279" s="10"/>
      <c r="H279" s="53"/>
      <c r="I279" s="54">
        <f>SUM(I272:I278)</f>
        <v>7882125</v>
      </c>
      <c r="J279" s="83">
        <f>I279</f>
        <v>7882125</v>
      </c>
    </row>
    <row r="280" spans="1:10" x14ac:dyDescent="0.35">
      <c r="A280" s="8"/>
      <c r="B280" s="8"/>
      <c r="C280" s="8"/>
      <c r="D280" s="8"/>
      <c r="E280" s="8"/>
      <c r="F280" s="8"/>
      <c r="G280" s="8"/>
      <c r="H280" s="8"/>
      <c r="I280" s="8"/>
    </row>
    <row r="281" spans="1:10" x14ac:dyDescent="0.35">
      <c r="A281" s="9">
        <v>45259</v>
      </c>
      <c r="B281" s="10">
        <v>756</v>
      </c>
      <c r="C281" s="11"/>
      <c r="D281" s="11" t="s">
        <v>370</v>
      </c>
      <c r="E281" s="10"/>
      <c r="F281" s="10"/>
      <c r="G281" s="10"/>
      <c r="H281" s="53"/>
      <c r="I281" s="53"/>
    </row>
    <row r="282" spans="1:10" x14ac:dyDescent="0.35">
      <c r="A282" s="11"/>
      <c r="B282" s="10"/>
      <c r="C282" s="11"/>
      <c r="D282" s="11" t="s">
        <v>381</v>
      </c>
      <c r="E282" s="10">
        <v>1</v>
      </c>
      <c r="F282" s="10" t="s">
        <v>20</v>
      </c>
      <c r="G282" s="10" t="s">
        <v>13</v>
      </c>
      <c r="H282" s="53">
        <v>50500</v>
      </c>
      <c r="I282" s="53">
        <f t="shared" ref="I282:I288" si="14">H282*E282</f>
        <v>50500</v>
      </c>
    </row>
    <row r="283" spans="1:10" x14ac:dyDescent="0.35">
      <c r="A283" s="11"/>
      <c r="B283" s="10"/>
      <c r="C283" s="11"/>
      <c r="D283" s="22" t="s">
        <v>382</v>
      </c>
      <c r="E283" s="21">
        <v>12</v>
      </c>
      <c r="F283" s="21" t="s">
        <v>14</v>
      </c>
      <c r="G283" s="21" t="s">
        <v>13</v>
      </c>
      <c r="H283" s="65"/>
      <c r="I283" s="65"/>
    </row>
    <row r="284" spans="1:10" x14ac:dyDescent="0.35">
      <c r="A284" s="11"/>
      <c r="B284" s="10"/>
      <c r="C284" s="11"/>
      <c r="D284" s="11" t="s">
        <v>383</v>
      </c>
      <c r="E284" s="10">
        <v>1</v>
      </c>
      <c r="F284" s="10" t="s">
        <v>210</v>
      </c>
      <c r="G284" s="10" t="s">
        <v>13</v>
      </c>
      <c r="H284" s="53">
        <f>3000000-(3000000*25%)</f>
        <v>2250000</v>
      </c>
      <c r="I284" s="53">
        <f t="shared" si="14"/>
        <v>2250000</v>
      </c>
    </row>
    <row r="285" spans="1:10" x14ac:dyDescent="0.35">
      <c r="A285" s="11"/>
      <c r="B285" s="10"/>
      <c r="C285" s="11"/>
      <c r="D285" s="11" t="s">
        <v>384</v>
      </c>
      <c r="E285" s="10">
        <v>1</v>
      </c>
      <c r="F285" s="10" t="s">
        <v>210</v>
      </c>
      <c r="G285" s="10" t="s">
        <v>13</v>
      </c>
      <c r="H285" s="53">
        <f>2500000-(2500000*25%)</f>
        <v>1875000</v>
      </c>
      <c r="I285" s="53">
        <f t="shared" si="14"/>
        <v>1875000</v>
      </c>
    </row>
    <row r="286" spans="1:10" x14ac:dyDescent="0.35">
      <c r="A286" s="11"/>
      <c r="B286" s="10"/>
      <c r="C286" s="11"/>
      <c r="D286" s="22" t="s">
        <v>385</v>
      </c>
      <c r="E286" s="21">
        <v>2</v>
      </c>
      <c r="F286" s="21" t="s">
        <v>210</v>
      </c>
      <c r="G286" s="21" t="s">
        <v>13</v>
      </c>
      <c r="H286" s="65"/>
      <c r="I286" s="65"/>
    </row>
    <row r="287" spans="1:10" x14ac:dyDescent="0.35">
      <c r="A287" s="11"/>
      <c r="B287" s="10"/>
      <c r="C287" s="11"/>
      <c r="D287" s="22" t="s">
        <v>386</v>
      </c>
      <c r="E287" s="21">
        <v>1</v>
      </c>
      <c r="F287" s="21" t="s">
        <v>210</v>
      </c>
      <c r="G287" s="21" t="s">
        <v>13</v>
      </c>
      <c r="H287" s="65"/>
      <c r="I287" s="65"/>
    </row>
    <row r="288" spans="1:10" x14ac:dyDescent="0.35">
      <c r="A288" s="11"/>
      <c r="B288" s="10"/>
      <c r="C288" s="11"/>
      <c r="D288" s="11" t="s">
        <v>387</v>
      </c>
      <c r="E288" s="10">
        <v>1</v>
      </c>
      <c r="F288" s="10" t="s">
        <v>210</v>
      </c>
      <c r="G288" s="10" t="s">
        <v>200</v>
      </c>
      <c r="H288" s="53">
        <f>100000-(100000*25%)</f>
        <v>75000</v>
      </c>
      <c r="I288" s="53">
        <f t="shared" si="14"/>
        <v>75000</v>
      </c>
    </row>
    <row r="289" spans="1:10" x14ac:dyDescent="0.35">
      <c r="A289" s="11"/>
      <c r="B289" s="10"/>
      <c r="C289" s="11"/>
      <c r="D289" s="11"/>
      <c r="E289" s="10"/>
      <c r="F289" s="10"/>
      <c r="G289" s="10"/>
      <c r="H289" s="53"/>
      <c r="I289" s="54">
        <f>SUM(I281:I288)</f>
        <v>4250500</v>
      </c>
      <c r="J289" s="83">
        <f>I289</f>
        <v>4250500</v>
      </c>
    </row>
    <row r="290" spans="1:10" x14ac:dyDescent="0.35">
      <c r="A290" s="8"/>
      <c r="B290" s="8"/>
      <c r="C290" s="8"/>
      <c r="D290" s="8"/>
      <c r="E290" s="8"/>
      <c r="F290" s="8"/>
      <c r="G290" s="8"/>
      <c r="H290" s="8"/>
      <c r="I290" s="8"/>
    </row>
    <row r="291" spans="1:10" x14ac:dyDescent="0.35">
      <c r="A291" s="9">
        <v>45259</v>
      </c>
      <c r="B291" s="10">
        <v>755</v>
      </c>
      <c r="C291" s="11"/>
      <c r="D291" s="11" t="s">
        <v>388</v>
      </c>
      <c r="E291" s="10">
        <v>1</v>
      </c>
      <c r="F291" s="10" t="s">
        <v>210</v>
      </c>
      <c r="G291" s="10" t="s">
        <v>13</v>
      </c>
      <c r="H291" s="53">
        <f>4500000-(4500000*25%)</f>
        <v>3375000</v>
      </c>
      <c r="I291" s="53">
        <f>H291*E291</f>
        <v>3375000</v>
      </c>
    </row>
    <row r="292" spans="1:10" x14ac:dyDescent="0.35">
      <c r="A292" s="11"/>
      <c r="B292" s="10"/>
      <c r="C292" s="11"/>
      <c r="D292" s="11"/>
      <c r="E292" s="10"/>
      <c r="F292" s="10"/>
      <c r="G292" s="10"/>
      <c r="H292" s="11"/>
      <c r="I292" s="56">
        <f>SUM(I291)</f>
        <v>3375000</v>
      </c>
      <c r="J292" s="83">
        <f>I292</f>
        <v>3375000</v>
      </c>
    </row>
    <row r="293" spans="1:10" x14ac:dyDescent="0.35">
      <c r="A293" s="8"/>
      <c r="B293" s="8"/>
      <c r="C293" s="8"/>
      <c r="D293" s="8"/>
      <c r="E293" s="8"/>
      <c r="F293" s="8"/>
      <c r="G293" s="8"/>
      <c r="H293" s="8"/>
      <c r="I293" s="8"/>
    </row>
    <row r="294" spans="1:10" x14ac:dyDescent="0.35">
      <c r="A294" s="9">
        <v>45259</v>
      </c>
      <c r="B294" s="10">
        <v>753</v>
      </c>
      <c r="C294" s="8"/>
      <c r="D294" s="11" t="s">
        <v>389</v>
      </c>
      <c r="E294" s="10">
        <v>1</v>
      </c>
      <c r="F294" s="10" t="s">
        <v>207</v>
      </c>
      <c r="G294" s="10" t="s">
        <v>13</v>
      </c>
      <c r="H294" s="53">
        <f>10000000-(10000000*25%)</f>
        <v>7500000</v>
      </c>
      <c r="I294" s="53">
        <f>H294*E294</f>
        <v>7500000</v>
      </c>
    </row>
    <row r="295" spans="1:10" x14ac:dyDescent="0.35">
      <c r="A295" s="8"/>
      <c r="B295" s="10"/>
      <c r="C295" s="8"/>
      <c r="D295" s="11"/>
      <c r="E295" s="10"/>
      <c r="F295" s="10"/>
      <c r="G295" s="10"/>
      <c r="H295" s="53"/>
      <c r="I295" s="54">
        <f>SUM(I294)</f>
        <v>7500000</v>
      </c>
      <c r="J295" s="83">
        <f>I295</f>
        <v>7500000</v>
      </c>
    </row>
    <row r="296" spans="1:10" x14ac:dyDescent="0.35">
      <c r="A296" s="8"/>
      <c r="B296" s="8"/>
      <c r="C296" s="8"/>
      <c r="D296" s="8"/>
      <c r="E296" s="8"/>
      <c r="F296" s="8"/>
      <c r="G296" s="8"/>
      <c r="H296" s="8"/>
      <c r="I296" s="8"/>
    </row>
    <row r="297" spans="1:10" x14ac:dyDescent="0.35">
      <c r="A297" s="9">
        <v>45259</v>
      </c>
      <c r="B297" s="10">
        <v>748</v>
      </c>
      <c r="C297" s="8"/>
      <c r="D297" s="11" t="s">
        <v>390</v>
      </c>
      <c r="E297" s="10">
        <v>1</v>
      </c>
      <c r="F297" s="10" t="s">
        <v>14</v>
      </c>
      <c r="G297" s="10" t="s">
        <v>13</v>
      </c>
      <c r="H297" s="53">
        <f>2940000-(2940000*25%)</f>
        <v>2205000</v>
      </c>
      <c r="I297" s="53">
        <f>H297*E297</f>
        <v>2205000</v>
      </c>
    </row>
    <row r="298" spans="1:10" x14ac:dyDescent="0.35">
      <c r="A298" s="8"/>
      <c r="B298" s="10"/>
      <c r="C298" s="8"/>
      <c r="D298" s="11" t="s">
        <v>391</v>
      </c>
      <c r="E298" s="10">
        <v>20</v>
      </c>
      <c r="F298" s="10" t="s">
        <v>14</v>
      </c>
      <c r="G298" s="10" t="s">
        <v>13</v>
      </c>
      <c r="H298" s="53">
        <f>150000-(150000*25%)</f>
        <v>112500</v>
      </c>
      <c r="I298" s="53">
        <f>H298*E298</f>
        <v>2250000</v>
      </c>
    </row>
    <row r="299" spans="1:10" x14ac:dyDescent="0.35">
      <c r="A299" s="8"/>
      <c r="B299" s="10"/>
      <c r="C299" s="8"/>
      <c r="D299" s="66" t="s">
        <v>392</v>
      </c>
      <c r="E299" s="67">
        <v>1</v>
      </c>
      <c r="F299" s="67" t="s">
        <v>14</v>
      </c>
      <c r="G299" s="67" t="s">
        <v>13</v>
      </c>
      <c r="H299" s="68"/>
      <c r="I299" s="68"/>
    </row>
    <row r="300" spans="1:10" x14ac:dyDescent="0.35">
      <c r="A300" s="8"/>
      <c r="B300" s="10"/>
      <c r="C300" s="8"/>
      <c r="D300" s="11" t="s">
        <v>393</v>
      </c>
      <c r="E300" s="10">
        <v>7</v>
      </c>
      <c r="F300" s="10" t="s">
        <v>14</v>
      </c>
      <c r="G300" s="10" t="s">
        <v>13</v>
      </c>
      <c r="H300" s="53">
        <f>109200-(109200*25%)</f>
        <v>81900</v>
      </c>
      <c r="I300" s="53">
        <f>H300*E300</f>
        <v>573300</v>
      </c>
    </row>
    <row r="301" spans="1:10" x14ac:dyDescent="0.35">
      <c r="A301" s="8"/>
      <c r="B301" s="10"/>
      <c r="C301" s="8"/>
      <c r="D301" s="11"/>
      <c r="E301" s="10"/>
      <c r="F301" s="10"/>
      <c r="G301" s="10"/>
      <c r="H301" s="53"/>
      <c r="I301" s="54">
        <f>SUM(I297:I300)</f>
        <v>5028300</v>
      </c>
      <c r="J301" s="83">
        <f>I301</f>
        <v>5028300</v>
      </c>
    </row>
    <row r="302" spans="1:10" x14ac:dyDescent="0.35">
      <c r="A302" s="8"/>
      <c r="B302" s="10"/>
      <c r="C302" s="8"/>
      <c r="D302" s="8"/>
      <c r="E302" s="14"/>
      <c r="F302" s="14"/>
      <c r="G302" s="14"/>
      <c r="H302" s="57"/>
      <c r="I302" s="57"/>
    </row>
    <row r="303" spans="1:10" x14ac:dyDescent="0.35">
      <c r="A303" s="9">
        <v>45259</v>
      </c>
      <c r="B303" s="10">
        <v>749</v>
      </c>
      <c r="C303" s="11"/>
      <c r="D303" s="11" t="s">
        <v>394</v>
      </c>
      <c r="E303" s="10">
        <v>24</v>
      </c>
      <c r="F303" s="10" t="s">
        <v>14</v>
      </c>
      <c r="G303" s="10" t="s">
        <v>13</v>
      </c>
      <c r="H303" s="53">
        <f>24500-(24500*25%)</f>
        <v>18375</v>
      </c>
      <c r="I303" s="53">
        <f>H303*E303</f>
        <v>441000</v>
      </c>
    </row>
    <row r="304" spans="1:10" x14ac:dyDescent="0.35">
      <c r="A304" s="11"/>
      <c r="B304" s="10"/>
      <c r="C304" s="11"/>
      <c r="D304" s="11"/>
      <c r="E304" s="10"/>
      <c r="F304" s="10"/>
      <c r="G304" s="10"/>
      <c r="H304" s="53"/>
      <c r="I304" s="54">
        <f>SUM(I303)</f>
        <v>441000</v>
      </c>
      <c r="J304" s="83">
        <f>I304</f>
        <v>441000</v>
      </c>
    </row>
    <row r="305" spans="1:10" x14ac:dyDescent="0.35">
      <c r="A305" s="11"/>
      <c r="B305" s="10"/>
      <c r="C305" s="11"/>
      <c r="D305" s="11"/>
      <c r="E305" s="10"/>
      <c r="F305" s="10"/>
      <c r="G305" s="10"/>
      <c r="H305" s="53"/>
      <c r="I305" s="53"/>
    </row>
    <row r="306" spans="1:10" x14ac:dyDescent="0.35">
      <c r="A306" s="9">
        <v>45259</v>
      </c>
      <c r="B306" s="10">
        <v>750</v>
      </c>
      <c r="C306" s="11"/>
      <c r="D306" s="11" t="s">
        <v>395</v>
      </c>
      <c r="E306" s="10">
        <v>1</v>
      </c>
      <c r="F306" s="10" t="s">
        <v>210</v>
      </c>
      <c r="G306" s="10" t="s">
        <v>13</v>
      </c>
      <c r="H306" s="53">
        <f>2000000-(2000000*25%)</f>
        <v>1500000</v>
      </c>
      <c r="I306" s="53">
        <f>H306*E306</f>
        <v>1500000</v>
      </c>
    </row>
    <row r="307" spans="1:10" x14ac:dyDescent="0.35">
      <c r="A307" s="11"/>
      <c r="B307" s="10"/>
      <c r="C307" s="11"/>
      <c r="D307" s="11" t="s">
        <v>396</v>
      </c>
      <c r="E307" s="10">
        <v>1</v>
      </c>
      <c r="F307" s="10" t="s">
        <v>210</v>
      </c>
      <c r="G307" s="10" t="s">
        <v>13</v>
      </c>
      <c r="H307" s="53">
        <f>1000000-(1000000*25%)</f>
        <v>750000</v>
      </c>
      <c r="I307" s="53">
        <f>H307*E307</f>
        <v>750000</v>
      </c>
    </row>
    <row r="308" spans="1:10" x14ac:dyDescent="0.35">
      <c r="A308" s="11"/>
      <c r="B308" s="10"/>
      <c r="C308" s="11"/>
      <c r="D308" s="11"/>
      <c r="E308" s="10"/>
      <c r="F308" s="10"/>
      <c r="G308" s="10"/>
      <c r="H308" s="53"/>
      <c r="I308" s="54">
        <f>SUM(I306:I307)</f>
        <v>2250000</v>
      </c>
      <c r="J308" s="83">
        <f>I308</f>
        <v>2250000</v>
      </c>
    </row>
    <row r="309" spans="1:10" x14ac:dyDescent="0.35">
      <c r="A309" s="8"/>
      <c r="B309" s="8"/>
      <c r="C309" s="8"/>
      <c r="D309" s="8"/>
      <c r="E309" s="8"/>
      <c r="F309" s="8"/>
      <c r="G309" s="8"/>
      <c r="H309" s="8"/>
      <c r="I309" s="8"/>
    </row>
    <row r="310" spans="1:10" x14ac:dyDescent="0.35">
      <c r="A310" s="9">
        <v>45259</v>
      </c>
      <c r="B310" s="10">
        <v>747</v>
      </c>
      <c r="C310" s="8"/>
      <c r="D310" s="11" t="s">
        <v>397</v>
      </c>
      <c r="E310" s="10">
        <v>1</v>
      </c>
      <c r="F310" s="10" t="s">
        <v>221</v>
      </c>
      <c r="G310" s="10" t="s">
        <v>13</v>
      </c>
      <c r="H310" s="53">
        <f>6500000-(6500000*25%)</f>
        <v>4875000</v>
      </c>
      <c r="I310" s="53">
        <f>H310*E310</f>
        <v>4875000</v>
      </c>
    </row>
    <row r="311" spans="1:10" x14ac:dyDescent="0.35">
      <c r="A311" s="8"/>
      <c r="B311" s="10"/>
      <c r="C311" s="8"/>
      <c r="D311" s="69" t="s">
        <v>398</v>
      </c>
      <c r="E311" s="10"/>
      <c r="F311" s="10"/>
      <c r="G311" s="10"/>
      <c r="H311" s="53"/>
      <c r="I311" s="54">
        <f>SUM(I310)</f>
        <v>4875000</v>
      </c>
      <c r="J311" s="83">
        <f>I311</f>
        <v>4875000</v>
      </c>
    </row>
    <row r="312" spans="1:10" x14ac:dyDescent="0.35">
      <c r="A312" s="8"/>
      <c r="B312" s="10"/>
      <c r="C312" s="8"/>
      <c r="D312" s="69" t="s">
        <v>399</v>
      </c>
      <c r="E312" s="10"/>
      <c r="F312" s="10"/>
      <c r="G312" s="10"/>
      <c r="H312" s="53"/>
      <c r="I312" s="53"/>
    </row>
    <row r="313" spans="1:10" x14ac:dyDescent="0.35">
      <c r="A313" s="8"/>
      <c r="B313" s="10"/>
      <c r="C313" s="8"/>
      <c r="D313" s="69" t="s">
        <v>400</v>
      </c>
      <c r="E313" s="10"/>
      <c r="F313" s="10"/>
      <c r="G313" s="10"/>
      <c r="H313" s="53"/>
      <c r="I313" s="53"/>
    </row>
    <row r="314" spans="1:10" x14ac:dyDescent="0.35">
      <c r="A314" s="8"/>
      <c r="B314" s="8"/>
      <c r="C314" s="8"/>
      <c r="D314" s="8"/>
      <c r="E314" s="8"/>
      <c r="F314" s="8"/>
      <c r="G314" s="8"/>
      <c r="H314" s="8"/>
      <c r="I314" s="8"/>
    </row>
    <row r="315" spans="1:10" x14ac:dyDescent="0.35">
      <c r="A315" s="9">
        <v>45259</v>
      </c>
      <c r="B315" s="10">
        <v>746</v>
      </c>
      <c r="C315" s="8"/>
      <c r="D315" s="11" t="s">
        <v>401</v>
      </c>
      <c r="E315" s="10">
        <v>30</v>
      </c>
      <c r="F315" s="10" t="s">
        <v>14</v>
      </c>
      <c r="G315" s="10" t="s">
        <v>200</v>
      </c>
      <c r="H315" s="53">
        <f>146000-(146000*25%)</f>
        <v>109500</v>
      </c>
      <c r="I315" s="53">
        <f>H315*E315</f>
        <v>3285000</v>
      </c>
    </row>
    <row r="316" spans="1:10" x14ac:dyDescent="0.35">
      <c r="A316" s="8"/>
      <c r="B316" s="10"/>
      <c r="C316" s="8"/>
      <c r="D316" s="11" t="s">
        <v>402</v>
      </c>
      <c r="E316" s="10">
        <v>1</v>
      </c>
      <c r="F316" s="10" t="s">
        <v>210</v>
      </c>
      <c r="G316" s="10" t="s">
        <v>200</v>
      </c>
      <c r="H316" s="53">
        <f>7550000-(7550000*25%)</f>
        <v>5662500</v>
      </c>
      <c r="I316" s="53">
        <f>H316*E316</f>
        <v>5662500</v>
      </c>
    </row>
    <row r="317" spans="1:10" x14ac:dyDescent="0.35">
      <c r="A317" s="8"/>
      <c r="B317" s="10"/>
      <c r="C317" s="8"/>
      <c r="D317" s="11"/>
      <c r="E317" s="10"/>
      <c r="F317" s="10"/>
      <c r="G317" s="10"/>
      <c r="H317" s="53"/>
      <c r="I317" s="54">
        <f>SUM(I315:I316)</f>
        <v>8947500</v>
      </c>
      <c r="J317" s="83">
        <f>I317</f>
        <v>8947500</v>
      </c>
    </row>
    <row r="318" spans="1:10" x14ac:dyDescent="0.35">
      <c r="A318" s="8"/>
      <c r="B318" s="8"/>
      <c r="C318" s="8"/>
      <c r="D318" s="8"/>
      <c r="E318" s="8"/>
      <c r="F318" s="8"/>
      <c r="G318" s="8"/>
      <c r="H318" s="8"/>
      <c r="I318" s="8"/>
    </row>
    <row r="319" spans="1:10" x14ac:dyDescent="0.35">
      <c r="A319" s="9">
        <v>45259</v>
      </c>
      <c r="B319" s="10">
        <v>744</v>
      </c>
      <c r="C319" s="8"/>
      <c r="D319" s="11" t="s">
        <v>403</v>
      </c>
      <c r="E319" s="10">
        <v>7</v>
      </c>
      <c r="F319" s="10" t="s">
        <v>207</v>
      </c>
      <c r="G319" s="10" t="s">
        <v>200</v>
      </c>
      <c r="H319" s="53">
        <v>335000</v>
      </c>
      <c r="I319" s="53">
        <f>H319*E319</f>
        <v>2345000</v>
      </c>
    </row>
    <row r="320" spans="1:10" x14ac:dyDescent="0.35">
      <c r="A320" s="8"/>
      <c r="B320" s="10"/>
      <c r="C320" s="8"/>
      <c r="D320" s="11"/>
      <c r="E320" s="10"/>
      <c r="F320" s="10"/>
      <c r="G320" s="10"/>
      <c r="H320" s="53"/>
      <c r="I320" s="54">
        <f>SUM(I319)</f>
        <v>2345000</v>
      </c>
      <c r="J320" s="83">
        <f>I320</f>
        <v>2345000</v>
      </c>
    </row>
    <row r="321" spans="1:10" x14ac:dyDescent="0.35">
      <c r="A321" s="8"/>
      <c r="B321" s="8"/>
      <c r="C321" s="8"/>
      <c r="D321" s="8"/>
      <c r="E321" s="8"/>
      <c r="F321" s="8"/>
      <c r="G321" s="8"/>
      <c r="H321" s="8"/>
      <c r="I321" s="8"/>
    </row>
    <row r="322" spans="1:10" x14ac:dyDescent="0.35">
      <c r="A322" s="9">
        <v>45259</v>
      </c>
      <c r="B322" s="10">
        <v>743</v>
      </c>
      <c r="C322" s="11"/>
      <c r="D322" s="11" t="s">
        <v>404</v>
      </c>
      <c r="E322" s="10">
        <v>1</v>
      </c>
      <c r="F322" s="10" t="s">
        <v>207</v>
      </c>
      <c r="G322" s="10" t="s">
        <v>13</v>
      </c>
      <c r="H322" s="53">
        <f>1785000-(1785000*25%)</f>
        <v>1338750</v>
      </c>
      <c r="I322" s="53">
        <f>H322*E322</f>
        <v>1338750</v>
      </c>
    </row>
    <row r="323" spans="1:10" x14ac:dyDescent="0.35">
      <c r="A323" s="8"/>
      <c r="B323" s="10"/>
      <c r="C323" s="11"/>
      <c r="D323" s="11" t="s">
        <v>405</v>
      </c>
      <c r="E323" s="10">
        <v>1</v>
      </c>
      <c r="F323" s="10" t="s">
        <v>207</v>
      </c>
      <c r="G323" s="10" t="s">
        <v>13</v>
      </c>
      <c r="H323" s="53">
        <f>1995000-(1995000*25%)</f>
        <v>1496250</v>
      </c>
      <c r="I323" s="53">
        <f>H323*E323</f>
        <v>1496250</v>
      </c>
    </row>
    <row r="324" spans="1:10" x14ac:dyDescent="0.35">
      <c r="A324" s="8"/>
      <c r="B324" s="10"/>
      <c r="C324" s="11"/>
      <c r="D324" s="11"/>
      <c r="E324" s="10"/>
      <c r="F324" s="10"/>
      <c r="G324" s="10"/>
      <c r="H324" s="53"/>
      <c r="I324" s="54">
        <f>SUM(I322:I323)</f>
        <v>2835000</v>
      </c>
      <c r="J324" s="83">
        <f>I324</f>
        <v>2835000</v>
      </c>
    </row>
    <row r="325" spans="1:10" x14ac:dyDescent="0.35">
      <c r="A325" s="8"/>
      <c r="B325" s="8"/>
      <c r="C325" s="8"/>
      <c r="D325" s="8"/>
      <c r="E325" s="8"/>
      <c r="F325" s="8"/>
      <c r="G325" s="8"/>
      <c r="H325" s="8"/>
      <c r="I325" s="8"/>
    </row>
    <row r="326" spans="1:10" x14ac:dyDescent="0.35">
      <c r="A326" s="9">
        <v>45259</v>
      </c>
      <c r="B326" s="10">
        <v>742</v>
      </c>
      <c r="C326" s="8"/>
      <c r="D326" s="11" t="s">
        <v>406</v>
      </c>
      <c r="E326" s="10">
        <v>1</v>
      </c>
      <c r="F326" s="10" t="s">
        <v>210</v>
      </c>
      <c r="G326" s="10" t="s">
        <v>13</v>
      </c>
      <c r="H326" s="53">
        <f>250000-(250000*25%)</f>
        <v>187500</v>
      </c>
      <c r="I326" s="53">
        <f>H326*E326</f>
        <v>187500</v>
      </c>
    </row>
    <row r="327" spans="1:10" x14ac:dyDescent="0.35">
      <c r="A327" s="8"/>
      <c r="B327" s="10"/>
      <c r="C327" s="8"/>
      <c r="D327" s="11"/>
      <c r="E327" s="10"/>
      <c r="F327" s="10"/>
      <c r="G327" s="10"/>
      <c r="H327" s="53"/>
      <c r="I327" s="54">
        <f>SUM(I326)</f>
        <v>187500</v>
      </c>
      <c r="J327" s="83">
        <f>I327</f>
        <v>187500</v>
      </c>
    </row>
    <row r="328" spans="1:10" x14ac:dyDescent="0.35">
      <c r="A328" s="8"/>
      <c r="B328" s="8"/>
      <c r="C328" s="8"/>
      <c r="D328" s="8"/>
      <c r="E328" s="8"/>
      <c r="F328" s="8"/>
      <c r="G328" s="8"/>
      <c r="H328" s="8"/>
      <c r="I328" s="8"/>
    </row>
    <row r="329" spans="1:10" x14ac:dyDescent="0.35">
      <c r="A329" s="9">
        <v>45259</v>
      </c>
      <c r="B329" s="10">
        <v>740</v>
      </c>
      <c r="C329" s="8"/>
      <c r="D329" s="11" t="s">
        <v>407</v>
      </c>
      <c r="E329" s="10">
        <v>2</v>
      </c>
      <c r="F329" s="10" t="s">
        <v>210</v>
      </c>
      <c r="G329" s="10" t="s">
        <v>13</v>
      </c>
      <c r="H329" s="53">
        <f>993000-(993000*25%)</f>
        <v>744750</v>
      </c>
      <c r="I329" s="53">
        <f>H329*E329</f>
        <v>1489500</v>
      </c>
    </row>
    <row r="330" spans="1:10" x14ac:dyDescent="0.35">
      <c r="A330" s="8"/>
      <c r="B330" s="10"/>
      <c r="C330" s="8"/>
      <c r="D330" s="22" t="s">
        <v>408</v>
      </c>
      <c r="E330" s="21">
        <v>2</v>
      </c>
      <c r="F330" s="21" t="s">
        <v>210</v>
      </c>
      <c r="G330" s="21" t="s">
        <v>13</v>
      </c>
      <c r="H330" s="65"/>
      <c r="I330" s="65"/>
    </row>
    <row r="331" spans="1:10" x14ac:dyDescent="0.35">
      <c r="A331" s="8"/>
      <c r="B331" s="10"/>
      <c r="C331" s="8"/>
      <c r="D331" s="8"/>
      <c r="E331" s="14"/>
      <c r="F331" s="14"/>
      <c r="G331" s="14"/>
      <c r="H331" s="57"/>
      <c r="I331" s="54">
        <f>SUM(I329:I330)</f>
        <v>1489500</v>
      </c>
      <c r="J331" s="83">
        <f>I331</f>
        <v>1489500</v>
      </c>
    </row>
    <row r="332" spans="1:10" x14ac:dyDescent="0.35">
      <c r="A332" s="8"/>
      <c r="B332" s="8"/>
      <c r="C332" s="8"/>
      <c r="D332" s="8"/>
      <c r="E332" s="8"/>
      <c r="F332" s="8"/>
      <c r="G332" s="8"/>
      <c r="H332" s="8"/>
      <c r="I332" s="8"/>
    </row>
    <row r="333" spans="1:10" x14ac:dyDescent="0.35">
      <c r="A333" s="70">
        <v>45259</v>
      </c>
      <c r="B333" s="71">
        <v>739</v>
      </c>
      <c r="C333" s="72" t="s">
        <v>37</v>
      </c>
      <c r="D333" s="72" t="s">
        <v>409</v>
      </c>
      <c r="E333" s="71">
        <v>1</v>
      </c>
      <c r="F333" s="71" t="s">
        <v>210</v>
      </c>
      <c r="G333" s="71" t="s">
        <v>13</v>
      </c>
      <c r="H333" s="73">
        <v>550000</v>
      </c>
      <c r="I333" s="73">
        <f>H333*E333</f>
        <v>550000</v>
      </c>
    </row>
    <row r="334" spans="1:10" x14ac:dyDescent="0.35">
      <c r="A334" s="70"/>
      <c r="B334" s="71"/>
      <c r="C334" s="72"/>
      <c r="D334" s="72" t="s">
        <v>410</v>
      </c>
      <c r="E334" s="71">
        <v>1</v>
      </c>
      <c r="F334" s="71" t="s">
        <v>210</v>
      </c>
      <c r="G334" s="71" t="s">
        <v>13</v>
      </c>
      <c r="H334" s="73">
        <v>810000</v>
      </c>
      <c r="I334" s="73">
        <f>H334*E334</f>
        <v>810000</v>
      </c>
    </row>
    <row r="335" spans="1:10" x14ac:dyDescent="0.35">
      <c r="A335" s="75"/>
      <c r="B335" s="71"/>
      <c r="C335" s="75"/>
      <c r="D335" s="72"/>
      <c r="E335" s="71"/>
      <c r="F335" s="71"/>
      <c r="G335" s="71"/>
      <c r="H335" s="73"/>
      <c r="I335" s="76">
        <f>I333+I334</f>
        <v>1360000</v>
      </c>
      <c r="J335" s="83">
        <f>I335</f>
        <v>1360000</v>
      </c>
    </row>
    <row r="336" spans="1:10" x14ac:dyDescent="0.35">
      <c r="A336" s="8"/>
      <c r="B336" s="8"/>
      <c r="C336" s="8"/>
      <c r="D336" s="8"/>
      <c r="E336" s="8"/>
      <c r="F336" s="8"/>
      <c r="G336" s="8"/>
      <c r="H336" s="8"/>
      <c r="I336" s="8"/>
    </row>
    <row r="337" spans="1:10" x14ac:dyDescent="0.35">
      <c r="A337" s="9">
        <v>45259</v>
      </c>
      <c r="B337" s="10">
        <v>738</v>
      </c>
      <c r="C337" s="8"/>
      <c r="D337" s="11" t="s">
        <v>411</v>
      </c>
      <c r="E337" s="10">
        <v>1</v>
      </c>
      <c r="F337" s="10" t="s">
        <v>210</v>
      </c>
      <c r="G337" s="10" t="s">
        <v>13</v>
      </c>
      <c r="H337" s="53">
        <f>1000000-(1000000*25%)</f>
        <v>750000</v>
      </c>
      <c r="I337" s="53">
        <f>H337*E337</f>
        <v>750000</v>
      </c>
    </row>
    <row r="338" spans="1:10" x14ac:dyDescent="0.35">
      <c r="A338" s="8"/>
      <c r="B338" s="10"/>
      <c r="C338" s="8"/>
      <c r="D338" s="11"/>
      <c r="E338" s="10"/>
      <c r="F338" s="10"/>
      <c r="G338" s="10"/>
      <c r="H338" s="53"/>
      <c r="I338" s="54">
        <f>SUM(I337)</f>
        <v>750000</v>
      </c>
      <c r="J338" s="83">
        <f>I338</f>
        <v>750000</v>
      </c>
    </row>
    <row r="339" spans="1:10" x14ac:dyDescent="0.35">
      <c r="A339" s="8"/>
      <c r="B339" s="8"/>
      <c r="C339" s="8"/>
      <c r="D339" s="8"/>
      <c r="E339" s="8"/>
      <c r="F339" s="8"/>
      <c r="G339" s="8"/>
      <c r="H339" s="8"/>
      <c r="I339" s="8"/>
    </row>
    <row r="340" spans="1:10" x14ac:dyDescent="0.35">
      <c r="A340" s="9">
        <v>45259</v>
      </c>
      <c r="B340" s="10">
        <v>737</v>
      </c>
      <c r="C340" s="11"/>
      <c r="D340" s="11" t="s">
        <v>412</v>
      </c>
      <c r="E340" s="10">
        <v>1</v>
      </c>
      <c r="F340" s="10" t="s">
        <v>210</v>
      </c>
      <c r="G340" s="10" t="s">
        <v>13</v>
      </c>
      <c r="H340" s="53">
        <f>1693000-(1693000*25%)</f>
        <v>1269750</v>
      </c>
      <c r="I340" s="53">
        <f>H340*E340</f>
        <v>1269750</v>
      </c>
    </row>
    <row r="341" spans="1:10" x14ac:dyDescent="0.35">
      <c r="A341" s="8"/>
      <c r="B341" s="10"/>
      <c r="C341" s="11" t="s">
        <v>413</v>
      </c>
      <c r="D341" s="11" t="s">
        <v>414</v>
      </c>
      <c r="E341" s="10">
        <v>1</v>
      </c>
      <c r="F341" s="10" t="s">
        <v>210</v>
      </c>
      <c r="G341" s="10" t="s">
        <v>13</v>
      </c>
      <c r="H341" s="53">
        <v>2100000</v>
      </c>
      <c r="I341" s="53">
        <f>H341*E341</f>
        <v>2100000</v>
      </c>
    </row>
    <row r="342" spans="1:10" x14ac:dyDescent="0.35">
      <c r="A342" s="8"/>
      <c r="B342" s="10"/>
      <c r="C342" s="11"/>
      <c r="D342" s="22" t="s">
        <v>415</v>
      </c>
      <c r="E342" s="21">
        <v>10</v>
      </c>
      <c r="F342" s="21" t="s">
        <v>210</v>
      </c>
      <c r="G342" s="21" t="s">
        <v>13</v>
      </c>
      <c r="H342" s="65"/>
      <c r="I342" s="65"/>
    </row>
    <row r="343" spans="1:10" x14ac:dyDescent="0.35">
      <c r="A343" s="8"/>
      <c r="B343" s="10"/>
      <c r="C343" s="11"/>
      <c r="D343" s="11"/>
      <c r="E343" s="10"/>
      <c r="F343" s="10"/>
      <c r="G343" s="10"/>
      <c r="H343" s="53"/>
      <c r="I343" s="54">
        <f>SUM(I340:I342)</f>
        <v>3369750</v>
      </c>
      <c r="J343" s="83">
        <f>I343</f>
        <v>3369750</v>
      </c>
    </row>
    <row r="344" spans="1:10" x14ac:dyDescent="0.35">
      <c r="A344" s="8"/>
      <c r="B344" s="8"/>
      <c r="C344" s="8"/>
      <c r="D344" s="8"/>
      <c r="E344" s="8"/>
      <c r="F344" s="8"/>
      <c r="G344" s="8"/>
      <c r="H344" s="8"/>
      <c r="I344" s="8"/>
    </row>
    <row r="345" spans="1:10" x14ac:dyDescent="0.35">
      <c r="A345" s="9">
        <v>45259</v>
      </c>
      <c r="B345" s="10">
        <v>736</v>
      </c>
      <c r="C345" s="22" t="s">
        <v>416</v>
      </c>
      <c r="D345" s="22" t="s">
        <v>417</v>
      </c>
      <c r="E345" s="21">
        <v>5</v>
      </c>
      <c r="F345" s="21" t="s">
        <v>207</v>
      </c>
      <c r="G345" s="21" t="s">
        <v>13</v>
      </c>
      <c r="H345" s="65"/>
      <c r="I345" s="65"/>
    </row>
    <row r="346" spans="1:10" x14ac:dyDescent="0.35">
      <c r="A346" s="11"/>
      <c r="B346" s="10"/>
      <c r="C346" s="11"/>
      <c r="D346" s="22" t="s">
        <v>418</v>
      </c>
      <c r="E346" s="21">
        <f>11+11+30+20</f>
        <v>72</v>
      </c>
      <c r="F346" s="21" t="s">
        <v>240</v>
      </c>
      <c r="G346" s="21" t="s">
        <v>13</v>
      </c>
      <c r="H346" s="65"/>
      <c r="I346" s="65"/>
    </row>
    <row r="347" spans="1:10" x14ac:dyDescent="0.35">
      <c r="A347" s="11"/>
      <c r="B347" s="10"/>
      <c r="C347" s="11"/>
      <c r="D347" s="11" t="s">
        <v>419</v>
      </c>
      <c r="E347" s="10">
        <v>1</v>
      </c>
      <c r="F347" s="10" t="s">
        <v>14</v>
      </c>
      <c r="G347" s="10" t="s">
        <v>13</v>
      </c>
      <c r="H347" s="53">
        <v>2152000</v>
      </c>
      <c r="I347" s="53">
        <f t="shared" ref="I347:I349" si="15">H347*E347</f>
        <v>2152000</v>
      </c>
    </row>
    <row r="348" spans="1:10" x14ac:dyDescent="0.35">
      <c r="A348" s="11"/>
      <c r="B348" s="10"/>
      <c r="C348" s="11"/>
      <c r="D348" s="22" t="s">
        <v>420</v>
      </c>
      <c r="E348" s="21">
        <v>1</v>
      </c>
      <c r="F348" s="21" t="s">
        <v>14</v>
      </c>
      <c r="G348" s="21" t="s">
        <v>13</v>
      </c>
      <c r="H348" s="65"/>
      <c r="I348" s="65"/>
    </row>
    <row r="349" spans="1:10" x14ac:dyDescent="0.35">
      <c r="A349" s="11"/>
      <c r="B349" s="10"/>
      <c r="C349" s="11"/>
      <c r="D349" s="11" t="s">
        <v>421</v>
      </c>
      <c r="E349" s="10">
        <v>5</v>
      </c>
      <c r="F349" s="10" t="s">
        <v>14</v>
      </c>
      <c r="G349" s="10" t="s">
        <v>13</v>
      </c>
      <c r="H349" s="53">
        <v>200000</v>
      </c>
      <c r="I349" s="53">
        <f t="shared" si="15"/>
        <v>1000000</v>
      </c>
    </row>
    <row r="350" spans="1:10" x14ac:dyDescent="0.35">
      <c r="A350" s="11"/>
      <c r="B350" s="10"/>
      <c r="C350" s="11"/>
      <c r="D350" s="11"/>
      <c r="E350" s="10"/>
      <c r="F350" s="10"/>
      <c r="G350" s="10"/>
      <c r="H350" s="53"/>
      <c r="I350" s="54">
        <f>SUM(I345:I349)</f>
        <v>3152000</v>
      </c>
      <c r="J350" s="83">
        <f>I350</f>
        <v>3152000</v>
      </c>
    </row>
    <row r="351" spans="1:10" x14ac:dyDescent="0.35">
      <c r="A351" s="8"/>
      <c r="B351" s="8"/>
      <c r="C351" s="8"/>
      <c r="D351" s="8"/>
      <c r="E351" s="8"/>
      <c r="F351" s="8"/>
      <c r="G351" s="8"/>
      <c r="H351" s="8"/>
      <c r="I351" s="8"/>
    </row>
    <row r="352" spans="1:10" x14ac:dyDescent="0.35">
      <c r="A352" s="9">
        <v>45259</v>
      </c>
      <c r="B352" s="10">
        <v>734</v>
      </c>
      <c r="C352" s="11" t="s">
        <v>11</v>
      </c>
      <c r="D352" s="11" t="s">
        <v>422</v>
      </c>
      <c r="E352" s="10">
        <v>300</v>
      </c>
      <c r="F352" s="10" t="s">
        <v>52</v>
      </c>
      <c r="G352" s="10" t="s">
        <v>13</v>
      </c>
      <c r="H352" s="53">
        <v>1200</v>
      </c>
      <c r="I352" s="53">
        <f>H352*E352</f>
        <v>360000</v>
      </c>
    </row>
    <row r="353" spans="1:10" x14ac:dyDescent="0.35">
      <c r="A353" s="11"/>
      <c r="B353" s="10"/>
      <c r="C353" s="11"/>
      <c r="D353" s="11" t="s">
        <v>423</v>
      </c>
      <c r="E353" s="10">
        <v>10</v>
      </c>
      <c r="F353" s="10" t="s">
        <v>21</v>
      </c>
      <c r="G353" s="10" t="s">
        <v>13</v>
      </c>
      <c r="H353" s="53">
        <v>20500</v>
      </c>
      <c r="I353" s="53">
        <f>H353*E353</f>
        <v>205000</v>
      </c>
    </row>
    <row r="354" spans="1:10" x14ac:dyDescent="0.35">
      <c r="A354" s="11"/>
      <c r="B354" s="10"/>
      <c r="C354" s="11"/>
      <c r="D354" s="11" t="s">
        <v>424</v>
      </c>
      <c r="E354" s="10">
        <v>100</v>
      </c>
      <c r="F354" s="10" t="s">
        <v>20</v>
      </c>
      <c r="G354" s="10" t="s">
        <v>13</v>
      </c>
      <c r="H354" s="53">
        <v>45500</v>
      </c>
      <c r="I354" s="53">
        <f>H354*E354</f>
        <v>4550000</v>
      </c>
    </row>
    <row r="355" spans="1:10" x14ac:dyDescent="0.35">
      <c r="A355" s="11"/>
      <c r="B355" s="10"/>
      <c r="C355" s="11"/>
      <c r="D355" s="11" t="s">
        <v>19</v>
      </c>
      <c r="E355" s="10">
        <v>50</v>
      </c>
      <c r="F355" s="10" t="s">
        <v>20</v>
      </c>
      <c r="G355" s="10" t="s">
        <v>13</v>
      </c>
      <c r="H355" s="53">
        <v>40500</v>
      </c>
      <c r="I355" s="53">
        <f>H355*E355</f>
        <v>2025000</v>
      </c>
    </row>
    <row r="356" spans="1:10" x14ac:dyDescent="0.35">
      <c r="A356" s="11"/>
      <c r="B356" s="10"/>
      <c r="C356" s="11"/>
      <c r="D356" s="11" t="s">
        <v>425</v>
      </c>
      <c r="E356" s="10">
        <v>1</v>
      </c>
      <c r="F356" s="10" t="s">
        <v>14</v>
      </c>
      <c r="G356" s="10" t="s">
        <v>13</v>
      </c>
      <c r="H356" s="53">
        <v>103500</v>
      </c>
      <c r="I356" s="53">
        <f>H356*E356</f>
        <v>103500</v>
      </c>
    </row>
    <row r="357" spans="1:10" x14ac:dyDescent="0.35">
      <c r="A357" s="11"/>
      <c r="B357" s="10"/>
      <c r="C357" s="11"/>
      <c r="D357" s="11"/>
      <c r="E357" s="10"/>
      <c r="F357" s="10"/>
      <c r="G357" s="10"/>
      <c r="H357" s="53"/>
      <c r="I357" s="54">
        <f>SUM(I352:I356)</f>
        <v>7243500</v>
      </c>
      <c r="J357" s="83">
        <f>I357</f>
        <v>7243500</v>
      </c>
    </row>
    <row r="358" spans="1:10" x14ac:dyDescent="0.35">
      <c r="A358" s="8"/>
      <c r="B358" s="8"/>
      <c r="C358" s="8"/>
      <c r="D358" s="8"/>
      <c r="E358" s="8"/>
      <c r="F358" s="8"/>
      <c r="G358" s="8"/>
      <c r="H358" s="8"/>
      <c r="I358" s="8"/>
    </row>
    <row r="359" spans="1:10" x14ac:dyDescent="0.35">
      <c r="A359" s="9">
        <v>45259</v>
      </c>
      <c r="B359" s="10">
        <v>731</v>
      </c>
      <c r="C359" s="11" t="s">
        <v>426</v>
      </c>
      <c r="D359" s="11" t="s">
        <v>427</v>
      </c>
      <c r="E359" s="10">
        <v>10</v>
      </c>
      <c r="F359" s="10" t="s">
        <v>14</v>
      </c>
      <c r="G359" s="10" t="s">
        <v>219</v>
      </c>
      <c r="H359" s="53">
        <v>3000</v>
      </c>
      <c r="I359" s="53">
        <f>H359*E359</f>
        <v>30000</v>
      </c>
    </row>
    <row r="360" spans="1:10" x14ac:dyDescent="0.35">
      <c r="A360" s="11"/>
      <c r="B360" s="10"/>
      <c r="C360" s="11"/>
      <c r="D360" s="11" t="s">
        <v>428</v>
      </c>
      <c r="E360" s="10">
        <v>4</v>
      </c>
      <c r="F360" s="10" t="s">
        <v>286</v>
      </c>
      <c r="G360" s="10" t="s">
        <v>219</v>
      </c>
      <c r="H360" s="53">
        <f>81000/4</f>
        <v>20250</v>
      </c>
      <c r="I360" s="53">
        <f>H360*E360</f>
        <v>81000</v>
      </c>
    </row>
    <row r="361" spans="1:10" x14ac:dyDescent="0.35">
      <c r="A361" s="11"/>
      <c r="B361" s="10"/>
      <c r="C361" s="11"/>
      <c r="D361" s="11"/>
      <c r="E361" s="10"/>
      <c r="F361" s="10"/>
      <c r="G361" s="10"/>
      <c r="H361" s="53"/>
      <c r="I361" s="54">
        <f>SUM(I359:I360)</f>
        <v>111000</v>
      </c>
      <c r="J361" s="83">
        <f>I361</f>
        <v>111000</v>
      </c>
    </row>
    <row r="362" spans="1:10" x14ac:dyDescent="0.35">
      <c r="A362" s="8"/>
      <c r="B362" s="8"/>
      <c r="C362" s="8"/>
      <c r="D362" s="8"/>
      <c r="E362" s="8"/>
      <c r="F362" s="8"/>
      <c r="G362" s="8"/>
      <c r="H362" s="8"/>
      <c r="I362" s="8"/>
    </row>
    <row r="363" spans="1:10" x14ac:dyDescent="0.35">
      <c r="A363" s="9">
        <v>45257</v>
      </c>
      <c r="B363" s="10">
        <v>723</v>
      </c>
      <c r="C363" s="11" t="s">
        <v>11</v>
      </c>
      <c r="D363" s="11" t="s">
        <v>26</v>
      </c>
      <c r="E363" s="10">
        <v>100</v>
      </c>
      <c r="F363" s="10" t="s">
        <v>20</v>
      </c>
      <c r="G363" s="10" t="s">
        <v>13</v>
      </c>
      <c r="H363" s="53">
        <v>50000</v>
      </c>
      <c r="I363" s="53">
        <f>H363*E363</f>
        <v>5000000</v>
      </c>
    </row>
    <row r="364" spans="1:10" x14ac:dyDescent="0.35">
      <c r="A364" s="11"/>
      <c r="B364" s="10"/>
      <c r="C364" s="11"/>
      <c r="D364" s="11" t="s">
        <v>29</v>
      </c>
      <c r="E364" s="10">
        <v>50</v>
      </c>
      <c r="F364" s="10" t="s">
        <v>20</v>
      </c>
      <c r="G364" s="10" t="s">
        <v>13</v>
      </c>
      <c r="H364" s="53">
        <v>44000</v>
      </c>
      <c r="I364" s="53">
        <f>H364*E364</f>
        <v>2200000</v>
      </c>
    </row>
    <row r="365" spans="1:10" x14ac:dyDescent="0.35">
      <c r="A365" s="11"/>
      <c r="B365" s="10"/>
      <c r="C365" s="11"/>
      <c r="D365" s="11" t="s">
        <v>429</v>
      </c>
      <c r="E365" s="10">
        <v>50</v>
      </c>
      <c r="F365" s="10" t="s">
        <v>21</v>
      </c>
      <c r="G365" s="10" t="s">
        <v>13</v>
      </c>
      <c r="H365" s="53">
        <v>27000</v>
      </c>
      <c r="I365" s="53">
        <f>H365*E365</f>
        <v>1350000</v>
      </c>
    </row>
    <row r="366" spans="1:10" x14ac:dyDescent="0.35">
      <c r="A366" s="11"/>
      <c r="B366" s="10"/>
      <c r="C366" s="11"/>
      <c r="D366" s="11"/>
      <c r="E366" s="10"/>
      <c r="F366" s="10"/>
      <c r="G366" s="10"/>
      <c r="H366" s="53"/>
      <c r="I366" s="54">
        <f>SUM(I363:I365)</f>
        <v>8550000</v>
      </c>
      <c r="J366" s="83">
        <f>I366</f>
        <v>8550000</v>
      </c>
    </row>
    <row r="367" spans="1:10" x14ac:dyDescent="0.35">
      <c r="A367" s="22"/>
      <c r="B367" s="14"/>
      <c r="C367" s="8"/>
      <c r="D367" s="8"/>
      <c r="E367" s="14"/>
      <c r="F367" s="14"/>
      <c r="G367" s="14"/>
      <c r="H367" s="57"/>
      <c r="I367" s="57"/>
    </row>
    <row r="368" spans="1:10" x14ac:dyDescent="0.35">
      <c r="A368" s="9">
        <v>45258</v>
      </c>
      <c r="B368" s="10">
        <v>724</v>
      </c>
      <c r="C368" s="11" t="s">
        <v>430</v>
      </c>
      <c r="D368" s="11" t="s">
        <v>26</v>
      </c>
      <c r="E368" s="10">
        <v>250</v>
      </c>
      <c r="F368" s="10" t="s">
        <v>20</v>
      </c>
      <c r="G368" s="10" t="s">
        <v>13</v>
      </c>
      <c r="H368" s="53">
        <v>49800</v>
      </c>
      <c r="I368" s="53">
        <f>H368*E368</f>
        <v>12450000</v>
      </c>
    </row>
    <row r="369" spans="1:10" x14ac:dyDescent="0.35">
      <c r="A369" s="11"/>
      <c r="B369" s="10"/>
      <c r="C369" s="11"/>
      <c r="D369" s="11" t="s">
        <v>29</v>
      </c>
      <c r="E369" s="10">
        <v>25</v>
      </c>
      <c r="F369" s="10" t="s">
        <v>20</v>
      </c>
      <c r="G369" s="10" t="s">
        <v>13</v>
      </c>
      <c r="H369" s="53">
        <v>43900</v>
      </c>
      <c r="I369" s="53">
        <f>H369*E369</f>
        <v>1097500</v>
      </c>
    </row>
    <row r="370" spans="1:10" x14ac:dyDescent="0.35">
      <c r="A370" s="11"/>
      <c r="B370" s="10"/>
      <c r="C370" s="11"/>
      <c r="D370" s="11"/>
      <c r="E370" s="10"/>
      <c r="F370" s="10"/>
      <c r="G370" s="10"/>
      <c r="H370" s="53"/>
      <c r="I370" s="54">
        <f>SUM(I368:I369)</f>
        <v>13547500</v>
      </c>
      <c r="J370" s="83">
        <f>I370</f>
        <v>13547500</v>
      </c>
    </row>
    <row r="371" spans="1:10" x14ac:dyDescent="0.35">
      <c r="A371" s="8"/>
      <c r="B371" s="8"/>
      <c r="C371" s="8"/>
      <c r="D371" s="8"/>
      <c r="E371" s="8"/>
      <c r="F371" s="8"/>
      <c r="G371" s="8"/>
      <c r="H371" s="8"/>
      <c r="I371" s="8"/>
    </row>
    <row r="372" spans="1:10" x14ac:dyDescent="0.35">
      <c r="A372" s="9">
        <v>45254</v>
      </c>
      <c r="B372" s="10">
        <v>720</v>
      </c>
      <c r="C372" s="11" t="s">
        <v>11</v>
      </c>
      <c r="D372" s="11" t="s">
        <v>431</v>
      </c>
      <c r="E372" s="10">
        <v>25</v>
      </c>
      <c r="F372" s="10" t="s">
        <v>14</v>
      </c>
      <c r="G372" s="10" t="s">
        <v>13</v>
      </c>
      <c r="H372" s="53">
        <v>12000</v>
      </c>
      <c r="I372" s="53">
        <f>H372*E372</f>
        <v>300000</v>
      </c>
    </row>
    <row r="373" spans="1:10" x14ac:dyDescent="0.35">
      <c r="A373" s="11"/>
      <c r="B373" s="10"/>
      <c r="C373" s="11"/>
      <c r="D373" s="11"/>
      <c r="E373" s="10"/>
      <c r="F373" s="10"/>
      <c r="G373" s="10"/>
      <c r="H373" s="53"/>
      <c r="I373" s="54">
        <f>SUM(I372)</f>
        <v>300000</v>
      </c>
      <c r="J373" s="83">
        <f>I373</f>
        <v>300000</v>
      </c>
    </row>
    <row r="374" spans="1:10" x14ac:dyDescent="0.35">
      <c r="A374" s="8"/>
      <c r="B374" s="8"/>
      <c r="C374" s="8"/>
      <c r="D374" s="8"/>
      <c r="E374" s="8"/>
      <c r="F374" s="8"/>
      <c r="G374" s="8"/>
      <c r="H374" s="8"/>
      <c r="I374" s="8"/>
    </row>
    <row r="375" spans="1:10" x14ac:dyDescent="0.35">
      <c r="A375" s="9">
        <v>45251</v>
      </c>
      <c r="B375" s="10">
        <v>710</v>
      </c>
      <c r="C375" s="11" t="s">
        <v>432</v>
      </c>
      <c r="D375" s="11" t="s">
        <v>433</v>
      </c>
      <c r="E375" s="10">
        <v>10</v>
      </c>
      <c r="F375" s="10" t="s">
        <v>25</v>
      </c>
      <c r="G375" s="10" t="s">
        <v>40</v>
      </c>
      <c r="H375" s="53">
        <v>35000</v>
      </c>
      <c r="I375" s="53">
        <f>H375*E375</f>
        <v>350000</v>
      </c>
    </row>
    <row r="376" spans="1:10" x14ac:dyDescent="0.35">
      <c r="A376" s="11"/>
      <c r="B376" s="10"/>
      <c r="C376" s="11"/>
      <c r="D376" s="11"/>
      <c r="E376" s="10"/>
      <c r="F376" s="10"/>
      <c r="G376" s="10"/>
      <c r="H376" s="53"/>
      <c r="I376" s="54">
        <f>SUM(I375)</f>
        <v>350000</v>
      </c>
      <c r="J376" s="83">
        <f>I376</f>
        <v>350000</v>
      </c>
    </row>
    <row r="377" spans="1:10" x14ac:dyDescent="0.35">
      <c r="A377" s="8"/>
      <c r="B377" s="8"/>
      <c r="C377" s="8"/>
      <c r="D377" s="8"/>
      <c r="E377" s="8"/>
      <c r="F377" s="8"/>
      <c r="G377" s="8"/>
      <c r="H377" s="8"/>
      <c r="I377" s="8"/>
    </row>
    <row r="378" spans="1:10" x14ac:dyDescent="0.35">
      <c r="A378" s="9">
        <v>45244</v>
      </c>
      <c r="B378" s="10">
        <v>696</v>
      </c>
      <c r="C378" s="11" t="s">
        <v>11</v>
      </c>
      <c r="D378" s="11" t="s">
        <v>434</v>
      </c>
      <c r="E378" s="10">
        <v>10</v>
      </c>
      <c r="F378" s="10" t="s">
        <v>20</v>
      </c>
      <c r="G378" s="10" t="s">
        <v>13</v>
      </c>
      <c r="H378" s="77">
        <v>45500</v>
      </c>
      <c r="I378" s="53">
        <f>H378*E378</f>
        <v>455000</v>
      </c>
    </row>
    <row r="379" spans="1:10" x14ac:dyDescent="0.35">
      <c r="A379" s="11"/>
      <c r="B379" s="10"/>
      <c r="C379" s="11"/>
      <c r="D379" s="11" t="s">
        <v>435</v>
      </c>
      <c r="E379" s="10">
        <v>250</v>
      </c>
      <c r="F379" s="10" t="s">
        <v>52</v>
      </c>
      <c r="G379" s="10" t="s">
        <v>24</v>
      </c>
      <c r="H379" s="77">
        <v>1700</v>
      </c>
      <c r="I379" s="53">
        <f>H379*E379</f>
        <v>425000</v>
      </c>
    </row>
    <row r="380" spans="1:10" x14ac:dyDescent="0.35">
      <c r="A380" s="11"/>
      <c r="B380" s="10"/>
      <c r="C380" s="11"/>
      <c r="D380" s="11" t="s">
        <v>436</v>
      </c>
      <c r="E380" s="10">
        <f>3*12</f>
        <v>36</v>
      </c>
      <c r="F380" s="10" t="s">
        <v>14</v>
      </c>
      <c r="G380" s="10" t="s">
        <v>13</v>
      </c>
      <c r="H380" s="77">
        <v>2500</v>
      </c>
      <c r="I380" s="53">
        <f>H380*E380</f>
        <v>90000</v>
      </c>
    </row>
    <row r="381" spans="1:10" x14ac:dyDescent="0.35">
      <c r="A381" s="11"/>
      <c r="B381" s="10"/>
      <c r="C381" s="11"/>
      <c r="D381" s="11" t="s">
        <v>429</v>
      </c>
      <c r="E381" s="10">
        <v>20</v>
      </c>
      <c r="F381" s="10" t="s">
        <v>20</v>
      </c>
      <c r="G381" s="10" t="s">
        <v>13</v>
      </c>
      <c r="H381" s="77">
        <v>27000</v>
      </c>
      <c r="I381" s="53">
        <f>H381*E381</f>
        <v>540000</v>
      </c>
    </row>
    <row r="382" spans="1:10" x14ac:dyDescent="0.35">
      <c r="A382" s="11"/>
      <c r="B382" s="10"/>
      <c r="C382" s="11"/>
      <c r="D382" s="11" t="s">
        <v>437</v>
      </c>
      <c r="E382" s="10">
        <v>10</v>
      </c>
      <c r="F382" s="10" t="s">
        <v>14</v>
      </c>
      <c r="G382" s="10" t="s">
        <v>13</v>
      </c>
      <c r="H382" s="77">
        <v>162000</v>
      </c>
      <c r="I382" s="53">
        <f>H382*E382</f>
        <v>1620000</v>
      </c>
    </row>
    <row r="383" spans="1:10" x14ac:dyDescent="0.35">
      <c r="A383" s="11"/>
      <c r="B383" s="10"/>
      <c r="C383" s="11"/>
      <c r="D383" s="11"/>
      <c r="E383" s="10"/>
      <c r="F383" s="10"/>
      <c r="G383" s="10"/>
      <c r="H383" s="77"/>
      <c r="I383" s="54">
        <f>SUM(I378:I382)</f>
        <v>3130000</v>
      </c>
      <c r="J383" s="83">
        <f>I383</f>
        <v>3130000</v>
      </c>
    </row>
    <row r="384" spans="1:10" x14ac:dyDescent="0.35">
      <c r="A384" s="8"/>
      <c r="B384" s="8"/>
      <c r="C384" s="8"/>
      <c r="D384" s="8"/>
      <c r="E384" s="8"/>
      <c r="F384" s="8"/>
      <c r="G384" s="8"/>
      <c r="H384" s="8"/>
      <c r="I384" s="8"/>
    </row>
    <row r="385" spans="1:9" x14ac:dyDescent="0.35">
      <c r="A385" s="9">
        <v>45243</v>
      </c>
      <c r="B385" s="10">
        <v>694</v>
      </c>
      <c r="C385" s="11" t="s">
        <v>11</v>
      </c>
      <c r="D385" s="11" t="s">
        <v>438</v>
      </c>
      <c r="E385" s="10">
        <v>25</v>
      </c>
      <c r="F385" s="10" t="s">
        <v>28</v>
      </c>
      <c r="G385" s="10" t="s">
        <v>13</v>
      </c>
      <c r="H385" s="77">
        <v>15000</v>
      </c>
      <c r="I385" s="53">
        <f t="shared" ref="I385:I407" si="16">H385*E385</f>
        <v>375000</v>
      </c>
    </row>
    <row r="386" spans="1:9" x14ac:dyDescent="0.35">
      <c r="A386" s="11"/>
      <c r="B386" s="10"/>
      <c r="C386" s="11"/>
      <c r="D386" s="11" t="s">
        <v>439</v>
      </c>
      <c r="E386" s="10">
        <v>90</v>
      </c>
      <c r="F386" s="10" t="s">
        <v>20</v>
      </c>
      <c r="G386" s="10" t="s">
        <v>13</v>
      </c>
      <c r="H386" s="77">
        <v>50000</v>
      </c>
      <c r="I386" s="53">
        <f t="shared" si="16"/>
        <v>4500000</v>
      </c>
    </row>
    <row r="387" spans="1:9" x14ac:dyDescent="0.35">
      <c r="A387" s="11"/>
      <c r="B387" s="10"/>
      <c r="C387" s="11"/>
      <c r="D387" s="11" t="s">
        <v>61</v>
      </c>
      <c r="E387" s="10">
        <v>70</v>
      </c>
      <c r="F387" s="10" t="s">
        <v>20</v>
      </c>
      <c r="G387" s="10" t="s">
        <v>13</v>
      </c>
      <c r="H387" s="77">
        <v>44000</v>
      </c>
      <c r="I387" s="53">
        <f t="shared" si="16"/>
        <v>3080000</v>
      </c>
    </row>
    <row r="388" spans="1:9" x14ac:dyDescent="0.35">
      <c r="A388" s="11"/>
      <c r="B388" s="10"/>
      <c r="C388" s="11"/>
      <c r="D388" s="11" t="s">
        <v>268</v>
      </c>
      <c r="E388" s="10">
        <v>20</v>
      </c>
      <c r="F388" s="10" t="s">
        <v>14</v>
      </c>
      <c r="G388" s="10" t="s">
        <v>13</v>
      </c>
      <c r="H388" s="77">
        <v>19250</v>
      </c>
      <c r="I388" s="53">
        <f t="shared" si="16"/>
        <v>385000</v>
      </c>
    </row>
    <row r="389" spans="1:9" x14ac:dyDescent="0.35">
      <c r="A389" s="11"/>
      <c r="B389" s="10"/>
      <c r="C389" s="11"/>
      <c r="D389" s="11" t="s">
        <v>234</v>
      </c>
      <c r="E389" s="10">
        <v>15</v>
      </c>
      <c r="F389" s="10" t="s">
        <v>28</v>
      </c>
      <c r="G389" s="10" t="s">
        <v>13</v>
      </c>
      <c r="H389" s="77">
        <v>9500</v>
      </c>
      <c r="I389" s="53">
        <f t="shared" si="16"/>
        <v>142500</v>
      </c>
    </row>
    <row r="390" spans="1:9" x14ac:dyDescent="0.35">
      <c r="A390" s="11"/>
      <c r="B390" s="10"/>
      <c r="C390" s="11"/>
      <c r="D390" s="11" t="s">
        <v>128</v>
      </c>
      <c r="E390" s="10">
        <v>84</v>
      </c>
      <c r="F390" s="10" t="s">
        <v>14</v>
      </c>
      <c r="G390" s="10" t="s">
        <v>13</v>
      </c>
      <c r="H390" s="77">
        <v>16000</v>
      </c>
      <c r="I390" s="53">
        <f t="shared" si="16"/>
        <v>1344000</v>
      </c>
    </row>
    <row r="391" spans="1:9" x14ac:dyDescent="0.35">
      <c r="A391" s="11"/>
      <c r="B391" s="10"/>
      <c r="C391" s="11"/>
      <c r="D391" s="11" t="s">
        <v>440</v>
      </c>
      <c r="E391" s="10">
        <v>72</v>
      </c>
      <c r="F391" s="10" t="s">
        <v>14</v>
      </c>
      <c r="G391" s="10" t="s">
        <v>13</v>
      </c>
      <c r="H391" s="77">
        <v>6500</v>
      </c>
      <c r="I391" s="53">
        <f t="shared" si="16"/>
        <v>468000</v>
      </c>
    </row>
    <row r="392" spans="1:9" x14ac:dyDescent="0.35">
      <c r="A392" s="11"/>
      <c r="B392" s="10"/>
      <c r="C392" s="11"/>
      <c r="D392" s="11" t="s">
        <v>441</v>
      </c>
      <c r="E392" s="10">
        <f>4*12</f>
        <v>48</v>
      </c>
      <c r="F392" s="10" t="s">
        <v>14</v>
      </c>
      <c r="G392" s="10" t="s">
        <v>13</v>
      </c>
      <c r="H392" s="77">
        <f>14400/12</f>
        <v>1200</v>
      </c>
      <c r="I392" s="53">
        <f t="shared" si="16"/>
        <v>57600</v>
      </c>
    </row>
    <row r="393" spans="1:9" x14ac:dyDescent="0.35">
      <c r="A393" s="11"/>
      <c r="B393" s="10"/>
      <c r="C393" s="11"/>
      <c r="D393" s="11" t="s">
        <v>442</v>
      </c>
      <c r="E393" s="10">
        <v>24</v>
      </c>
      <c r="F393" s="10" t="s">
        <v>14</v>
      </c>
      <c r="G393" s="10" t="s">
        <v>13</v>
      </c>
      <c r="H393" s="77">
        <v>1200</v>
      </c>
      <c r="I393" s="53">
        <f t="shared" si="16"/>
        <v>28800</v>
      </c>
    </row>
    <row r="394" spans="1:9" x14ac:dyDescent="0.35">
      <c r="A394" s="11"/>
      <c r="B394" s="10"/>
      <c r="C394" s="11"/>
      <c r="D394" s="11" t="s">
        <v>443</v>
      </c>
      <c r="E394" s="10">
        <v>24</v>
      </c>
      <c r="F394" s="10" t="s">
        <v>14</v>
      </c>
      <c r="G394" s="10" t="s">
        <v>13</v>
      </c>
      <c r="H394" s="77">
        <v>1200</v>
      </c>
      <c r="I394" s="53">
        <f t="shared" si="16"/>
        <v>28800</v>
      </c>
    </row>
    <row r="395" spans="1:9" x14ac:dyDescent="0.35">
      <c r="A395" s="11"/>
      <c r="B395" s="10"/>
      <c r="C395" s="11"/>
      <c r="D395" s="11" t="s">
        <v>444</v>
      </c>
      <c r="E395" s="10">
        <v>24</v>
      </c>
      <c r="F395" s="10" t="s">
        <v>14</v>
      </c>
      <c r="G395" s="10" t="s">
        <v>13</v>
      </c>
      <c r="H395" s="77">
        <v>1200</v>
      </c>
      <c r="I395" s="53">
        <f t="shared" si="16"/>
        <v>28800</v>
      </c>
    </row>
    <row r="396" spans="1:9" x14ac:dyDescent="0.35">
      <c r="A396" s="11"/>
      <c r="B396" s="10"/>
      <c r="C396" s="11"/>
      <c r="D396" s="11" t="s">
        <v>445</v>
      </c>
      <c r="E396" s="10">
        <v>20</v>
      </c>
      <c r="F396" s="10" t="s">
        <v>14</v>
      </c>
      <c r="G396" s="10" t="s">
        <v>13</v>
      </c>
      <c r="H396" s="77">
        <v>9000</v>
      </c>
      <c r="I396" s="53">
        <f t="shared" si="16"/>
        <v>180000</v>
      </c>
    </row>
    <row r="397" spans="1:9" x14ac:dyDescent="0.35">
      <c r="A397" s="11"/>
      <c r="B397" s="10"/>
      <c r="C397" s="11"/>
      <c r="D397" s="11" t="s">
        <v>281</v>
      </c>
      <c r="E397" s="10">
        <v>24</v>
      </c>
      <c r="F397" s="10" t="s">
        <v>14</v>
      </c>
      <c r="G397" s="10" t="s">
        <v>13</v>
      </c>
      <c r="H397" s="77">
        <f>63000/12</f>
        <v>5250</v>
      </c>
      <c r="I397" s="53">
        <f t="shared" si="16"/>
        <v>126000</v>
      </c>
    </row>
    <row r="398" spans="1:9" x14ac:dyDescent="0.35">
      <c r="A398" s="11"/>
      <c r="B398" s="10"/>
      <c r="C398" s="11"/>
      <c r="D398" s="11" t="s">
        <v>85</v>
      </c>
      <c r="E398" s="10">
        <v>24</v>
      </c>
      <c r="F398" s="10" t="s">
        <v>17</v>
      </c>
      <c r="G398" s="10" t="s">
        <v>13</v>
      </c>
      <c r="H398" s="77">
        <v>2750</v>
      </c>
      <c r="I398" s="53">
        <f t="shared" si="16"/>
        <v>66000</v>
      </c>
    </row>
    <row r="399" spans="1:9" x14ac:dyDescent="0.35">
      <c r="A399" s="11"/>
      <c r="B399" s="10"/>
      <c r="C399" s="11"/>
      <c r="D399" s="11" t="s">
        <v>446</v>
      </c>
      <c r="E399" s="10">
        <v>12</v>
      </c>
      <c r="F399" s="10" t="s">
        <v>14</v>
      </c>
      <c r="G399" s="10" t="s">
        <v>13</v>
      </c>
      <c r="H399" s="77">
        <v>8000</v>
      </c>
      <c r="I399" s="53">
        <f t="shared" si="16"/>
        <v>96000</v>
      </c>
    </row>
    <row r="400" spans="1:9" x14ac:dyDescent="0.35">
      <c r="A400" s="11"/>
      <c r="B400" s="10"/>
      <c r="C400" s="11"/>
      <c r="D400" s="11" t="s">
        <v>447</v>
      </c>
      <c r="E400" s="10">
        <v>12</v>
      </c>
      <c r="F400" s="10" t="s">
        <v>14</v>
      </c>
      <c r="G400" s="10" t="s">
        <v>13</v>
      </c>
      <c r="H400" s="77">
        <v>8000</v>
      </c>
      <c r="I400" s="53">
        <f t="shared" si="16"/>
        <v>96000</v>
      </c>
    </row>
    <row r="401" spans="1:10" x14ac:dyDescent="0.35">
      <c r="A401" s="11"/>
      <c r="B401" s="10"/>
      <c r="C401" s="11"/>
      <c r="D401" s="11" t="s">
        <v>448</v>
      </c>
      <c r="E401" s="10">
        <v>10</v>
      </c>
      <c r="F401" s="10" t="s">
        <v>14</v>
      </c>
      <c r="G401" s="10" t="s">
        <v>13</v>
      </c>
      <c r="H401" s="77">
        <v>3000</v>
      </c>
      <c r="I401" s="53">
        <f t="shared" si="16"/>
        <v>30000</v>
      </c>
    </row>
    <row r="402" spans="1:10" x14ac:dyDescent="0.35">
      <c r="A402" s="11"/>
      <c r="B402" s="10"/>
      <c r="C402" s="11"/>
      <c r="D402" s="11" t="s">
        <v>449</v>
      </c>
      <c r="E402" s="10">
        <v>15</v>
      </c>
      <c r="F402" s="10" t="s">
        <v>28</v>
      </c>
      <c r="G402" s="10" t="s">
        <v>13</v>
      </c>
      <c r="H402" s="77">
        <v>11000</v>
      </c>
      <c r="I402" s="53">
        <f t="shared" si="16"/>
        <v>165000</v>
      </c>
    </row>
    <row r="403" spans="1:10" x14ac:dyDescent="0.35">
      <c r="A403" s="11"/>
      <c r="B403" s="10"/>
      <c r="C403" s="11"/>
      <c r="D403" s="11" t="s">
        <v>450</v>
      </c>
      <c r="E403" s="10">
        <v>12</v>
      </c>
      <c r="F403" s="10" t="s">
        <v>14</v>
      </c>
      <c r="G403" s="10" t="s">
        <v>13</v>
      </c>
      <c r="H403" s="77">
        <v>8000</v>
      </c>
      <c r="I403" s="53">
        <f t="shared" si="16"/>
        <v>96000</v>
      </c>
    </row>
    <row r="404" spans="1:10" x14ac:dyDescent="0.35">
      <c r="A404" s="11"/>
      <c r="B404" s="10"/>
      <c r="C404" s="11"/>
      <c r="D404" s="11" t="s">
        <v>451</v>
      </c>
      <c r="E404" s="10">
        <v>10</v>
      </c>
      <c r="F404" s="10" t="s">
        <v>28</v>
      </c>
      <c r="G404" s="10" t="s">
        <v>13</v>
      </c>
      <c r="H404" s="77">
        <v>5250</v>
      </c>
      <c r="I404" s="53">
        <f t="shared" si="16"/>
        <v>52500</v>
      </c>
    </row>
    <row r="405" spans="1:10" x14ac:dyDescent="0.35">
      <c r="A405" s="11"/>
      <c r="B405" s="10"/>
      <c r="C405" s="11"/>
      <c r="D405" s="11" t="s">
        <v>452</v>
      </c>
      <c r="E405" s="10">
        <v>10</v>
      </c>
      <c r="F405" s="10" t="s">
        <v>21</v>
      </c>
      <c r="G405" s="10" t="s">
        <v>13</v>
      </c>
      <c r="H405" s="77">
        <v>31500</v>
      </c>
      <c r="I405" s="53">
        <f t="shared" si="16"/>
        <v>315000</v>
      </c>
    </row>
    <row r="406" spans="1:10" x14ac:dyDescent="0.35">
      <c r="A406" s="11"/>
      <c r="B406" s="10"/>
      <c r="C406" s="11"/>
      <c r="D406" s="11" t="s">
        <v>68</v>
      </c>
      <c r="E406" s="10">
        <v>20</v>
      </c>
      <c r="F406" s="10" t="s">
        <v>17</v>
      </c>
      <c r="G406" s="10" t="s">
        <v>13</v>
      </c>
      <c r="H406" s="77">
        <v>87500</v>
      </c>
      <c r="I406" s="53">
        <f t="shared" si="16"/>
        <v>1750000</v>
      </c>
    </row>
    <row r="407" spans="1:10" x14ac:dyDescent="0.35">
      <c r="A407" s="11"/>
      <c r="B407" s="10"/>
      <c r="C407" s="11"/>
      <c r="D407" s="11" t="s">
        <v>453</v>
      </c>
      <c r="E407" s="10">
        <v>25</v>
      </c>
      <c r="F407" s="10" t="s">
        <v>14</v>
      </c>
      <c r="G407" s="10" t="s">
        <v>13</v>
      </c>
      <c r="H407" s="77">
        <v>3250</v>
      </c>
      <c r="I407" s="53">
        <f t="shared" si="16"/>
        <v>81250</v>
      </c>
    </row>
    <row r="408" spans="1:10" x14ac:dyDescent="0.35">
      <c r="A408" s="11"/>
      <c r="B408" s="10"/>
      <c r="C408" s="11"/>
      <c r="D408" s="11"/>
      <c r="E408" s="10"/>
      <c r="F408" s="10"/>
      <c r="G408" s="10"/>
      <c r="H408" s="77"/>
      <c r="I408" s="54">
        <f>SUM(I385:I407)</f>
        <v>13492250</v>
      </c>
      <c r="J408" s="83">
        <f>I408</f>
        <v>13492250</v>
      </c>
    </row>
    <row r="409" spans="1:10" x14ac:dyDescent="0.35">
      <c r="A409" s="8"/>
      <c r="B409" s="8"/>
      <c r="C409" s="8"/>
      <c r="D409" s="8"/>
      <c r="E409" s="8"/>
      <c r="F409" s="8"/>
      <c r="G409" s="8"/>
      <c r="H409" s="8"/>
      <c r="I409" s="8"/>
    </row>
    <row r="410" spans="1:10" x14ac:dyDescent="0.35">
      <c r="A410" s="9">
        <v>45239</v>
      </c>
      <c r="B410" s="10">
        <v>686</v>
      </c>
      <c r="C410" s="11" t="s">
        <v>11</v>
      </c>
      <c r="D410" s="11" t="s">
        <v>237</v>
      </c>
      <c r="E410" s="10">
        <v>50</v>
      </c>
      <c r="F410" s="10" t="s">
        <v>20</v>
      </c>
      <c r="G410" s="10" t="s">
        <v>24</v>
      </c>
      <c r="H410" s="53">
        <v>54500</v>
      </c>
      <c r="I410" s="53">
        <f>H410*E410</f>
        <v>2725000</v>
      </c>
    </row>
    <row r="411" spans="1:10" x14ac:dyDescent="0.35">
      <c r="A411" s="11"/>
      <c r="B411" s="10"/>
      <c r="C411" s="11"/>
      <c r="D411" s="11" t="s">
        <v>454</v>
      </c>
      <c r="E411" s="10">
        <v>30</v>
      </c>
      <c r="F411" s="10" t="s">
        <v>20</v>
      </c>
      <c r="G411" s="10" t="s">
        <v>24</v>
      </c>
      <c r="H411" s="53">
        <v>55000</v>
      </c>
      <c r="I411" s="53">
        <f t="shared" ref="I411:I418" si="17">H411*E411</f>
        <v>1650000</v>
      </c>
    </row>
    <row r="412" spans="1:10" x14ac:dyDescent="0.35">
      <c r="A412" s="11"/>
      <c r="B412" s="10"/>
      <c r="C412" s="11"/>
      <c r="D412" s="11" t="s">
        <v>455</v>
      </c>
      <c r="E412" s="10">
        <v>10</v>
      </c>
      <c r="F412" s="10" t="s">
        <v>20</v>
      </c>
      <c r="G412" s="10" t="s">
        <v>24</v>
      </c>
      <c r="H412" s="53">
        <v>55000</v>
      </c>
      <c r="I412" s="53">
        <f t="shared" si="17"/>
        <v>550000</v>
      </c>
    </row>
    <row r="413" spans="1:10" x14ac:dyDescent="0.35">
      <c r="A413" s="11"/>
      <c r="B413" s="10"/>
      <c r="C413" s="11"/>
      <c r="D413" s="11" t="s">
        <v>117</v>
      </c>
      <c r="E413" s="10">
        <v>10</v>
      </c>
      <c r="F413" s="10" t="s">
        <v>20</v>
      </c>
      <c r="G413" s="10" t="s">
        <v>24</v>
      </c>
      <c r="H413" s="53">
        <v>50000</v>
      </c>
      <c r="I413" s="53">
        <f t="shared" si="17"/>
        <v>500000</v>
      </c>
    </row>
    <row r="414" spans="1:10" x14ac:dyDescent="0.35">
      <c r="A414" s="11"/>
      <c r="B414" s="10"/>
      <c r="C414" s="11"/>
      <c r="D414" s="72" t="s">
        <v>456</v>
      </c>
      <c r="E414" s="71">
        <f>6*12</f>
        <v>72</v>
      </c>
      <c r="F414" s="71" t="s">
        <v>14</v>
      </c>
      <c r="G414" s="71" t="s">
        <v>13</v>
      </c>
      <c r="H414" s="73">
        <v>2250</v>
      </c>
      <c r="I414" s="53">
        <f t="shared" si="17"/>
        <v>162000</v>
      </c>
    </row>
    <row r="415" spans="1:10" x14ac:dyDescent="0.35">
      <c r="A415" s="11"/>
      <c r="B415" s="10"/>
      <c r="C415" s="11"/>
      <c r="D415" s="72" t="s">
        <v>457</v>
      </c>
      <c r="E415" s="71">
        <v>72</v>
      </c>
      <c r="F415" s="71" t="s">
        <v>14</v>
      </c>
      <c r="G415" s="71" t="s">
        <v>13</v>
      </c>
      <c r="H415" s="73">
        <v>2250</v>
      </c>
      <c r="I415" s="53">
        <f t="shared" si="17"/>
        <v>162000</v>
      </c>
    </row>
    <row r="416" spans="1:10" x14ac:dyDescent="0.35">
      <c r="A416" s="11"/>
      <c r="B416" s="10"/>
      <c r="C416" s="11"/>
      <c r="D416" s="72" t="s">
        <v>458</v>
      </c>
      <c r="E416" s="71">
        <v>72</v>
      </c>
      <c r="F416" s="71" t="s">
        <v>14</v>
      </c>
      <c r="G416" s="71" t="s">
        <v>13</v>
      </c>
      <c r="H416" s="73">
        <v>2250</v>
      </c>
      <c r="I416" s="53">
        <f t="shared" si="17"/>
        <v>162000</v>
      </c>
    </row>
    <row r="417" spans="1:10" x14ac:dyDescent="0.35">
      <c r="A417" s="11"/>
      <c r="B417" s="10"/>
      <c r="C417" s="11"/>
      <c r="D417" s="72" t="s">
        <v>459</v>
      </c>
      <c r="E417" s="71">
        <v>72</v>
      </c>
      <c r="F417" s="71" t="s">
        <v>14</v>
      </c>
      <c r="G417" s="71" t="s">
        <v>13</v>
      </c>
      <c r="H417" s="73">
        <v>2250</v>
      </c>
      <c r="I417" s="53">
        <f t="shared" si="17"/>
        <v>162000</v>
      </c>
    </row>
    <row r="418" spans="1:10" x14ac:dyDescent="0.35">
      <c r="A418" s="11"/>
      <c r="B418" s="10"/>
      <c r="C418" s="11"/>
      <c r="D418" s="11" t="s">
        <v>460</v>
      </c>
      <c r="E418" s="10">
        <v>2</v>
      </c>
      <c r="F418" s="10" t="s">
        <v>14</v>
      </c>
      <c r="G418" s="10" t="s">
        <v>13</v>
      </c>
      <c r="H418" s="53">
        <v>162000</v>
      </c>
      <c r="I418" s="53">
        <f t="shared" si="17"/>
        <v>324000</v>
      </c>
    </row>
    <row r="419" spans="1:10" x14ac:dyDescent="0.35">
      <c r="A419" s="11"/>
      <c r="B419" s="10"/>
      <c r="C419" s="11"/>
      <c r="D419" s="11"/>
      <c r="E419" s="10"/>
      <c r="F419" s="10"/>
      <c r="G419" s="10"/>
      <c r="H419" s="53"/>
      <c r="I419" s="54">
        <f>SUM(I410:I418)</f>
        <v>6397000</v>
      </c>
      <c r="J419" s="83">
        <f>I419</f>
        <v>6397000</v>
      </c>
    </row>
    <row r="420" spans="1:10" x14ac:dyDescent="0.35">
      <c r="A420" s="8"/>
      <c r="B420" s="8"/>
      <c r="C420" s="8"/>
      <c r="D420" s="8"/>
      <c r="E420" s="8"/>
      <c r="F420" s="8"/>
      <c r="G420" s="8"/>
      <c r="H420" s="8"/>
      <c r="I420" s="8"/>
    </row>
    <row r="421" spans="1:10" x14ac:dyDescent="0.35">
      <c r="A421" s="9">
        <v>45237</v>
      </c>
      <c r="B421" s="10">
        <v>681</v>
      </c>
      <c r="C421" s="11" t="s">
        <v>11</v>
      </c>
      <c r="D421" s="11" t="s">
        <v>83</v>
      </c>
      <c r="E421" s="10">
        <v>50</v>
      </c>
      <c r="F421" s="10" t="s">
        <v>286</v>
      </c>
      <c r="G421" s="10" t="s">
        <v>13</v>
      </c>
      <c r="H421" s="78">
        <v>8500</v>
      </c>
      <c r="I421" s="78">
        <f t="shared" ref="I421:I434" si="18">H421*E421</f>
        <v>425000</v>
      </c>
    </row>
    <row r="422" spans="1:10" x14ac:dyDescent="0.35">
      <c r="A422" s="11"/>
      <c r="B422" s="10"/>
      <c r="C422" s="11"/>
      <c r="D422" s="11" t="s">
        <v>461</v>
      </c>
      <c r="E422" s="10">
        <v>12</v>
      </c>
      <c r="F422" s="10" t="s">
        <v>28</v>
      </c>
      <c r="G422" s="10" t="s">
        <v>13</v>
      </c>
      <c r="H422" s="78">
        <v>11250</v>
      </c>
      <c r="I422" s="78">
        <f t="shared" si="18"/>
        <v>135000</v>
      </c>
    </row>
    <row r="423" spans="1:10" x14ac:dyDescent="0.35">
      <c r="A423" s="11"/>
      <c r="B423" s="10"/>
      <c r="C423" s="11"/>
      <c r="D423" s="11" t="s">
        <v>462</v>
      </c>
      <c r="E423" s="10">
        <v>48</v>
      </c>
      <c r="F423" s="10" t="s">
        <v>17</v>
      </c>
      <c r="G423" s="10" t="s">
        <v>13</v>
      </c>
      <c r="H423" s="78">
        <v>7200</v>
      </c>
      <c r="I423" s="78">
        <f t="shared" si="18"/>
        <v>345600</v>
      </c>
    </row>
    <row r="424" spans="1:10" x14ac:dyDescent="0.35">
      <c r="A424" s="11"/>
      <c r="B424" s="10"/>
      <c r="C424" s="11"/>
      <c r="D424" s="11" t="s">
        <v>463</v>
      </c>
      <c r="E424" s="10">
        <v>48</v>
      </c>
      <c r="F424" s="10" t="s">
        <v>17</v>
      </c>
      <c r="G424" s="10" t="s">
        <v>13</v>
      </c>
      <c r="H424" s="78">
        <v>3000</v>
      </c>
      <c r="I424" s="78">
        <f t="shared" si="18"/>
        <v>144000</v>
      </c>
    </row>
    <row r="425" spans="1:10" x14ac:dyDescent="0.35">
      <c r="A425" s="11"/>
      <c r="B425" s="10"/>
      <c r="C425" s="11"/>
      <c r="D425" s="11" t="s">
        <v>464</v>
      </c>
      <c r="E425" s="10">
        <v>12</v>
      </c>
      <c r="F425" s="10" t="s">
        <v>14</v>
      </c>
      <c r="G425" s="10" t="s">
        <v>13</v>
      </c>
      <c r="H425" s="78">
        <v>9000</v>
      </c>
      <c r="I425" s="78">
        <f t="shared" si="18"/>
        <v>108000</v>
      </c>
    </row>
    <row r="426" spans="1:10" x14ac:dyDescent="0.35">
      <c r="A426" s="11"/>
      <c r="B426" s="10"/>
      <c r="C426" s="11"/>
      <c r="D426" s="11" t="s">
        <v>465</v>
      </c>
      <c r="E426" s="10">
        <v>12</v>
      </c>
      <c r="F426" s="10" t="s">
        <v>14</v>
      </c>
      <c r="G426" s="10" t="s">
        <v>13</v>
      </c>
      <c r="H426" s="78">
        <v>13750</v>
      </c>
      <c r="I426" s="78">
        <f t="shared" si="18"/>
        <v>165000</v>
      </c>
    </row>
    <row r="427" spans="1:10" x14ac:dyDescent="0.35">
      <c r="A427" s="11"/>
      <c r="B427" s="10"/>
      <c r="C427" s="11"/>
      <c r="D427" s="11" t="s">
        <v>466</v>
      </c>
      <c r="E427" s="10">
        <v>40</v>
      </c>
      <c r="F427" s="10" t="s">
        <v>286</v>
      </c>
      <c r="G427" s="10" t="s">
        <v>13</v>
      </c>
      <c r="H427" s="78">
        <v>3400</v>
      </c>
      <c r="I427" s="78">
        <f t="shared" si="18"/>
        <v>136000</v>
      </c>
    </row>
    <row r="428" spans="1:10" x14ac:dyDescent="0.35">
      <c r="A428" s="11"/>
      <c r="B428" s="10"/>
      <c r="C428" s="11"/>
      <c r="D428" s="11" t="s">
        <v>467</v>
      </c>
      <c r="E428" s="10">
        <v>3</v>
      </c>
      <c r="F428" s="10" t="s">
        <v>21</v>
      </c>
      <c r="G428" s="10" t="s">
        <v>13</v>
      </c>
      <c r="H428" s="78">
        <v>30000</v>
      </c>
      <c r="I428" s="78">
        <f t="shared" si="18"/>
        <v>90000</v>
      </c>
    </row>
    <row r="429" spans="1:10" x14ac:dyDescent="0.35">
      <c r="A429" s="11"/>
      <c r="B429" s="10"/>
      <c r="C429" s="11"/>
      <c r="D429" s="11" t="s">
        <v>468</v>
      </c>
      <c r="E429" s="10">
        <v>3</v>
      </c>
      <c r="F429" s="10" t="s">
        <v>21</v>
      </c>
      <c r="G429" s="10" t="s">
        <v>13</v>
      </c>
      <c r="H429" s="78">
        <v>30000</v>
      </c>
      <c r="I429" s="78">
        <f t="shared" si="18"/>
        <v>90000</v>
      </c>
    </row>
    <row r="430" spans="1:10" x14ac:dyDescent="0.35">
      <c r="A430" s="11"/>
      <c r="B430" s="10"/>
      <c r="C430" s="11"/>
      <c r="D430" s="11" t="s">
        <v>469</v>
      </c>
      <c r="E430" s="10">
        <v>3</v>
      </c>
      <c r="F430" s="10" t="s">
        <v>21</v>
      </c>
      <c r="G430" s="10" t="s">
        <v>13</v>
      </c>
      <c r="H430" s="78">
        <v>30000</v>
      </c>
      <c r="I430" s="78">
        <f t="shared" si="18"/>
        <v>90000</v>
      </c>
    </row>
    <row r="431" spans="1:10" x14ac:dyDescent="0.35">
      <c r="A431" s="11"/>
      <c r="B431" s="10"/>
      <c r="C431" s="11"/>
      <c r="D431" s="11" t="s">
        <v>470</v>
      </c>
      <c r="E431" s="10">
        <v>3</v>
      </c>
      <c r="F431" s="10" t="s">
        <v>21</v>
      </c>
      <c r="G431" s="10" t="s">
        <v>13</v>
      </c>
      <c r="H431" s="78">
        <v>30000</v>
      </c>
      <c r="I431" s="78">
        <f t="shared" si="18"/>
        <v>90000</v>
      </c>
    </row>
    <row r="432" spans="1:10" x14ac:dyDescent="0.35">
      <c r="A432" s="11"/>
      <c r="B432" s="10"/>
      <c r="C432" s="11"/>
      <c r="D432" s="11" t="s">
        <v>139</v>
      </c>
      <c r="E432" s="10">
        <v>12</v>
      </c>
      <c r="F432" s="10" t="s">
        <v>14</v>
      </c>
      <c r="G432" s="10" t="s">
        <v>13</v>
      </c>
      <c r="H432" s="78">
        <v>20250</v>
      </c>
      <c r="I432" s="78">
        <f t="shared" si="18"/>
        <v>243000</v>
      </c>
    </row>
    <row r="433" spans="1:10" x14ac:dyDescent="0.35">
      <c r="A433" s="11"/>
      <c r="B433" s="10"/>
      <c r="C433" s="11"/>
      <c r="D433" s="11" t="s">
        <v>268</v>
      </c>
      <c r="E433" s="10">
        <v>40</v>
      </c>
      <c r="F433" s="10" t="s">
        <v>14</v>
      </c>
      <c r="G433" s="10" t="s">
        <v>13</v>
      </c>
      <c r="H433" s="78">
        <v>19250</v>
      </c>
      <c r="I433" s="78">
        <f t="shared" si="18"/>
        <v>770000</v>
      </c>
    </row>
    <row r="434" spans="1:10" x14ac:dyDescent="0.35">
      <c r="A434" s="11"/>
      <c r="B434" s="10"/>
      <c r="C434" s="11"/>
      <c r="D434" s="11" t="s">
        <v>294</v>
      </c>
      <c r="E434" s="10">
        <v>288</v>
      </c>
      <c r="F434" s="10" t="s">
        <v>14</v>
      </c>
      <c r="G434" s="10" t="s">
        <v>13</v>
      </c>
      <c r="H434" s="78">
        <f>13000/2</f>
        <v>6500</v>
      </c>
      <c r="I434" s="78">
        <f t="shared" si="18"/>
        <v>1872000</v>
      </c>
    </row>
    <row r="435" spans="1:10" x14ac:dyDescent="0.35">
      <c r="A435" s="11"/>
      <c r="B435" s="10"/>
      <c r="C435" s="11"/>
      <c r="D435" s="11"/>
      <c r="E435" s="10"/>
      <c r="F435" s="10"/>
      <c r="G435" s="10"/>
      <c r="H435" s="78"/>
      <c r="I435" s="79">
        <f>SUM(I421:I434)</f>
        <v>4703600</v>
      </c>
      <c r="J435" s="83">
        <f>I435</f>
        <v>4703600</v>
      </c>
    </row>
    <row r="436" spans="1:10" x14ac:dyDescent="0.35">
      <c r="A436" s="8"/>
      <c r="B436" s="8"/>
      <c r="C436" s="8"/>
      <c r="D436" s="8"/>
      <c r="E436" s="8"/>
      <c r="F436" s="8"/>
      <c r="G436" s="8"/>
      <c r="H436" s="8"/>
      <c r="I436" s="8"/>
    </row>
    <row r="437" spans="1:10" x14ac:dyDescent="0.35">
      <c r="A437" s="9">
        <v>45233</v>
      </c>
      <c r="B437" s="10">
        <v>670</v>
      </c>
      <c r="C437" s="11" t="s">
        <v>56</v>
      </c>
      <c r="D437" s="11" t="s">
        <v>471</v>
      </c>
      <c r="E437" s="10">
        <v>90</v>
      </c>
      <c r="F437" s="10" t="s">
        <v>14</v>
      </c>
      <c r="G437" s="10" t="s">
        <v>13</v>
      </c>
      <c r="H437" s="53">
        <v>4770</v>
      </c>
      <c r="I437" s="53">
        <f>H437*E437</f>
        <v>429300</v>
      </c>
    </row>
    <row r="438" spans="1:10" x14ac:dyDescent="0.35">
      <c r="A438" s="11"/>
      <c r="B438" s="10"/>
      <c r="C438" s="11"/>
      <c r="D438" s="11"/>
      <c r="E438" s="10"/>
      <c r="F438" s="10"/>
      <c r="G438" s="10"/>
      <c r="H438" s="53"/>
      <c r="I438" s="54">
        <f>SUM(I437)</f>
        <v>429300</v>
      </c>
      <c r="J438" s="83">
        <f>I438</f>
        <v>429300</v>
      </c>
    </row>
    <row r="439" spans="1:10" x14ac:dyDescent="0.35">
      <c r="A439" s="8"/>
      <c r="B439" s="8"/>
      <c r="C439" s="8"/>
      <c r="D439" s="8"/>
      <c r="E439" s="8"/>
      <c r="F439" s="8"/>
      <c r="G439" s="8"/>
      <c r="H439" s="8"/>
      <c r="I439" s="8"/>
    </row>
    <row r="440" spans="1:10" x14ac:dyDescent="0.35">
      <c r="A440" s="9">
        <v>45232</v>
      </c>
      <c r="B440" s="10">
        <v>669</v>
      </c>
      <c r="C440" s="11" t="s">
        <v>56</v>
      </c>
      <c r="D440" s="11" t="s">
        <v>252</v>
      </c>
      <c r="E440" s="10">
        <v>100</v>
      </c>
      <c r="F440" s="10" t="s">
        <v>20</v>
      </c>
      <c r="G440" s="10" t="s">
        <v>13</v>
      </c>
      <c r="H440" s="53">
        <v>38200</v>
      </c>
      <c r="I440" s="53">
        <f>H440*E440</f>
        <v>3820000</v>
      </c>
    </row>
    <row r="441" spans="1:10" x14ac:dyDescent="0.35">
      <c r="A441" s="11"/>
      <c r="B441" s="10"/>
      <c r="C441" s="11"/>
      <c r="D441" s="11"/>
      <c r="E441" s="10"/>
      <c r="F441" s="10"/>
      <c r="G441" s="10"/>
      <c r="H441" s="53"/>
      <c r="I441" s="54">
        <f>SUM(I440)</f>
        <v>3820000</v>
      </c>
      <c r="J441" s="83">
        <f>I441</f>
        <v>3820000</v>
      </c>
    </row>
    <row r="442" spans="1:10" x14ac:dyDescent="0.35">
      <c r="A442" s="8"/>
      <c r="B442" s="8"/>
      <c r="C442" s="8"/>
      <c r="D442" s="8"/>
      <c r="E442" s="8"/>
      <c r="F442" s="8"/>
      <c r="G442" s="8"/>
      <c r="H442" s="8"/>
      <c r="I442" s="8"/>
    </row>
    <row r="443" spans="1:10" x14ac:dyDescent="0.35">
      <c r="A443" s="9">
        <v>45208</v>
      </c>
      <c r="B443" s="10">
        <v>665</v>
      </c>
      <c r="C443" s="11" t="s">
        <v>472</v>
      </c>
      <c r="D443" s="11" t="s">
        <v>473</v>
      </c>
      <c r="E443" s="10">
        <v>6</v>
      </c>
      <c r="F443" s="10" t="s">
        <v>14</v>
      </c>
      <c r="G443" s="10" t="s">
        <v>219</v>
      </c>
      <c r="H443" s="53">
        <v>116000</v>
      </c>
      <c r="I443" s="53">
        <f>H443*E443</f>
        <v>696000</v>
      </c>
    </row>
    <row r="444" spans="1:10" x14ac:dyDescent="0.35">
      <c r="A444" s="11"/>
      <c r="B444" s="10"/>
      <c r="C444" s="11"/>
      <c r="D444" s="11"/>
      <c r="E444" s="10"/>
      <c r="F444" s="10"/>
      <c r="G444" s="10"/>
      <c r="H444" s="53"/>
      <c r="I444" s="54">
        <f>SUM(I443)</f>
        <v>696000</v>
      </c>
      <c r="J444" s="83">
        <f>I444</f>
        <v>696000</v>
      </c>
    </row>
    <row r="445" spans="1:10" x14ac:dyDescent="0.35">
      <c r="A445" s="8"/>
      <c r="B445" s="8"/>
      <c r="C445" s="8"/>
      <c r="D445" s="8"/>
      <c r="E445" s="8"/>
      <c r="F445" s="8"/>
      <c r="G445" s="8"/>
      <c r="H445" s="8"/>
      <c r="I445" s="8"/>
    </row>
    <row r="446" spans="1:10" x14ac:dyDescent="0.35">
      <c r="A446" s="9">
        <v>45230</v>
      </c>
      <c r="B446" s="10">
        <v>659</v>
      </c>
      <c r="C446" s="11" t="s">
        <v>11</v>
      </c>
      <c r="D446" s="11" t="s">
        <v>474</v>
      </c>
      <c r="E446" s="10">
        <v>24</v>
      </c>
      <c r="F446" s="10" t="s">
        <v>14</v>
      </c>
      <c r="G446" s="10" t="s">
        <v>13</v>
      </c>
      <c r="H446" s="53">
        <f>17500/12</f>
        <v>1458.3333333333333</v>
      </c>
      <c r="I446" s="53">
        <f t="shared" ref="I446:I456" si="19">H446*E446</f>
        <v>35000</v>
      </c>
    </row>
    <row r="447" spans="1:10" x14ac:dyDescent="0.35">
      <c r="A447" s="11"/>
      <c r="B447" s="10"/>
      <c r="C447" s="11"/>
      <c r="D447" s="11" t="s">
        <v>475</v>
      </c>
      <c r="E447" s="10">
        <v>24</v>
      </c>
      <c r="F447" s="10" t="s">
        <v>14</v>
      </c>
      <c r="G447" s="10" t="s">
        <v>13</v>
      </c>
      <c r="H447" s="53">
        <f>17500/12</f>
        <v>1458.3333333333333</v>
      </c>
      <c r="I447" s="53">
        <f t="shared" si="19"/>
        <v>35000</v>
      </c>
    </row>
    <row r="448" spans="1:10" x14ac:dyDescent="0.35">
      <c r="A448" s="11"/>
      <c r="B448" s="10"/>
      <c r="C448" s="11"/>
      <c r="D448" s="11" t="s">
        <v>139</v>
      </c>
      <c r="E448" s="10">
        <v>12</v>
      </c>
      <c r="F448" s="10" t="s">
        <v>14</v>
      </c>
      <c r="G448" s="10" t="s">
        <v>13</v>
      </c>
      <c r="H448" s="53">
        <v>20250</v>
      </c>
      <c r="I448" s="53">
        <f t="shared" si="19"/>
        <v>243000</v>
      </c>
    </row>
    <row r="449" spans="1:10" x14ac:dyDescent="0.35">
      <c r="A449" s="11"/>
      <c r="B449" s="10"/>
      <c r="C449" s="11"/>
      <c r="D449" s="11" t="s">
        <v>339</v>
      </c>
      <c r="E449" s="10">
        <v>500</v>
      </c>
      <c r="F449" s="10" t="s">
        <v>286</v>
      </c>
      <c r="G449" s="10" t="s">
        <v>13</v>
      </c>
      <c r="H449" s="53">
        <v>1600</v>
      </c>
      <c r="I449" s="53">
        <f t="shared" si="19"/>
        <v>800000</v>
      </c>
    </row>
    <row r="450" spans="1:10" x14ac:dyDescent="0.35">
      <c r="A450" s="11"/>
      <c r="B450" s="10"/>
      <c r="C450" s="11"/>
      <c r="D450" s="11" t="s">
        <v>465</v>
      </c>
      <c r="E450" s="10">
        <v>12</v>
      </c>
      <c r="F450" s="10" t="s">
        <v>14</v>
      </c>
      <c r="G450" s="10" t="s">
        <v>13</v>
      </c>
      <c r="H450" s="53">
        <v>13750</v>
      </c>
      <c r="I450" s="53">
        <f t="shared" si="19"/>
        <v>165000</v>
      </c>
    </row>
    <row r="451" spans="1:10" x14ac:dyDescent="0.35">
      <c r="A451" s="11"/>
      <c r="B451" s="10"/>
      <c r="C451" s="11"/>
      <c r="D451" s="11" t="s">
        <v>158</v>
      </c>
      <c r="E451" s="10">
        <v>50</v>
      </c>
      <c r="F451" s="10" t="s">
        <v>476</v>
      </c>
      <c r="G451" s="10" t="s">
        <v>13</v>
      </c>
      <c r="H451" s="53">
        <v>2900</v>
      </c>
      <c r="I451" s="53">
        <f t="shared" si="19"/>
        <v>145000</v>
      </c>
    </row>
    <row r="452" spans="1:10" x14ac:dyDescent="0.35">
      <c r="A452" s="11"/>
      <c r="B452" s="10"/>
      <c r="C452" s="11"/>
      <c r="D452" s="11" t="s">
        <v>477</v>
      </c>
      <c r="E452" s="10">
        <v>5</v>
      </c>
      <c r="F452" s="10" t="s">
        <v>28</v>
      </c>
      <c r="G452" s="10" t="s">
        <v>13</v>
      </c>
      <c r="H452" s="53">
        <v>16500</v>
      </c>
      <c r="I452" s="53">
        <f t="shared" si="19"/>
        <v>82500</v>
      </c>
    </row>
    <row r="453" spans="1:10" x14ac:dyDescent="0.35">
      <c r="A453" s="11"/>
      <c r="B453" s="10"/>
      <c r="C453" s="11"/>
      <c r="D453" s="11" t="s">
        <v>478</v>
      </c>
      <c r="E453" s="10">
        <v>24</v>
      </c>
      <c r="F453" s="10" t="s">
        <v>14</v>
      </c>
      <c r="G453" s="10" t="s">
        <v>13</v>
      </c>
      <c r="H453" s="53">
        <v>3250</v>
      </c>
      <c r="I453" s="53">
        <f t="shared" si="19"/>
        <v>78000</v>
      </c>
    </row>
    <row r="454" spans="1:10" x14ac:dyDescent="0.35">
      <c r="A454" s="11"/>
      <c r="B454" s="10"/>
      <c r="C454" s="11"/>
      <c r="D454" s="72" t="s">
        <v>479</v>
      </c>
      <c r="E454" s="71">
        <v>25</v>
      </c>
      <c r="F454" s="71" t="s">
        <v>14</v>
      </c>
      <c r="G454" s="71" t="s">
        <v>13</v>
      </c>
      <c r="H454" s="73">
        <v>13000</v>
      </c>
      <c r="I454" s="73">
        <f t="shared" si="19"/>
        <v>325000</v>
      </c>
    </row>
    <row r="455" spans="1:10" x14ac:dyDescent="0.35">
      <c r="A455" s="11"/>
      <c r="B455" s="10"/>
      <c r="C455" s="11"/>
      <c r="D455" s="11" t="s">
        <v>252</v>
      </c>
      <c r="E455" s="10">
        <v>30</v>
      </c>
      <c r="F455" s="10" t="s">
        <v>20</v>
      </c>
      <c r="G455" s="10" t="s">
        <v>13</v>
      </c>
      <c r="H455" s="53">
        <v>40500</v>
      </c>
      <c r="I455" s="53">
        <f t="shared" si="19"/>
        <v>1215000</v>
      </c>
    </row>
    <row r="456" spans="1:10" x14ac:dyDescent="0.35">
      <c r="A456" s="11"/>
      <c r="B456" s="10"/>
      <c r="C456" s="11"/>
      <c r="D456" s="11" t="s">
        <v>480</v>
      </c>
      <c r="E456" s="10">
        <v>5</v>
      </c>
      <c r="F456" s="10" t="s">
        <v>14</v>
      </c>
      <c r="G456" s="10" t="s">
        <v>13</v>
      </c>
      <c r="H456" s="53">
        <v>95000</v>
      </c>
      <c r="I456" s="53">
        <f t="shared" si="19"/>
        <v>475000</v>
      </c>
    </row>
    <row r="457" spans="1:10" x14ac:dyDescent="0.35">
      <c r="A457" s="11"/>
      <c r="B457" s="10"/>
      <c r="C457" s="11"/>
      <c r="D457" s="11"/>
      <c r="E457" s="10"/>
      <c r="F457" s="10"/>
      <c r="G457" s="10"/>
      <c r="H457" s="53"/>
      <c r="I457" s="54">
        <f>SUM(I446:I456)</f>
        <v>3598500</v>
      </c>
      <c r="J457" s="83">
        <f>I457</f>
        <v>3598500</v>
      </c>
    </row>
    <row r="458" spans="1:10" x14ac:dyDescent="0.35">
      <c r="A458" s="8"/>
      <c r="B458" s="8"/>
      <c r="C458" s="8"/>
      <c r="D458" s="8"/>
      <c r="E458" s="8"/>
      <c r="F458" s="8"/>
      <c r="G458" s="8"/>
      <c r="H458" s="8"/>
      <c r="I458" s="8"/>
    </row>
    <row r="459" spans="1:10" x14ac:dyDescent="0.35">
      <c r="A459" s="9">
        <v>45226</v>
      </c>
      <c r="B459" s="10">
        <v>653</v>
      </c>
      <c r="C459" s="11" t="s">
        <v>11</v>
      </c>
      <c r="D459" s="11" t="s">
        <v>19</v>
      </c>
      <c r="E459" s="10">
        <v>150</v>
      </c>
      <c r="F459" s="10" t="s">
        <v>20</v>
      </c>
      <c r="G459" s="10" t="s">
        <v>13</v>
      </c>
      <c r="H459" s="53">
        <v>41000</v>
      </c>
      <c r="I459" s="53">
        <f>H459*E459</f>
        <v>6150000</v>
      </c>
    </row>
    <row r="460" spans="1:10" x14ac:dyDescent="0.35">
      <c r="A460" s="11"/>
      <c r="B460" s="10"/>
      <c r="C460" s="11"/>
      <c r="D460" s="11" t="s">
        <v>184</v>
      </c>
      <c r="E460" s="10">
        <v>50</v>
      </c>
      <c r="F460" s="10" t="s">
        <v>20</v>
      </c>
      <c r="G460" s="10" t="s">
        <v>13</v>
      </c>
      <c r="H460" s="53">
        <v>59000</v>
      </c>
      <c r="I460" s="53">
        <f>H460*E460</f>
        <v>2950000</v>
      </c>
    </row>
    <row r="461" spans="1:10" x14ac:dyDescent="0.35">
      <c r="A461" s="11"/>
      <c r="B461" s="10"/>
      <c r="C461" s="11"/>
      <c r="D461" s="72" t="s">
        <v>481</v>
      </c>
      <c r="E461" s="71">
        <v>250</v>
      </c>
      <c r="F461" s="71" t="s">
        <v>52</v>
      </c>
      <c r="G461" s="71" t="s">
        <v>24</v>
      </c>
      <c r="H461" s="73">
        <v>2900</v>
      </c>
      <c r="I461" s="73">
        <f>H461*E461</f>
        <v>725000</v>
      </c>
    </row>
    <row r="462" spans="1:10" x14ac:dyDescent="0.35">
      <c r="A462" s="11"/>
      <c r="B462" s="10"/>
      <c r="C462" s="11"/>
      <c r="D462" s="11"/>
      <c r="E462" s="10"/>
      <c r="F462" s="10"/>
      <c r="G462" s="10"/>
      <c r="H462" s="53"/>
      <c r="I462" s="54">
        <f>SUM(I459:I461)</f>
        <v>9825000</v>
      </c>
      <c r="J462" s="83">
        <f>I462</f>
        <v>9825000</v>
      </c>
    </row>
    <row r="463" spans="1:10" x14ac:dyDescent="0.35">
      <c r="A463" s="8"/>
      <c r="B463" s="8"/>
      <c r="C463" s="8"/>
      <c r="D463" s="8"/>
      <c r="E463" s="8"/>
      <c r="F463" s="8"/>
      <c r="G463" s="8"/>
      <c r="H463" s="8"/>
      <c r="I463" s="8"/>
    </row>
    <row r="464" spans="1:10" x14ac:dyDescent="0.35">
      <c r="A464" s="9">
        <v>45225</v>
      </c>
      <c r="B464" s="10">
        <v>651</v>
      </c>
      <c r="C464" s="11" t="s">
        <v>11</v>
      </c>
      <c r="D464" s="11" t="s">
        <v>482</v>
      </c>
      <c r="E464" s="10">
        <v>80</v>
      </c>
      <c r="F464" s="10" t="s">
        <v>14</v>
      </c>
      <c r="G464" s="10" t="s">
        <v>13</v>
      </c>
      <c r="H464" s="53">
        <v>8750</v>
      </c>
      <c r="I464" s="53">
        <f>H464*E464</f>
        <v>700000</v>
      </c>
    </row>
    <row r="465" spans="1:10" x14ac:dyDescent="0.35">
      <c r="A465" s="11"/>
      <c r="B465" s="10"/>
      <c r="C465" s="11"/>
      <c r="D465" s="11" t="s">
        <v>483</v>
      </c>
      <c r="E465" s="10">
        <v>100</v>
      </c>
      <c r="F465" s="10" t="s">
        <v>14</v>
      </c>
      <c r="G465" s="10" t="s">
        <v>13</v>
      </c>
      <c r="H465" s="53">
        <v>9000</v>
      </c>
      <c r="I465" s="53">
        <f>H465*E465</f>
        <v>900000</v>
      </c>
    </row>
    <row r="466" spans="1:10" x14ac:dyDescent="0.35">
      <c r="A466" s="11"/>
      <c r="B466" s="10"/>
      <c r="C466" s="11"/>
      <c r="D466" s="11"/>
      <c r="E466" s="10"/>
      <c r="F466" s="10"/>
      <c r="G466" s="10"/>
      <c r="H466" s="53"/>
      <c r="I466" s="54">
        <f>SUM(I464:I465)</f>
        <v>1600000</v>
      </c>
      <c r="J466" s="83">
        <f>I466</f>
        <v>1600000</v>
      </c>
    </row>
    <row r="467" spans="1:10" x14ac:dyDescent="0.35">
      <c r="A467" s="8"/>
      <c r="B467" s="8"/>
      <c r="C467" s="8"/>
      <c r="D467" s="8"/>
      <c r="E467" s="8"/>
      <c r="F467" s="8"/>
      <c r="G467" s="8"/>
      <c r="H467" s="8"/>
      <c r="I467" s="8"/>
    </row>
    <row r="468" spans="1:10" x14ac:dyDescent="0.35">
      <c r="A468" s="9">
        <v>45224</v>
      </c>
      <c r="B468" s="10">
        <v>649</v>
      </c>
      <c r="C468" s="11" t="s">
        <v>11</v>
      </c>
      <c r="D468" s="11" t="s">
        <v>482</v>
      </c>
      <c r="E468" s="10">
        <v>600</v>
      </c>
      <c r="F468" s="10" t="s">
        <v>14</v>
      </c>
      <c r="G468" s="10" t="s">
        <v>13</v>
      </c>
      <c r="H468" s="53">
        <v>8750</v>
      </c>
      <c r="I468" s="53">
        <f>H468*E468</f>
        <v>5250000</v>
      </c>
    </row>
    <row r="469" spans="1:10" x14ac:dyDescent="0.35">
      <c r="A469" s="11"/>
      <c r="B469" s="10"/>
      <c r="C469" s="11"/>
      <c r="D469" s="11"/>
      <c r="E469" s="10"/>
      <c r="F469" s="10"/>
      <c r="G469" s="10"/>
      <c r="H469" s="53"/>
      <c r="I469" s="54">
        <f>SUM(I468:I468)</f>
        <v>5250000</v>
      </c>
      <c r="J469" s="83">
        <f>I469</f>
        <v>5250000</v>
      </c>
    </row>
    <row r="470" spans="1:10" x14ac:dyDescent="0.35">
      <c r="A470" s="22"/>
      <c r="B470" s="21"/>
      <c r="C470" s="22"/>
      <c r="D470" s="8"/>
      <c r="E470" s="14"/>
      <c r="F470" s="14"/>
      <c r="G470" s="14"/>
      <c r="H470" s="57"/>
      <c r="I470" s="80"/>
    </row>
    <row r="471" spans="1:10" x14ac:dyDescent="0.35">
      <c r="A471" s="9">
        <v>45224</v>
      </c>
      <c r="B471" s="10">
        <v>650</v>
      </c>
      <c r="C471" s="11" t="s">
        <v>11</v>
      </c>
      <c r="D471" s="11" t="s">
        <v>484</v>
      </c>
      <c r="E471" s="10">
        <v>20</v>
      </c>
      <c r="F471" s="10" t="s">
        <v>286</v>
      </c>
      <c r="G471" s="10" t="s">
        <v>13</v>
      </c>
      <c r="H471" s="53">
        <v>18500</v>
      </c>
      <c r="I471" s="53">
        <f t="shared" ref="I471:I478" si="20">H471*E471</f>
        <v>370000</v>
      </c>
    </row>
    <row r="472" spans="1:10" x14ac:dyDescent="0.35">
      <c r="A472" s="11"/>
      <c r="B472" s="10"/>
      <c r="C472" s="11"/>
      <c r="D472" s="11" t="s">
        <v>485</v>
      </c>
      <c r="E472" s="10">
        <v>10</v>
      </c>
      <c r="F472" s="10" t="s">
        <v>28</v>
      </c>
      <c r="G472" s="10" t="s">
        <v>13</v>
      </c>
      <c r="H472" s="53">
        <v>11000</v>
      </c>
      <c r="I472" s="53">
        <f t="shared" si="20"/>
        <v>110000</v>
      </c>
    </row>
    <row r="473" spans="1:10" x14ac:dyDescent="0.35">
      <c r="A473" s="11"/>
      <c r="B473" s="10"/>
      <c r="C473" s="11"/>
      <c r="D473" s="11" t="s">
        <v>486</v>
      </c>
      <c r="E473" s="10">
        <v>24</v>
      </c>
      <c r="F473" s="10" t="s">
        <v>14</v>
      </c>
      <c r="G473" s="10" t="s">
        <v>13</v>
      </c>
      <c r="H473" s="53">
        <v>19500</v>
      </c>
      <c r="I473" s="53">
        <f t="shared" si="20"/>
        <v>468000</v>
      </c>
    </row>
    <row r="474" spans="1:10" x14ac:dyDescent="0.35">
      <c r="A474" s="11"/>
      <c r="B474" s="10"/>
      <c r="C474" s="11"/>
      <c r="D474" s="11" t="s">
        <v>94</v>
      </c>
      <c r="E474" s="10">
        <v>30</v>
      </c>
      <c r="F474" s="10" t="s">
        <v>20</v>
      </c>
      <c r="G474" s="10" t="s">
        <v>13</v>
      </c>
      <c r="H474" s="53">
        <v>27000</v>
      </c>
      <c r="I474" s="53">
        <f t="shared" si="20"/>
        <v>810000</v>
      </c>
    </row>
    <row r="475" spans="1:10" x14ac:dyDescent="0.35">
      <c r="A475" s="11"/>
      <c r="B475" s="10"/>
      <c r="C475" s="11"/>
      <c r="D475" s="11" t="s">
        <v>487</v>
      </c>
      <c r="E475" s="10">
        <f>30*2</f>
        <v>60</v>
      </c>
      <c r="F475" s="10" t="s">
        <v>14</v>
      </c>
      <c r="G475" s="10" t="s">
        <v>13</v>
      </c>
      <c r="H475" s="53">
        <f>13000/2</f>
        <v>6500</v>
      </c>
      <c r="I475" s="53">
        <f t="shared" si="20"/>
        <v>390000</v>
      </c>
    </row>
    <row r="476" spans="1:10" x14ac:dyDescent="0.35">
      <c r="A476" s="11"/>
      <c r="B476" s="10"/>
      <c r="C476" s="11"/>
      <c r="D476" s="11" t="s">
        <v>113</v>
      </c>
      <c r="E476" s="10">
        <v>6</v>
      </c>
      <c r="F476" s="10" t="s">
        <v>21</v>
      </c>
      <c r="G476" s="10" t="s">
        <v>13</v>
      </c>
      <c r="H476" s="53">
        <v>30000</v>
      </c>
      <c r="I476" s="53">
        <f t="shared" si="20"/>
        <v>180000</v>
      </c>
    </row>
    <row r="477" spans="1:10" x14ac:dyDescent="0.35">
      <c r="A477" s="11"/>
      <c r="B477" s="10"/>
      <c r="C477" s="11"/>
      <c r="D477" s="11" t="s">
        <v>488</v>
      </c>
      <c r="E477" s="10">
        <v>12</v>
      </c>
      <c r="F477" s="10" t="s">
        <v>14</v>
      </c>
      <c r="G477" s="10" t="s">
        <v>13</v>
      </c>
      <c r="H477" s="53">
        <v>3500</v>
      </c>
      <c r="I477" s="53">
        <f t="shared" si="20"/>
        <v>42000</v>
      </c>
    </row>
    <row r="478" spans="1:10" x14ac:dyDescent="0.35">
      <c r="A478" s="11"/>
      <c r="B478" s="10"/>
      <c r="C478" s="11"/>
      <c r="D478" s="11" t="s">
        <v>489</v>
      </c>
      <c r="E478" s="10">
        <v>15</v>
      </c>
      <c r="F478" s="10" t="s">
        <v>14</v>
      </c>
      <c r="G478" s="10" t="s">
        <v>13</v>
      </c>
      <c r="H478" s="53">
        <v>2000</v>
      </c>
      <c r="I478" s="53">
        <f t="shared" si="20"/>
        <v>30000</v>
      </c>
    </row>
    <row r="479" spans="1:10" x14ac:dyDescent="0.35">
      <c r="A479" s="11"/>
      <c r="B479" s="10"/>
      <c r="C479" s="11"/>
      <c r="D479" s="11"/>
      <c r="E479" s="10"/>
      <c r="F479" s="10"/>
      <c r="G479" s="10"/>
      <c r="H479" s="53"/>
      <c r="I479" s="54">
        <f>SUM(I471:I478)</f>
        <v>2400000</v>
      </c>
      <c r="J479" s="83">
        <f>I479</f>
        <v>2400000</v>
      </c>
    </row>
    <row r="480" spans="1:10" x14ac:dyDescent="0.35">
      <c r="A480" s="8"/>
      <c r="B480" s="8"/>
      <c r="C480" s="8"/>
      <c r="D480" s="8"/>
      <c r="E480" s="8"/>
      <c r="F480" s="8"/>
      <c r="G480" s="8"/>
      <c r="H480" s="8"/>
      <c r="I480" s="8"/>
    </row>
    <row r="481" spans="1:10" x14ac:dyDescent="0.35">
      <c r="A481" s="9">
        <v>45223</v>
      </c>
      <c r="B481" s="10">
        <v>643</v>
      </c>
      <c r="C481" s="11" t="s">
        <v>11</v>
      </c>
      <c r="D481" s="11" t="s">
        <v>490</v>
      </c>
      <c r="E481" s="10">
        <v>250</v>
      </c>
      <c r="F481" s="10" t="s">
        <v>52</v>
      </c>
      <c r="G481" s="10" t="s">
        <v>24</v>
      </c>
      <c r="H481" s="53">
        <v>4700</v>
      </c>
      <c r="I481" s="53">
        <f>H481*E481</f>
        <v>1175000</v>
      </c>
    </row>
    <row r="482" spans="1:10" x14ac:dyDescent="0.35">
      <c r="A482" s="11"/>
      <c r="B482" s="10"/>
      <c r="C482" s="11"/>
      <c r="D482" s="11" t="s">
        <v>483</v>
      </c>
      <c r="E482" s="10">
        <v>1000</v>
      </c>
      <c r="F482" s="10" t="s">
        <v>14</v>
      </c>
      <c r="G482" s="10" t="s">
        <v>13</v>
      </c>
      <c r="H482" s="53">
        <v>9000</v>
      </c>
      <c r="I482" s="53">
        <f>H482*E482</f>
        <v>9000000</v>
      </c>
    </row>
    <row r="483" spans="1:10" x14ac:dyDescent="0.35">
      <c r="A483" s="11"/>
      <c r="B483" s="10"/>
      <c r="C483" s="11"/>
      <c r="D483" s="11" t="s">
        <v>297</v>
      </c>
      <c r="E483" s="10">
        <v>420</v>
      </c>
      <c r="F483" s="10" t="s">
        <v>14</v>
      </c>
      <c r="G483" s="10" t="s">
        <v>13</v>
      </c>
      <c r="H483" s="53">
        <v>8750</v>
      </c>
      <c r="I483" s="53">
        <f>H483*E483</f>
        <v>3675000</v>
      </c>
    </row>
    <row r="484" spans="1:10" x14ac:dyDescent="0.35">
      <c r="A484" s="11"/>
      <c r="B484" s="10"/>
      <c r="C484" s="11"/>
      <c r="D484" s="11" t="s">
        <v>491</v>
      </c>
      <c r="E484" s="10">
        <v>1100</v>
      </c>
      <c r="F484" s="10" t="s">
        <v>14</v>
      </c>
      <c r="G484" s="10" t="s">
        <v>13</v>
      </c>
      <c r="H484" s="53">
        <v>1458.34</v>
      </c>
      <c r="I484" s="53">
        <f>H484*E484</f>
        <v>1604174</v>
      </c>
    </row>
    <row r="485" spans="1:10" x14ac:dyDescent="0.35">
      <c r="A485" s="11"/>
      <c r="B485" s="10"/>
      <c r="C485" s="11"/>
      <c r="D485" s="11" t="s">
        <v>492</v>
      </c>
      <c r="E485" s="10">
        <v>1100</v>
      </c>
      <c r="F485" s="10" t="s">
        <v>14</v>
      </c>
      <c r="G485" s="10" t="s">
        <v>13</v>
      </c>
      <c r="H485" s="53">
        <v>2500</v>
      </c>
      <c r="I485" s="53">
        <f>H485*E485</f>
        <v>2750000</v>
      </c>
    </row>
    <row r="486" spans="1:10" x14ac:dyDescent="0.35">
      <c r="A486" s="11"/>
      <c r="B486" s="10"/>
      <c r="C486" s="11"/>
      <c r="D486" s="11"/>
      <c r="E486" s="10"/>
      <c r="F486" s="10"/>
      <c r="G486" s="10"/>
      <c r="H486" s="53"/>
      <c r="I486" s="54">
        <f>SUM(I481:I485)</f>
        <v>18204174</v>
      </c>
      <c r="J486" s="83">
        <f>I486</f>
        <v>18204174</v>
      </c>
    </row>
    <row r="487" spans="1:10" x14ac:dyDescent="0.35">
      <c r="A487" s="8"/>
      <c r="B487" s="14"/>
      <c r="C487" s="8"/>
      <c r="D487" s="8"/>
      <c r="E487" s="14"/>
      <c r="F487" s="14"/>
      <c r="G487" s="14"/>
      <c r="H487" s="57"/>
      <c r="I487" s="57"/>
    </row>
    <row r="488" spans="1:10" x14ac:dyDescent="0.35">
      <c r="A488" s="9">
        <v>45223</v>
      </c>
      <c r="B488" s="10">
        <v>644</v>
      </c>
      <c r="C488" s="11" t="s">
        <v>11</v>
      </c>
      <c r="D488" s="11" t="s">
        <v>493</v>
      </c>
      <c r="E488" s="10">
        <v>100</v>
      </c>
      <c r="F488" s="10" t="s">
        <v>14</v>
      </c>
      <c r="G488" s="10" t="s">
        <v>13</v>
      </c>
      <c r="H488" s="53">
        <v>3750</v>
      </c>
      <c r="I488" s="53">
        <f>H488*E488</f>
        <v>375000</v>
      </c>
    </row>
    <row r="489" spans="1:10" x14ac:dyDescent="0.35">
      <c r="A489" s="11"/>
      <c r="B489" s="10"/>
      <c r="C489" s="11"/>
      <c r="D489" s="11" t="s">
        <v>233</v>
      </c>
      <c r="E489" s="10">
        <v>350</v>
      </c>
      <c r="F489" s="10" t="s">
        <v>14</v>
      </c>
      <c r="G489" s="10" t="s">
        <v>13</v>
      </c>
      <c r="H489" s="53">
        <v>600</v>
      </c>
      <c r="I489" s="53">
        <f>H489*E489</f>
        <v>210000</v>
      </c>
    </row>
    <row r="490" spans="1:10" x14ac:dyDescent="0.35">
      <c r="A490" s="11"/>
      <c r="B490" s="10"/>
      <c r="C490" s="11"/>
      <c r="D490" s="11" t="s">
        <v>494</v>
      </c>
      <c r="E490" s="10">
        <v>24</v>
      </c>
      <c r="F490" s="10" t="s">
        <v>14</v>
      </c>
      <c r="G490" s="10" t="s">
        <v>13</v>
      </c>
      <c r="H490" s="53">
        <v>8000</v>
      </c>
      <c r="I490" s="53">
        <f>H490*E490</f>
        <v>192000</v>
      </c>
    </row>
    <row r="491" spans="1:10" x14ac:dyDescent="0.35">
      <c r="A491" s="11"/>
      <c r="B491" s="10"/>
      <c r="C491" s="11"/>
      <c r="D491" s="11" t="s">
        <v>495</v>
      </c>
      <c r="E491" s="10">
        <v>24</v>
      </c>
      <c r="F491" s="10" t="s">
        <v>14</v>
      </c>
      <c r="G491" s="10" t="s">
        <v>496</v>
      </c>
      <c r="H491" s="53">
        <v>21000</v>
      </c>
      <c r="I491" s="53">
        <f>H491*E491</f>
        <v>504000</v>
      </c>
    </row>
    <row r="492" spans="1:10" x14ac:dyDescent="0.35">
      <c r="A492" s="11"/>
      <c r="B492" s="10"/>
      <c r="C492" s="11"/>
      <c r="D492" s="11" t="s">
        <v>497</v>
      </c>
      <c r="E492" s="10">
        <f>5*12</f>
        <v>60</v>
      </c>
      <c r="F492" s="10" t="s">
        <v>14</v>
      </c>
      <c r="G492" s="10" t="s">
        <v>13</v>
      </c>
      <c r="H492" s="53">
        <v>645.84</v>
      </c>
      <c r="I492" s="53">
        <f>H492*E492</f>
        <v>38750.400000000001</v>
      </c>
    </row>
    <row r="493" spans="1:10" x14ac:dyDescent="0.35">
      <c r="A493" s="11"/>
      <c r="B493" s="10"/>
      <c r="C493" s="11"/>
      <c r="D493" s="11"/>
      <c r="E493" s="10"/>
      <c r="F493" s="10"/>
      <c r="G493" s="10"/>
      <c r="H493" s="53"/>
      <c r="I493" s="54">
        <f>SUM(I488:I492)</f>
        <v>1319750.3999999999</v>
      </c>
      <c r="J493" s="83">
        <f>I493</f>
        <v>1319750.3999999999</v>
      </c>
    </row>
    <row r="494" spans="1:10" x14ac:dyDescent="0.35">
      <c r="A494" s="8"/>
      <c r="B494" s="8"/>
      <c r="C494" s="8"/>
      <c r="D494" s="8"/>
      <c r="E494" s="8"/>
      <c r="F494" s="8"/>
      <c r="G494" s="8"/>
      <c r="H494" s="8"/>
      <c r="I494" s="8"/>
    </row>
    <row r="495" spans="1:10" x14ac:dyDescent="0.35">
      <c r="A495" s="9">
        <v>45201</v>
      </c>
      <c r="B495" s="10">
        <v>642</v>
      </c>
      <c r="C495" s="11" t="s">
        <v>498</v>
      </c>
      <c r="D495" s="22" t="s">
        <v>499</v>
      </c>
      <c r="E495" s="21">
        <v>442</v>
      </c>
      <c r="F495" s="21" t="s">
        <v>500</v>
      </c>
      <c r="G495" s="21" t="s">
        <v>24</v>
      </c>
      <c r="H495" s="65"/>
      <c r="I495" s="65"/>
    </row>
    <row r="496" spans="1:10" x14ac:dyDescent="0.35">
      <c r="A496" s="11"/>
      <c r="B496" s="10"/>
      <c r="C496" s="11"/>
      <c r="D496" s="11" t="s">
        <v>501</v>
      </c>
      <c r="E496" s="10">
        <v>17</v>
      </c>
      <c r="F496" s="10" t="s">
        <v>502</v>
      </c>
      <c r="G496" s="10" t="s">
        <v>24</v>
      </c>
      <c r="H496" s="53">
        <v>100000</v>
      </c>
      <c r="I496" s="53">
        <f t="shared" ref="I496" si="21">H496*E496</f>
        <v>1700000</v>
      </c>
    </row>
    <row r="497" spans="1:10" x14ac:dyDescent="0.35">
      <c r="A497" s="11"/>
      <c r="B497" s="10"/>
      <c r="C497" s="11"/>
      <c r="D497" s="22" t="s">
        <v>503</v>
      </c>
      <c r="E497" s="21">
        <v>10</v>
      </c>
      <c r="F497" s="21" t="s">
        <v>14</v>
      </c>
      <c r="G497" s="21" t="s">
        <v>24</v>
      </c>
      <c r="H497" s="65"/>
      <c r="I497" s="65"/>
    </row>
    <row r="498" spans="1:10" x14ac:dyDescent="0.35">
      <c r="A498" s="11"/>
      <c r="B498" s="10"/>
      <c r="C498" s="11"/>
      <c r="D498" s="22" t="s">
        <v>504</v>
      </c>
      <c r="E498" s="21">
        <v>221</v>
      </c>
      <c r="F498" s="21" t="s">
        <v>500</v>
      </c>
      <c r="G498" s="21" t="s">
        <v>24</v>
      </c>
      <c r="H498" s="65"/>
      <c r="I498" s="65"/>
    </row>
    <row r="499" spans="1:10" x14ac:dyDescent="0.35">
      <c r="A499" s="11"/>
      <c r="B499" s="10"/>
      <c r="C499" s="11"/>
      <c r="D499" s="11"/>
      <c r="E499" s="10"/>
      <c r="F499" s="10"/>
      <c r="G499" s="10"/>
      <c r="H499" s="11"/>
      <c r="I499" s="56">
        <f>SUM(I495:I498)</f>
        <v>1700000</v>
      </c>
      <c r="J499" s="83">
        <f>I499</f>
        <v>1700000</v>
      </c>
    </row>
    <row r="500" spans="1:10" x14ac:dyDescent="0.35">
      <c r="A500" s="8"/>
      <c r="B500" s="8"/>
      <c r="C500" s="8"/>
      <c r="D500" s="8"/>
      <c r="E500" s="8"/>
      <c r="F500" s="8"/>
      <c r="G500" s="8"/>
      <c r="H500" s="8"/>
      <c r="I500" s="8"/>
    </row>
    <row r="501" spans="1:10" x14ac:dyDescent="0.35">
      <c r="A501" s="9">
        <v>45219</v>
      </c>
      <c r="B501" s="10">
        <v>639</v>
      </c>
      <c r="C501" s="11" t="s">
        <v>505</v>
      </c>
      <c r="D501" s="11" t="s">
        <v>506</v>
      </c>
      <c r="E501" s="10">
        <v>21</v>
      </c>
      <c r="F501" s="10" t="s">
        <v>25</v>
      </c>
      <c r="G501" s="10" t="s">
        <v>40</v>
      </c>
      <c r="H501" s="53">
        <v>22000</v>
      </c>
      <c r="I501" s="53">
        <f>H501*E501</f>
        <v>462000</v>
      </c>
    </row>
    <row r="502" spans="1:10" x14ac:dyDescent="0.35">
      <c r="A502" s="11"/>
      <c r="B502" s="10"/>
      <c r="C502" s="11"/>
      <c r="D502" s="11"/>
      <c r="E502" s="10"/>
      <c r="F502" s="10"/>
      <c r="G502" s="10"/>
      <c r="H502" s="53"/>
      <c r="I502" s="54">
        <f>SUM(I501)</f>
        <v>462000</v>
      </c>
      <c r="J502" s="83">
        <f>I502</f>
        <v>462000</v>
      </c>
    </row>
    <row r="503" spans="1:10" x14ac:dyDescent="0.35">
      <c r="A503" s="8"/>
      <c r="B503" s="8"/>
      <c r="C503" s="8"/>
      <c r="D503" s="8"/>
      <c r="E503" s="8"/>
      <c r="F503" s="8"/>
      <c r="G503" s="8"/>
      <c r="H503" s="8"/>
      <c r="I503" s="8"/>
    </row>
    <row r="504" spans="1:10" x14ac:dyDescent="0.35">
      <c r="A504" s="9">
        <v>45218</v>
      </c>
      <c r="B504" s="10">
        <v>635</v>
      </c>
      <c r="C504" s="11" t="s">
        <v>11</v>
      </c>
      <c r="D504" s="11" t="s">
        <v>507</v>
      </c>
      <c r="E504" s="10">
        <v>50</v>
      </c>
      <c r="F504" s="10" t="s">
        <v>240</v>
      </c>
      <c r="G504" s="10" t="s">
        <v>13</v>
      </c>
      <c r="H504" s="53">
        <f>180000/50</f>
        <v>3600</v>
      </c>
      <c r="I504" s="53">
        <f t="shared" ref="I504:I512" si="22">H504*E504</f>
        <v>180000</v>
      </c>
    </row>
    <row r="505" spans="1:10" x14ac:dyDescent="0.35">
      <c r="A505" s="11"/>
      <c r="B505" s="10"/>
      <c r="C505" s="11"/>
      <c r="D505" s="11" t="s">
        <v>508</v>
      </c>
      <c r="E505" s="10">
        <f>5*30</f>
        <v>150</v>
      </c>
      <c r="F505" s="10" t="s">
        <v>52</v>
      </c>
      <c r="G505" s="10" t="s">
        <v>24</v>
      </c>
      <c r="H505" s="53">
        <f>5750002.5/750</f>
        <v>7666.67</v>
      </c>
      <c r="I505" s="53">
        <f t="shared" si="22"/>
        <v>1150000.5</v>
      </c>
    </row>
    <row r="506" spans="1:10" x14ac:dyDescent="0.35">
      <c r="A506" s="11"/>
      <c r="B506" s="10"/>
      <c r="C506" s="11"/>
      <c r="D506" s="11" t="s">
        <v>509</v>
      </c>
      <c r="E506" s="10">
        <v>500</v>
      </c>
      <c r="F506" s="10" t="s">
        <v>52</v>
      </c>
      <c r="G506" s="10" t="s">
        <v>24</v>
      </c>
      <c r="H506" s="53">
        <v>1500</v>
      </c>
      <c r="I506" s="53">
        <f t="shared" si="22"/>
        <v>750000</v>
      </c>
    </row>
    <row r="507" spans="1:10" x14ac:dyDescent="0.35">
      <c r="A507" s="11"/>
      <c r="B507" s="10"/>
      <c r="C507" s="11"/>
      <c r="D507" s="11" t="s">
        <v>510</v>
      </c>
      <c r="E507" s="10">
        <v>36</v>
      </c>
      <c r="F507" s="10" t="s">
        <v>48</v>
      </c>
      <c r="G507" s="10" t="s">
        <v>13</v>
      </c>
      <c r="H507" s="53">
        <v>24500</v>
      </c>
      <c r="I507" s="53">
        <f t="shared" si="22"/>
        <v>882000</v>
      </c>
    </row>
    <row r="508" spans="1:10" x14ac:dyDescent="0.35">
      <c r="A508" s="11"/>
      <c r="B508" s="10"/>
      <c r="C508" s="11"/>
      <c r="D508" s="11" t="s">
        <v>22</v>
      </c>
      <c r="E508" s="10">
        <v>100</v>
      </c>
      <c r="F508" s="10" t="s">
        <v>20</v>
      </c>
      <c r="G508" s="10" t="s">
        <v>13</v>
      </c>
      <c r="H508" s="53">
        <v>46000</v>
      </c>
      <c r="I508" s="53">
        <f t="shared" si="22"/>
        <v>4600000</v>
      </c>
    </row>
    <row r="509" spans="1:10" x14ac:dyDescent="0.35">
      <c r="A509" s="11"/>
      <c r="B509" s="10"/>
      <c r="C509" s="11"/>
      <c r="D509" s="11" t="s">
        <v>19</v>
      </c>
      <c r="E509" s="10">
        <v>50</v>
      </c>
      <c r="F509" s="10" t="s">
        <v>20</v>
      </c>
      <c r="G509" s="10" t="s">
        <v>13</v>
      </c>
      <c r="H509" s="53">
        <v>41000</v>
      </c>
      <c r="I509" s="53">
        <f t="shared" si="22"/>
        <v>2050000</v>
      </c>
    </row>
    <row r="510" spans="1:10" x14ac:dyDescent="0.35">
      <c r="A510" s="11"/>
      <c r="B510" s="10"/>
      <c r="C510" s="11"/>
      <c r="D510" s="11" t="s">
        <v>158</v>
      </c>
      <c r="E510" s="10">
        <v>50</v>
      </c>
      <c r="F510" s="10" t="s">
        <v>14</v>
      </c>
      <c r="G510" s="10" t="s">
        <v>13</v>
      </c>
      <c r="H510" s="53">
        <v>2900</v>
      </c>
      <c r="I510" s="53">
        <f t="shared" si="22"/>
        <v>145000</v>
      </c>
    </row>
    <row r="511" spans="1:10" x14ac:dyDescent="0.35">
      <c r="A511" s="11"/>
      <c r="B511" s="10"/>
      <c r="C511" s="11"/>
      <c r="D511" s="11" t="s">
        <v>511</v>
      </c>
      <c r="E511" s="10">
        <v>5</v>
      </c>
      <c r="F511" s="10" t="s">
        <v>14</v>
      </c>
      <c r="G511" s="10" t="s">
        <v>13</v>
      </c>
      <c r="H511" s="53">
        <v>60000</v>
      </c>
      <c r="I511" s="53">
        <f t="shared" si="22"/>
        <v>300000</v>
      </c>
    </row>
    <row r="512" spans="1:10" x14ac:dyDescent="0.35">
      <c r="A512" s="11"/>
      <c r="B512" s="10"/>
      <c r="C512" s="11"/>
      <c r="D512" s="11" t="s">
        <v>512</v>
      </c>
      <c r="E512" s="10">
        <f>5*12</f>
        <v>60</v>
      </c>
      <c r="F512" s="10" t="s">
        <v>14</v>
      </c>
      <c r="G512" s="10" t="s">
        <v>13</v>
      </c>
      <c r="H512" s="53">
        <f>87500/60</f>
        <v>1458.3333333333333</v>
      </c>
      <c r="I512" s="53">
        <f t="shared" si="22"/>
        <v>87500</v>
      </c>
    </row>
    <row r="513" spans="1:10" x14ac:dyDescent="0.35">
      <c r="A513" s="11"/>
      <c r="B513" s="10"/>
      <c r="C513" s="11"/>
      <c r="D513" s="11"/>
      <c r="E513" s="10"/>
      <c r="F513" s="10"/>
      <c r="G513" s="10"/>
      <c r="H513" s="53"/>
      <c r="I513" s="64">
        <f>SUM(I504:I512)</f>
        <v>10144500.5</v>
      </c>
      <c r="J513" s="83">
        <f>I513</f>
        <v>10144500.5</v>
      </c>
    </row>
    <row r="514" spans="1:10" x14ac:dyDescent="0.35">
      <c r="A514" s="8"/>
      <c r="B514" s="8"/>
      <c r="C514" s="8"/>
      <c r="D514" s="8"/>
      <c r="E514" s="8"/>
      <c r="F514" s="8"/>
      <c r="G514" s="8"/>
      <c r="H514" s="8"/>
      <c r="I514" s="8"/>
    </row>
    <row r="515" spans="1:10" x14ac:dyDescent="0.35">
      <c r="A515" s="9">
        <v>45210</v>
      </c>
      <c r="B515" s="10">
        <v>631</v>
      </c>
      <c r="C515" s="15" t="s">
        <v>513</v>
      </c>
      <c r="D515" s="15" t="s">
        <v>514</v>
      </c>
      <c r="E515" s="10">
        <v>5</v>
      </c>
      <c r="F515" s="10" t="s">
        <v>14</v>
      </c>
      <c r="G515" s="10" t="s">
        <v>200</v>
      </c>
      <c r="H515" s="78">
        <v>80000</v>
      </c>
      <c r="I515" s="78">
        <f>H515*E515</f>
        <v>400000</v>
      </c>
    </row>
    <row r="516" spans="1:10" x14ac:dyDescent="0.35">
      <c r="A516" s="13"/>
      <c r="B516" s="10"/>
      <c r="C516" s="15" t="s">
        <v>515</v>
      </c>
      <c r="D516" s="15" t="s">
        <v>516</v>
      </c>
      <c r="E516" s="10">
        <v>5</v>
      </c>
      <c r="F516" s="10" t="s">
        <v>21</v>
      </c>
      <c r="G516" s="10" t="s">
        <v>200</v>
      </c>
      <c r="H516" s="78">
        <v>39785</v>
      </c>
      <c r="I516" s="78">
        <f>H516*E516</f>
        <v>198925</v>
      </c>
    </row>
    <row r="517" spans="1:10" x14ac:dyDescent="0.35">
      <c r="A517" s="13"/>
      <c r="B517" s="10"/>
      <c r="C517" s="15" t="s">
        <v>515</v>
      </c>
      <c r="D517" s="47" t="s">
        <v>517</v>
      </c>
      <c r="E517" s="21">
        <f>50+168</f>
        <v>218</v>
      </c>
      <c r="F517" s="21" t="s">
        <v>14</v>
      </c>
      <c r="G517" s="21" t="s">
        <v>200</v>
      </c>
      <c r="H517" s="81"/>
      <c r="I517" s="81"/>
    </row>
    <row r="518" spans="1:10" x14ac:dyDescent="0.35">
      <c r="A518" s="13"/>
      <c r="B518" s="10"/>
      <c r="C518" s="15" t="s">
        <v>515</v>
      </c>
      <c r="D518" s="15" t="s">
        <v>518</v>
      </c>
      <c r="E518" s="10">
        <v>1</v>
      </c>
      <c r="F518" s="10" t="s">
        <v>14</v>
      </c>
      <c r="G518" s="10" t="s">
        <v>200</v>
      </c>
      <c r="H518" s="78">
        <v>800</v>
      </c>
      <c r="I518" s="78">
        <f>H518*E518</f>
        <v>800</v>
      </c>
    </row>
    <row r="519" spans="1:10" x14ac:dyDescent="0.35">
      <c r="A519" s="13"/>
      <c r="B519" s="10"/>
      <c r="C519" s="13"/>
      <c r="D519" s="15"/>
      <c r="E519" s="10"/>
      <c r="F519" s="10"/>
      <c r="G519" s="10"/>
      <c r="H519" s="78"/>
      <c r="I519" s="79">
        <f>SUM(I515:I518)</f>
        <v>599725</v>
      </c>
      <c r="J519" s="83">
        <f>I519</f>
        <v>599725</v>
      </c>
    </row>
    <row r="520" spans="1:10" x14ac:dyDescent="0.35">
      <c r="A520" s="8"/>
      <c r="B520" s="8"/>
      <c r="C520" s="8"/>
      <c r="D520" s="8"/>
      <c r="E520" s="8"/>
      <c r="F520" s="8"/>
      <c r="G520" s="8"/>
      <c r="H520" s="8"/>
      <c r="I520" s="8"/>
    </row>
    <row r="521" spans="1:10" x14ac:dyDescent="0.35">
      <c r="A521" s="9">
        <v>45217</v>
      </c>
      <c r="B521" s="10">
        <v>626</v>
      </c>
      <c r="C521" s="13"/>
      <c r="D521" s="15" t="s">
        <v>519</v>
      </c>
      <c r="E521" s="10">
        <v>54</v>
      </c>
      <c r="F521" s="10" t="s">
        <v>14</v>
      </c>
      <c r="G521" s="10" t="s">
        <v>200</v>
      </c>
      <c r="H521" s="78">
        <v>468000</v>
      </c>
      <c r="I521" s="78">
        <f>H521</f>
        <v>468000</v>
      </c>
    </row>
    <row r="522" spans="1:10" x14ac:dyDescent="0.35">
      <c r="A522" s="13"/>
      <c r="B522" s="10"/>
      <c r="C522" s="13"/>
      <c r="D522" s="15"/>
      <c r="E522" s="10"/>
      <c r="F522" s="10"/>
      <c r="G522" s="10"/>
      <c r="H522" s="78"/>
      <c r="I522" s="79">
        <f>I521</f>
        <v>468000</v>
      </c>
      <c r="J522" s="83">
        <f>I522</f>
        <v>468000</v>
      </c>
    </row>
    <row r="523" spans="1:10" x14ac:dyDescent="0.35">
      <c r="A523" s="8"/>
      <c r="B523" s="8"/>
      <c r="C523" s="8"/>
      <c r="D523" s="8"/>
      <c r="E523" s="8"/>
      <c r="F523" s="8"/>
      <c r="G523" s="8"/>
      <c r="H523" s="8"/>
      <c r="I523" s="8"/>
    </row>
    <row r="524" spans="1:10" x14ac:dyDescent="0.35">
      <c r="A524" s="9">
        <v>45212</v>
      </c>
      <c r="B524" s="10">
        <v>615</v>
      </c>
      <c r="C524" s="11" t="s">
        <v>11</v>
      </c>
      <c r="D524" s="11" t="s">
        <v>521</v>
      </c>
      <c r="E524" s="10">
        <v>144</v>
      </c>
      <c r="F524" s="10" t="s">
        <v>14</v>
      </c>
      <c r="G524" s="10" t="s">
        <v>13</v>
      </c>
      <c r="H524" s="60">
        <v>2875</v>
      </c>
      <c r="I524" s="60">
        <f>H524*E524</f>
        <v>414000</v>
      </c>
    </row>
    <row r="525" spans="1:10" x14ac:dyDescent="0.35">
      <c r="A525" s="11"/>
      <c r="B525" s="10"/>
      <c r="C525" s="11"/>
      <c r="D525" s="11" t="s">
        <v>522</v>
      </c>
      <c r="E525" s="10">
        <v>3</v>
      </c>
      <c r="F525" s="10" t="s">
        <v>14</v>
      </c>
      <c r="G525" s="10" t="s">
        <v>13</v>
      </c>
      <c r="H525" s="60">
        <v>162000</v>
      </c>
      <c r="I525" s="60">
        <f t="shared" ref="I525:I529" si="23">H525*E525</f>
        <v>486000</v>
      </c>
    </row>
    <row r="526" spans="1:10" x14ac:dyDescent="0.35">
      <c r="A526" s="11"/>
      <c r="B526" s="10"/>
      <c r="C526" s="11"/>
      <c r="D526" s="11" t="s">
        <v>523</v>
      </c>
      <c r="E526" s="10">
        <v>50</v>
      </c>
      <c r="F526" s="10" t="s">
        <v>28</v>
      </c>
      <c r="G526" s="10" t="s">
        <v>13</v>
      </c>
      <c r="H526" s="60">
        <v>6700</v>
      </c>
      <c r="I526" s="60">
        <f t="shared" si="23"/>
        <v>335000</v>
      </c>
    </row>
    <row r="527" spans="1:10" x14ac:dyDescent="0.35">
      <c r="A527" s="11"/>
      <c r="B527" s="10"/>
      <c r="C527" s="11"/>
      <c r="D527" s="11" t="s">
        <v>524</v>
      </c>
      <c r="E527" s="10">
        <v>20</v>
      </c>
      <c r="F527" s="10" t="s">
        <v>21</v>
      </c>
      <c r="G527" s="10" t="s">
        <v>13</v>
      </c>
      <c r="H527" s="60">
        <v>22000</v>
      </c>
      <c r="I527" s="60">
        <f t="shared" si="23"/>
        <v>440000</v>
      </c>
    </row>
    <row r="528" spans="1:10" x14ac:dyDescent="0.35">
      <c r="A528" s="11"/>
      <c r="B528" s="10"/>
      <c r="C528" s="11"/>
      <c r="D528" s="11" t="s">
        <v>525</v>
      </c>
      <c r="E528" s="10">
        <v>10</v>
      </c>
      <c r="F528" s="10" t="s">
        <v>20</v>
      </c>
      <c r="G528" s="10" t="s">
        <v>13</v>
      </c>
      <c r="H528" s="60">
        <v>56000</v>
      </c>
      <c r="I528" s="60">
        <f t="shared" si="23"/>
        <v>560000</v>
      </c>
    </row>
    <row r="529" spans="1:10" x14ac:dyDescent="0.35">
      <c r="A529" s="11"/>
      <c r="B529" s="10"/>
      <c r="C529" s="11"/>
      <c r="D529" s="11" t="s">
        <v>526</v>
      </c>
      <c r="E529" s="10">
        <v>24</v>
      </c>
      <c r="F529" s="10" t="s">
        <v>207</v>
      </c>
      <c r="G529" s="10" t="s">
        <v>13</v>
      </c>
      <c r="H529" s="60">
        <v>4750</v>
      </c>
      <c r="I529" s="60">
        <f t="shared" si="23"/>
        <v>114000</v>
      </c>
    </row>
    <row r="530" spans="1:10" x14ac:dyDescent="0.35">
      <c r="A530" s="11"/>
      <c r="B530" s="10"/>
      <c r="C530" s="11"/>
      <c r="D530" s="11"/>
      <c r="E530" s="10"/>
      <c r="F530" s="10"/>
      <c r="G530" s="10"/>
      <c r="H530" s="60"/>
      <c r="I530" s="64">
        <f>SUM(I524:I529)</f>
        <v>2349000</v>
      </c>
      <c r="J530" s="83">
        <f>I530</f>
        <v>2349000</v>
      </c>
    </row>
    <row r="531" spans="1:10" x14ac:dyDescent="0.35">
      <c r="A531" s="8"/>
      <c r="B531" s="8"/>
      <c r="C531" s="8"/>
      <c r="D531" s="8"/>
      <c r="E531" s="8"/>
      <c r="F531" s="8"/>
      <c r="G531" s="8"/>
      <c r="H531" s="8"/>
      <c r="I531" s="8"/>
    </row>
    <row r="532" spans="1:10" x14ac:dyDescent="0.35">
      <c r="A532" s="9">
        <v>45210</v>
      </c>
      <c r="B532" s="10">
        <v>611</v>
      </c>
      <c r="C532" s="11" t="s">
        <v>527</v>
      </c>
      <c r="D532" s="11" t="s">
        <v>528</v>
      </c>
      <c r="E532" s="10">
        <v>30</v>
      </c>
      <c r="F532" s="10" t="s">
        <v>14</v>
      </c>
      <c r="G532" s="10" t="s">
        <v>200</v>
      </c>
      <c r="H532" s="60">
        <v>48000</v>
      </c>
      <c r="I532" s="60">
        <f>H532*E532</f>
        <v>1440000</v>
      </c>
    </row>
    <row r="533" spans="1:10" x14ac:dyDescent="0.35">
      <c r="A533" s="11"/>
      <c r="B533" s="10"/>
      <c r="C533" s="11"/>
      <c r="D533" s="11" t="s">
        <v>529</v>
      </c>
      <c r="E533" s="10"/>
      <c r="F533" s="10"/>
      <c r="G533" s="10"/>
      <c r="H533" s="60"/>
      <c r="I533" s="64">
        <f>SUM(I532)</f>
        <v>1440000</v>
      </c>
      <c r="J533" s="83">
        <f>I533</f>
        <v>1440000</v>
      </c>
    </row>
    <row r="534" spans="1:10" x14ac:dyDescent="0.35">
      <c r="A534" s="8"/>
      <c r="B534" s="8"/>
      <c r="C534" s="8"/>
      <c r="D534" s="8"/>
      <c r="E534" s="8"/>
      <c r="F534" s="8"/>
      <c r="G534" s="8"/>
      <c r="H534" s="8"/>
      <c r="I534" s="8"/>
    </row>
    <row r="535" spans="1:10" x14ac:dyDescent="0.35">
      <c r="A535" s="9">
        <v>45202</v>
      </c>
      <c r="B535" s="10">
        <v>590</v>
      </c>
      <c r="C535" s="11"/>
      <c r="D535" s="11" t="s">
        <v>520</v>
      </c>
      <c r="E535" s="10">
        <v>1</v>
      </c>
      <c r="F535" s="10" t="s">
        <v>207</v>
      </c>
      <c r="G535" s="10" t="s">
        <v>200</v>
      </c>
      <c r="H535" s="53">
        <f>1000000-(1000000*25%)</f>
        <v>750000</v>
      </c>
      <c r="I535" s="53">
        <f>H535*E535</f>
        <v>750000</v>
      </c>
    </row>
    <row r="536" spans="1:10" x14ac:dyDescent="0.35">
      <c r="A536" s="11"/>
      <c r="B536" s="10"/>
      <c r="C536" s="11"/>
      <c r="D536" s="11"/>
      <c r="E536" s="10"/>
      <c r="F536" s="10"/>
      <c r="G536" s="10"/>
      <c r="H536" s="53"/>
      <c r="I536" s="54">
        <f>SUM(I534:I535)</f>
        <v>750000</v>
      </c>
      <c r="J536" s="83">
        <f>I536</f>
        <v>750000</v>
      </c>
    </row>
    <row r="537" spans="1:10" x14ac:dyDescent="0.35">
      <c r="A537" s="8"/>
      <c r="B537" s="8"/>
      <c r="C537" s="8"/>
      <c r="D537" s="8"/>
      <c r="E537" s="8"/>
      <c r="F537" s="8"/>
      <c r="G537" s="8"/>
      <c r="H537" s="8"/>
      <c r="I537" s="8"/>
    </row>
    <row r="538" spans="1:10" x14ac:dyDescent="0.35">
      <c r="A538" s="9">
        <v>45174</v>
      </c>
      <c r="B538" s="10">
        <v>503</v>
      </c>
      <c r="C538" s="11" t="s">
        <v>49</v>
      </c>
      <c r="D538" s="11" t="s">
        <v>530</v>
      </c>
      <c r="E538" s="10">
        <v>100</v>
      </c>
      <c r="F538" s="10" t="s">
        <v>14</v>
      </c>
      <c r="G538" s="10" t="s">
        <v>13</v>
      </c>
      <c r="H538" s="53">
        <f>1400000/100</f>
        <v>14000</v>
      </c>
      <c r="I538" s="53">
        <f>H538*E538</f>
        <v>1400000</v>
      </c>
    </row>
    <row r="539" spans="1:10" x14ac:dyDescent="0.35">
      <c r="A539" s="11"/>
      <c r="B539" s="10"/>
      <c r="C539" s="11"/>
      <c r="D539" s="11"/>
      <c r="E539" s="10"/>
      <c r="F539" s="10"/>
      <c r="G539" s="10"/>
      <c r="H539" s="53"/>
      <c r="I539" s="54">
        <f>SUM(I538)</f>
        <v>1400000</v>
      </c>
      <c r="J539" s="83">
        <f>I539</f>
        <v>1400000</v>
      </c>
    </row>
    <row r="540" spans="1:10" x14ac:dyDescent="0.35">
      <c r="A540" s="8"/>
      <c r="B540" s="8"/>
      <c r="C540" s="8"/>
      <c r="D540" s="8"/>
      <c r="E540" s="8"/>
      <c r="F540" s="8"/>
      <c r="G540" s="8"/>
      <c r="H540" s="8"/>
      <c r="I540" s="8"/>
    </row>
    <row r="541" spans="1:10" x14ac:dyDescent="0.35">
      <c r="A541" s="9">
        <v>45170</v>
      </c>
      <c r="B541" s="10">
        <v>493</v>
      </c>
      <c r="C541" s="11" t="s">
        <v>531</v>
      </c>
      <c r="D541" s="11" t="s">
        <v>532</v>
      </c>
      <c r="E541" s="10">
        <v>30</v>
      </c>
      <c r="F541" s="10" t="s">
        <v>14</v>
      </c>
      <c r="G541" s="10" t="s">
        <v>200</v>
      </c>
      <c r="H541" s="53">
        <v>48000</v>
      </c>
      <c r="I541" s="53">
        <f>H541*E541</f>
        <v>1440000</v>
      </c>
    </row>
    <row r="542" spans="1:10" x14ac:dyDescent="0.35">
      <c r="A542" s="11"/>
      <c r="B542" s="10"/>
      <c r="C542" s="11"/>
      <c r="D542" s="11" t="s">
        <v>533</v>
      </c>
      <c r="E542" s="10"/>
      <c r="F542" s="10"/>
      <c r="G542" s="10"/>
      <c r="H542" s="53"/>
      <c r="I542" s="54">
        <f>SUM(I541)</f>
        <v>1440000</v>
      </c>
      <c r="J542" s="83">
        <f>I542</f>
        <v>1440000</v>
      </c>
    </row>
    <row r="543" spans="1:10" x14ac:dyDescent="0.35">
      <c r="A543" s="8"/>
      <c r="B543" s="8"/>
      <c r="C543" s="8"/>
      <c r="D543" s="8"/>
      <c r="E543" s="8"/>
      <c r="F543" s="8"/>
      <c r="G543" s="8"/>
      <c r="H543" s="8"/>
      <c r="I543" s="8"/>
    </row>
    <row r="544" spans="1:10" x14ac:dyDescent="0.35">
      <c r="A544" s="9">
        <v>45154</v>
      </c>
      <c r="B544" s="10">
        <v>425</v>
      </c>
      <c r="C544" s="11" t="s">
        <v>254</v>
      </c>
      <c r="D544" s="11" t="s">
        <v>534</v>
      </c>
      <c r="E544" s="10">
        <v>48</v>
      </c>
      <c r="F544" s="10" t="s">
        <v>240</v>
      </c>
      <c r="G544" s="10" t="s">
        <v>200</v>
      </c>
      <c r="H544" s="53">
        <v>7000</v>
      </c>
      <c r="I544" s="53">
        <f>H544*E544</f>
        <v>336000</v>
      </c>
    </row>
    <row r="545" spans="1:10" x14ac:dyDescent="0.35">
      <c r="A545" s="11"/>
      <c r="B545" s="10"/>
      <c r="C545" s="11"/>
      <c r="D545" s="11" t="s">
        <v>535</v>
      </c>
      <c r="E545" s="10">
        <v>24</v>
      </c>
      <c r="F545" s="10" t="s">
        <v>240</v>
      </c>
      <c r="G545" s="10" t="s">
        <v>200</v>
      </c>
      <c r="H545" s="53">
        <v>8075.1</v>
      </c>
      <c r="I545" s="53">
        <f>H545*E545</f>
        <v>193802.40000000002</v>
      </c>
    </row>
    <row r="546" spans="1:10" x14ac:dyDescent="0.35">
      <c r="A546" s="11"/>
      <c r="B546" s="10"/>
      <c r="C546" s="11"/>
      <c r="D546" s="11"/>
      <c r="E546" s="10"/>
      <c r="F546" s="10"/>
      <c r="G546" s="10"/>
      <c r="H546" s="53"/>
      <c r="I546" s="54">
        <f>SUM(I544:I545)</f>
        <v>529802.4</v>
      </c>
      <c r="J546" s="83">
        <f>I546</f>
        <v>529802.4</v>
      </c>
    </row>
    <row r="547" spans="1:10" x14ac:dyDescent="0.35">
      <c r="A547" s="8"/>
      <c r="B547" s="8"/>
      <c r="C547" s="8"/>
      <c r="D547" s="8"/>
      <c r="E547" s="8"/>
      <c r="F547" s="8"/>
      <c r="G547" s="8"/>
      <c r="H547" s="8"/>
      <c r="I547" s="8"/>
    </row>
    <row r="548" spans="1:10" x14ac:dyDescent="0.35">
      <c r="A548" s="9">
        <v>45149</v>
      </c>
      <c r="B548" s="10">
        <v>418</v>
      </c>
      <c r="C548" s="11" t="s">
        <v>430</v>
      </c>
      <c r="D548" s="11" t="s">
        <v>536</v>
      </c>
      <c r="E548" s="10">
        <v>200</v>
      </c>
      <c r="F548" s="10" t="s">
        <v>12</v>
      </c>
      <c r="G548" s="10" t="s">
        <v>13</v>
      </c>
      <c r="H548" s="53">
        <v>2750</v>
      </c>
      <c r="I548" s="53">
        <f>H548*E548</f>
        <v>550000</v>
      </c>
    </row>
    <row r="549" spans="1:10" x14ac:dyDescent="0.35">
      <c r="A549" s="11"/>
      <c r="B549" s="10"/>
      <c r="C549" s="11"/>
      <c r="D549" s="11" t="s">
        <v>26</v>
      </c>
      <c r="E549" s="10">
        <v>200</v>
      </c>
      <c r="F549" s="10" t="s">
        <v>20</v>
      </c>
      <c r="G549" s="10" t="s">
        <v>13</v>
      </c>
      <c r="H549" s="53">
        <v>49800</v>
      </c>
      <c r="I549" s="53">
        <f>H549*E549</f>
        <v>9960000</v>
      </c>
    </row>
    <row r="550" spans="1:10" x14ac:dyDescent="0.35">
      <c r="A550" s="11"/>
      <c r="B550" s="10"/>
      <c r="C550" s="11"/>
      <c r="D550" s="11"/>
      <c r="E550" s="10"/>
      <c r="F550" s="10"/>
      <c r="G550" s="10"/>
      <c r="H550" s="53"/>
      <c r="I550" s="54">
        <f>SUM(I548:I549)</f>
        <v>10510000</v>
      </c>
      <c r="J550" s="83">
        <f>I550</f>
        <v>10510000</v>
      </c>
    </row>
    <row r="551" spans="1:10" x14ac:dyDescent="0.35">
      <c r="A551" s="8"/>
      <c r="B551" s="8"/>
      <c r="C551" s="8"/>
      <c r="D551" s="8"/>
      <c r="E551" s="8"/>
      <c r="F551" s="8"/>
      <c r="G551" s="8"/>
      <c r="H551" s="8"/>
      <c r="I551" s="8"/>
    </row>
    <row r="552" spans="1:10" x14ac:dyDescent="0.35">
      <c r="A552" s="9">
        <v>45132</v>
      </c>
      <c r="B552" s="10">
        <v>365</v>
      </c>
      <c r="C552" s="11" t="s">
        <v>11</v>
      </c>
      <c r="D552" s="11" t="s">
        <v>67</v>
      </c>
      <c r="E552" s="10">
        <v>12</v>
      </c>
      <c r="F552" s="10" t="s">
        <v>17</v>
      </c>
      <c r="G552" s="10" t="s">
        <v>13</v>
      </c>
      <c r="H552" s="53">
        <v>74750</v>
      </c>
      <c r="I552" s="78">
        <f t="shared" ref="I552:I557" si="24">H552*E552</f>
        <v>897000</v>
      </c>
    </row>
    <row r="553" spans="1:10" x14ac:dyDescent="0.35">
      <c r="A553" s="11"/>
      <c r="B553" s="10"/>
      <c r="C553" s="11"/>
      <c r="D553" s="11" t="s">
        <v>68</v>
      </c>
      <c r="E553" s="10">
        <v>6</v>
      </c>
      <c r="F553" s="10" t="s">
        <v>17</v>
      </c>
      <c r="G553" s="10" t="s">
        <v>13</v>
      </c>
      <c r="H553" s="53">
        <v>87500</v>
      </c>
      <c r="I553" s="78">
        <f t="shared" si="24"/>
        <v>525000</v>
      </c>
    </row>
    <row r="554" spans="1:10" x14ac:dyDescent="0.35">
      <c r="A554" s="11"/>
      <c r="B554" s="10"/>
      <c r="C554" s="11"/>
      <c r="D554" s="11" t="s">
        <v>465</v>
      </c>
      <c r="E554" s="10">
        <v>12</v>
      </c>
      <c r="F554" s="10" t="s">
        <v>14</v>
      </c>
      <c r="G554" s="10" t="s">
        <v>13</v>
      </c>
      <c r="H554" s="53">
        <v>13750</v>
      </c>
      <c r="I554" s="78">
        <f t="shared" si="24"/>
        <v>165000</v>
      </c>
    </row>
    <row r="555" spans="1:10" x14ac:dyDescent="0.35">
      <c r="A555" s="11"/>
      <c r="B555" s="10"/>
      <c r="C555" s="11"/>
      <c r="D555" s="11" t="s">
        <v>537</v>
      </c>
      <c r="E555" s="10">
        <v>2</v>
      </c>
      <c r="F555" s="10" t="s">
        <v>21</v>
      </c>
      <c r="G555" s="10" t="s">
        <v>13</v>
      </c>
      <c r="H555" s="53">
        <v>245000</v>
      </c>
      <c r="I555" s="78">
        <f t="shared" si="24"/>
        <v>490000</v>
      </c>
    </row>
    <row r="556" spans="1:10" x14ac:dyDescent="0.35">
      <c r="A556" s="11"/>
      <c r="B556" s="10"/>
      <c r="C556" s="11"/>
      <c r="D556" s="11" t="s">
        <v>477</v>
      </c>
      <c r="E556" s="10">
        <v>10</v>
      </c>
      <c r="F556" s="10" t="s">
        <v>28</v>
      </c>
      <c r="G556" s="10" t="s">
        <v>13</v>
      </c>
      <c r="H556" s="53">
        <v>16500</v>
      </c>
      <c r="I556" s="78">
        <f t="shared" si="24"/>
        <v>165000</v>
      </c>
    </row>
    <row r="557" spans="1:10" x14ac:dyDescent="0.35">
      <c r="A557" s="11"/>
      <c r="B557" s="10"/>
      <c r="C557" s="11"/>
      <c r="D557" s="11" t="s">
        <v>538</v>
      </c>
      <c r="E557" s="10">
        <v>3</v>
      </c>
      <c r="F557" s="10" t="s">
        <v>14</v>
      </c>
      <c r="G557" s="10" t="s">
        <v>13</v>
      </c>
      <c r="H557" s="53">
        <v>27500</v>
      </c>
      <c r="I557" s="78">
        <f t="shared" si="24"/>
        <v>82500</v>
      </c>
    </row>
    <row r="558" spans="1:10" x14ac:dyDescent="0.35">
      <c r="A558" s="11"/>
      <c r="B558" s="10"/>
      <c r="C558" s="11"/>
      <c r="D558" s="11"/>
      <c r="E558" s="10"/>
      <c r="F558" s="10"/>
      <c r="G558" s="10"/>
      <c r="H558" s="53"/>
      <c r="I558" s="79">
        <f>SUM(I552:I557)</f>
        <v>2324500</v>
      </c>
      <c r="J558" s="83">
        <f>I558</f>
        <v>2324500</v>
      </c>
    </row>
    <row r="559" spans="1:10" x14ac:dyDescent="0.35">
      <c r="A559" s="8"/>
      <c r="B559" s="8"/>
      <c r="C559" s="8"/>
      <c r="D559" s="8"/>
      <c r="E559" s="8"/>
      <c r="F559" s="8"/>
      <c r="G559" s="8"/>
      <c r="H559" s="8"/>
      <c r="I559" s="8"/>
    </row>
    <row r="560" spans="1:10" x14ac:dyDescent="0.35">
      <c r="A560" s="9">
        <v>45083</v>
      </c>
      <c r="B560" s="10">
        <v>324</v>
      </c>
      <c r="C560" s="11" t="s">
        <v>505</v>
      </c>
      <c r="D560" s="11" t="s">
        <v>539</v>
      </c>
      <c r="E560" s="10">
        <v>2</v>
      </c>
      <c r="F560" s="10" t="s">
        <v>18</v>
      </c>
      <c r="G560" s="10" t="s">
        <v>40</v>
      </c>
      <c r="H560" s="53">
        <v>31000</v>
      </c>
      <c r="I560" s="53">
        <f>H560*E560</f>
        <v>62000</v>
      </c>
    </row>
    <row r="561" spans="1:10" x14ac:dyDescent="0.35">
      <c r="A561" s="9"/>
      <c r="B561" s="10"/>
      <c r="C561" s="11"/>
      <c r="D561" s="11"/>
      <c r="E561" s="10"/>
      <c r="F561" s="10"/>
      <c r="G561" s="10"/>
      <c r="H561" s="53"/>
      <c r="I561" s="54">
        <f>SUM(I560)</f>
        <v>62000</v>
      </c>
      <c r="J561" s="83">
        <f>I561</f>
        <v>62000</v>
      </c>
    </row>
    <row r="562" spans="1:10" x14ac:dyDescent="0.35">
      <c r="A562" s="8"/>
      <c r="B562" s="8"/>
      <c r="C562" s="8"/>
      <c r="D562" s="8"/>
      <c r="E562" s="8"/>
      <c r="F562" s="8"/>
      <c r="G562" s="8"/>
      <c r="H562" s="8"/>
      <c r="I562" s="8"/>
    </row>
    <row r="563" spans="1:10" x14ac:dyDescent="0.35">
      <c r="A563" s="9">
        <v>45098</v>
      </c>
      <c r="B563" s="10">
        <v>299</v>
      </c>
      <c r="C563" s="11" t="s">
        <v>254</v>
      </c>
      <c r="D563" s="11" t="s">
        <v>256</v>
      </c>
      <c r="E563" s="10">
        <v>126</v>
      </c>
      <c r="F563" s="10" t="s">
        <v>240</v>
      </c>
      <c r="G563" s="10" t="s">
        <v>200</v>
      </c>
      <c r="H563" s="53">
        <f>102797/126</f>
        <v>815.84920634920638</v>
      </c>
      <c r="I563" s="53">
        <f>H563*E563</f>
        <v>102797</v>
      </c>
    </row>
    <row r="564" spans="1:10" x14ac:dyDescent="0.35">
      <c r="A564" s="11"/>
      <c r="B564" s="10"/>
      <c r="C564" s="11"/>
      <c r="D564" s="11" t="s">
        <v>540</v>
      </c>
      <c r="E564" s="10">
        <v>48</v>
      </c>
      <c r="F564" s="10" t="s">
        <v>240</v>
      </c>
      <c r="G564" s="10" t="s">
        <v>200</v>
      </c>
      <c r="H564" s="53">
        <f>349943/48</f>
        <v>7290.479166666667</v>
      </c>
      <c r="I564" s="53">
        <f>H564*E564</f>
        <v>349943</v>
      </c>
    </row>
    <row r="565" spans="1:10" x14ac:dyDescent="0.35">
      <c r="A565" s="11"/>
      <c r="B565" s="10"/>
      <c r="C565" s="11"/>
      <c r="D565" s="11"/>
      <c r="E565" s="10"/>
      <c r="F565" s="10"/>
      <c r="G565" s="10"/>
      <c r="H565" s="53"/>
      <c r="I565" s="54">
        <f>SUM(I563:I564)</f>
        <v>452740</v>
      </c>
      <c r="J565" s="83">
        <f>I565</f>
        <v>452740</v>
      </c>
    </row>
    <row r="566" spans="1:10" x14ac:dyDescent="0.35">
      <c r="A566" s="8"/>
      <c r="B566" s="8"/>
      <c r="C566" s="8"/>
      <c r="D566" s="8"/>
      <c r="E566" s="8"/>
      <c r="F566" s="8"/>
      <c r="G566" s="8"/>
      <c r="H566" s="8"/>
      <c r="I566" s="8"/>
    </row>
    <row r="567" spans="1:10" x14ac:dyDescent="0.35">
      <c r="A567" s="9">
        <v>45072</v>
      </c>
      <c r="B567" s="10">
        <v>233</v>
      </c>
      <c r="C567" s="11" t="s">
        <v>541</v>
      </c>
      <c r="D567" s="11" t="s">
        <v>542</v>
      </c>
      <c r="E567" s="10">
        <v>80</v>
      </c>
      <c r="F567" s="10" t="s">
        <v>21</v>
      </c>
      <c r="G567" s="82" t="s">
        <v>200</v>
      </c>
      <c r="H567" s="53">
        <f>724500/80</f>
        <v>9056.25</v>
      </c>
      <c r="I567" s="53">
        <f>H567*E567</f>
        <v>724500</v>
      </c>
    </row>
    <row r="568" spans="1:10" x14ac:dyDescent="0.35">
      <c r="A568" s="11"/>
      <c r="B568" s="10"/>
      <c r="C568" s="11"/>
      <c r="D568" s="11"/>
      <c r="E568" s="11"/>
      <c r="F568" s="11"/>
      <c r="G568" s="11"/>
      <c r="H568" s="53"/>
      <c r="I568" s="54">
        <f>SUM(I567)</f>
        <v>724500</v>
      </c>
      <c r="J568" s="83">
        <f>I568</f>
        <v>724500</v>
      </c>
    </row>
    <row r="569" spans="1:10" x14ac:dyDescent="0.35">
      <c r="J569" s="84">
        <f>SUM(J4:J568)</f>
        <v>459038057.43999994</v>
      </c>
    </row>
    <row r="572" spans="1:10" x14ac:dyDescent="0.35">
      <c r="J572" s="97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1"/>
  <sheetViews>
    <sheetView topLeftCell="A561" zoomScale="80" zoomScaleNormal="80" workbookViewId="0">
      <selection activeCell="C368" sqref="C368"/>
    </sheetView>
  </sheetViews>
  <sheetFormatPr defaultRowHeight="14.5" x14ac:dyDescent="0.35"/>
  <cols>
    <col min="1" max="1" width="10.54296875" customWidth="1"/>
    <col min="2" max="2" width="5.7265625" bestFit="1" customWidth="1"/>
    <col min="3" max="3" width="15" bestFit="1" customWidth="1"/>
    <col min="4" max="4" width="31.7265625" bestFit="1" customWidth="1"/>
    <col min="7" max="7" width="12.26953125" bestFit="1" customWidth="1"/>
    <col min="8" max="8" width="10.54296875" bestFit="1" customWidth="1"/>
    <col min="9" max="9" width="14.453125" bestFit="1" customWidth="1"/>
    <col min="10" max="10" width="4.453125" bestFit="1" customWidth="1"/>
  </cols>
  <sheetData>
    <row r="1" spans="1:10" ht="15.5" x14ac:dyDescent="0.35">
      <c r="A1" s="1" t="s">
        <v>194</v>
      </c>
      <c r="J1" s="2"/>
    </row>
    <row r="2" spans="1:10" ht="15.5" x14ac:dyDescent="0.35">
      <c r="A2" s="1" t="s">
        <v>0</v>
      </c>
      <c r="J2" s="2"/>
    </row>
    <row r="3" spans="1:10" ht="23" x14ac:dyDescent="0.35">
      <c r="A3" s="31" t="s">
        <v>1</v>
      </c>
      <c r="B3" s="32" t="s">
        <v>2</v>
      </c>
      <c r="C3" s="32" t="s">
        <v>3</v>
      </c>
      <c r="D3" s="32" t="s">
        <v>4</v>
      </c>
      <c r="E3" s="33" t="s">
        <v>5</v>
      </c>
      <c r="F3" s="33" t="s">
        <v>6</v>
      </c>
      <c r="G3" s="33" t="s">
        <v>7</v>
      </c>
      <c r="H3" s="34" t="s">
        <v>8</v>
      </c>
      <c r="I3" s="34" t="s">
        <v>9</v>
      </c>
      <c r="J3" s="34" t="s">
        <v>10</v>
      </c>
    </row>
    <row r="4" spans="1:10" x14ac:dyDescent="0.35">
      <c r="A4" s="9">
        <v>45268</v>
      </c>
      <c r="B4" s="10">
        <v>853</v>
      </c>
      <c r="C4" s="11" t="s">
        <v>198</v>
      </c>
      <c r="D4" s="11" t="s">
        <v>199</v>
      </c>
      <c r="E4" s="10">
        <v>2</v>
      </c>
      <c r="F4" s="10" t="s">
        <v>14</v>
      </c>
      <c r="G4" s="10" t="s">
        <v>200</v>
      </c>
      <c r="H4" s="53">
        <v>69000</v>
      </c>
      <c r="I4" s="53">
        <f>H4*E4</f>
        <v>138000</v>
      </c>
      <c r="J4" s="13"/>
    </row>
    <row r="5" spans="1:10" x14ac:dyDescent="0.35">
      <c r="A5" s="9"/>
      <c r="B5" s="10"/>
      <c r="C5" s="11"/>
      <c r="D5" s="11" t="s">
        <v>201</v>
      </c>
      <c r="E5" s="10">
        <v>1</v>
      </c>
      <c r="F5" s="10" t="s">
        <v>14</v>
      </c>
      <c r="G5" s="10" t="s">
        <v>200</v>
      </c>
      <c r="H5" s="53">
        <v>78000</v>
      </c>
      <c r="I5" s="53">
        <f>H5*E5</f>
        <v>78000</v>
      </c>
      <c r="J5" s="13"/>
    </row>
    <row r="6" spans="1:10" x14ac:dyDescent="0.35">
      <c r="A6" s="9"/>
      <c r="B6" s="10"/>
      <c r="C6" s="11"/>
      <c r="D6" s="11" t="s">
        <v>202</v>
      </c>
      <c r="E6" s="10">
        <v>30</v>
      </c>
      <c r="F6" s="10" t="s">
        <v>14</v>
      </c>
      <c r="G6" s="10" t="s">
        <v>200</v>
      </c>
      <c r="H6" s="53">
        <v>2218</v>
      </c>
      <c r="I6" s="53">
        <f>H6*E6</f>
        <v>66540</v>
      </c>
      <c r="J6" s="13"/>
    </row>
    <row r="7" spans="1:10" x14ac:dyDescent="0.35">
      <c r="A7" s="11"/>
      <c r="B7" s="10"/>
      <c r="C7" s="11"/>
      <c r="D7" s="11"/>
      <c r="E7" s="10"/>
      <c r="F7" s="10"/>
      <c r="G7" s="10"/>
      <c r="H7" s="53"/>
      <c r="I7" s="54">
        <f>SUM(I4:I6)</f>
        <v>282540</v>
      </c>
      <c r="J7" s="13" t="s">
        <v>197</v>
      </c>
    </row>
    <row r="8" spans="1:10" x14ac:dyDescent="0.35">
      <c r="A8" s="8"/>
      <c r="B8" s="14"/>
      <c r="C8" s="8"/>
      <c r="D8" s="8"/>
      <c r="E8" s="14"/>
      <c r="F8" s="14"/>
      <c r="G8" s="14"/>
      <c r="H8" s="8"/>
      <c r="I8" s="8"/>
      <c r="J8" s="55"/>
    </row>
    <row r="9" spans="1:10" x14ac:dyDescent="0.35">
      <c r="A9" s="9">
        <v>45261</v>
      </c>
      <c r="B9" s="10">
        <v>854</v>
      </c>
      <c r="C9" s="11" t="s">
        <v>203</v>
      </c>
      <c r="D9" s="11" t="s">
        <v>204</v>
      </c>
      <c r="E9" s="10">
        <v>20</v>
      </c>
      <c r="F9" s="10" t="s">
        <v>14</v>
      </c>
      <c r="G9" s="10" t="s">
        <v>13</v>
      </c>
      <c r="H9" s="53">
        <v>80000</v>
      </c>
      <c r="I9" s="53">
        <f>H9*E9</f>
        <v>1600000</v>
      </c>
      <c r="J9" s="13"/>
    </row>
    <row r="10" spans="1:10" x14ac:dyDescent="0.35">
      <c r="A10" s="11"/>
      <c r="B10" s="10"/>
      <c r="C10" s="11"/>
      <c r="D10" s="11" t="s">
        <v>205</v>
      </c>
      <c r="E10" s="10">
        <v>3</v>
      </c>
      <c r="F10" s="10" t="s">
        <v>14</v>
      </c>
      <c r="G10" s="10" t="s">
        <v>13</v>
      </c>
      <c r="H10" s="53">
        <f>560000-(560000*23%)</f>
        <v>431200</v>
      </c>
      <c r="I10" s="53">
        <f>H10*E10</f>
        <v>1293600</v>
      </c>
      <c r="J10" s="13"/>
    </row>
    <row r="11" spans="1:10" x14ac:dyDescent="0.35">
      <c r="A11" s="11"/>
      <c r="B11" s="10"/>
      <c r="C11" s="11"/>
      <c r="D11" s="11"/>
      <c r="E11" s="10"/>
      <c r="F11" s="10"/>
      <c r="G11" s="10"/>
      <c r="H11" s="11"/>
      <c r="I11" s="56">
        <f>SUM(I9:I10)</f>
        <v>2893600</v>
      </c>
      <c r="J11" s="13" t="s">
        <v>197</v>
      </c>
    </row>
    <row r="12" spans="1:10" x14ac:dyDescent="0.35">
      <c r="A12" s="8"/>
      <c r="B12" s="14"/>
      <c r="C12" s="8"/>
      <c r="D12" s="8"/>
      <c r="E12" s="14"/>
      <c r="F12" s="14"/>
      <c r="G12" s="14"/>
      <c r="H12" s="8"/>
      <c r="I12" s="8"/>
      <c r="J12" s="55"/>
    </row>
    <row r="13" spans="1:10" x14ac:dyDescent="0.35">
      <c r="A13" s="9">
        <v>45261</v>
      </c>
      <c r="B13" s="10">
        <v>855</v>
      </c>
      <c r="C13" s="11"/>
      <c r="D13" s="11" t="s">
        <v>206</v>
      </c>
      <c r="E13" s="10">
        <v>16</v>
      </c>
      <c r="F13" s="10" t="s">
        <v>207</v>
      </c>
      <c r="G13" s="10" t="s">
        <v>200</v>
      </c>
      <c r="H13" s="53">
        <v>750000</v>
      </c>
      <c r="I13" s="53">
        <f>H13*E13</f>
        <v>12000000</v>
      </c>
      <c r="J13" s="13"/>
    </row>
    <row r="14" spans="1:10" x14ac:dyDescent="0.35">
      <c r="A14" s="11"/>
      <c r="B14" s="10"/>
      <c r="C14" s="11"/>
      <c r="D14" s="11" t="s">
        <v>208</v>
      </c>
      <c r="E14" s="10"/>
      <c r="F14" s="10"/>
      <c r="G14" s="10"/>
      <c r="H14" s="53"/>
      <c r="I14" s="54">
        <f>SUM(I13)</f>
        <v>12000000</v>
      </c>
      <c r="J14" s="13" t="s">
        <v>197</v>
      </c>
    </row>
    <row r="15" spans="1:10" x14ac:dyDescent="0.35">
      <c r="A15" s="8"/>
      <c r="B15" s="14"/>
      <c r="C15" s="8"/>
      <c r="D15" s="8"/>
      <c r="E15" s="14"/>
      <c r="F15" s="14"/>
      <c r="G15" s="14"/>
      <c r="H15" s="8"/>
      <c r="I15" s="8"/>
      <c r="J15" s="55"/>
    </row>
    <row r="16" spans="1:10" x14ac:dyDescent="0.35">
      <c r="A16" s="9">
        <v>45261</v>
      </c>
      <c r="B16" s="10">
        <v>856</v>
      </c>
      <c r="C16" s="11"/>
      <c r="D16" s="11" t="s">
        <v>209</v>
      </c>
      <c r="E16" s="10">
        <v>1</v>
      </c>
      <c r="F16" s="10" t="s">
        <v>210</v>
      </c>
      <c r="G16" s="10" t="s">
        <v>200</v>
      </c>
      <c r="H16" s="53">
        <f>4100000-(4100000*20%)</f>
        <v>3280000</v>
      </c>
      <c r="I16" s="53">
        <f>H16*E16</f>
        <v>3280000</v>
      </c>
      <c r="J16" s="13"/>
    </row>
    <row r="17" spans="1:10" x14ac:dyDescent="0.35">
      <c r="A17" s="11"/>
      <c r="B17" s="10"/>
      <c r="C17" s="11"/>
      <c r="D17" s="11" t="s">
        <v>208</v>
      </c>
      <c r="E17" s="10"/>
      <c r="F17" s="10"/>
      <c r="G17" s="10"/>
      <c r="H17" s="53"/>
      <c r="I17" s="54">
        <f>SUM(I16)</f>
        <v>3280000</v>
      </c>
      <c r="J17" s="13" t="s">
        <v>197</v>
      </c>
    </row>
    <row r="18" spans="1:10" x14ac:dyDescent="0.35">
      <c r="A18" s="8"/>
      <c r="B18" s="14"/>
      <c r="C18" s="8"/>
      <c r="D18" s="8"/>
      <c r="E18" s="14"/>
      <c r="F18" s="14"/>
      <c r="G18" s="14"/>
      <c r="H18" s="8"/>
      <c r="I18" s="8"/>
      <c r="J18" s="55"/>
    </row>
    <row r="19" spans="1:10" x14ac:dyDescent="0.35">
      <c r="A19" s="9">
        <v>45261</v>
      </c>
      <c r="B19" s="10">
        <v>857</v>
      </c>
      <c r="C19" s="11"/>
      <c r="D19" s="11" t="s">
        <v>211</v>
      </c>
      <c r="E19" s="10">
        <v>30</v>
      </c>
      <c r="F19" s="10" t="s">
        <v>210</v>
      </c>
      <c r="G19" s="10" t="s">
        <v>200</v>
      </c>
      <c r="H19" s="53">
        <v>330000</v>
      </c>
      <c r="I19" s="53">
        <f>H19*E19</f>
        <v>9900000</v>
      </c>
      <c r="J19" s="13"/>
    </row>
    <row r="20" spans="1:10" x14ac:dyDescent="0.35">
      <c r="A20" s="8"/>
      <c r="B20" s="10"/>
      <c r="C20" s="11"/>
      <c r="D20" s="11"/>
      <c r="E20" s="10"/>
      <c r="F20" s="10"/>
      <c r="G20" s="10"/>
      <c r="H20" s="53"/>
      <c r="I20" s="54">
        <f>SUM(I19)</f>
        <v>9900000</v>
      </c>
      <c r="J20" s="13" t="s">
        <v>197</v>
      </c>
    </row>
    <row r="21" spans="1:10" x14ac:dyDescent="0.35">
      <c r="A21" s="8"/>
      <c r="B21" s="14"/>
      <c r="C21" s="8"/>
      <c r="D21" s="8"/>
      <c r="E21" s="14"/>
      <c r="F21" s="14"/>
      <c r="G21" s="14"/>
      <c r="H21" s="57"/>
      <c r="I21" s="57"/>
      <c r="J21" s="55"/>
    </row>
    <row r="22" spans="1:10" x14ac:dyDescent="0.35">
      <c r="A22" s="9">
        <v>45287</v>
      </c>
      <c r="B22" s="10">
        <v>858</v>
      </c>
      <c r="C22" s="11" t="s">
        <v>212</v>
      </c>
      <c r="D22" s="11" t="s">
        <v>213</v>
      </c>
      <c r="E22" s="19">
        <v>550</v>
      </c>
      <c r="F22" s="10" t="s">
        <v>12</v>
      </c>
      <c r="G22" s="10" t="s">
        <v>24</v>
      </c>
      <c r="H22" s="58">
        <v>85500</v>
      </c>
      <c r="I22" s="58">
        <f>H22*E22</f>
        <v>47025000</v>
      </c>
      <c r="J22" s="13"/>
    </row>
    <row r="23" spans="1:10" x14ac:dyDescent="0.35">
      <c r="A23" s="11"/>
      <c r="B23" s="10"/>
      <c r="C23" s="11"/>
      <c r="D23" s="11" t="s">
        <v>214</v>
      </c>
      <c r="E23" s="19">
        <v>450</v>
      </c>
      <c r="F23" s="10" t="s">
        <v>14</v>
      </c>
      <c r="G23" s="10" t="s">
        <v>24</v>
      </c>
      <c r="H23" s="58">
        <v>33000</v>
      </c>
      <c r="I23" s="58">
        <f>H23*E23</f>
        <v>14850000</v>
      </c>
      <c r="J23" s="13"/>
    </row>
    <row r="24" spans="1:10" x14ac:dyDescent="0.35">
      <c r="A24" s="11"/>
      <c r="B24" s="10"/>
      <c r="C24" s="11"/>
      <c r="D24" s="11" t="s">
        <v>215</v>
      </c>
      <c r="E24" s="19">
        <v>300</v>
      </c>
      <c r="F24" s="10" t="s">
        <v>14</v>
      </c>
      <c r="G24" s="10" t="s">
        <v>24</v>
      </c>
      <c r="H24" s="58">
        <v>31600</v>
      </c>
      <c r="I24" s="58">
        <f>H24*E24</f>
        <v>9480000</v>
      </c>
      <c r="J24" s="13"/>
    </row>
    <row r="25" spans="1:10" x14ac:dyDescent="0.35">
      <c r="A25" s="9"/>
      <c r="B25" s="10"/>
      <c r="C25" s="11"/>
      <c r="D25" s="11"/>
      <c r="E25" s="19"/>
      <c r="F25" s="10"/>
      <c r="G25" s="10"/>
      <c r="H25" s="58"/>
      <c r="I25" s="59">
        <f>SUM(I22:I24)</f>
        <v>71355000</v>
      </c>
      <c r="J25" s="13" t="s">
        <v>197</v>
      </c>
    </row>
    <row r="26" spans="1:10" x14ac:dyDescent="0.35">
      <c r="A26" s="11"/>
      <c r="B26" s="10"/>
      <c r="C26" s="11"/>
      <c r="D26" s="11"/>
      <c r="E26" s="10"/>
      <c r="F26" s="10"/>
      <c r="G26" s="10"/>
      <c r="H26" s="53"/>
      <c r="I26" s="54"/>
      <c r="J26" s="13"/>
    </row>
    <row r="27" spans="1:10" x14ac:dyDescent="0.35">
      <c r="A27" s="9">
        <v>45261</v>
      </c>
      <c r="B27" s="10">
        <v>859</v>
      </c>
      <c r="C27" s="11"/>
      <c r="D27" s="11" t="s">
        <v>216</v>
      </c>
      <c r="E27" s="10">
        <v>1</v>
      </c>
      <c r="F27" s="10" t="s">
        <v>207</v>
      </c>
      <c r="G27" s="10" t="s">
        <v>13</v>
      </c>
      <c r="H27" s="53">
        <f>800000-(800000*20%)</f>
        <v>640000</v>
      </c>
      <c r="I27" s="53">
        <f>H27*E27</f>
        <v>640000</v>
      </c>
      <c r="J27" s="13"/>
    </row>
    <row r="28" spans="1:10" x14ac:dyDescent="0.35">
      <c r="A28" s="9"/>
      <c r="B28" s="10"/>
      <c r="C28" s="11"/>
      <c r="D28" s="11"/>
      <c r="E28" s="10"/>
      <c r="F28" s="10"/>
      <c r="G28" s="10"/>
      <c r="H28" s="53"/>
      <c r="I28" s="54">
        <f>SUM(I27)</f>
        <v>640000</v>
      </c>
      <c r="J28" s="13" t="s">
        <v>197</v>
      </c>
    </row>
    <row r="29" spans="1:10" x14ac:dyDescent="0.35">
      <c r="A29" s="11"/>
      <c r="B29" s="10"/>
      <c r="C29" s="11"/>
      <c r="D29" s="11"/>
      <c r="E29" s="10"/>
      <c r="F29" s="10"/>
      <c r="G29" s="10"/>
      <c r="H29" s="53"/>
      <c r="I29" s="54"/>
      <c r="J29" s="13"/>
    </row>
    <row r="30" spans="1:10" x14ac:dyDescent="0.35">
      <c r="A30" s="9">
        <v>45261</v>
      </c>
      <c r="B30" s="10">
        <v>860</v>
      </c>
      <c r="C30" s="11" t="s">
        <v>217</v>
      </c>
      <c r="D30" s="11" t="s">
        <v>218</v>
      </c>
      <c r="E30" s="10">
        <v>1</v>
      </c>
      <c r="F30" s="10" t="s">
        <v>14</v>
      </c>
      <c r="G30" s="10" t="s">
        <v>219</v>
      </c>
      <c r="H30" s="53">
        <v>711000</v>
      </c>
      <c r="I30" s="53">
        <f>H30*E30</f>
        <v>711000</v>
      </c>
      <c r="J30" s="13"/>
    </row>
    <row r="31" spans="1:10" x14ac:dyDescent="0.35">
      <c r="A31" s="9"/>
      <c r="B31" s="10"/>
      <c r="C31" s="11"/>
      <c r="D31" s="11" t="s">
        <v>220</v>
      </c>
      <c r="E31" s="10">
        <v>1</v>
      </c>
      <c r="F31" s="10" t="s">
        <v>221</v>
      </c>
      <c r="G31" s="10" t="s">
        <v>219</v>
      </c>
      <c r="H31" s="53">
        <f>320000+120000+120000+195000</f>
        <v>755000</v>
      </c>
      <c r="I31" s="53">
        <f t="shared" ref="I31:I33" si="0">H31*E31</f>
        <v>755000</v>
      </c>
      <c r="J31" s="13"/>
    </row>
    <row r="32" spans="1:10" x14ac:dyDescent="0.35">
      <c r="A32" s="11"/>
      <c r="B32" s="10"/>
      <c r="C32" s="11"/>
      <c r="D32" s="11" t="s">
        <v>222</v>
      </c>
      <c r="E32" s="10">
        <v>1</v>
      </c>
      <c r="F32" s="10" t="s">
        <v>14</v>
      </c>
      <c r="G32" s="10" t="s">
        <v>219</v>
      </c>
      <c r="H32" s="53">
        <v>700000</v>
      </c>
      <c r="I32" s="53">
        <f t="shared" si="0"/>
        <v>700000</v>
      </c>
      <c r="J32" s="13"/>
    </row>
    <row r="33" spans="1:10" x14ac:dyDescent="0.35">
      <c r="A33" s="11"/>
      <c r="B33" s="10"/>
      <c r="C33" s="11"/>
      <c r="D33" s="11" t="s">
        <v>223</v>
      </c>
      <c r="E33" s="10">
        <v>1</v>
      </c>
      <c r="F33" s="10" t="s">
        <v>14</v>
      </c>
      <c r="G33" s="10" t="s">
        <v>219</v>
      </c>
      <c r="H33" s="53">
        <v>754000</v>
      </c>
      <c r="I33" s="53">
        <f t="shared" si="0"/>
        <v>754000</v>
      </c>
      <c r="J33" s="13"/>
    </row>
    <row r="34" spans="1:10" x14ac:dyDescent="0.35">
      <c r="A34" s="9"/>
      <c r="B34" s="10"/>
      <c r="C34" s="11"/>
      <c r="D34" s="11"/>
      <c r="E34" s="10"/>
      <c r="F34" s="10"/>
      <c r="G34" s="10"/>
      <c r="H34" s="53"/>
      <c r="I34" s="54">
        <f>SUM(I30:I33)</f>
        <v>2920000</v>
      </c>
      <c r="J34" s="13" t="s">
        <v>197</v>
      </c>
    </row>
    <row r="35" spans="1:10" x14ac:dyDescent="0.35">
      <c r="A35" s="11"/>
      <c r="B35" s="10"/>
      <c r="C35" s="11"/>
      <c r="D35" s="11"/>
      <c r="E35" s="10"/>
      <c r="F35" s="10"/>
      <c r="G35" s="10"/>
      <c r="H35" s="53"/>
      <c r="I35" s="54"/>
      <c r="J35" s="13"/>
    </row>
    <row r="36" spans="1:10" x14ac:dyDescent="0.35">
      <c r="A36" s="9">
        <v>45261</v>
      </c>
      <c r="B36" s="10">
        <v>861</v>
      </c>
      <c r="C36" s="11"/>
      <c r="D36" s="11" t="s">
        <v>224</v>
      </c>
      <c r="E36" s="10">
        <v>30</v>
      </c>
      <c r="F36" s="10" t="s">
        <v>14</v>
      </c>
      <c r="G36" s="10" t="s">
        <v>200</v>
      </c>
      <c r="H36" s="53">
        <v>48000</v>
      </c>
      <c r="I36" s="53">
        <f>H36*E36</f>
        <v>1440000</v>
      </c>
      <c r="J36" s="13"/>
    </row>
    <row r="37" spans="1:10" x14ac:dyDescent="0.35">
      <c r="A37" s="9"/>
      <c r="B37" s="10"/>
      <c r="C37" s="11"/>
      <c r="D37" s="11" t="s">
        <v>225</v>
      </c>
      <c r="E37" s="10"/>
      <c r="F37" s="10"/>
      <c r="G37" s="10"/>
      <c r="H37" s="53"/>
      <c r="I37" s="54">
        <f>SUM(I36)</f>
        <v>1440000</v>
      </c>
      <c r="J37" s="13" t="s">
        <v>197</v>
      </c>
    </row>
    <row r="38" spans="1:10" x14ac:dyDescent="0.35">
      <c r="A38" s="11"/>
      <c r="B38" s="10"/>
      <c r="C38" s="11"/>
      <c r="D38" s="11"/>
      <c r="E38" s="10"/>
      <c r="F38" s="10"/>
      <c r="G38" s="10"/>
      <c r="H38" s="53"/>
      <c r="I38" s="54"/>
      <c r="J38" s="13"/>
    </row>
    <row r="39" spans="1:10" x14ac:dyDescent="0.35">
      <c r="A39" s="9">
        <v>45261</v>
      </c>
      <c r="B39" s="10">
        <v>862</v>
      </c>
      <c r="C39" s="11"/>
      <c r="D39" s="11" t="s">
        <v>224</v>
      </c>
      <c r="E39" s="10">
        <v>30</v>
      </c>
      <c r="F39" s="10" t="s">
        <v>14</v>
      </c>
      <c r="G39" s="10" t="s">
        <v>200</v>
      </c>
      <c r="H39" s="53">
        <v>48000</v>
      </c>
      <c r="I39" s="53">
        <f>H39*E39</f>
        <v>1440000</v>
      </c>
      <c r="J39" s="13"/>
    </row>
    <row r="40" spans="1:10" x14ac:dyDescent="0.35">
      <c r="A40" s="9"/>
      <c r="B40" s="10"/>
      <c r="C40" s="11"/>
      <c r="D40" s="11" t="s">
        <v>226</v>
      </c>
      <c r="E40" s="10"/>
      <c r="F40" s="10"/>
      <c r="G40" s="10"/>
      <c r="H40" s="53"/>
      <c r="I40" s="54">
        <f>SUM(I39)</f>
        <v>1440000</v>
      </c>
      <c r="J40" s="13" t="s">
        <v>197</v>
      </c>
    </row>
    <row r="41" spans="1:10" x14ac:dyDescent="0.35">
      <c r="A41" s="8"/>
      <c r="B41" s="14"/>
      <c r="C41" s="8"/>
      <c r="D41" s="8"/>
      <c r="E41" s="14"/>
      <c r="F41" s="14"/>
      <c r="G41" s="14"/>
      <c r="H41" s="8"/>
      <c r="I41" s="8"/>
      <c r="J41" s="55"/>
    </row>
    <row r="42" spans="1:10" x14ac:dyDescent="0.35">
      <c r="A42" s="9">
        <v>45261</v>
      </c>
      <c r="B42" s="10">
        <v>863</v>
      </c>
      <c r="C42" s="11"/>
      <c r="D42" s="11" t="s">
        <v>224</v>
      </c>
      <c r="E42" s="10">
        <f>12+18</f>
        <v>30</v>
      </c>
      <c r="F42" s="10" t="s">
        <v>14</v>
      </c>
      <c r="G42" s="10" t="s">
        <v>200</v>
      </c>
      <c r="H42" s="53">
        <v>48000</v>
      </c>
      <c r="I42" s="53">
        <f>H42*E42</f>
        <v>1440000</v>
      </c>
      <c r="J42" s="13"/>
    </row>
    <row r="43" spans="1:10" x14ac:dyDescent="0.35">
      <c r="A43" s="9"/>
      <c r="B43" s="10"/>
      <c r="C43" s="11"/>
      <c r="D43" s="11" t="s">
        <v>227</v>
      </c>
      <c r="E43" s="10"/>
      <c r="F43" s="10"/>
      <c r="G43" s="10"/>
      <c r="H43" s="53"/>
      <c r="I43" s="54">
        <f>SUM(I42)</f>
        <v>1440000</v>
      </c>
      <c r="J43" s="13" t="s">
        <v>197</v>
      </c>
    </row>
    <row r="44" spans="1:10" x14ac:dyDescent="0.35">
      <c r="A44" s="8"/>
      <c r="B44" s="14"/>
      <c r="C44" s="8"/>
      <c r="D44" s="8"/>
      <c r="E44" s="14"/>
      <c r="F44" s="14"/>
      <c r="G44" s="14"/>
      <c r="H44" s="8"/>
      <c r="I44" s="8"/>
      <c r="J44" s="55"/>
    </row>
    <row r="45" spans="1:10" x14ac:dyDescent="0.35">
      <c r="A45" s="9">
        <v>45261</v>
      </c>
      <c r="B45" s="10">
        <v>864</v>
      </c>
      <c r="C45" s="11"/>
      <c r="D45" s="11" t="s">
        <v>228</v>
      </c>
      <c r="E45" s="10">
        <v>9</v>
      </c>
      <c r="F45" s="10" t="s">
        <v>14</v>
      </c>
      <c r="G45" s="10" t="s">
        <v>200</v>
      </c>
      <c r="H45" s="53">
        <v>225000</v>
      </c>
      <c r="I45" s="53">
        <f>H45*E45</f>
        <v>2025000</v>
      </c>
      <c r="J45" s="13"/>
    </row>
    <row r="46" spans="1:10" x14ac:dyDescent="0.35">
      <c r="A46" s="9"/>
      <c r="B46" s="10"/>
      <c r="C46" s="11"/>
      <c r="D46" s="11" t="s">
        <v>227</v>
      </c>
      <c r="E46" s="10"/>
      <c r="F46" s="10"/>
      <c r="G46" s="10"/>
      <c r="H46" s="53"/>
      <c r="I46" s="54">
        <f>SUM(I45)</f>
        <v>2025000</v>
      </c>
      <c r="J46" s="13" t="s">
        <v>197</v>
      </c>
    </row>
    <row r="47" spans="1:10" x14ac:dyDescent="0.35">
      <c r="A47" s="8"/>
      <c r="B47" s="14"/>
      <c r="C47" s="8"/>
      <c r="D47" s="8"/>
      <c r="E47" s="14"/>
      <c r="F47" s="14"/>
      <c r="G47" s="14"/>
      <c r="H47" s="8"/>
      <c r="I47" s="8"/>
      <c r="J47" s="55"/>
    </row>
    <row r="48" spans="1:10" x14ac:dyDescent="0.35">
      <c r="A48" s="9">
        <v>45261</v>
      </c>
      <c r="B48" s="10">
        <v>865</v>
      </c>
      <c r="C48" s="11"/>
      <c r="D48" s="11" t="s">
        <v>196</v>
      </c>
      <c r="E48" s="10">
        <v>5</v>
      </c>
      <c r="F48" s="10" t="s">
        <v>14</v>
      </c>
      <c r="G48" s="10" t="s">
        <v>13</v>
      </c>
      <c r="H48" s="53">
        <v>150000</v>
      </c>
      <c r="I48" s="53">
        <f>H48*E48</f>
        <v>750000</v>
      </c>
      <c r="J48" s="13"/>
    </row>
    <row r="49" spans="1:10" x14ac:dyDescent="0.35">
      <c r="A49" s="11"/>
      <c r="B49" s="10"/>
      <c r="C49" s="11"/>
      <c r="D49" s="11"/>
      <c r="E49" s="10"/>
      <c r="F49" s="10"/>
      <c r="G49" s="10"/>
      <c r="H49" s="53"/>
      <c r="I49" s="54">
        <f>SUM(I48)</f>
        <v>750000</v>
      </c>
      <c r="J49" s="13" t="s">
        <v>197</v>
      </c>
    </row>
    <row r="50" spans="1:10" x14ac:dyDescent="0.35">
      <c r="A50" s="17"/>
      <c r="B50" s="16"/>
      <c r="C50" s="17"/>
      <c r="D50" s="17"/>
      <c r="E50" s="16"/>
      <c r="F50" s="16"/>
      <c r="G50" s="16"/>
      <c r="H50" s="27"/>
      <c r="I50" s="27"/>
      <c r="J50" s="13"/>
    </row>
    <row r="51" spans="1:10" x14ac:dyDescent="0.35">
      <c r="A51" s="9">
        <v>45288</v>
      </c>
      <c r="B51" s="10">
        <v>852</v>
      </c>
      <c r="C51" s="11" t="s">
        <v>11</v>
      </c>
      <c r="D51" s="11" t="s">
        <v>229</v>
      </c>
      <c r="E51" s="10">
        <v>144</v>
      </c>
      <c r="F51" s="10" t="s">
        <v>207</v>
      </c>
      <c r="G51" s="10" t="s">
        <v>13</v>
      </c>
      <c r="H51" s="53">
        <v>13000</v>
      </c>
      <c r="I51" s="53">
        <f>H51*E51</f>
        <v>1872000</v>
      </c>
      <c r="J51" s="13"/>
    </row>
    <row r="52" spans="1:10" x14ac:dyDescent="0.35">
      <c r="A52" s="9"/>
      <c r="B52" s="10"/>
      <c r="C52" s="11"/>
      <c r="D52" s="11" t="s">
        <v>230</v>
      </c>
      <c r="E52" s="10">
        <v>20</v>
      </c>
      <c r="F52" s="10" t="s">
        <v>14</v>
      </c>
      <c r="G52" s="10" t="s">
        <v>13</v>
      </c>
      <c r="H52" s="53">
        <v>57500</v>
      </c>
      <c r="I52" s="53">
        <f t="shared" ref="I52:I57" si="1">H52*E52</f>
        <v>1150000</v>
      </c>
      <c r="J52" s="13"/>
    </row>
    <row r="53" spans="1:10" x14ac:dyDescent="0.35">
      <c r="A53" s="9"/>
      <c r="B53" s="10"/>
      <c r="C53" s="11"/>
      <c r="D53" s="11" t="s">
        <v>145</v>
      </c>
      <c r="E53" s="10">
        <v>50</v>
      </c>
      <c r="F53" s="10" t="s">
        <v>12</v>
      </c>
      <c r="G53" s="10" t="s">
        <v>13</v>
      </c>
      <c r="H53" s="53">
        <v>10000</v>
      </c>
      <c r="I53" s="53">
        <f t="shared" si="1"/>
        <v>500000</v>
      </c>
      <c r="J53" s="13"/>
    </row>
    <row r="54" spans="1:10" x14ac:dyDescent="0.35">
      <c r="A54" s="9"/>
      <c r="B54" s="10"/>
      <c r="C54" s="11"/>
      <c r="D54" s="11" t="s">
        <v>231</v>
      </c>
      <c r="E54" s="10">
        <v>100</v>
      </c>
      <c r="F54" s="10" t="s">
        <v>21</v>
      </c>
      <c r="G54" s="10" t="s">
        <v>13</v>
      </c>
      <c r="H54" s="53">
        <v>19500</v>
      </c>
      <c r="I54" s="53">
        <f t="shared" si="1"/>
        <v>1950000</v>
      </c>
      <c r="J54" s="13"/>
    </row>
    <row r="55" spans="1:10" x14ac:dyDescent="0.35">
      <c r="A55" s="9"/>
      <c r="B55" s="10"/>
      <c r="C55" s="11"/>
      <c r="D55" s="11" t="s">
        <v>232</v>
      </c>
      <c r="E55" s="10">
        <v>10</v>
      </c>
      <c r="F55" s="10" t="s">
        <v>20</v>
      </c>
      <c r="G55" s="10" t="s">
        <v>13</v>
      </c>
      <c r="H55" s="53">
        <v>56000</v>
      </c>
      <c r="I55" s="53">
        <f t="shared" si="1"/>
        <v>560000</v>
      </c>
      <c r="J55" s="13"/>
    </row>
    <row r="56" spans="1:10" x14ac:dyDescent="0.35">
      <c r="A56" s="9"/>
      <c r="B56" s="10"/>
      <c r="C56" s="11"/>
      <c r="D56" s="11" t="s">
        <v>233</v>
      </c>
      <c r="E56" s="10">
        <v>5</v>
      </c>
      <c r="F56" s="10" t="s">
        <v>21</v>
      </c>
      <c r="G56" s="10" t="s">
        <v>13</v>
      </c>
      <c r="H56" s="53">
        <f>150000/5</f>
        <v>30000</v>
      </c>
      <c r="I56" s="53">
        <f t="shared" si="1"/>
        <v>150000</v>
      </c>
      <c r="J56" s="13"/>
    </row>
    <row r="57" spans="1:10" x14ac:dyDescent="0.35">
      <c r="A57" s="9"/>
      <c r="B57" s="10"/>
      <c r="C57" s="11"/>
      <c r="D57" s="11" t="s">
        <v>234</v>
      </c>
      <c r="E57" s="10">
        <v>10</v>
      </c>
      <c r="F57" s="10" t="s">
        <v>28</v>
      </c>
      <c r="G57" s="10" t="s">
        <v>13</v>
      </c>
      <c r="H57" s="53">
        <v>9500</v>
      </c>
      <c r="I57" s="53">
        <f t="shared" si="1"/>
        <v>95000</v>
      </c>
      <c r="J57" s="13"/>
    </row>
    <row r="58" spans="1:10" x14ac:dyDescent="0.35">
      <c r="A58" s="9"/>
      <c r="B58" s="10"/>
      <c r="C58" s="11"/>
      <c r="D58" s="11" t="s">
        <v>235</v>
      </c>
      <c r="E58" s="10"/>
      <c r="F58" s="10"/>
      <c r="G58" s="10"/>
      <c r="H58" s="53"/>
      <c r="I58" s="54">
        <f>SUM(I51:I57)</f>
        <v>6277000</v>
      </c>
      <c r="J58" s="13" t="s">
        <v>197</v>
      </c>
    </row>
    <row r="59" spans="1:10" x14ac:dyDescent="0.35">
      <c r="A59" s="17"/>
      <c r="B59" s="16"/>
      <c r="C59" s="17"/>
      <c r="D59" s="17"/>
      <c r="E59" s="16"/>
      <c r="F59" s="16"/>
      <c r="G59" s="16"/>
      <c r="H59" s="27"/>
      <c r="I59" s="30"/>
      <c r="J59" s="13"/>
    </row>
    <row r="60" spans="1:10" x14ac:dyDescent="0.35">
      <c r="A60" s="9">
        <v>45287</v>
      </c>
      <c r="B60" s="10">
        <v>842</v>
      </c>
      <c r="C60" s="11" t="s">
        <v>11</v>
      </c>
      <c r="D60" s="11" t="s">
        <v>236</v>
      </c>
      <c r="E60" s="10">
        <v>20</v>
      </c>
      <c r="F60" s="10" t="s">
        <v>21</v>
      </c>
      <c r="G60" s="10" t="s">
        <v>24</v>
      </c>
      <c r="H60" s="53">
        <v>30000</v>
      </c>
      <c r="I60" s="53">
        <f>H60*E60</f>
        <v>600000</v>
      </c>
      <c r="J60" s="13"/>
    </row>
    <row r="61" spans="1:10" x14ac:dyDescent="0.35">
      <c r="A61" s="11"/>
      <c r="B61" s="10"/>
      <c r="C61" s="11"/>
      <c r="D61" s="11" t="s">
        <v>27</v>
      </c>
      <c r="E61" s="10">
        <v>20</v>
      </c>
      <c r="F61" s="10" t="s">
        <v>20</v>
      </c>
      <c r="G61" s="10" t="s">
        <v>24</v>
      </c>
      <c r="H61" s="53">
        <v>55000</v>
      </c>
      <c r="I61" s="53">
        <f>H61*E61</f>
        <v>1100000</v>
      </c>
      <c r="J61" s="13"/>
    </row>
    <row r="62" spans="1:10" x14ac:dyDescent="0.35">
      <c r="A62" s="9"/>
      <c r="B62" s="10"/>
      <c r="C62" s="11"/>
      <c r="D62" s="11" t="s">
        <v>237</v>
      </c>
      <c r="E62" s="10">
        <v>20</v>
      </c>
      <c r="F62" s="10" t="s">
        <v>20</v>
      </c>
      <c r="G62" s="10" t="s">
        <v>24</v>
      </c>
      <c r="H62" s="53">
        <v>54500</v>
      </c>
      <c r="I62" s="53">
        <f>H62*E62</f>
        <v>1090000</v>
      </c>
      <c r="J62" s="13"/>
    </row>
    <row r="63" spans="1:10" x14ac:dyDescent="0.35">
      <c r="A63" s="11"/>
      <c r="B63" s="10"/>
      <c r="C63" s="11"/>
      <c r="D63" s="11"/>
      <c r="E63" s="10"/>
      <c r="F63" s="10"/>
      <c r="G63" s="10"/>
      <c r="H63" s="53"/>
      <c r="I63" s="54">
        <f>SUM(I60:I62)</f>
        <v>2790000</v>
      </c>
      <c r="J63" s="13" t="s">
        <v>197</v>
      </c>
    </row>
    <row r="64" spans="1:10" x14ac:dyDescent="0.35">
      <c r="A64" s="11"/>
      <c r="B64" s="10"/>
      <c r="C64" s="11"/>
      <c r="D64" s="11"/>
      <c r="E64" s="10"/>
      <c r="F64" s="10"/>
      <c r="G64" s="10"/>
      <c r="H64" s="18"/>
      <c r="I64" s="18"/>
      <c r="J64" s="13"/>
    </row>
    <row r="65" spans="1:13" x14ac:dyDescent="0.35">
      <c r="A65" s="9">
        <v>45282</v>
      </c>
      <c r="B65" s="10">
        <v>840</v>
      </c>
      <c r="C65" s="11" t="s">
        <v>238</v>
      </c>
      <c r="D65" s="11" t="s">
        <v>239</v>
      </c>
      <c r="E65" s="10">
        <v>3</v>
      </c>
      <c r="F65" s="10" t="s">
        <v>240</v>
      </c>
      <c r="G65" s="10" t="s">
        <v>200</v>
      </c>
      <c r="H65" s="53">
        <v>15000</v>
      </c>
      <c r="I65" s="53">
        <f t="shared" ref="I65:I72" si="2">H65*E65</f>
        <v>45000</v>
      </c>
      <c r="J65" s="13"/>
    </row>
    <row r="66" spans="1:13" x14ac:dyDescent="0.35">
      <c r="A66" s="11"/>
      <c r="B66" s="10"/>
      <c r="C66" s="11"/>
      <c r="D66" s="11" t="s">
        <v>241</v>
      </c>
      <c r="E66" s="10">
        <v>3</v>
      </c>
      <c r="F66" s="10" t="s">
        <v>240</v>
      </c>
      <c r="G66" s="10" t="s">
        <v>200</v>
      </c>
      <c r="H66" s="53">
        <v>15000</v>
      </c>
      <c r="I66" s="53">
        <f t="shared" si="2"/>
        <v>45000</v>
      </c>
      <c r="J66" s="13"/>
    </row>
    <row r="67" spans="1:13" x14ac:dyDescent="0.35">
      <c r="A67" s="11"/>
      <c r="B67" s="10"/>
      <c r="C67" s="11"/>
      <c r="D67" s="11" t="s">
        <v>242</v>
      </c>
      <c r="E67" s="10">
        <v>3</v>
      </c>
      <c r="F67" s="10" t="s">
        <v>240</v>
      </c>
      <c r="G67" s="10" t="s">
        <v>200</v>
      </c>
      <c r="H67" s="53">
        <v>15000</v>
      </c>
      <c r="I67" s="53">
        <f t="shared" si="2"/>
        <v>45000</v>
      </c>
      <c r="J67" s="13"/>
    </row>
    <row r="68" spans="1:13" x14ac:dyDescent="0.35">
      <c r="A68" s="11"/>
      <c r="B68" s="10"/>
      <c r="C68" s="11"/>
      <c r="D68" s="11" t="s">
        <v>243</v>
      </c>
      <c r="E68" s="10">
        <v>3</v>
      </c>
      <c r="F68" s="10" t="s">
        <v>240</v>
      </c>
      <c r="G68" s="10" t="s">
        <v>200</v>
      </c>
      <c r="H68" s="53">
        <v>15034.7</v>
      </c>
      <c r="I68" s="53">
        <f t="shared" si="2"/>
        <v>45104.100000000006</v>
      </c>
      <c r="J68" s="13"/>
    </row>
    <row r="69" spans="1:13" x14ac:dyDescent="0.35">
      <c r="A69" s="11"/>
      <c r="B69" s="10"/>
      <c r="C69" s="11"/>
      <c r="D69" s="11" t="s">
        <v>244</v>
      </c>
      <c r="E69" s="10">
        <v>18</v>
      </c>
      <c r="F69" s="10" t="s">
        <v>240</v>
      </c>
      <c r="G69" s="10" t="s">
        <v>200</v>
      </c>
      <c r="H69" s="53">
        <v>8650</v>
      </c>
      <c r="I69" s="53">
        <f t="shared" si="2"/>
        <v>155700</v>
      </c>
      <c r="J69" s="13"/>
    </row>
    <row r="70" spans="1:13" x14ac:dyDescent="0.35">
      <c r="A70" s="11"/>
      <c r="B70" s="10"/>
      <c r="C70" s="11"/>
      <c r="D70" s="11" t="s">
        <v>245</v>
      </c>
      <c r="E70" s="10">
        <v>18</v>
      </c>
      <c r="F70" s="10" t="s">
        <v>240</v>
      </c>
      <c r="G70" s="10" t="s">
        <v>200</v>
      </c>
      <c r="H70" s="53">
        <v>8650</v>
      </c>
      <c r="I70" s="53">
        <f t="shared" si="2"/>
        <v>155700</v>
      </c>
      <c r="J70" s="13"/>
    </row>
    <row r="71" spans="1:13" x14ac:dyDescent="0.35">
      <c r="A71" s="11"/>
      <c r="B71" s="10"/>
      <c r="C71" s="11"/>
      <c r="D71" s="11" t="s">
        <v>246</v>
      </c>
      <c r="E71" s="10">
        <v>18</v>
      </c>
      <c r="F71" s="10" t="s">
        <v>240</v>
      </c>
      <c r="G71" s="10" t="s">
        <v>200</v>
      </c>
      <c r="H71" s="53">
        <v>8600</v>
      </c>
      <c r="I71" s="53">
        <f t="shared" si="2"/>
        <v>154800</v>
      </c>
      <c r="J71" s="13"/>
    </row>
    <row r="72" spans="1:13" x14ac:dyDescent="0.35">
      <c r="A72" s="11"/>
      <c r="B72" s="10"/>
      <c r="C72" s="11"/>
      <c r="D72" s="11" t="s">
        <v>247</v>
      </c>
      <c r="E72" s="10">
        <v>18</v>
      </c>
      <c r="F72" s="10" t="s">
        <v>240</v>
      </c>
      <c r="G72" s="10" t="s">
        <v>200</v>
      </c>
      <c r="H72" s="53">
        <v>8600</v>
      </c>
      <c r="I72" s="53">
        <f t="shared" si="2"/>
        <v>154800</v>
      </c>
      <c r="J72" s="13"/>
      <c r="L72" s="149"/>
      <c r="M72" s="150"/>
    </row>
    <row r="73" spans="1:13" x14ac:dyDescent="0.35">
      <c r="A73" s="9"/>
      <c r="B73" s="10"/>
      <c r="C73" s="11"/>
      <c r="D73" s="11"/>
      <c r="E73" s="10"/>
      <c r="F73" s="10"/>
      <c r="G73" s="10"/>
      <c r="H73" s="53"/>
      <c r="I73" s="54">
        <f>SUM(I65:I72)</f>
        <v>801104.1</v>
      </c>
      <c r="J73" s="13" t="s">
        <v>197</v>
      </c>
      <c r="L73" s="149"/>
      <c r="M73" s="150"/>
    </row>
    <row r="74" spans="1:13" x14ac:dyDescent="0.35">
      <c r="A74" s="9"/>
      <c r="B74" s="10"/>
      <c r="C74" s="11"/>
      <c r="D74" s="11"/>
      <c r="E74" s="10"/>
      <c r="F74" s="10"/>
      <c r="G74" s="10"/>
      <c r="H74" s="18"/>
      <c r="I74" s="18"/>
      <c r="J74" s="8"/>
      <c r="L74" s="149"/>
      <c r="M74" s="150"/>
    </row>
    <row r="75" spans="1:13" x14ac:dyDescent="0.35">
      <c r="A75" s="9">
        <v>45282</v>
      </c>
      <c r="B75" s="10">
        <v>839</v>
      </c>
      <c r="C75" s="11" t="s">
        <v>11</v>
      </c>
      <c r="D75" s="11" t="s">
        <v>73</v>
      </c>
      <c r="E75" s="10">
        <v>2</v>
      </c>
      <c r="F75" s="10" t="s">
        <v>14</v>
      </c>
      <c r="G75" s="10" t="s">
        <v>13</v>
      </c>
      <c r="H75" s="53">
        <v>94000</v>
      </c>
      <c r="I75" s="53">
        <f>H75*E75</f>
        <v>188000</v>
      </c>
      <c r="J75" s="13"/>
    </row>
    <row r="76" spans="1:13" x14ac:dyDescent="0.35">
      <c r="A76" s="9"/>
      <c r="B76" s="10"/>
      <c r="C76" s="11"/>
      <c r="D76" s="11" t="s">
        <v>248</v>
      </c>
      <c r="E76" s="10">
        <v>2</v>
      </c>
      <c r="F76" s="10" t="s">
        <v>14</v>
      </c>
      <c r="G76" s="10" t="s">
        <v>13</v>
      </c>
      <c r="H76" s="53">
        <v>94000</v>
      </c>
      <c r="I76" s="53">
        <f t="shared" ref="I76:I78" si="3">H76*E76</f>
        <v>188000</v>
      </c>
      <c r="J76" s="13"/>
    </row>
    <row r="77" spans="1:13" x14ac:dyDescent="0.35">
      <c r="A77" s="11"/>
      <c r="B77" s="10"/>
      <c r="C77" s="11"/>
      <c r="D77" s="11" t="s">
        <v>249</v>
      </c>
      <c r="E77" s="10">
        <v>30</v>
      </c>
      <c r="F77" s="10" t="s">
        <v>28</v>
      </c>
      <c r="G77" s="10" t="s">
        <v>13</v>
      </c>
      <c r="H77" s="53">
        <v>2500</v>
      </c>
      <c r="I77" s="53">
        <f t="shared" si="3"/>
        <v>75000</v>
      </c>
      <c r="J77" s="13"/>
    </row>
    <row r="78" spans="1:13" x14ac:dyDescent="0.35">
      <c r="A78" s="11"/>
      <c r="B78" s="10"/>
      <c r="C78" s="11"/>
      <c r="D78" s="11" t="s">
        <v>250</v>
      </c>
      <c r="E78" s="10">
        <v>20</v>
      </c>
      <c r="F78" s="10" t="s">
        <v>52</v>
      </c>
      <c r="G78" s="10" t="s">
        <v>24</v>
      </c>
      <c r="H78" s="53">
        <v>4500</v>
      </c>
      <c r="I78" s="53">
        <f t="shared" si="3"/>
        <v>90000</v>
      </c>
      <c r="J78" s="13"/>
    </row>
    <row r="79" spans="1:13" x14ac:dyDescent="0.35">
      <c r="A79" s="11"/>
      <c r="B79" s="10"/>
      <c r="C79" s="11"/>
      <c r="D79" s="11"/>
      <c r="E79" s="10"/>
      <c r="F79" s="10"/>
      <c r="G79" s="10"/>
      <c r="H79" s="53"/>
      <c r="I79" s="54">
        <f>SUM(I75:I78)</f>
        <v>541000</v>
      </c>
      <c r="J79" s="13" t="s">
        <v>197</v>
      </c>
    </row>
    <row r="80" spans="1:13" x14ac:dyDescent="0.35">
      <c r="A80" s="9"/>
      <c r="B80" s="10"/>
      <c r="C80" s="15"/>
      <c r="D80" s="11"/>
      <c r="E80" s="10"/>
      <c r="F80" s="10"/>
      <c r="G80" s="10"/>
      <c r="H80" s="18"/>
      <c r="I80" s="18"/>
      <c r="J80" s="8"/>
    </row>
    <row r="81" spans="1:10" x14ac:dyDescent="0.35">
      <c r="A81" s="9">
        <v>45281</v>
      </c>
      <c r="B81" s="10">
        <v>838</v>
      </c>
      <c r="C81" s="11" t="s">
        <v>56</v>
      </c>
      <c r="D81" s="11" t="s">
        <v>251</v>
      </c>
      <c r="E81" s="10">
        <v>50</v>
      </c>
      <c r="F81" s="10" t="s">
        <v>20</v>
      </c>
      <c r="G81" s="10" t="s">
        <v>13</v>
      </c>
      <c r="H81" s="53">
        <v>43500</v>
      </c>
      <c r="I81" s="53">
        <f>H81*E81</f>
        <v>2175000</v>
      </c>
      <c r="J81" s="13"/>
    </row>
    <row r="82" spans="1:10" x14ac:dyDescent="0.35">
      <c r="A82" s="8"/>
      <c r="B82" s="10"/>
      <c r="C82" s="8"/>
      <c r="D82" s="11" t="s">
        <v>252</v>
      </c>
      <c r="E82" s="10">
        <v>100</v>
      </c>
      <c r="F82" s="10" t="s">
        <v>20</v>
      </c>
      <c r="G82" s="10" t="s">
        <v>13</v>
      </c>
      <c r="H82" s="53">
        <v>38200</v>
      </c>
      <c r="I82" s="53">
        <f>H82*E82</f>
        <v>3820000</v>
      </c>
      <c r="J82" s="13"/>
    </row>
    <row r="83" spans="1:10" x14ac:dyDescent="0.35">
      <c r="A83" s="8"/>
      <c r="B83" s="10"/>
      <c r="C83" s="8"/>
      <c r="D83" s="11"/>
      <c r="E83" s="10"/>
      <c r="F83" s="10"/>
      <c r="G83" s="10"/>
      <c r="H83" s="53"/>
      <c r="I83" s="54">
        <f>SUM(I81:I82)</f>
        <v>5995000</v>
      </c>
      <c r="J83" s="13" t="s">
        <v>197</v>
      </c>
    </row>
    <row r="84" spans="1:10" x14ac:dyDescent="0.35">
      <c r="A84" s="9"/>
      <c r="B84" s="10"/>
      <c r="C84" s="11"/>
      <c r="D84" s="11"/>
      <c r="E84" s="10"/>
      <c r="F84" s="10"/>
      <c r="G84" s="10"/>
      <c r="H84" s="18"/>
      <c r="I84" s="18"/>
      <c r="J84" s="8"/>
    </row>
    <row r="85" spans="1:10" x14ac:dyDescent="0.35">
      <c r="A85" s="9">
        <v>45280</v>
      </c>
      <c r="B85" s="10">
        <v>835</v>
      </c>
      <c r="C85" s="11" t="s">
        <v>56</v>
      </c>
      <c r="D85" s="11" t="s">
        <v>251</v>
      </c>
      <c r="E85" s="10">
        <v>100</v>
      </c>
      <c r="F85" s="10" t="s">
        <v>20</v>
      </c>
      <c r="G85" s="10" t="s">
        <v>13</v>
      </c>
      <c r="H85" s="53">
        <v>43200</v>
      </c>
      <c r="I85" s="53">
        <f>H85*E85</f>
        <v>4320000</v>
      </c>
      <c r="J85" s="13"/>
    </row>
    <row r="86" spans="1:10" x14ac:dyDescent="0.35">
      <c r="A86" s="11"/>
      <c r="B86" s="10"/>
      <c r="C86" s="11"/>
      <c r="D86" s="11" t="s">
        <v>252</v>
      </c>
      <c r="E86" s="10">
        <v>150</v>
      </c>
      <c r="F86" s="10" t="s">
        <v>20</v>
      </c>
      <c r="G86" s="10" t="s">
        <v>13</v>
      </c>
      <c r="H86" s="53">
        <v>38200</v>
      </c>
      <c r="I86" s="53">
        <f>H86*E86</f>
        <v>5730000</v>
      </c>
      <c r="J86" s="13"/>
    </row>
    <row r="87" spans="1:10" x14ac:dyDescent="0.35">
      <c r="A87" s="11"/>
      <c r="B87" s="10"/>
      <c r="C87" s="11"/>
      <c r="D87" s="11" t="s">
        <v>253</v>
      </c>
      <c r="E87" s="10">
        <v>48</v>
      </c>
      <c r="F87" s="10" t="s">
        <v>14</v>
      </c>
      <c r="G87" s="10" t="s">
        <v>13</v>
      </c>
      <c r="H87" s="53">
        <v>9229.17</v>
      </c>
      <c r="I87" s="53">
        <f>H87*E87</f>
        <v>443000.16000000003</v>
      </c>
      <c r="J87" s="13"/>
    </row>
    <row r="88" spans="1:10" x14ac:dyDescent="0.35">
      <c r="A88" s="9"/>
      <c r="B88" s="10"/>
      <c r="C88" s="11"/>
      <c r="D88" s="11"/>
      <c r="E88" s="10"/>
      <c r="F88" s="10"/>
      <c r="G88" s="10"/>
      <c r="H88" s="53"/>
      <c r="I88" s="54">
        <f>SUM(I85:I87)</f>
        <v>10493000.16</v>
      </c>
      <c r="J88" s="13" t="s">
        <v>197</v>
      </c>
    </row>
    <row r="89" spans="1:10" x14ac:dyDescent="0.35">
      <c r="A89" s="8"/>
      <c r="B89" s="10"/>
      <c r="C89" s="8"/>
      <c r="D89" s="11"/>
      <c r="E89" s="10"/>
      <c r="F89" s="10"/>
      <c r="G89" s="10"/>
      <c r="H89" s="53"/>
      <c r="I89" s="54"/>
      <c r="J89" s="13"/>
    </row>
    <row r="90" spans="1:10" x14ac:dyDescent="0.35">
      <c r="A90" s="9">
        <v>45280</v>
      </c>
      <c r="B90" s="10">
        <v>836</v>
      </c>
      <c r="C90" s="11" t="s">
        <v>11</v>
      </c>
      <c r="D90" s="11" t="s">
        <v>230</v>
      </c>
      <c r="E90" s="10">
        <v>10</v>
      </c>
      <c r="F90" s="10" t="s">
        <v>14</v>
      </c>
      <c r="G90" s="10" t="s">
        <v>13</v>
      </c>
      <c r="H90" s="53">
        <v>57500</v>
      </c>
      <c r="I90" s="53">
        <f>H90*E90</f>
        <v>575000</v>
      </c>
      <c r="J90" s="13"/>
    </row>
    <row r="91" spans="1:10" x14ac:dyDescent="0.35">
      <c r="A91" s="9"/>
      <c r="B91" s="10"/>
      <c r="C91" s="11"/>
      <c r="D91" s="11"/>
      <c r="E91" s="10"/>
      <c r="F91" s="10"/>
      <c r="G91" s="10"/>
      <c r="H91" s="53"/>
      <c r="I91" s="54">
        <f>SUM(I90)</f>
        <v>575000</v>
      </c>
      <c r="J91" s="13" t="s">
        <v>197</v>
      </c>
    </row>
    <row r="92" spans="1:10" x14ac:dyDescent="0.35">
      <c r="A92" s="8"/>
      <c r="B92" s="10"/>
      <c r="C92" s="11"/>
      <c r="D92" s="11"/>
      <c r="E92" s="10"/>
      <c r="F92" s="10"/>
      <c r="G92" s="10"/>
      <c r="H92" s="53"/>
      <c r="I92" s="53"/>
      <c r="J92" s="13"/>
    </row>
    <row r="93" spans="1:10" x14ac:dyDescent="0.35">
      <c r="A93" s="9">
        <v>45280</v>
      </c>
      <c r="B93" s="10">
        <v>837</v>
      </c>
      <c r="C93" s="11" t="s">
        <v>254</v>
      </c>
      <c r="D93" s="11" t="s">
        <v>255</v>
      </c>
      <c r="E93" s="10">
        <f>6*12</f>
        <v>72</v>
      </c>
      <c r="F93" s="10" t="s">
        <v>240</v>
      </c>
      <c r="G93" s="10" t="s">
        <v>200</v>
      </c>
      <c r="H93" s="53">
        <v>300</v>
      </c>
      <c r="I93" s="53">
        <f>H93*E93</f>
        <v>21600</v>
      </c>
      <c r="J93" s="13"/>
    </row>
    <row r="94" spans="1:10" x14ac:dyDescent="0.35">
      <c r="A94" s="11"/>
      <c r="B94" s="10"/>
      <c r="C94" s="11"/>
      <c r="D94" s="11" t="s">
        <v>256</v>
      </c>
      <c r="E94" s="10">
        <v>126</v>
      </c>
      <c r="F94" s="10" t="s">
        <v>240</v>
      </c>
      <c r="G94" s="10" t="s">
        <v>200</v>
      </c>
      <c r="H94" s="53">
        <f>700+93.42</f>
        <v>793.42</v>
      </c>
      <c r="I94" s="53">
        <f>H94*E94</f>
        <v>99970.92</v>
      </c>
      <c r="J94" s="13"/>
    </row>
    <row r="95" spans="1:10" x14ac:dyDescent="0.35">
      <c r="A95" s="9"/>
      <c r="B95" s="10"/>
      <c r="C95" s="11"/>
      <c r="D95" s="11" t="s">
        <v>257</v>
      </c>
      <c r="E95" s="10">
        <v>24</v>
      </c>
      <c r="F95" s="10" t="s">
        <v>240</v>
      </c>
      <c r="G95" s="10" t="s">
        <v>200</v>
      </c>
      <c r="H95" s="53">
        <v>7200</v>
      </c>
      <c r="I95" s="53">
        <f>H95*E95</f>
        <v>172800</v>
      </c>
      <c r="J95" s="13"/>
    </row>
    <row r="96" spans="1:10" x14ac:dyDescent="0.35">
      <c r="A96" s="11"/>
      <c r="B96" s="10"/>
      <c r="C96" s="11"/>
      <c r="D96" s="11"/>
      <c r="E96" s="10"/>
      <c r="F96" s="10"/>
      <c r="G96" s="10"/>
      <c r="H96" s="53"/>
      <c r="I96" s="54">
        <f>SUM(I93:I95)</f>
        <v>294370.92</v>
      </c>
      <c r="J96" s="13" t="s">
        <v>197</v>
      </c>
    </row>
    <row r="97" spans="1:10" x14ac:dyDescent="0.35">
      <c r="A97" s="11"/>
      <c r="B97" s="10"/>
      <c r="C97" s="11"/>
      <c r="D97" s="11"/>
      <c r="E97" s="10"/>
      <c r="F97" s="10"/>
      <c r="G97" s="10"/>
      <c r="H97" s="18"/>
      <c r="I97" s="18"/>
      <c r="J97" s="8"/>
    </row>
    <row r="98" spans="1:10" x14ac:dyDescent="0.35">
      <c r="A98" s="9">
        <v>45280</v>
      </c>
      <c r="B98" s="10">
        <v>834</v>
      </c>
      <c r="C98" s="11" t="s">
        <v>258</v>
      </c>
      <c r="D98" s="11" t="s">
        <v>259</v>
      </c>
      <c r="E98" s="10">
        <v>50</v>
      </c>
      <c r="F98" s="10" t="s">
        <v>14</v>
      </c>
      <c r="G98" s="10" t="s">
        <v>13</v>
      </c>
      <c r="H98" s="53">
        <v>68000</v>
      </c>
      <c r="I98" s="53">
        <f>H98*E98</f>
        <v>3400000</v>
      </c>
      <c r="J98" s="13"/>
    </row>
    <row r="99" spans="1:10" x14ac:dyDescent="0.35">
      <c r="A99" s="9"/>
      <c r="B99" s="10"/>
      <c r="C99" s="11"/>
      <c r="D99" s="11"/>
      <c r="E99" s="10"/>
      <c r="F99" s="10"/>
      <c r="G99" s="10"/>
      <c r="H99" s="53"/>
      <c r="I99" s="54">
        <f>SUM(I98)</f>
        <v>3400000</v>
      </c>
      <c r="J99" s="13" t="s">
        <v>197</v>
      </c>
    </row>
    <row r="100" spans="1:10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35">
      <c r="A101" s="9">
        <v>45279</v>
      </c>
      <c r="B101" s="10">
        <v>829</v>
      </c>
      <c r="C101" s="11" t="s">
        <v>11</v>
      </c>
      <c r="D101" s="11" t="s">
        <v>26</v>
      </c>
      <c r="E101" s="10">
        <v>50</v>
      </c>
      <c r="F101" s="10" t="s">
        <v>20</v>
      </c>
      <c r="G101" s="10" t="s">
        <v>13</v>
      </c>
      <c r="H101" s="53">
        <v>50000</v>
      </c>
      <c r="I101" s="53">
        <f>H101*E101</f>
        <v>2500000</v>
      </c>
      <c r="J101" s="13"/>
    </row>
    <row r="102" spans="1:10" x14ac:dyDescent="0.35">
      <c r="A102" s="11"/>
      <c r="B102" s="10"/>
      <c r="C102" s="11"/>
      <c r="D102" s="11"/>
      <c r="E102" s="10"/>
      <c r="F102" s="10"/>
      <c r="G102" s="10"/>
      <c r="H102" s="53"/>
      <c r="I102" s="54">
        <f>SUM(I101)</f>
        <v>2500000</v>
      </c>
      <c r="J102" s="13" t="s">
        <v>197</v>
      </c>
    </row>
    <row r="103" spans="1:10" x14ac:dyDescent="0.35">
      <c r="A103" s="11"/>
      <c r="B103" s="10"/>
      <c r="C103" s="11"/>
      <c r="D103" s="11"/>
      <c r="E103" s="10"/>
      <c r="F103" s="10"/>
      <c r="G103" s="10"/>
      <c r="H103" s="18"/>
      <c r="I103" s="18"/>
      <c r="J103" s="8"/>
    </row>
    <row r="104" spans="1:10" x14ac:dyDescent="0.35">
      <c r="A104" s="9">
        <v>45275</v>
      </c>
      <c r="B104" s="10">
        <v>826</v>
      </c>
      <c r="C104" s="11" t="s">
        <v>11</v>
      </c>
      <c r="D104" s="11" t="s">
        <v>29</v>
      </c>
      <c r="E104" s="10">
        <v>50</v>
      </c>
      <c r="F104" s="10" t="s">
        <v>20</v>
      </c>
      <c r="G104" s="10" t="s">
        <v>13</v>
      </c>
      <c r="H104" s="53">
        <v>44000</v>
      </c>
      <c r="I104" s="53">
        <f>H104*E104</f>
        <v>2200000</v>
      </c>
      <c r="J104" s="13"/>
    </row>
    <row r="105" spans="1:10" x14ac:dyDescent="0.35">
      <c r="A105" s="11"/>
      <c r="B105" s="10"/>
      <c r="C105" s="11"/>
      <c r="D105" s="11" t="s">
        <v>26</v>
      </c>
      <c r="E105" s="10">
        <v>50</v>
      </c>
      <c r="F105" s="10" t="s">
        <v>20</v>
      </c>
      <c r="G105" s="10" t="s">
        <v>13</v>
      </c>
      <c r="H105" s="53">
        <v>50000</v>
      </c>
      <c r="I105" s="53">
        <f>H105*E105</f>
        <v>2500000</v>
      </c>
      <c r="J105" s="13"/>
    </row>
    <row r="106" spans="1:10" x14ac:dyDescent="0.35">
      <c r="A106" s="11"/>
      <c r="B106" s="10"/>
      <c r="C106" s="11"/>
      <c r="D106" s="11" t="s">
        <v>260</v>
      </c>
      <c r="E106" s="10">
        <v>70</v>
      </c>
      <c r="F106" s="10" t="s">
        <v>12</v>
      </c>
      <c r="G106" s="10" t="s">
        <v>13</v>
      </c>
      <c r="H106" s="53">
        <v>3750</v>
      </c>
      <c r="I106" s="53">
        <f>H106*E106</f>
        <v>262500</v>
      </c>
      <c r="J106" s="13"/>
    </row>
    <row r="107" spans="1:10" x14ac:dyDescent="0.35">
      <c r="A107" s="11"/>
      <c r="B107" s="10"/>
      <c r="C107" s="11"/>
      <c r="D107" s="11"/>
      <c r="E107" s="10"/>
      <c r="F107" s="10"/>
      <c r="G107" s="10"/>
      <c r="H107" s="53"/>
      <c r="I107" s="54">
        <f>SUM(I104:I106)</f>
        <v>4962500</v>
      </c>
      <c r="J107" s="13" t="s">
        <v>197</v>
      </c>
    </row>
    <row r="108" spans="1:10" x14ac:dyDescent="0.35">
      <c r="A108" s="11"/>
      <c r="B108" s="10"/>
      <c r="C108" s="11"/>
      <c r="D108" s="11"/>
      <c r="E108" s="10"/>
      <c r="F108" s="10"/>
      <c r="G108" s="10"/>
      <c r="H108" s="53"/>
      <c r="I108" s="54"/>
      <c r="J108" s="13"/>
    </row>
    <row r="109" spans="1:10" x14ac:dyDescent="0.35">
      <c r="A109" s="9">
        <v>45278</v>
      </c>
      <c r="B109" s="10">
        <v>827</v>
      </c>
      <c r="C109" s="11" t="s">
        <v>261</v>
      </c>
      <c r="D109" s="11" t="s">
        <v>262</v>
      </c>
      <c r="E109" s="10">
        <v>84</v>
      </c>
      <c r="F109" s="10" t="s">
        <v>14</v>
      </c>
      <c r="G109" s="10" t="s">
        <v>200</v>
      </c>
      <c r="H109" s="60">
        <v>115000</v>
      </c>
      <c r="I109" s="60">
        <f>H109*E109</f>
        <v>9660000</v>
      </c>
      <c r="J109" s="13"/>
    </row>
    <row r="110" spans="1:10" x14ac:dyDescent="0.35">
      <c r="A110" s="11"/>
      <c r="B110" s="10"/>
      <c r="C110" s="11"/>
      <c r="D110" s="11" t="s">
        <v>263</v>
      </c>
      <c r="E110" s="10">
        <v>9</v>
      </c>
      <c r="F110" s="10" t="s">
        <v>14</v>
      </c>
      <c r="G110" s="10" t="s">
        <v>200</v>
      </c>
      <c r="H110" s="60">
        <v>430000</v>
      </c>
      <c r="I110" s="60">
        <f t="shared" ref="I110" si="4">H110*E110</f>
        <v>3870000</v>
      </c>
      <c r="J110" s="13"/>
    </row>
    <row r="111" spans="1:10" x14ac:dyDescent="0.35">
      <c r="A111" s="11"/>
      <c r="B111" s="10"/>
      <c r="C111" s="11"/>
      <c r="D111" s="11"/>
      <c r="E111" s="10"/>
      <c r="F111" s="10"/>
      <c r="G111" s="10"/>
      <c r="H111" s="53"/>
      <c r="I111" s="56">
        <f ca="1">SUM(I109:I111)</f>
        <v>13530000</v>
      </c>
      <c r="J111" s="13" t="s">
        <v>197</v>
      </c>
    </row>
    <row r="112" spans="1:10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35">
      <c r="A113" s="9">
        <v>45273</v>
      </c>
      <c r="B113" s="10">
        <v>820</v>
      </c>
      <c r="C113" s="11"/>
      <c r="D113" s="11" t="s">
        <v>264</v>
      </c>
      <c r="E113" s="10">
        <v>8</v>
      </c>
      <c r="F113" s="10" t="s">
        <v>14</v>
      </c>
      <c r="G113" s="10" t="s">
        <v>200</v>
      </c>
      <c r="H113" s="60">
        <v>2275000</v>
      </c>
      <c r="I113" s="60">
        <f>H113*E113</f>
        <v>18200000</v>
      </c>
      <c r="J113" s="13"/>
    </row>
    <row r="114" spans="1:10" x14ac:dyDescent="0.35">
      <c r="A114" s="11"/>
      <c r="B114" s="10"/>
      <c r="C114" s="11"/>
      <c r="D114" s="11" t="s">
        <v>265</v>
      </c>
      <c r="E114" s="10">
        <v>5</v>
      </c>
      <c r="F114" s="10" t="s">
        <v>14</v>
      </c>
      <c r="G114" s="10" t="s">
        <v>200</v>
      </c>
      <c r="H114" s="60">
        <v>2275000</v>
      </c>
      <c r="I114" s="60">
        <f>H114*E114</f>
        <v>11375000</v>
      </c>
      <c r="J114" s="13"/>
    </row>
    <row r="115" spans="1:10" x14ac:dyDescent="0.35">
      <c r="A115" s="11"/>
      <c r="B115" s="10"/>
      <c r="C115" s="11"/>
      <c r="D115" s="22" t="s">
        <v>266</v>
      </c>
      <c r="E115" s="21">
        <v>30</v>
      </c>
      <c r="F115" s="21" t="s">
        <v>14</v>
      </c>
      <c r="G115" s="21" t="s">
        <v>200</v>
      </c>
      <c r="H115" s="61">
        <f>3350000/30</f>
        <v>111666.66666666667</v>
      </c>
      <c r="I115" s="61">
        <f>H115*E115</f>
        <v>3350000</v>
      </c>
      <c r="J115" s="21" t="s">
        <v>267</v>
      </c>
    </row>
    <row r="116" spans="1:10" x14ac:dyDescent="0.35">
      <c r="A116" s="11"/>
      <c r="B116" s="10"/>
      <c r="C116" s="11"/>
      <c r="D116" s="11"/>
      <c r="E116" s="10"/>
      <c r="F116" s="10"/>
      <c r="G116" s="10"/>
      <c r="H116" s="11"/>
      <c r="I116" s="56">
        <f>SUM(I113:I115)</f>
        <v>32925000</v>
      </c>
      <c r="J116" s="13" t="s">
        <v>197</v>
      </c>
    </row>
    <row r="117" spans="1:10" x14ac:dyDescent="0.35">
      <c r="A117" s="11"/>
      <c r="B117" s="10"/>
      <c r="C117" s="11"/>
      <c r="D117" s="11"/>
      <c r="E117" s="10"/>
      <c r="F117" s="10"/>
      <c r="G117" s="10"/>
      <c r="H117" s="18"/>
      <c r="I117" s="18"/>
      <c r="J117" s="8"/>
    </row>
    <row r="118" spans="1:10" x14ac:dyDescent="0.35">
      <c r="A118" s="9">
        <v>45272</v>
      </c>
      <c r="B118" s="10">
        <v>817</v>
      </c>
      <c r="C118" s="11" t="s">
        <v>11</v>
      </c>
      <c r="D118" s="11" t="s">
        <v>268</v>
      </c>
      <c r="E118" s="10">
        <v>30</v>
      </c>
      <c r="F118" s="10" t="s">
        <v>14</v>
      </c>
      <c r="G118" s="10" t="s">
        <v>13</v>
      </c>
      <c r="H118" s="53">
        <v>18500</v>
      </c>
      <c r="I118" s="53">
        <f t="shared" ref="I118:I143" si="5">H118*E118</f>
        <v>555000</v>
      </c>
      <c r="J118" s="13"/>
    </row>
    <row r="119" spans="1:10" x14ac:dyDescent="0.35">
      <c r="A119" s="11"/>
      <c r="B119" s="10"/>
      <c r="C119" s="11"/>
      <c r="D119" s="11" t="s">
        <v>269</v>
      </c>
      <c r="E119" s="10">
        <v>5</v>
      </c>
      <c r="F119" s="10" t="s">
        <v>14</v>
      </c>
      <c r="G119" s="10" t="s">
        <v>13</v>
      </c>
      <c r="H119" s="53">
        <v>75000</v>
      </c>
      <c r="I119" s="53">
        <f t="shared" si="5"/>
        <v>375000</v>
      </c>
      <c r="J119" s="13"/>
    </row>
    <row r="120" spans="1:10" x14ac:dyDescent="0.35">
      <c r="A120" s="9"/>
      <c r="B120" s="10"/>
      <c r="C120" s="11"/>
      <c r="D120" s="11" t="s">
        <v>270</v>
      </c>
      <c r="E120" s="10">
        <v>5</v>
      </c>
      <c r="F120" s="10" t="s">
        <v>14</v>
      </c>
      <c r="G120" s="10" t="s">
        <v>13</v>
      </c>
      <c r="H120" s="53">
        <v>54000</v>
      </c>
      <c r="I120" s="53">
        <f t="shared" si="5"/>
        <v>270000</v>
      </c>
      <c r="J120" s="13"/>
    </row>
    <row r="121" spans="1:10" x14ac:dyDescent="0.35">
      <c r="A121" s="11"/>
      <c r="B121" s="10"/>
      <c r="C121" s="11"/>
      <c r="D121" s="11" t="s">
        <v>271</v>
      </c>
      <c r="E121" s="10">
        <v>10</v>
      </c>
      <c r="F121" s="10" t="s">
        <v>25</v>
      </c>
      <c r="G121" s="10" t="s">
        <v>13</v>
      </c>
      <c r="H121" s="53">
        <v>18500</v>
      </c>
      <c r="I121" s="53">
        <f t="shared" si="5"/>
        <v>185000</v>
      </c>
      <c r="J121" s="13"/>
    </row>
    <row r="122" spans="1:10" x14ac:dyDescent="0.35">
      <c r="A122" s="11"/>
      <c r="B122" s="10"/>
      <c r="C122" s="11"/>
      <c r="D122" s="11" t="s">
        <v>272</v>
      </c>
      <c r="E122" s="10">
        <v>60</v>
      </c>
      <c r="F122" s="10" t="s">
        <v>28</v>
      </c>
      <c r="G122" s="10" t="s">
        <v>13</v>
      </c>
      <c r="H122" s="53">
        <v>3000</v>
      </c>
      <c r="I122" s="53">
        <f t="shared" si="5"/>
        <v>180000</v>
      </c>
      <c r="J122" s="13"/>
    </row>
    <row r="123" spans="1:10" x14ac:dyDescent="0.35">
      <c r="A123" s="11"/>
      <c r="B123" s="10"/>
      <c r="C123" s="11"/>
      <c r="D123" s="11" t="s">
        <v>273</v>
      </c>
      <c r="E123" s="10">
        <v>12</v>
      </c>
      <c r="F123" s="10" t="s">
        <v>28</v>
      </c>
      <c r="G123" s="10" t="s">
        <v>13</v>
      </c>
      <c r="H123" s="53">
        <v>9500</v>
      </c>
      <c r="I123" s="53">
        <f t="shared" si="5"/>
        <v>114000</v>
      </c>
      <c r="J123" s="13"/>
    </row>
    <row r="124" spans="1:10" x14ac:dyDescent="0.35">
      <c r="A124" s="9"/>
      <c r="B124" s="10"/>
      <c r="C124" s="11"/>
      <c r="D124" s="11" t="s">
        <v>274</v>
      </c>
      <c r="E124" s="10">
        <v>12</v>
      </c>
      <c r="F124" s="10" t="s">
        <v>14</v>
      </c>
      <c r="G124" s="10" t="s">
        <v>13</v>
      </c>
      <c r="H124" s="53">
        <v>4500</v>
      </c>
      <c r="I124" s="53">
        <f t="shared" si="5"/>
        <v>54000</v>
      </c>
      <c r="J124" s="13"/>
    </row>
    <row r="125" spans="1:10" x14ac:dyDescent="0.35">
      <c r="A125" s="11"/>
      <c r="B125" s="10"/>
      <c r="C125" s="11"/>
      <c r="D125" s="11" t="s">
        <v>275</v>
      </c>
      <c r="E125" s="10">
        <v>24</v>
      </c>
      <c r="F125" s="10" t="s">
        <v>14</v>
      </c>
      <c r="G125" s="10" t="s">
        <v>13</v>
      </c>
      <c r="H125" s="53">
        <v>9500</v>
      </c>
      <c r="I125" s="53">
        <f t="shared" si="5"/>
        <v>228000</v>
      </c>
      <c r="J125" s="13"/>
    </row>
    <row r="126" spans="1:10" x14ac:dyDescent="0.35">
      <c r="A126" s="11"/>
      <c r="B126" s="10"/>
      <c r="C126" s="11"/>
      <c r="D126" s="11" t="s">
        <v>276</v>
      </c>
      <c r="E126" s="10">
        <v>120</v>
      </c>
      <c r="F126" s="10" t="s">
        <v>14</v>
      </c>
      <c r="G126" s="10" t="s">
        <v>13</v>
      </c>
      <c r="H126" s="53">
        <v>2250</v>
      </c>
      <c r="I126" s="53">
        <f t="shared" si="5"/>
        <v>270000</v>
      </c>
      <c r="J126" s="13"/>
    </row>
    <row r="127" spans="1:10" x14ac:dyDescent="0.35">
      <c r="A127" s="11"/>
      <c r="B127" s="10"/>
      <c r="C127" s="11"/>
      <c r="D127" s="11" t="s">
        <v>277</v>
      </c>
      <c r="E127" s="10">
        <v>60</v>
      </c>
      <c r="F127" s="10" t="s">
        <v>14</v>
      </c>
      <c r="G127" s="10" t="s">
        <v>13</v>
      </c>
      <c r="H127" s="53">
        <v>2250</v>
      </c>
      <c r="I127" s="53">
        <f t="shared" si="5"/>
        <v>135000</v>
      </c>
      <c r="J127" s="13"/>
    </row>
    <row r="128" spans="1:10" x14ac:dyDescent="0.35">
      <c r="A128" s="11"/>
      <c r="B128" s="10"/>
      <c r="C128" s="11"/>
      <c r="D128" s="11" t="s">
        <v>278</v>
      </c>
      <c r="E128" s="10">
        <v>10</v>
      </c>
      <c r="F128" s="10" t="s">
        <v>21</v>
      </c>
      <c r="G128" s="10" t="s">
        <v>13</v>
      </c>
      <c r="H128" s="53">
        <v>30000</v>
      </c>
      <c r="I128" s="53">
        <f t="shared" si="5"/>
        <v>300000</v>
      </c>
      <c r="J128" s="13"/>
    </row>
    <row r="129" spans="1:10" x14ac:dyDescent="0.35">
      <c r="A129" s="11"/>
      <c r="B129" s="10"/>
      <c r="C129" s="11"/>
      <c r="D129" s="11" t="s">
        <v>121</v>
      </c>
      <c r="E129" s="10">
        <v>10</v>
      </c>
      <c r="F129" s="10" t="s">
        <v>20</v>
      </c>
      <c r="G129" s="10" t="s">
        <v>13</v>
      </c>
      <c r="H129" s="53">
        <v>65750</v>
      </c>
      <c r="I129" s="53">
        <f t="shared" si="5"/>
        <v>657500</v>
      </c>
      <c r="J129" s="13"/>
    </row>
    <row r="130" spans="1:10" x14ac:dyDescent="0.35">
      <c r="A130" s="9"/>
      <c r="B130" s="10"/>
      <c r="C130" s="11"/>
      <c r="D130" s="11" t="s">
        <v>118</v>
      </c>
      <c r="E130" s="10">
        <v>10</v>
      </c>
      <c r="F130" s="10" t="s">
        <v>20</v>
      </c>
      <c r="G130" s="10" t="s">
        <v>13</v>
      </c>
      <c r="H130" s="53">
        <v>65750</v>
      </c>
      <c r="I130" s="53">
        <f t="shared" si="5"/>
        <v>657500</v>
      </c>
      <c r="J130" s="13"/>
    </row>
    <row r="131" spans="1:10" x14ac:dyDescent="0.35">
      <c r="A131" s="11"/>
      <c r="B131" s="10"/>
      <c r="C131" s="11"/>
      <c r="D131" s="11" t="s">
        <v>120</v>
      </c>
      <c r="E131" s="10">
        <v>15</v>
      </c>
      <c r="F131" s="10" t="s">
        <v>20</v>
      </c>
      <c r="G131" s="10" t="s">
        <v>13</v>
      </c>
      <c r="H131" s="53">
        <v>65750</v>
      </c>
      <c r="I131" s="53">
        <f t="shared" si="5"/>
        <v>986250</v>
      </c>
      <c r="J131" s="13"/>
    </row>
    <row r="132" spans="1:10" x14ac:dyDescent="0.35">
      <c r="A132" s="11"/>
      <c r="B132" s="10"/>
      <c r="C132" s="11"/>
      <c r="D132" s="11" t="s">
        <v>279</v>
      </c>
      <c r="E132" s="10">
        <v>10</v>
      </c>
      <c r="F132" s="10" t="s">
        <v>20</v>
      </c>
      <c r="G132" s="10" t="s">
        <v>24</v>
      </c>
      <c r="H132" s="53">
        <v>55000</v>
      </c>
      <c r="I132" s="53">
        <f t="shared" si="5"/>
        <v>550000</v>
      </c>
      <c r="J132" s="13"/>
    </row>
    <row r="133" spans="1:10" x14ac:dyDescent="0.35">
      <c r="A133" s="11"/>
      <c r="B133" s="10"/>
      <c r="C133" s="11"/>
      <c r="D133" s="11" t="s">
        <v>237</v>
      </c>
      <c r="E133" s="10">
        <v>20</v>
      </c>
      <c r="F133" s="10" t="s">
        <v>20</v>
      </c>
      <c r="G133" s="10" t="s">
        <v>24</v>
      </c>
      <c r="H133" s="53">
        <v>54500</v>
      </c>
      <c r="I133" s="53">
        <f t="shared" si="5"/>
        <v>1090000</v>
      </c>
      <c r="J133" s="13"/>
    </row>
    <row r="134" spans="1:10" x14ac:dyDescent="0.35">
      <c r="A134" s="11"/>
      <c r="B134" s="10"/>
      <c r="C134" s="11"/>
      <c r="D134" s="11" t="s">
        <v>280</v>
      </c>
      <c r="E134" s="10">
        <v>10</v>
      </c>
      <c r="F134" s="10" t="s">
        <v>21</v>
      </c>
      <c r="G134" s="10" t="s">
        <v>13</v>
      </c>
      <c r="H134" s="53">
        <v>60000</v>
      </c>
      <c r="I134" s="53">
        <f t="shared" si="5"/>
        <v>600000</v>
      </c>
      <c r="J134" s="13"/>
    </row>
    <row r="135" spans="1:10" x14ac:dyDescent="0.35">
      <c r="A135" s="11"/>
      <c r="B135" s="10"/>
      <c r="C135" s="11"/>
      <c r="D135" s="11" t="s">
        <v>281</v>
      </c>
      <c r="E135" s="10">
        <v>6</v>
      </c>
      <c r="F135" s="10" t="s">
        <v>17</v>
      </c>
      <c r="G135" s="10" t="s">
        <v>13</v>
      </c>
      <c r="H135" s="53">
        <v>63000</v>
      </c>
      <c r="I135" s="53">
        <f t="shared" si="5"/>
        <v>378000</v>
      </c>
      <c r="J135" s="13"/>
    </row>
    <row r="136" spans="1:10" x14ac:dyDescent="0.35">
      <c r="A136" s="11"/>
      <c r="B136" s="10"/>
      <c r="C136" s="11"/>
      <c r="D136" s="11" t="s">
        <v>282</v>
      </c>
      <c r="E136" s="10">
        <v>4</v>
      </c>
      <c r="F136" s="10" t="s">
        <v>17</v>
      </c>
      <c r="G136" s="10" t="s">
        <v>13</v>
      </c>
      <c r="H136" s="53">
        <v>63000</v>
      </c>
      <c r="I136" s="53">
        <f t="shared" si="5"/>
        <v>252000</v>
      </c>
      <c r="J136" s="13"/>
    </row>
    <row r="137" spans="1:10" x14ac:dyDescent="0.35">
      <c r="A137" s="9"/>
      <c r="B137" s="10"/>
      <c r="C137" s="11"/>
      <c r="D137" s="11" t="s">
        <v>180</v>
      </c>
      <c r="E137" s="10">
        <v>12</v>
      </c>
      <c r="F137" s="10" t="s">
        <v>14</v>
      </c>
      <c r="G137" s="10" t="s">
        <v>13</v>
      </c>
      <c r="H137" s="53">
        <v>5000</v>
      </c>
      <c r="I137" s="53">
        <f t="shared" si="5"/>
        <v>60000</v>
      </c>
      <c r="J137" s="13"/>
    </row>
    <row r="138" spans="1:10" x14ac:dyDescent="0.35">
      <c r="A138" s="9"/>
      <c r="B138" s="10"/>
      <c r="C138" s="11"/>
      <c r="D138" s="11" t="s">
        <v>283</v>
      </c>
      <c r="E138" s="10">
        <v>10</v>
      </c>
      <c r="F138" s="10" t="s">
        <v>284</v>
      </c>
      <c r="G138" s="10" t="s">
        <v>13</v>
      </c>
      <c r="H138" s="53">
        <v>34000</v>
      </c>
      <c r="I138" s="53">
        <f t="shared" si="5"/>
        <v>340000</v>
      </c>
      <c r="J138" s="13"/>
    </row>
    <row r="139" spans="1:10" x14ac:dyDescent="0.35">
      <c r="A139" s="11"/>
      <c r="B139" s="10"/>
      <c r="C139" s="11"/>
      <c r="D139" s="11" t="s">
        <v>285</v>
      </c>
      <c r="E139" s="10">
        <v>24</v>
      </c>
      <c r="F139" s="10" t="s">
        <v>286</v>
      </c>
      <c r="G139" s="10" t="s">
        <v>13</v>
      </c>
      <c r="H139" s="53">
        <v>2750</v>
      </c>
      <c r="I139" s="53">
        <f t="shared" si="5"/>
        <v>66000</v>
      </c>
      <c r="J139" s="13"/>
    </row>
    <row r="140" spans="1:10" x14ac:dyDescent="0.35">
      <c r="A140" s="11"/>
      <c r="B140" s="10"/>
      <c r="C140" s="11"/>
      <c r="D140" s="11" t="s">
        <v>287</v>
      </c>
      <c r="E140" s="10">
        <v>1</v>
      </c>
      <c r="F140" s="10" t="s">
        <v>14</v>
      </c>
      <c r="G140" s="10" t="s">
        <v>13</v>
      </c>
      <c r="H140" s="53">
        <v>156000</v>
      </c>
      <c r="I140" s="53">
        <f t="shared" si="5"/>
        <v>156000</v>
      </c>
      <c r="J140" s="13"/>
    </row>
    <row r="141" spans="1:10" x14ac:dyDescent="0.35">
      <c r="A141" s="9"/>
      <c r="B141" s="10"/>
      <c r="C141" s="11"/>
      <c r="D141" s="11" t="s">
        <v>288</v>
      </c>
      <c r="E141" s="10">
        <v>36</v>
      </c>
      <c r="F141" s="10" t="s">
        <v>14</v>
      </c>
      <c r="G141" s="10" t="s">
        <v>13</v>
      </c>
      <c r="H141" s="53">
        <v>20250</v>
      </c>
      <c r="I141" s="53">
        <f t="shared" si="5"/>
        <v>729000</v>
      </c>
      <c r="J141" s="13"/>
    </row>
    <row r="142" spans="1:10" x14ac:dyDescent="0.35">
      <c r="A142" s="11"/>
      <c r="B142" s="10"/>
      <c r="C142" s="11"/>
      <c r="D142" s="11" t="s">
        <v>289</v>
      </c>
      <c r="E142" s="10">
        <v>12</v>
      </c>
      <c r="F142" s="10" t="s">
        <v>14</v>
      </c>
      <c r="G142" s="10" t="s">
        <v>13</v>
      </c>
      <c r="H142" s="53">
        <v>20250</v>
      </c>
      <c r="I142" s="53">
        <f t="shared" si="5"/>
        <v>243000</v>
      </c>
      <c r="J142" s="13"/>
    </row>
    <row r="143" spans="1:10" x14ac:dyDescent="0.35">
      <c r="A143" s="11"/>
      <c r="B143" s="10"/>
      <c r="C143" s="11"/>
      <c r="D143" s="11" t="s">
        <v>231</v>
      </c>
      <c r="E143" s="10">
        <v>6</v>
      </c>
      <c r="F143" s="10" t="s">
        <v>21</v>
      </c>
      <c r="G143" s="10" t="s">
        <v>13</v>
      </c>
      <c r="H143" s="53">
        <v>19500</v>
      </c>
      <c r="I143" s="53">
        <f t="shared" si="5"/>
        <v>117000</v>
      </c>
      <c r="J143" s="13"/>
    </row>
    <row r="144" spans="1:10" x14ac:dyDescent="0.35">
      <c r="A144" s="11"/>
      <c r="B144" s="10"/>
      <c r="C144" s="11"/>
      <c r="D144" s="11"/>
      <c r="E144" s="10"/>
      <c r="F144" s="10"/>
      <c r="G144" s="10"/>
      <c r="H144" s="53"/>
      <c r="I144" s="54">
        <f>SUM(I118:I143)</f>
        <v>9548250</v>
      </c>
      <c r="J144" s="13" t="s">
        <v>197</v>
      </c>
    </row>
    <row r="145" spans="1:10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35">
      <c r="A146" s="9">
        <v>45266</v>
      </c>
      <c r="B146" s="10">
        <v>809</v>
      </c>
      <c r="C146" s="11" t="s">
        <v>11</v>
      </c>
      <c r="D146" s="11" t="s">
        <v>82</v>
      </c>
      <c r="E146" s="10">
        <v>100</v>
      </c>
      <c r="F146" s="10" t="s">
        <v>14</v>
      </c>
      <c r="G146" s="10" t="s">
        <v>13</v>
      </c>
      <c r="H146" s="53">
        <v>2250</v>
      </c>
      <c r="I146" s="53">
        <f>H146*E146</f>
        <v>225000</v>
      </c>
      <c r="J146" s="13"/>
    </row>
    <row r="147" spans="1:10" x14ac:dyDescent="0.35">
      <c r="A147" s="11"/>
      <c r="B147" s="10"/>
      <c r="C147" s="11"/>
      <c r="D147" s="11" t="s">
        <v>290</v>
      </c>
      <c r="E147" s="10">
        <f>144*2</f>
        <v>288</v>
      </c>
      <c r="F147" s="10" t="s">
        <v>14</v>
      </c>
      <c r="G147" s="10" t="s">
        <v>13</v>
      </c>
      <c r="H147" s="53">
        <v>645.84</v>
      </c>
      <c r="I147" s="53">
        <f>H147*E147</f>
        <v>186001.92000000001</v>
      </c>
      <c r="J147" s="13"/>
    </row>
    <row r="148" spans="1:10" x14ac:dyDescent="0.35">
      <c r="A148" s="11"/>
      <c r="B148" s="10"/>
      <c r="C148" s="11"/>
      <c r="D148" s="11"/>
      <c r="E148" s="10"/>
      <c r="F148" s="10"/>
      <c r="G148" s="10"/>
      <c r="H148" s="53"/>
      <c r="I148" s="54">
        <f>SUM(I146:I147)</f>
        <v>411001.92000000004</v>
      </c>
      <c r="J148" s="13" t="s">
        <v>197</v>
      </c>
    </row>
    <row r="149" spans="1:10" x14ac:dyDescent="0.35">
      <c r="A149" s="8"/>
      <c r="B149" s="14"/>
      <c r="C149" s="8"/>
      <c r="D149" s="8"/>
      <c r="E149" s="14"/>
      <c r="F149" s="14"/>
      <c r="G149" s="14"/>
      <c r="H149" s="8"/>
      <c r="I149" s="8"/>
      <c r="J149" s="55"/>
    </row>
    <row r="150" spans="1:10" x14ac:dyDescent="0.35">
      <c r="A150" s="9">
        <v>45266</v>
      </c>
      <c r="B150" s="10">
        <v>810</v>
      </c>
      <c r="C150" s="11" t="s">
        <v>11</v>
      </c>
      <c r="D150" s="11" t="s">
        <v>291</v>
      </c>
      <c r="E150" s="62">
        <v>100</v>
      </c>
      <c r="F150" s="10" t="s">
        <v>12</v>
      </c>
      <c r="G150" s="10" t="s">
        <v>13</v>
      </c>
      <c r="H150" s="60">
        <v>10000</v>
      </c>
      <c r="I150" s="63">
        <f>H150*E150</f>
        <v>1000000</v>
      </c>
      <c r="J150" s="13"/>
    </row>
    <row r="151" spans="1:10" x14ac:dyDescent="0.35">
      <c r="A151" s="11"/>
      <c r="B151" s="10"/>
      <c r="C151" s="11"/>
      <c r="D151" s="11" t="s">
        <v>292</v>
      </c>
      <c r="E151" s="62">
        <v>50</v>
      </c>
      <c r="F151" s="10" t="s">
        <v>12</v>
      </c>
      <c r="G151" s="10" t="s">
        <v>13</v>
      </c>
      <c r="H151" s="60">
        <v>8500</v>
      </c>
      <c r="I151" s="63">
        <f t="shared" ref="I151:I162" si="6">H151*E151</f>
        <v>425000</v>
      </c>
      <c r="J151" s="13"/>
    </row>
    <row r="152" spans="1:10" x14ac:dyDescent="0.35">
      <c r="A152" s="11"/>
      <c r="B152" s="10"/>
      <c r="C152" s="11"/>
      <c r="D152" s="11" t="s">
        <v>293</v>
      </c>
      <c r="E152" s="62">
        <v>50</v>
      </c>
      <c r="F152" s="10" t="s">
        <v>12</v>
      </c>
      <c r="G152" s="10" t="s">
        <v>13</v>
      </c>
      <c r="H152" s="60">
        <v>3000</v>
      </c>
      <c r="I152" s="63">
        <f t="shared" si="6"/>
        <v>150000</v>
      </c>
      <c r="J152" s="13"/>
    </row>
    <row r="153" spans="1:10" x14ac:dyDescent="0.35">
      <c r="A153" s="11"/>
      <c r="B153" s="10"/>
      <c r="C153" s="11"/>
      <c r="D153" s="11" t="s">
        <v>147</v>
      </c>
      <c r="E153" s="62">
        <v>50</v>
      </c>
      <c r="F153" s="10" t="s">
        <v>12</v>
      </c>
      <c r="G153" s="10" t="s">
        <v>13</v>
      </c>
      <c r="H153" s="60">
        <v>17600</v>
      </c>
      <c r="I153" s="63">
        <f t="shared" si="6"/>
        <v>880000</v>
      </c>
      <c r="J153" s="13"/>
    </row>
    <row r="154" spans="1:10" x14ac:dyDescent="0.35">
      <c r="A154" s="11"/>
      <c r="B154" s="10"/>
      <c r="C154" s="11"/>
      <c r="D154" s="11" t="s">
        <v>294</v>
      </c>
      <c r="E154" s="62">
        <v>144</v>
      </c>
      <c r="F154" s="10" t="s">
        <v>207</v>
      </c>
      <c r="G154" s="10" t="s">
        <v>13</v>
      </c>
      <c r="H154" s="60">
        <v>13000</v>
      </c>
      <c r="I154" s="63">
        <f t="shared" si="6"/>
        <v>1872000</v>
      </c>
      <c r="J154" s="13"/>
    </row>
    <row r="155" spans="1:10" x14ac:dyDescent="0.35">
      <c r="A155" s="11"/>
      <c r="B155" s="10"/>
      <c r="C155" s="11"/>
      <c r="D155" s="11" t="s">
        <v>295</v>
      </c>
      <c r="E155" s="62">
        <v>72</v>
      </c>
      <c r="F155" s="10" t="s">
        <v>28</v>
      </c>
      <c r="G155" s="10" t="s">
        <v>13</v>
      </c>
      <c r="H155" s="60">
        <v>3000</v>
      </c>
      <c r="I155" s="63">
        <f t="shared" si="6"/>
        <v>216000</v>
      </c>
      <c r="J155" s="13"/>
    </row>
    <row r="156" spans="1:10" x14ac:dyDescent="0.35">
      <c r="A156" s="11"/>
      <c r="B156" s="10"/>
      <c r="C156" s="11"/>
      <c r="D156" s="11" t="s">
        <v>296</v>
      </c>
      <c r="E156" s="62">
        <v>12</v>
      </c>
      <c r="F156" s="10" t="s">
        <v>14</v>
      </c>
      <c r="G156" s="10" t="s">
        <v>13</v>
      </c>
      <c r="H156" s="60">
        <v>7750</v>
      </c>
      <c r="I156" s="63">
        <f t="shared" si="6"/>
        <v>93000</v>
      </c>
      <c r="J156" s="13"/>
    </row>
    <row r="157" spans="1:10" x14ac:dyDescent="0.35">
      <c r="A157" s="11"/>
      <c r="B157" s="10"/>
      <c r="C157" s="11"/>
      <c r="D157" s="11" t="s">
        <v>67</v>
      </c>
      <c r="E157" s="62">
        <v>36</v>
      </c>
      <c r="F157" s="10" t="s">
        <v>14</v>
      </c>
      <c r="G157" s="10" t="s">
        <v>13</v>
      </c>
      <c r="H157" s="60">
        <f>74750/12</f>
        <v>6229.166666666667</v>
      </c>
      <c r="I157" s="63">
        <f t="shared" si="6"/>
        <v>224250</v>
      </c>
      <c r="J157" s="13"/>
    </row>
    <row r="158" spans="1:10" x14ac:dyDescent="0.35">
      <c r="A158" s="11"/>
      <c r="B158" s="10"/>
      <c r="C158" s="11"/>
      <c r="D158" s="11" t="s">
        <v>163</v>
      </c>
      <c r="E158" s="62">
        <v>24</v>
      </c>
      <c r="F158" s="10" t="s">
        <v>14</v>
      </c>
      <c r="G158" s="10" t="s">
        <v>13</v>
      </c>
      <c r="H158" s="60">
        <v>1200</v>
      </c>
      <c r="I158" s="63">
        <f t="shared" si="6"/>
        <v>28800</v>
      </c>
      <c r="J158" s="13"/>
    </row>
    <row r="159" spans="1:10" x14ac:dyDescent="0.35">
      <c r="A159" s="11"/>
      <c r="B159" s="10"/>
      <c r="C159" s="11"/>
      <c r="D159" s="11" t="s">
        <v>297</v>
      </c>
      <c r="E159" s="62">
        <v>24</v>
      </c>
      <c r="F159" s="10" t="s">
        <v>14</v>
      </c>
      <c r="G159" s="10" t="s">
        <v>13</v>
      </c>
      <c r="H159" s="60">
        <v>9000</v>
      </c>
      <c r="I159" s="63">
        <f t="shared" si="6"/>
        <v>216000</v>
      </c>
      <c r="J159" s="13"/>
    </row>
    <row r="160" spans="1:10" x14ac:dyDescent="0.35">
      <c r="A160" s="11"/>
      <c r="B160" s="10"/>
      <c r="C160" s="11"/>
      <c r="D160" s="11" t="s">
        <v>298</v>
      </c>
      <c r="E160" s="62">
        <v>20</v>
      </c>
      <c r="F160" s="10" t="s">
        <v>14</v>
      </c>
      <c r="G160" s="10" t="s">
        <v>13</v>
      </c>
      <c r="H160" s="60">
        <v>18500</v>
      </c>
      <c r="I160" s="63">
        <f t="shared" si="6"/>
        <v>370000</v>
      </c>
      <c r="J160" s="13"/>
    </row>
    <row r="161" spans="1:10" x14ac:dyDescent="0.35">
      <c r="A161" s="11"/>
      <c r="B161" s="10"/>
      <c r="C161" s="11"/>
      <c r="D161" s="11" t="s">
        <v>299</v>
      </c>
      <c r="E161" s="62">
        <v>10</v>
      </c>
      <c r="F161" s="10" t="s">
        <v>14</v>
      </c>
      <c r="G161" s="10" t="s">
        <v>13</v>
      </c>
      <c r="H161" s="60">
        <v>75000</v>
      </c>
      <c r="I161" s="63">
        <f t="shared" si="6"/>
        <v>750000</v>
      </c>
      <c r="J161" s="13"/>
    </row>
    <row r="162" spans="1:10" x14ac:dyDescent="0.35">
      <c r="A162" s="11"/>
      <c r="B162" s="10"/>
      <c r="C162" s="11"/>
      <c r="D162" s="11" t="s">
        <v>300</v>
      </c>
      <c r="E162" s="62">
        <v>30</v>
      </c>
      <c r="F162" s="10" t="s">
        <v>12</v>
      </c>
      <c r="G162" s="10" t="s">
        <v>13</v>
      </c>
      <c r="H162" s="60">
        <v>2500</v>
      </c>
      <c r="I162" s="63">
        <f t="shared" si="6"/>
        <v>75000</v>
      </c>
      <c r="J162" s="13"/>
    </row>
    <row r="163" spans="1:10" x14ac:dyDescent="0.35">
      <c r="A163" s="11"/>
      <c r="B163" s="10"/>
      <c r="C163" s="11"/>
      <c r="D163" s="11"/>
      <c r="E163" s="62"/>
      <c r="F163" s="10"/>
      <c r="G163" s="10"/>
      <c r="H163" s="60"/>
      <c r="I163" s="56">
        <f>SUM(I150:I162)</f>
        <v>6300050</v>
      </c>
      <c r="J163" s="13" t="s">
        <v>197</v>
      </c>
    </row>
    <row r="164" spans="1:10" x14ac:dyDescent="0.35">
      <c r="A164" s="9"/>
      <c r="B164" s="10"/>
      <c r="C164" s="11"/>
      <c r="D164" s="11"/>
      <c r="E164" s="10"/>
      <c r="F164" s="10"/>
      <c r="G164" s="10"/>
      <c r="H164" s="18"/>
      <c r="I164" s="26"/>
      <c r="J164" s="8"/>
    </row>
    <row r="165" spans="1:10" x14ac:dyDescent="0.35">
      <c r="A165" s="9">
        <v>45261</v>
      </c>
      <c r="B165" s="10">
        <v>799</v>
      </c>
      <c r="C165" s="11"/>
      <c r="D165" s="11" t="s">
        <v>301</v>
      </c>
      <c r="E165" s="10">
        <v>15</v>
      </c>
      <c r="F165" s="10" t="s">
        <v>302</v>
      </c>
      <c r="G165" s="10" t="s">
        <v>13</v>
      </c>
      <c r="H165" s="60">
        <v>30000</v>
      </c>
      <c r="I165" s="60">
        <f>H165*E165</f>
        <v>450000</v>
      </c>
      <c r="J165" s="13"/>
    </row>
    <row r="166" spans="1:10" x14ac:dyDescent="0.35">
      <c r="A166" s="11"/>
      <c r="B166" s="10"/>
      <c r="C166" s="11"/>
      <c r="D166" s="11" t="s">
        <v>303</v>
      </c>
      <c r="E166" s="10">
        <v>3</v>
      </c>
      <c r="F166" s="10" t="s">
        <v>240</v>
      </c>
      <c r="G166" s="10" t="s">
        <v>13</v>
      </c>
      <c r="H166" s="60">
        <v>40000</v>
      </c>
      <c r="I166" s="60">
        <f>H166*E166</f>
        <v>120000</v>
      </c>
      <c r="J166" s="13"/>
    </row>
    <row r="167" spans="1:10" x14ac:dyDescent="0.35">
      <c r="A167" s="11"/>
      <c r="B167" s="10"/>
      <c r="C167" s="11"/>
      <c r="D167" s="11" t="s">
        <v>304</v>
      </c>
      <c r="E167" s="10">
        <v>2</v>
      </c>
      <c r="F167" s="10" t="s">
        <v>207</v>
      </c>
      <c r="G167" s="10" t="s">
        <v>13</v>
      </c>
      <c r="H167" s="60">
        <v>160000</v>
      </c>
      <c r="I167" s="60">
        <f>H167*E167</f>
        <v>320000</v>
      </c>
      <c r="J167" s="13"/>
    </row>
    <row r="168" spans="1:10" x14ac:dyDescent="0.35">
      <c r="A168" s="11"/>
      <c r="B168" s="10"/>
      <c r="C168" s="11"/>
      <c r="D168" s="11" t="s">
        <v>305</v>
      </c>
      <c r="E168" s="10">
        <v>2</v>
      </c>
      <c r="F168" s="10" t="s">
        <v>240</v>
      </c>
      <c r="G168" s="10" t="s">
        <v>13</v>
      </c>
      <c r="H168" s="60">
        <v>115000</v>
      </c>
      <c r="I168" s="60">
        <f>H168*E168</f>
        <v>230000</v>
      </c>
      <c r="J168" s="13"/>
    </row>
    <row r="169" spans="1:10" x14ac:dyDescent="0.35">
      <c r="A169" s="11"/>
      <c r="B169" s="10"/>
      <c r="C169" s="11"/>
      <c r="D169" s="11" t="s">
        <v>306</v>
      </c>
      <c r="E169" s="10">
        <v>3</v>
      </c>
      <c r="F169" s="10" t="s">
        <v>240</v>
      </c>
      <c r="G169" s="10" t="s">
        <v>13</v>
      </c>
      <c r="H169" s="60">
        <v>40000</v>
      </c>
      <c r="I169" s="60">
        <f>H169*E169</f>
        <v>120000</v>
      </c>
      <c r="J169" s="13"/>
    </row>
    <row r="170" spans="1:10" x14ac:dyDescent="0.35">
      <c r="A170" s="11"/>
      <c r="B170" s="10"/>
      <c r="C170" s="11"/>
      <c r="D170" s="11"/>
      <c r="E170" s="10"/>
      <c r="F170" s="10"/>
      <c r="G170" s="10"/>
      <c r="H170" s="60"/>
      <c r="I170" s="64">
        <f>SUM(I165:I169)</f>
        <v>1240000</v>
      </c>
      <c r="J170" s="13" t="s">
        <v>197</v>
      </c>
    </row>
    <row r="171" spans="1:10" x14ac:dyDescent="0.35">
      <c r="A171" s="11"/>
      <c r="B171" s="10"/>
      <c r="C171" s="15"/>
      <c r="D171" s="11"/>
      <c r="E171" s="25"/>
      <c r="F171" s="10"/>
      <c r="G171" s="10"/>
      <c r="H171" s="18"/>
      <c r="I171" s="26"/>
      <c r="J171" s="8"/>
    </row>
    <row r="172" spans="1:10" x14ac:dyDescent="0.35">
      <c r="A172" s="9">
        <v>45238</v>
      </c>
      <c r="B172" s="10">
        <v>792</v>
      </c>
      <c r="C172" s="11" t="s">
        <v>307</v>
      </c>
      <c r="D172" s="11" t="s">
        <v>308</v>
      </c>
      <c r="E172" s="10">
        <v>30</v>
      </c>
      <c r="F172" s="10" t="s">
        <v>210</v>
      </c>
      <c r="G172" s="10" t="s">
        <v>13</v>
      </c>
      <c r="H172" s="53">
        <v>75000</v>
      </c>
      <c r="I172" s="53">
        <f>H172*E172</f>
        <v>2250000</v>
      </c>
      <c r="J172" s="13"/>
    </row>
    <row r="173" spans="1:10" x14ac:dyDescent="0.35">
      <c r="A173" s="11"/>
      <c r="B173" s="10"/>
      <c r="C173" s="11"/>
      <c r="D173" s="11"/>
      <c r="E173" s="10"/>
      <c r="F173" s="10"/>
      <c r="G173" s="10"/>
      <c r="H173" s="53"/>
      <c r="I173" s="54">
        <f>SUM(I172)</f>
        <v>2250000</v>
      </c>
      <c r="J173" s="13" t="s">
        <v>197</v>
      </c>
    </row>
    <row r="174" spans="1:10" x14ac:dyDescent="0.35">
      <c r="A174" s="8"/>
      <c r="B174" s="14"/>
      <c r="C174" s="8"/>
      <c r="D174" s="8"/>
      <c r="E174" s="14"/>
      <c r="F174" s="14"/>
      <c r="G174" s="14"/>
      <c r="H174" s="8"/>
      <c r="I174" s="8"/>
      <c r="J174" s="55"/>
    </row>
    <row r="175" spans="1:10" x14ac:dyDescent="0.35">
      <c r="A175" s="9">
        <v>45257</v>
      </c>
      <c r="B175" s="10">
        <v>793</v>
      </c>
      <c r="C175" s="11" t="s">
        <v>309</v>
      </c>
      <c r="D175" s="11" t="s">
        <v>310</v>
      </c>
      <c r="E175" s="10">
        <v>1</v>
      </c>
      <c r="F175" s="10" t="s">
        <v>210</v>
      </c>
      <c r="G175" s="10" t="s">
        <v>13</v>
      </c>
      <c r="H175" s="53">
        <v>10400</v>
      </c>
      <c r="I175" s="53">
        <f>H175*E175</f>
        <v>10400</v>
      </c>
      <c r="J175" s="13"/>
    </row>
    <row r="176" spans="1:10" x14ac:dyDescent="0.35">
      <c r="A176" s="11"/>
      <c r="B176" s="10"/>
      <c r="C176" s="11"/>
      <c r="D176" s="11"/>
      <c r="E176" s="10"/>
      <c r="F176" s="10"/>
      <c r="G176" s="10"/>
      <c r="H176" s="53"/>
      <c r="I176" s="54">
        <f>SUM(I175)</f>
        <v>10400</v>
      </c>
      <c r="J176" s="13" t="s">
        <v>197</v>
      </c>
    </row>
    <row r="177" spans="1:10" x14ac:dyDescent="0.35">
      <c r="A177" s="11"/>
      <c r="B177" s="10"/>
      <c r="C177" s="11"/>
      <c r="D177" s="11"/>
      <c r="E177" s="10"/>
      <c r="F177" s="10"/>
      <c r="G177" s="10"/>
      <c r="H177" s="11"/>
      <c r="I177" s="11"/>
      <c r="J177" s="13"/>
    </row>
    <row r="178" spans="1:10" x14ac:dyDescent="0.35">
      <c r="A178" s="9">
        <v>45257</v>
      </c>
      <c r="B178" s="10">
        <v>794</v>
      </c>
      <c r="C178" s="11" t="s">
        <v>311</v>
      </c>
      <c r="D178" s="11" t="s">
        <v>312</v>
      </c>
      <c r="E178" s="10">
        <v>1</v>
      </c>
      <c r="F178" s="10" t="s">
        <v>210</v>
      </c>
      <c r="G178" s="10" t="s">
        <v>13</v>
      </c>
      <c r="H178" s="53">
        <f>3058558-(3058558*12%)</f>
        <v>2691531.04</v>
      </c>
      <c r="I178" s="63">
        <f>H178*E178</f>
        <v>2691531.04</v>
      </c>
      <c r="J178" s="13"/>
    </row>
    <row r="179" spans="1:10" x14ac:dyDescent="0.35">
      <c r="A179" s="11"/>
      <c r="B179" s="10"/>
      <c r="C179" s="11"/>
      <c r="D179" s="11"/>
      <c r="E179" s="10"/>
      <c r="F179" s="10"/>
      <c r="G179" s="10"/>
      <c r="H179" s="11"/>
      <c r="I179" s="56">
        <f>SUM(I178)</f>
        <v>2691531.04</v>
      </c>
      <c r="J179" s="13" t="s">
        <v>197</v>
      </c>
    </row>
    <row r="180" spans="1:10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35">
      <c r="A181" s="9">
        <v>45238</v>
      </c>
      <c r="B181" s="10">
        <v>791</v>
      </c>
      <c r="C181" s="11" t="s">
        <v>309</v>
      </c>
      <c r="D181" s="11" t="s">
        <v>313</v>
      </c>
      <c r="E181" s="10">
        <v>1</v>
      </c>
      <c r="F181" s="10" t="s">
        <v>210</v>
      </c>
      <c r="G181" s="10" t="s">
        <v>13</v>
      </c>
      <c r="H181" s="53">
        <f>435000</f>
        <v>435000</v>
      </c>
      <c r="I181" s="53">
        <f>H181*E181</f>
        <v>435000</v>
      </c>
      <c r="J181" s="13"/>
    </row>
    <row r="182" spans="1:10" x14ac:dyDescent="0.35">
      <c r="A182" s="11"/>
      <c r="B182" s="10"/>
      <c r="C182" s="11"/>
      <c r="D182" s="11" t="s">
        <v>314</v>
      </c>
      <c r="E182" s="10">
        <v>4</v>
      </c>
      <c r="F182" s="10" t="s">
        <v>210</v>
      </c>
      <c r="G182" s="10" t="s">
        <v>13</v>
      </c>
      <c r="H182" s="53">
        <v>18750</v>
      </c>
      <c r="I182" s="53">
        <f t="shared" ref="I182" si="7">H182*E182</f>
        <v>75000</v>
      </c>
      <c r="J182" s="13"/>
    </row>
    <row r="183" spans="1:10" x14ac:dyDescent="0.35">
      <c r="A183" s="11"/>
      <c r="B183" s="10"/>
      <c r="C183" s="11"/>
      <c r="D183" s="11"/>
      <c r="E183" s="10"/>
      <c r="F183" s="10"/>
      <c r="G183" s="10"/>
      <c r="H183" s="53"/>
      <c r="I183" s="54">
        <f>SUM(I181:I182)</f>
        <v>510000</v>
      </c>
      <c r="J183" s="13" t="s">
        <v>197</v>
      </c>
    </row>
    <row r="184" spans="1:10" x14ac:dyDescent="0.35">
      <c r="A184" s="11"/>
      <c r="B184" s="10"/>
      <c r="C184" s="11"/>
      <c r="D184" s="11"/>
      <c r="E184" s="10"/>
      <c r="F184" s="10"/>
      <c r="G184" s="10"/>
      <c r="H184" s="18"/>
      <c r="I184" s="26"/>
      <c r="J184" s="8"/>
    </row>
    <row r="185" spans="1:10" x14ac:dyDescent="0.35">
      <c r="A185" s="9">
        <v>45245</v>
      </c>
      <c r="B185" s="10">
        <v>786</v>
      </c>
      <c r="C185" s="11" t="s">
        <v>311</v>
      </c>
      <c r="D185" s="11" t="s">
        <v>315</v>
      </c>
      <c r="E185" s="10">
        <v>1</v>
      </c>
      <c r="F185" s="10" t="s">
        <v>221</v>
      </c>
      <c r="G185" s="10" t="s">
        <v>13</v>
      </c>
      <c r="H185" s="53">
        <v>3075000</v>
      </c>
      <c r="I185" s="53">
        <f>H185*E185</f>
        <v>3075000</v>
      </c>
      <c r="J185" s="13"/>
    </row>
    <row r="186" spans="1:10" x14ac:dyDescent="0.35">
      <c r="A186" s="11"/>
      <c r="B186" s="10"/>
      <c r="C186" s="11"/>
      <c r="D186" s="11"/>
      <c r="E186" s="10"/>
      <c r="F186" s="10"/>
      <c r="G186" s="10"/>
      <c r="H186" s="53"/>
      <c r="I186" s="54">
        <f>SUM(I185)</f>
        <v>3075000</v>
      </c>
      <c r="J186" s="13" t="s">
        <v>197</v>
      </c>
    </row>
    <row r="187" spans="1:10" x14ac:dyDescent="0.35">
      <c r="A187" s="11"/>
      <c r="B187" s="10"/>
      <c r="C187" s="11"/>
      <c r="D187" s="11"/>
      <c r="E187" s="10"/>
      <c r="F187" s="10"/>
      <c r="G187" s="10"/>
      <c r="H187" s="18"/>
      <c r="I187" s="26"/>
      <c r="J187" s="8"/>
    </row>
    <row r="188" spans="1:10" x14ac:dyDescent="0.35">
      <c r="A188" s="9">
        <v>45249</v>
      </c>
      <c r="B188" s="10">
        <v>780</v>
      </c>
      <c r="C188" s="11"/>
      <c r="D188" s="11" t="s">
        <v>316</v>
      </c>
      <c r="E188" s="10">
        <v>2</v>
      </c>
      <c r="F188" s="10" t="s">
        <v>210</v>
      </c>
      <c r="G188" s="10" t="s">
        <v>13</v>
      </c>
      <c r="H188" s="53">
        <v>775000</v>
      </c>
      <c r="I188" s="53">
        <f>H188*E188</f>
        <v>1550000</v>
      </c>
      <c r="J188" s="13"/>
    </row>
    <row r="189" spans="1:10" x14ac:dyDescent="0.35">
      <c r="A189" s="11"/>
      <c r="B189" s="10"/>
      <c r="C189" s="11"/>
      <c r="D189" s="11"/>
      <c r="E189" s="10"/>
      <c r="F189" s="10"/>
      <c r="G189" s="10"/>
      <c r="H189" s="53"/>
      <c r="I189" s="54">
        <f>SUM(I188)</f>
        <v>1550000</v>
      </c>
      <c r="J189" s="13" t="s">
        <v>197</v>
      </c>
    </row>
    <row r="190" spans="1:10" x14ac:dyDescent="0.35">
      <c r="A190" s="8"/>
      <c r="B190" s="14"/>
      <c r="C190" s="8"/>
      <c r="D190" s="8"/>
      <c r="E190" s="14"/>
      <c r="F190" s="14"/>
      <c r="G190" s="14"/>
      <c r="H190" s="57"/>
      <c r="I190" s="57"/>
      <c r="J190" s="55"/>
    </row>
    <row r="191" spans="1:10" x14ac:dyDescent="0.35">
      <c r="A191" s="9">
        <v>45243</v>
      </c>
      <c r="B191" s="10">
        <v>782</v>
      </c>
      <c r="C191" s="11" t="s">
        <v>309</v>
      </c>
      <c r="D191" s="11" t="s">
        <v>317</v>
      </c>
      <c r="E191" s="10">
        <v>2</v>
      </c>
      <c r="F191" s="10" t="s">
        <v>14</v>
      </c>
      <c r="G191" s="10" t="s">
        <v>200</v>
      </c>
      <c r="H191" s="53">
        <v>75000</v>
      </c>
      <c r="I191" s="53">
        <f>H191*E191</f>
        <v>150000</v>
      </c>
      <c r="J191" s="13"/>
    </row>
    <row r="192" spans="1:10" x14ac:dyDescent="0.35">
      <c r="A192" s="8"/>
      <c r="B192" s="10"/>
      <c r="C192" s="11"/>
      <c r="D192" s="11" t="s">
        <v>318</v>
      </c>
      <c r="E192" s="10">
        <v>40</v>
      </c>
      <c r="F192" s="10" t="s">
        <v>14</v>
      </c>
      <c r="G192" s="10" t="s">
        <v>200</v>
      </c>
      <c r="H192" s="53">
        <v>3750</v>
      </c>
      <c r="I192" s="53">
        <f t="shared" ref="I192:I194" si="8">H192*E192</f>
        <v>150000</v>
      </c>
      <c r="J192" s="13"/>
    </row>
    <row r="193" spans="1:10" x14ac:dyDescent="0.35">
      <c r="A193" s="8"/>
      <c r="B193" s="10"/>
      <c r="C193" s="11"/>
      <c r="D193" s="11" t="s">
        <v>319</v>
      </c>
      <c r="E193" s="10">
        <v>40</v>
      </c>
      <c r="F193" s="10" t="s">
        <v>14</v>
      </c>
      <c r="G193" s="10" t="s">
        <v>200</v>
      </c>
      <c r="H193" s="53">
        <v>1500</v>
      </c>
      <c r="I193" s="53">
        <f t="shared" si="8"/>
        <v>60000</v>
      </c>
      <c r="J193" s="13"/>
    </row>
    <row r="194" spans="1:10" x14ac:dyDescent="0.35">
      <c r="A194" s="8"/>
      <c r="B194" s="10"/>
      <c r="C194" s="11"/>
      <c r="D194" s="11" t="s">
        <v>320</v>
      </c>
      <c r="E194" s="10">
        <v>1</v>
      </c>
      <c r="F194" s="10" t="s">
        <v>14</v>
      </c>
      <c r="G194" s="10" t="s">
        <v>200</v>
      </c>
      <c r="H194" s="53">
        <v>186730</v>
      </c>
      <c r="I194" s="53">
        <f t="shared" si="8"/>
        <v>186730</v>
      </c>
      <c r="J194" s="13"/>
    </row>
    <row r="195" spans="1:10" x14ac:dyDescent="0.35">
      <c r="A195" s="8"/>
      <c r="B195" s="10"/>
      <c r="C195" s="11"/>
      <c r="D195" s="11"/>
      <c r="E195" s="10"/>
      <c r="F195" s="10"/>
      <c r="G195" s="10"/>
      <c r="H195" s="53"/>
      <c r="I195" s="54">
        <f>SUM(I191:I194)</f>
        <v>546730</v>
      </c>
      <c r="J195" s="13" t="s">
        <v>197</v>
      </c>
    </row>
    <row r="196" spans="1:10" x14ac:dyDescent="0.35">
      <c r="A196" s="8"/>
      <c r="B196" s="14"/>
      <c r="C196" s="8"/>
      <c r="D196" s="8"/>
      <c r="E196" s="14"/>
      <c r="F196" s="14"/>
      <c r="G196" s="14"/>
      <c r="H196" s="57"/>
      <c r="I196" s="57"/>
      <c r="J196" s="55"/>
    </row>
    <row r="197" spans="1:10" x14ac:dyDescent="0.35">
      <c r="A197" s="9">
        <v>45243</v>
      </c>
      <c r="B197" s="10">
        <v>783</v>
      </c>
      <c r="C197" s="11" t="s">
        <v>311</v>
      </c>
      <c r="D197" s="11" t="s">
        <v>321</v>
      </c>
      <c r="E197" s="10">
        <v>1</v>
      </c>
      <c r="F197" s="10" t="s">
        <v>14</v>
      </c>
      <c r="G197" s="10" t="s">
        <v>13</v>
      </c>
      <c r="H197" s="53">
        <v>1745850</v>
      </c>
      <c r="I197" s="53">
        <f>H197*E197</f>
        <v>1745850</v>
      </c>
      <c r="J197" s="13"/>
    </row>
    <row r="198" spans="1:10" x14ac:dyDescent="0.35">
      <c r="A198" s="11"/>
      <c r="B198" s="10"/>
      <c r="C198" s="11"/>
      <c r="D198" s="11" t="s">
        <v>322</v>
      </c>
      <c r="E198" s="10">
        <v>2</v>
      </c>
      <c r="F198" s="10" t="s">
        <v>14</v>
      </c>
      <c r="G198" s="10" t="s">
        <v>13</v>
      </c>
      <c r="H198" s="53">
        <v>97500</v>
      </c>
      <c r="I198" s="53">
        <f t="shared" ref="I198:I204" si="9">H198*E198</f>
        <v>195000</v>
      </c>
      <c r="J198" s="13"/>
    </row>
    <row r="199" spans="1:10" x14ac:dyDescent="0.35">
      <c r="A199" s="11"/>
      <c r="B199" s="10"/>
      <c r="C199" s="11"/>
      <c r="D199" s="11" t="s">
        <v>323</v>
      </c>
      <c r="E199" s="10">
        <v>4</v>
      </c>
      <c r="F199" s="10" t="s">
        <v>14</v>
      </c>
      <c r="G199" s="10" t="s">
        <v>13</v>
      </c>
      <c r="H199" s="53">
        <v>37500</v>
      </c>
      <c r="I199" s="53">
        <f t="shared" si="9"/>
        <v>150000</v>
      </c>
      <c r="J199" s="13"/>
    </row>
    <row r="200" spans="1:10" x14ac:dyDescent="0.35">
      <c r="A200" s="11"/>
      <c r="B200" s="10"/>
      <c r="C200" s="11"/>
      <c r="D200" s="11" t="s">
        <v>324</v>
      </c>
      <c r="E200" s="10">
        <v>1</v>
      </c>
      <c r="F200" s="10" t="s">
        <v>14</v>
      </c>
      <c r="G200" s="10" t="s">
        <v>13</v>
      </c>
      <c r="H200" s="53">
        <v>1875000</v>
      </c>
      <c r="I200" s="53">
        <f t="shared" si="9"/>
        <v>1875000</v>
      </c>
      <c r="J200" s="13"/>
    </row>
    <row r="201" spans="1:10" x14ac:dyDescent="0.35">
      <c r="A201" s="11"/>
      <c r="B201" s="10"/>
      <c r="C201" s="11"/>
      <c r="D201" s="11" t="s">
        <v>325</v>
      </c>
      <c r="E201" s="10">
        <v>2</v>
      </c>
      <c r="F201" s="10" t="s">
        <v>14</v>
      </c>
      <c r="G201" s="10" t="s">
        <v>13</v>
      </c>
      <c r="H201" s="53">
        <v>1012500</v>
      </c>
      <c r="I201" s="53">
        <f t="shared" si="9"/>
        <v>2025000</v>
      </c>
      <c r="J201" s="13"/>
    </row>
    <row r="202" spans="1:10" x14ac:dyDescent="0.35">
      <c r="A202" s="11"/>
      <c r="B202" s="10"/>
      <c r="C202" s="11"/>
      <c r="D202" s="11" t="s">
        <v>326</v>
      </c>
      <c r="E202" s="10">
        <v>15</v>
      </c>
      <c r="F202" s="10" t="s">
        <v>14</v>
      </c>
      <c r="G202" s="10" t="s">
        <v>13</v>
      </c>
      <c r="H202" s="53">
        <v>75000</v>
      </c>
      <c r="I202" s="53">
        <f t="shared" si="9"/>
        <v>1125000</v>
      </c>
      <c r="J202" s="13"/>
    </row>
    <row r="203" spans="1:10" x14ac:dyDescent="0.35">
      <c r="A203" s="8"/>
      <c r="B203" s="14"/>
      <c r="C203" s="8"/>
      <c r="D203" s="11" t="s">
        <v>327</v>
      </c>
      <c r="E203" s="10">
        <v>1</v>
      </c>
      <c r="F203" s="10" t="s">
        <v>14</v>
      </c>
      <c r="G203" s="10" t="s">
        <v>13</v>
      </c>
      <c r="H203" s="53">
        <v>2114100</v>
      </c>
      <c r="I203" s="53">
        <f t="shared" si="9"/>
        <v>2114100</v>
      </c>
      <c r="J203" s="55"/>
    </row>
    <row r="204" spans="1:10" x14ac:dyDescent="0.35">
      <c r="A204" s="8"/>
      <c r="B204" s="14"/>
      <c r="C204" s="8"/>
      <c r="D204" s="11" t="s">
        <v>328</v>
      </c>
      <c r="E204" s="10">
        <v>30</v>
      </c>
      <c r="F204" s="10" t="s">
        <v>14</v>
      </c>
      <c r="G204" s="10" t="s">
        <v>13</v>
      </c>
      <c r="H204" s="53">
        <v>40000</v>
      </c>
      <c r="I204" s="53">
        <f t="shared" si="9"/>
        <v>1200000</v>
      </c>
      <c r="J204" s="55"/>
    </row>
    <row r="205" spans="1:10" x14ac:dyDescent="0.35">
      <c r="A205" s="8"/>
      <c r="B205" s="14"/>
      <c r="C205" s="8"/>
      <c r="D205" s="8"/>
      <c r="E205" s="14"/>
      <c r="F205" s="14"/>
      <c r="G205" s="14"/>
      <c r="H205" s="57"/>
      <c r="I205" s="54">
        <f>SUM(I197:I204)</f>
        <v>10429950</v>
      </c>
      <c r="J205" s="13" t="s">
        <v>197</v>
      </c>
    </row>
    <row r="206" spans="1:10" x14ac:dyDescent="0.35">
      <c r="A206" s="9"/>
      <c r="B206" s="10"/>
      <c r="C206" s="15"/>
      <c r="D206" s="11"/>
      <c r="E206" s="25"/>
      <c r="F206" s="10"/>
      <c r="G206" s="10"/>
      <c r="H206" s="12"/>
      <c r="I206" s="12"/>
      <c r="J206" s="8"/>
    </row>
    <row r="207" spans="1:10" x14ac:dyDescent="0.35">
      <c r="A207" s="9">
        <v>45248</v>
      </c>
      <c r="B207" s="10">
        <v>779</v>
      </c>
      <c r="C207" s="11" t="s">
        <v>11</v>
      </c>
      <c r="D207" s="11" t="s">
        <v>329</v>
      </c>
      <c r="E207" s="10">
        <v>12</v>
      </c>
      <c r="F207" s="10" t="s">
        <v>14</v>
      </c>
      <c r="G207" s="10" t="s">
        <v>13</v>
      </c>
      <c r="H207" s="53">
        <v>32000</v>
      </c>
      <c r="I207" s="53">
        <f t="shared" ref="I207:I226" si="10">H207*E207</f>
        <v>384000</v>
      </c>
      <c r="J207" s="13"/>
    </row>
    <row r="208" spans="1:10" x14ac:dyDescent="0.35">
      <c r="A208" s="11"/>
      <c r="B208" s="10"/>
      <c r="C208" s="11"/>
      <c r="D208" s="11" t="s">
        <v>294</v>
      </c>
      <c r="E208" s="10">
        <v>2</v>
      </c>
      <c r="F208" s="10" t="s">
        <v>286</v>
      </c>
      <c r="G208" s="10" t="s">
        <v>13</v>
      </c>
      <c r="H208" s="53">
        <v>13000</v>
      </c>
      <c r="I208" s="53">
        <f t="shared" si="10"/>
        <v>26000</v>
      </c>
      <c r="J208" s="13"/>
    </row>
    <row r="209" spans="1:10" x14ac:dyDescent="0.35">
      <c r="A209" s="11"/>
      <c r="B209" s="10"/>
      <c r="C209" s="11"/>
      <c r="D209" s="11" t="s">
        <v>330</v>
      </c>
      <c r="E209" s="10">
        <v>5</v>
      </c>
      <c r="F209" s="10" t="s">
        <v>17</v>
      </c>
      <c r="G209" s="10" t="s">
        <v>13</v>
      </c>
      <c r="H209" s="53">
        <v>20250</v>
      </c>
      <c r="I209" s="53">
        <f t="shared" si="10"/>
        <v>101250</v>
      </c>
      <c r="J209" s="13"/>
    </row>
    <row r="210" spans="1:10" x14ac:dyDescent="0.35">
      <c r="A210" s="11"/>
      <c r="B210" s="10"/>
      <c r="C210" s="11"/>
      <c r="D210" s="11" t="s">
        <v>331</v>
      </c>
      <c r="E210" s="10">
        <v>15</v>
      </c>
      <c r="F210" s="10" t="s">
        <v>28</v>
      </c>
      <c r="G210" s="10" t="s">
        <v>13</v>
      </c>
      <c r="H210" s="53">
        <v>7500</v>
      </c>
      <c r="I210" s="53">
        <f t="shared" si="10"/>
        <v>112500</v>
      </c>
      <c r="J210" s="13"/>
    </row>
    <row r="211" spans="1:10" x14ac:dyDescent="0.35">
      <c r="A211" s="11"/>
      <c r="B211" s="10"/>
      <c r="C211" s="11"/>
      <c r="D211" s="11" t="s">
        <v>332</v>
      </c>
      <c r="E211" s="10">
        <v>20</v>
      </c>
      <c r="F211" s="10" t="s">
        <v>21</v>
      </c>
      <c r="G211" s="10" t="s">
        <v>13</v>
      </c>
      <c r="H211" s="53">
        <v>27000</v>
      </c>
      <c r="I211" s="53">
        <f t="shared" si="10"/>
        <v>540000</v>
      </c>
      <c r="J211" s="13"/>
    </row>
    <row r="212" spans="1:10" x14ac:dyDescent="0.35">
      <c r="A212" s="11"/>
      <c r="B212" s="10"/>
      <c r="C212" s="11"/>
      <c r="D212" s="11" t="s">
        <v>333</v>
      </c>
      <c r="E212" s="10">
        <v>12</v>
      </c>
      <c r="F212" s="10" t="s">
        <v>17</v>
      </c>
      <c r="G212" s="10" t="s">
        <v>13</v>
      </c>
      <c r="H212" s="53">
        <v>17500</v>
      </c>
      <c r="I212" s="53">
        <f t="shared" si="10"/>
        <v>210000</v>
      </c>
      <c r="J212" s="13"/>
    </row>
    <row r="213" spans="1:10" x14ac:dyDescent="0.35">
      <c r="A213" s="11"/>
      <c r="B213" s="10"/>
      <c r="C213" s="11"/>
      <c r="D213" s="11" t="s">
        <v>93</v>
      </c>
      <c r="E213" s="10">
        <v>5</v>
      </c>
      <c r="F213" s="10" t="s">
        <v>17</v>
      </c>
      <c r="G213" s="10" t="s">
        <v>13</v>
      </c>
      <c r="H213" s="53">
        <v>42000</v>
      </c>
      <c r="I213" s="53">
        <f t="shared" si="10"/>
        <v>210000</v>
      </c>
      <c r="J213" s="13"/>
    </row>
    <row r="214" spans="1:10" x14ac:dyDescent="0.35">
      <c r="A214" s="11"/>
      <c r="B214" s="10"/>
      <c r="C214" s="11"/>
      <c r="D214" s="11" t="s">
        <v>334</v>
      </c>
      <c r="E214" s="10">
        <v>5</v>
      </c>
      <c r="F214" s="10" t="s">
        <v>17</v>
      </c>
      <c r="G214" s="10" t="s">
        <v>13</v>
      </c>
      <c r="H214" s="53">
        <v>51000</v>
      </c>
      <c r="I214" s="53">
        <f t="shared" si="10"/>
        <v>255000</v>
      </c>
      <c r="J214" s="13"/>
    </row>
    <row r="215" spans="1:10" x14ac:dyDescent="0.35">
      <c r="A215" s="11"/>
      <c r="B215" s="10"/>
      <c r="C215" s="11"/>
      <c r="D215" s="11" t="s">
        <v>276</v>
      </c>
      <c r="E215" s="10">
        <v>5</v>
      </c>
      <c r="F215" s="10" t="s">
        <v>17</v>
      </c>
      <c r="G215" s="10" t="s">
        <v>13</v>
      </c>
      <c r="H215" s="53">
        <v>27000</v>
      </c>
      <c r="I215" s="53">
        <f t="shared" si="10"/>
        <v>135000</v>
      </c>
      <c r="J215" s="13"/>
    </row>
    <row r="216" spans="1:10" x14ac:dyDescent="0.35">
      <c r="A216" s="11"/>
      <c r="B216" s="10"/>
      <c r="C216" s="11"/>
      <c r="D216" s="11" t="s">
        <v>335</v>
      </c>
      <c r="E216" s="10">
        <v>30</v>
      </c>
      <c r="F216" s="10" t="s">
        <v>12</v>
      </c>
      <c r="G216" s="10" t="s">
        <v>13</v>
      </c>
      <c r="H216" s="53">
        <v>3750</v>
      </c>
      <c r="I216" s="53">
        <f t="shared" si="10"/>
        <v>112500</v>
      </c>
      <c r="J216" s="13"/>
    </row>
    <row r="217" spans="1:10" x14ac:dyDescent="0.35">
      <c r="A217" s="11"/>
      <c r="B217" s="10"/>
      <c r="C217" s="11"/>
      <c r="D217" s="11" t="s">
        <v>336</v>
      </c>
      <c r="E217" s="10">
        <v>12</v>
      </c>
      <c r="F217" s="10" t="s">
        <v>14</v>
      </c>
      <c r="G217" s="10" t="s">
        <v>13</v>
      </c>
      <c r="H217" s="53">
        <v>2250</v>
      </c>
      <c r="I217" s="53">
        <f t="shared" si="10"/>
        <v>27000</v>
      </c>
      <c r="J217" s="13"/>
    </row>
    <row r="218" spans="1:10" x14ac:dyDescent="0.35">
      <c r="A218" s="11"/>
      <c r="B218" s="10"/>
      <c r="C218" s="11"/>
      <c r="D218" s="11" t="s">
        <v>22</v>
      </c>
      <c r="E218" s="10">
        <v>60</v>
      </c>
      <c r="F218" s="10" t="s">
        <v>20</v>
      </c>
      <c r="G218" s="10" t="s">
        <v>13</v>
      </c>
      <c r="H218" s="53">
        <v>45500</v>
      </c>
      <c r="I218" s="53">
        <f t="shared" si="10"/>
        <v>2730000</v>
      </c>
      <c r="J218" s="13"/>
    </row>
    <row r="219" spans="1:10" x14ac:dyDescent="0.35">
      <c r="A219" s="11"/>
      <c r="B219" s="10"/>
      <c r="C219" s="11"/>
      <c r="D219" s="11" t="s">
        <v>19</v>
      </c>
      <c r="E219" s="10">
        <v>50</v>
      </c>
      <c r="F219" s="10" t="s">
        <v>20</v>
      </c>
      <c r="G219" s="10" t="s">
        <v>13</v>
      </c>
      <c r="H219" s="53">
        <v>40500</v>
      </c>
      <c r="I219" s="53">
        <f t="shared" si="10"/>
        <v>2025000</v>
      </c>
      <c r="J219" s="13"/>
    </row>
    <row r="220" spans="1:10" x14ac:dyDescent="0.35">
      <c r="A220" s="11"/>
      <c r="B220" s="10"/>
      <c r="C220" s="11"/>
      <c r="D220" s="11" t="s">
        <v>337</v>
      </c>
      <c r="E220" s="10">
        <v>1</v>
      </c>
      <c r="F220" s="10" t="s">
        <v>14</v>
      </c>
      <c r="G220" s="10" t="s">
        <v>13</v>
      </c>
      <c r="H220" s="53">
        <v>450000</v>
      </c>
      <c r="I220" s="53">
        <f t="shared" si="10"/>
        <v>450000</v>
      </c>
      <c r="J220" s="13"/>
    </row>
    <row r="221" spans="1:10" x14ac:dyDescent="0.35">
      <c r="A221" s="11"/>
      <c r="B221" s="10"/>
      <c r="C221" s="11"/>
      <c r="D221" s="11" t="s">
        <v>338</v>
      </c>
      <c r="E221" s="10">
        <v>30</v>
      </c>
      <c r="F221" s="10" t="s">
        <v>28</v>
      </c>
      <c r="G221" s="10" t="s">
        <v>13</v>
      </c>
      <c r="H221" s="53">
        <v>11250</v>
      </c>
      <c r="I221" s="53">
        <f t="shared" si="10"/>
        <v>337500</v>
      </c>
      <c r="J221" s="13"/>
    </row>
    <row r="222" spans="1:10" x14ac:dyDescent="0.35">
      <c r="A222" s="11"/>
      <c r="B222" s="10"/>
      <c r="C222" s="11"/>
      <c r="D222" s="11" t="s">
        <v>339</v>
      </c>
      <c r="E222" s="10">
        <v>5</v>
      </c>
      <c r="F222" s="10" t="s">
        <v>340</v>
      </c>
      <c r="G222" s="10" t="s">
        <v>13</v>
      </c>
      <c r="H222" s="53">
        <v>16000</v>
      </c>
      <c r="I222" s="53">
        <f t="shared" si="10"/>
        <v>80000</v>
      </c>
      <c r="J222" s="13"/>
    </row>
    <row r="223" spans="1:10" x14ac:dyDescent="0.35">
      <c r="A223" s="11"/>
      <c r="B223" s="10"/>
      <c r="C223" s="11"/>
      <c r="D223" s="11" t="s">
        <v>341</v>
      </c>
      <c r="E223" s="10">
        <v>2</v>
      </c>
      <c r="F223" s="10" t="s">
        <v>21</v>
      </c>
      <c r="G223" s="10" t="s">
        <v>13</v>
      </c>
      <c r="H223" s="53">
        <v>7250</v>
      </c>
      <c r="I223" s="53">
        <f t="shared" si="10"/>
        <v>14500</v>
      </c>
      <c r="J223" s="13"/>
    </row>
    <row r="224" spans="1:10" x14ac:dyDescent="0.35">
      <c r="A224" s="11"/>
      <c r="B224" s="10"/>
      <c r="C224" s="11"/>
      <c r="D224" s="11" t="s">
        <v>342</v>
      </c>
      <c r="E224" s="10">
        <v>3</v>
      </c>
      <c r="F224" s="10" t="s">
        <v>17</v>
      </c>
      <c r="G224" s="10" t="s">
        <v>13</v>
      </c>
      <c r="H224" s="53">
        <v>7000</v>
      </c>
      <c r="I224" s="53">
        <f t="shared" si="10"/>
        <v>21000</v>
      </c>
      <c r="J224" s="13"/>
    </row>
    <row r="225" spans="1:10" x14ac:dyDescent="0.35">
      <c r="A225" s="11"/>
      <c r="B225" s="10"/>
      <c r="C225" s="11"/>
      <c r="D225" s="11" t="s">
        <v>343</v>
      </c>
      <c r="E225" s="10">
        <v>20</v>
      </c>
      <c r="F225" s="10" t="s">
        <v>28</v>
      </c>
      <c r="G225" s="10" t="s">
        <v>13</v>
      </c>
      <c r="H225" s="53">
        <v>7500</v>
      </c>
      <c r="I225" s="53">
        <f t="shared" si="10"/>
        <v>150000</v>
      </c>
      <c r="J225" s="13"/>
    </row>
    <row r="226" spans="1:10" x14ac:dyDescent="0.35">
      <c r="A226" s="11"/>
      <c r="B226" s="10"/>
      <c r="C226" s="11"/>
      <c r="D226" s="11" t="s">
        <v>344</v>
      </c>
      <c r="E226" s="10">
        <v>1</v>
      </c>
      <c r="F226" s="10" t="s">
        <v>17</v>
      </c>
      <c r="G226" s="10" t="s">
        <v>13</v>
      </c>
      <c r="H226" s="53">
        <v>70000</v>
      </c>
      <c r="I226" s="53">
        <f t="shared" si="10"/>
        <v>70000</v>
      </c>
      <c r="J226" s="13"/>
    </row>
    <row r="227" spans="1:10" x14ac:dyDescent="0.35">
      <c r="A227" s="11"/>
      <c r="B227" s="10"/>
      <c r="C227" s="11"/>
      <c r="D227" s="11"/>
      <c r="E227" s="10"/>
      <c r="F227" s="10"/>
      <c r="G227" s="10"/>
      <c r="H227" s="53"/>
      <c r="I227" s="54">
        <f>SUM(I207:I226)</f>
        <v>7991250</v>
      </c>
      <c r="J227" s="13" t="s">
        <v>197</v>
      </c>
    </row>
    <row r="228" spans="1:10" x14ac:dyDescent="0.35">
      <c r="A228" s="11"/>
      <c r="B228" s="10"/>
      <c r="C228" s="11"/>
      <c r="D228" s="11"/>
      <c r="E228" s="19"/>
      <c r="F228" s="10"/>
      <c r="G228" s="10"/>
      <c r="H228" s="18"/>
      <c r="I228" s="26"/>
      <c r="J228" s="8"/>
    </row>
    <row r="229" spans="1:10" x14ac:dyDescent="0.35">
      <c r="A229" s="9">
        <v>45260</v>
      </c>
      <c r="B229" s="10">
        <v>767</v>
      </c>
      <c r="C229" s="11" t="s">
        <v>261</v>
      </c>
      <c r="D229" s="11" t="s">
        <v>345</v>
      </c>
      <c r="E229" s="10">
        <v>1</v>
      </c>
      <c r="F229" s="10" t="s">
        <v>210</v>
      </c>
      <c r="G229" s="10" t="s">
        <v>200</v>
      </c>
      <c r="H229" s="53">
        <v>2300000</v>
      </c>
      <c r="I229" s="53">
        <f>H229*E229</f>
        <v>2300000</v>
      </c>
      <c r="J229" s="13"/>
    </row>
    <row r="230" spans="1:10" x14ac:dyDescent="0.35">
      <c r="A230" s="8"/>
      <c r="B230" s="10"/>
      <c r="C230" s="11"/>
      <c r="D230" s="11"/>
      <c r="E230" s="10"/>
      <c r="F230" s="10"/>
      <c r="G230" s="10"/>
      <c r="H230" s="53"/>
      <c r="I230" s="54">
        <f>SUM(I229)</f>
        <v>2300000</v>
      </c>
      <c r="J230" s="13" t="s">
        <v>197</v>
      </c>
    </row>
    <row r="231" spans="1:10" x14ac:dyDescent="0.35">
      <c r="A231" s="8"/>
      <c r="B231" s="10"/>
      <c r="C231" s="8"/>
      <c r="D231" s="8"/>
      <c r="E231" s="14"/>
      <c r="F231" s="14"/>
      <c r="G231" s="14"/>
      <c r="H231" s="57"/>
      <c r="I231" s="57"/>
      <c r="J231" s="55"/>
    </row>
    <row r="232" spans="1:10" x14ac:dyDescent="0.35">
      <c r="A232" s="9">
        <v>45260</v>
      </c>
      <c r="B232" s="10">
        <v>768</v>
      </c>
      <c r="C232" s="11" t="s">
        <v>261</v>
      </c>
      <c r="D232" s="22" t="s">
        <v>346</v>
      </c>
      <c r="E232" s="21"/>
      <c r="F232" s="21"/>
      <c r="G232" s="21"/>
      <c r="H232" s="65"/>
      <c r="I232" s="65"/>
      <c r="J232" s="44"/>
    </row>
    <row r="233" spans="1:10" x14ac:dyDescent="0.35">
      <c r="A233" s="8"/>
      <c r="B233" s="10"/>
      <c r="C233" s="11"/>
      <c r="D233" s="11" t="s">
        <v>347</v>
      </c>
      <c r="E233" s="10">
        <v>5</v>
      </c>
      <c r="F233" s="10" t="s">
        <v>348</v>
      </c>
      <c r="G233" s="10" t="s">
        <v>200</v>
      </c>
      <c r="H233" s="53">
        <f>200000-(200000*30%)</f>
        <v>140000</v>
      </c>
      <c r="I233" s="53">
        <f>H233*E233</f>
        <v>700000</v>
      </c>
      <c r="J233" s="13"/>
    </row>
    <row r="234" spans="1:10" x14ac:dyDescent="0.35">
      <c r="A234" s="8"/>
      <c r="B234" s="14"/>
      <c r="C234" s="11"/>
      <c r="D234" s="11" t="s">
        <v>349</v>
      </c>
      <c r="E234" s="10">
        <v>5</v>
      </c>
      <c r="F234" s="10" t="s">
        <v>348</v>
      </c>
      <c r="G234" s="10" t="s">
        <v>200</v>
      </c>
      <c r="H234" s="53">
        <f>27500-(27500*30%)</f>
        <v>19250</v>
      </c>
      <c r="I234" s="53">
        <f>H234*E234</f>
        <v>96250</v>
      </c>
      <c r="J234" s="13"/>
    </row>
    <row r="235" spans="1:10" x14ac:dyDescent="0.35">
      <c r="A235" s="8"/>
      <c r="B235" s="14"/>
      <c r="C235" s="11"/>
      <c r="D235" s="11" t="s">
        <v>350</v>
      </c>
      <c r="E235" s="10">
        <v>4</v>
      </c>
      <c r="F235" s="10" t="s">
        <v>14</v>
      </c>
      <c r="G235" s="10" t="s">
        <v>200</v>
      </c>
      <c r="H235" s="53">
        <f>65000-(65000*25%)</f>
        <v>48750</v>
      </c>
      <c r="I235" s="53">
        <f>H235*E235</f>
        <v>195000</v>
      </c>
      <c r="J235" s="13"/>
    </row>
    <row r="236" spans="1:10" x14ac:dyDescent="0.35">
      <c r="A236" s="8"/>
      <c r="B236" s="14"/>
      <c r="C236" s="11"/>
      <c r="D236" s="11" t="s">
        <v>351</v>
      </c>
      <c r="E236" s="10">
        <v>4</v>
      </c>
      <c r="F236" s="10" t="s">
        <v>14</v>
      </c>
      <c r="G236" s="10" t="s">
        <v>200</v>
      </c>
      <c r="H236" s="53">
        <f>60000-(60000*25%)</f>
        <v>45000</v>
      </c>
      <c r="I236" s="53">
        <f>H236*E236</f>
        <v>180000</v>
      </c>
      <c r="J236" s="13"/>
    </row>
    <row r="237" spans="1:10" x14ac:dyDescent="0.35">
      <c r="A237" s="8"/>
      <c r="B237" s="14"/>
      <c r="C237" s="11"/>
      <c r="D237" s="11"/>
      <c r="E237" s="10"/>
      <c r="F237" s="10"/>
      <c r="G237" s="10"/>
      <c r="H237" s="53"/>
      <c r="I237" s="54">
        <f>SUM(I232:I236)</f>
        <v>1171250</v>
      </c>
      <c r="J237" s="13" t="s">
        <v>197</v>
      </c>
    </row>
    <row r="238" spans="1:10" x14ac:dyDescent="0.35">
      <c r="A238" s="8"/>
      <c r="B238" s="14"/>
      <c r="C238" s="8"/>
      <c r="D238" s="11"/>
      <c r="E238" s="19"/>
      <c r="F238" s="10"/>
      <c r="G238" s="10"/>
      <c r="H238" s="18"/>
      <c r="I238" s="20"/>
      <c r="J238" s="13"/>
    </row>
    <row r="239" spans="1:10" x14ac:dyDescent="0.35">
      <c r="A239" s="9">
        <v>45260</v>
      </c>
      <c r="B239" s="10">
        <v>762</v>
      </c>
      <c r="C239" s="8"/>
      <c r="D239" s="22" t="s">
        <v>352</v>
      </c>
      <c r="E239" s="21"/>
      <c r="F239" s="21"/>
      <c r="G239" s="21"/>
      <c r="H239" s="65"/>
      <c r="I239" s="65"/>
      <c r="J239" s="44"/>
    </row>
    <row r="240" spans="1:10" x14ac:dyDescent="0.35">
      <c r="A240" s="8"/>
      <c r="B240" s="10"/>
      <c r="C240" s="8"/>
      <c r="D240" s="11" t="s">
        <v>353</v>
      </c>
      <c r="E240" s="10">
        <v>1</v>
      </c>
      <c r="F240" s="10" t="s">
        <v>210</v>
      </c>
      <c r="G240" s="10" t="s">
        <v>13</v>
      </c>
      <c r="H240" s="53">
        <f>2800000-(2800000*25%)</f>
        <v>2100000</v>
      </c>
      <c r="I240" s="53">
        <f>H240*E240</f>
        <v>2100000</v>
      </c>
      <c r="J240" s="13"/>
    </row>
    <row r="241" spans="1:10" x14ac:dyDescent="0.35">
      <c r="A241" s="8"/>
      <c r="B241" s="10"/>
      <c r="C241" s="8"/>
      <c r="D241" s="11"/>
      <c r="E241" s="10"/>
      <c r="F241" s="10"/>
      <c r="G241" s="10"/>
      <c r="H241" s="53"/>
      <c r="I241" s="54">
        <f>SUM(I239:I240)</f>
        <v>2100000</v>
      </c>
      <c r="J241" s="13" t="s">
        <v>197</v>
      </c>
    </row>
    <row r="242" spans="1:10" x14ac:dyDescent="0.35">
      <c r="A242" s="11"/>
      <c r="B242" s="10"/>
      <c r="C242" s="11"/>
      <c r="D242" s="11"/>
      <c r="E242" s="19"/>
      <c r="F242" s="10"/>
      <c r="G242" s="10"/>
      <c r="H242" s="18"/>
      <c r="I242" s="18"/>
      <c r="J242" s="13"/>
    </row>
    <row r="243" spans="1:10" x14ac:dyDescent="0.35">
      <c r="A243" s="9">
        <v>45259</v>
      </c>
      <c r="B243" s="10">
        <v>761</v>
      </c>
      <c r="C243" s="8"/>
      <c r="D243" s="22" t="s">
        <v>354</v>
      </c>
      <c r="E243" s="21">
        <v>1</v>
      </c>
      <c r="F243" s="21" t="s">
        <v>14</v>
      </c>
      <c r="G243" s="21" t="s">
        <v>13</v>
      </c>
      <c r="H243" s="65"/>
      <c r="I243" s="65"/>
      <c r="J243" s="44"/>
    </row>
    <row r="244" spans="1:10" x14ac:dyDescent="0.35">
      <c r="A244" s="8"/>
      <c r="B244" s="10"/>
      <c r="C244" s="8"/>
      <c r="D244" s="22" t="s">
        <v>355</v>
      </c>
      <c r="E244" s="21">
        <v>2</v>
      </c>
      <c r="F244" s="21" t="s">
        <v>210</v>
      </c>
      <c r="G244" s="21" t="s">
        <v>13</v>
      </c>
      <c r="H244" s="65"/>
      <c r="I244" s="65"/>
      <c r="J244" s="44"/>
    </row>
    <row r="245" spans="1:10" x14ac:dyDescent="0.35">
      <c r="A245" s="8"/>
      <c r="B245" s="10"/>
      <c r="C245" s="8"/>
      <c r="D245" s="11" t="s">
        <v>356</v>
      </c>
      <c r="E245" s="10">
        <v>12</v>
      </c>
      <c r="F245" s="10" t="s">
        <v>210</v>
      </c>
      <c r="G245" s="10" t="s">
        <v>13</v>
      </c>
      <c r="H245" s="53">
        <f>125000-(125000*25%)</f>
        <v>93750</v>
      </c>
      <c r="I245" s="53">
        <f t="shared" ref="I245:I247" si="11">H245*E245</f>
        <v>1125000</v>
      </c>
      <c r="J245" s="13"/>
    </row>
    <row r="246" spans="1:10" x14ac:dyDescent="0.35">
      <c r="A246" s="8"/>
      <c r="B246" s="10"/>
      <c r="C246" s="8"/>
      <c r="D246" s="11" t="s">
        <v>357</v>
      </c>
      <c r="E246" s="10">
        <v>1</v>
      </c>
      <c r="F246" s="10" t="s">
        <v>210</v>
      </c>
      <c r="G246" s="10" t="s">
        <v>13</v>
      </c>
      <c r="H246" s="53">
        <f>350000-(350000*25%)</f>
        <v>262500</v>
      </c>
      <c r="I246" s="53">
        <f t="shared" si="11"/>
        <v>262500</v>
      </c>
      <c r="J246" s="13"/>
    </row>
    <row r="247" spans="1:10" x14ac:dyDescent="0.35">
      <c r="A247" s="8"/>
      <c r="B247" s="10"/>
      <c r="C247" s="8"/>
      <c r="D247" s="11" t="s">
        <v>358</v>
      </c>
      <c r="E247" s="10">
        <v>48</v>
      </c>
      <c r="F247" s="10" t="s">
        <v>14</v>
      </c>
      <c r="G247" s="10" t="s">
        <v>13</v>
      </c>
      <c r="H247" s="53">
        <f>6667-(6667*25%)</f>
        <v>5000.25</v>
      </c>
      <c r="I247" s="53">
        <f t="shared" si="11"/>
        <v>240012</v>
      </c>
      <c r="J247" s="13"/>
    </row>
    <row r="248" spans="1:10" x14ac:dyDescent="0.35">
      <c r="A248" s="8"/>
      <c r="B248" s="10"/>
      <c r="C248" s="8"/>
      <c r="D248" s="22" t="s">
        <v>359</v>
      </c>
      <c r="E248" s="21">
        <v>1</v>
      </c>
      <c r="F248" s="21" t="s">
        <v>14</v>
      </c>
      <c r="G248" s="21" t="s">
        <v>13</v>
      </c>
      <c r="H248" s="65"/>
      <c r="I248" s="65"/>
      <c r="J248" s="44"/>
    </row>
    <row r="249" spans="1:10" x14ac:dyDescent="0.35">
      <c r="A249" s="8"/>
      <c r="B249" s="10"/>
      <c r="C249" s="8"/>
      <c r="D249" s="8"/>
      <c r="E249" s="14"/>
      <c r="F249" s="14"/>
      <c r="G249" s="14"/>
      <c r="H249" s="57"/>
      <c r="I249" s="54">
        <f>SUM(I243:I248)</f>
        <v>1627512</v>
      </c>
      <c r="J249" s="13" t="s">
        <v>197</v>
      </c>
    </row>
    <row r="250" spans="1:10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35">
      <c r="A251" s="9">
        <v>45259</v>
      </c>
      <c r="B251" s="10">
        <v>760</v>
      </c>
      <c r="C251" s="8"/>
      <c r="D251" s="22" t="s">
        <v>360</v>
      </c>
      <c r="E251" s="21">
        <v>10</v>
      </c>
      <c r="F251" s="21" t="s">
        <v>14</v>
      </c>
      <c r="G251" s="21" t="s">
        <v>13</v>
      </c>
      <c r="H251" s="65"/>
      <c r="I251" s="65">
        <f t="shared" ref="I251:I256" si="12">H251*E251</f>
        <v>0</v>
      </c>
      <c r="J251" s="44"/>
    </row>
    <row r="252" spans="1:10" x14ac:dyDescent="0.35">
      <c r="A252" s="8"/>
      <c r="B252" s="10"/>
      <c r="C252" s="8"/>
      <c r="D252" s="11" t="s">
        <v>361</v>
      </c>
      <c r="E252" s="10">
        <v>1</v>
      </c>
      <c r="F252" s="10" t="s">
        <v>210</v>
      </c>
      <c r="G252" s="10" t="s">
        <v>13</v>
      </c>
      <c r="H252" s="53">
        <f>1600000-(1600000*25%)</f>
        <v>1200000</v>
      </c>
      <c r="I252" s="53">
        <f t="shared" si="12"/>
        <v>1200000</v>
      </c>
      <c r="J252" s="13"/>
    </row>
    <row r="253" spans="1:10" x14ac:dyDescent="0.35">
      <c r="A253" s="8"/>
      <c r="B253" s="10"/>
      <c r="C253" s="8"/>
      <c r="D253" s="22" t="s">
        <v>362</v>
      </c>
      <c r="E253" s="21">
        <v>1</v>
      </c>
      <c r="F253" s="21" t="s">
        <v>210</v>
      </c>
      <c r="G253" s="21" t="s">
        <v>13</v>
      </c>
      <c r="H253" s="65"/>
      <c r="I253" s="65">
        <f t="shared" si="12"/>
        <v>0</v>
      </c>
      <c r="J253" s="44"/>
    </row>
    <row r="254" spans="1:10" x14ac:dyDescent="0.35">
      <c r="A254" s="8"/>
      <c r="B254" s="10"/>
      <c r="C254" s="8"/>
      <c r="D254" s="11" t="s">
        <v>363</v>
      </c>
      <c r="E254" s="10">
        <v>10</v>
      </c>
      <c r="F254" s="10" t="s">
        <v>14</v>
      </c>
      <c r="G254" s="10" t="s">
        <v>13</v>
      </c>
      <c r="H254" s="53">
        <f>20000-(20000*25%)</f>
        <v>15000</v>
      </c>
      <c r="I254" s="53">
        <f t="shared" si="12"/>
        <v>150000</v>
      </c>
      <c r="J254" s="13"/>
    </row>
    <row r="255" spans="1:10" x14ac:dyDescent="0.35">
      <c r="A255" s="8"/>
      <c r="B255" s="10"/>
      <c r="C255" s="8"/>
      <c r="D255" s="22" t="s">
        <v>364</v>
      </c>
      <c r="E255" s="21">
        <v>4</v>
      </c>
      <c r="F255" s="21" t="s">
        <v>14</v>
      </c>
      <c r="G255" s="21" t="s">
        <v>13</v>
      </c>
      <c r="H255" s="65"/>
      <c r="I255" s="65">
        <f t="shared" si="12"/>
        <v>0</v>
      </c>
      <c r="J255" s="44"/>
    </row>
    <row r="256" spans="1:10" x14ac:dyDescent="0.35">
      <c r="A256" s="8"/>
      <c r="B256" s="10"/>
      <c r="C256" s="8"/>
      <c r="D256" s="22" t="s">
        <v>365</v>
      </c>
      <c r="E256" s="21">
        <v>4</v>
      </c>
      <c r="F256" s="21" t="s">
        <v>210</v>
      </c>
      <c r="G256" s="21" t="s">
        <v>13</v>
      </c>
      <c r="H256" s="65"/>
      <c r="I256" s="65">
        <f t="shared" si="12"/>
        <v>0</v>
      </c>
      <c r="J256" s="44"/>
    </row>
    <row r="257" spans="1:10" x14ac:dyDescent="0.35">
      <c r="A257" s="8"/>
      <c r="B257" s="10"/>
      <c r="C257" s="8"/>
      <c r="D257" s="11"/>
      <c r="E257" s="10"/>
      <c r="F257" s="10"/>
      <c r="G257" s="10"/>
      <c r="H257" s="53"/>
      <c r="I257" s="54">
        <f>SUM(I251:I256)</f>
        <v>1350000</v>
      </c>
      <c r="J257" s="13" t="s">
        <v>197</v>
      </c>
    </row>
    <row r="258" spans="1:10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35">
      <c r="A259" s="9">
        <v>45259</v>
      </c>
      <c r="B259" s="10">
        <v>759</v>
      </c>
      <c r="C259" s="8"/>
      <c r="D259" s="11" t="s">
        <v>366</v>
      </c>
      <c r="E259" s="10">
        <v>1</v>
      </c>
      <c r="F259" s="10" t="s">
        <v>210</v>
      </c>
      <c r="G259" s="10" t="s">
        <v>13</v>
      </c>
      <c r="H259" s="53">
        <f>2730000-(2730000*25%)</f>
        <v>2047500</v>
      </c>
      <c r="I259" s="53">
        <f>H259*E259</f>
        <v>2047500</v>
      </c>
      <c r="J259" s="13"/>
    </row>
    <row r="260" spans="1:10" x14ac:dyDescent="0.35">
      <c r="A260" s="8"/>
      <c r="B260" s="10"/>
      <c r="C260" s="8"/>
      <c r="D260" s="11" t="s">
        <v>367</v>
      </c>
      <c r="E260" s="10">
        <v>1</v>
      </c>
      <c r="F260" s="10" t="s">
        <v>210</v>
      </c>
      <c r="G260" s="10" t="s">
        <v>13</v>
      </c>
      <c r="H260" s="53">
        <f>2000000-(2000000*25%)</f>
        <v>1500000</v>
      </c>
      <c r="I260" s="53">
        <f>H260*E260</f>
        <v>1500000</v>
      </c>
      <c r="J260" s="13"/>
    </row>
    <row r="261" spans="1:10" x14ac:dyDescent="0.35">
      <c r="A261" s="8"/>
      <c r="B261" s="10"/>
      <c r="C261" s="8"/>
      <c r="D261" s="11" t="s">
        <v>368</v>
      </c>
      <c r="E261" s="10">
        <v>1</v>
      </c>
      <c r="F261" s="10" t="s">
        <v>210</v>
      </c>
      <c r="G261" s="10" t="s">
        <v>13</v>
      </c>
      <c r="H261" s="53">
        <f>2500000-(2500000*25%)</f>
        <v>1875000</v>
      </c>
      <c r="I261" s="53">
        <f>H261*E261</f>
        <v>1875000</v>
      </c>
      <c r="J261" s="13"/>
    </row>
    <row r="262" spans="1:10" x14ac:dyDescent="0.35">
      <c r="A262" s="8"/>
      <c r="B262" s="10"/>
      <c r="C262" s="8"/>
      <c r="D262" s="11" t="s">
        <v>369</v>
      </c>
      <c r="E262" s="10">
        <v>50</v>
      </c>
      <c r="F262" s="10" t="s">
        <v>14</v>
      </c>
      <c r="G262" s="10" t="s">
        <v>13</v>
      </c>
      <c r="H262" s="53">
        <f>30000-(30000*25%)</f>
        <v>22500</v>
      </c>
      <c r="I262" s="53">
        <f>H262*E262</f>
        <v>1125000</v>
      </c>
      <c r="J262" s="13"/>
    </row>
    <row r="263" spans="1:10" x14ac:dyDescent="0.35">
      <c r="A263" s="8"/>
      <c r="B263" s="10"/>
      <c r="C263" s="8"/>
      <c r="D263" s="11"/>
      <c r="E263" s="10"/>
      <c r="F263" s="10"/>
      <c r="G263" s="10"/>
      <c r="H263" s="53"/>
      <c r="I263" s="54">
        <f>SUM(I259:I262)</f>
        <v>6547500</v>
      </c>
      <c r="J263" s="13" t="s">
        <v>197</v>
      </c>
    </row>
    <row r="264" spans="1:10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35">
      <c r="A265" s="9">
        <v>45259</v>
      </c>
      <c r="B265" s="10">
        <v>758</v>
      </c>
      <c r="C265" s="8"/>
      <c r="D265" s="11" t="s">
        <v>370</v>
      </c>
      <c r="E265" s="10"/>
      <c r="F265" s="10"/>
      <c r="G265" s="10"/>
      <c r="H265" s="53"/>
      <c r="I265" s="53"/>
      <c r="J265" s="13"/>
    </row>
    <row r="266" spans="1:10" x14ac:dyDescent="0.35">
      <c r="A266" s="8"/>
      <c r="B266" s="10"/>
      <c r="C266" s="8"/>
      <c r="D266" s="22" t="s">
        <v>371</v>
      </c>
      <c r="E266" s="21">
        <v>1</v>
      </c>
      <c r="F266" s="21" t="s">
        <v>210</v>
      </c>
      <c r="G266" s="21" t="s">
        <v>13</v>
      </c>
      <c r="H266" s="61"/>
      <c r="I266" s="61"/>
      <c r="J266" s="44"/>
    </row>
    <row r="267" spans="1:10" x14ac:dyDescent="0.35">
      <c r="A267" s="8"/>
      <c r="B267" s="10"/>
      <c r="C267" s="8"/>
      <c r="D267" s="22" t="s">
        <v>372</v>
      </c>
      <c r="E267" s="21">
        <v>1</v>
      </c>
      <c r="F267" s="21" t="s">
        <v>210</v>
      </c>
      <c r="G267" s="21" t="s">
        <v>13</v>
      </c>
      <c r="H267" s="61"/>
      <c r="I267" s="61"/>
      <c r="J267" s="44"/>
    </row>
    <row r="268" spans="1:10" x14ac:dyDescent="0.35">
      <c r="A268" s="8"/>
      <c r="B268" s="10"/>
      <c r="C268" s="8"/>
      <c r="D268" s="11" t="s">
        <v>373</v>
      </c>
      <c r="E268" s="10">
        <v>1</v>
      </c>
      <c r="F268" s="10" t="s">
        <v>221</v>
      </c>
      <c r="G268" s="10" t="s">
        <v>13</v>
      </c>
      <c r="H268" s="53">
        <f>600000-(600000*25%)</f>
        <v>450000</v>
      </c>
      <c r="I268" s="53">
        <f>H268*E268</f>
        <v>450000</v>
      </c>
      <c r="J268" s="13"/>
    </row>
    <row r="269" spans="1:10" x14ac:dyDescent="0.35">
      <c r="A269" s="8"/>
      <c r="B269" s="10"/>
      <c r="C269" s="8"/>
      <c r="D269" s="11" t="s">
        <v>353</v>
      </c>
      <c r="E269" s="10">
        <v>1</v>
      </c>
      <c r="F269" s="10" t="s">
        <v>210</v>
      </c>
      <c r="G269" s="10" t="s">
        <v>13</v>
      </c>
      <c r="H269" s="53">
        <f>1500000-(1500000*25%)</f>
        <v>1125000</v>
      </c>
      <c r="I269" s="53">
        <f>H269*E269</f>
        <v>1125000</v>
      </c>
      <c r="J269" s="13"/>
    </row>
    <row r="270" spans="1:10" x14ac:dyDescent="0.35">
      <c r="A270" s="8"/>
      <c r="B270" s="10"/>
      <c r="C270" s="8"/>
      <c r="D270" s="11"/>
      <c r="E270" s="10"/>
      <c r="F270" s="10"/>
      <c r="G270" s="10"/>
      <c r="H270" s="53"/>
      <c r="I270" s="54">
        <f>SUM(I265:I269)</f>
        <v>1575000</v>
      </c>
      <c r="J270" s="13" t="s">
        <v>197</v>
      </c>
    </row>
    <row r="271" spans="1:10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35">
      <c r="A272" s="9">
        <v>45259</v>
      </c>
      <c r="B272" s="10">
        <v>757</v>
      </c>
      <c r="C272" s="11"/>
      <c r="D272" s="22" t="s">
        <v>374</v>
      </c>
      <c r="E272" s="21">
        <v>1</v>
      </c>
      <c r="F272" s="21" t="s">
        <v>210</v>
      </c>
      <c r="G272" s="21" t="s">
        <v>13</v>
      </c>
      <c r="H272" s="61"/>
      <c r="I272" s="61"/>
      <c r="J272" s="44"/>
    </row>
    <row r="273" spans="1:10" x14ac:dyDescent="0.35">
      <c r="A273" s="8"/>
      <c r="B273" s="10"/>
      <c r="C273" s="11"/>
      <c r="D273" s="22" t="s">
        <v>375</v>
      </c>
      <c r="E273" s="21">
        <v>1</v>
      </c>
      <c r="F273" s="21" t="s">
        <v>210</v>
      </c>
      <c r="G273" s="21" t="s">
        <v>13</v>
      </c>
      <c r="H273" s="61"/>
      <c r="I273" s="61"/>
      <c r="J273" s="44"/>
    </row>
    <row r="274" spans="1:10" x14ac:dyDescent="0.35">
      <c r="A274" s="8"/>
      <c r="B274" s="10"/>
      <c r="C274" s="11"/>
      <c r="D274" s="22" t="s">
        <v>376</v>
      </c>
      <c r="E274" s="21">
        <v>1</v>
      </c>
      <c r="F274" s="21" t="s">
        <v>210</v>
      </c>
      <c r="G274" s="21" t="s">
        <v>13</v>
      </c>
      <c r="H274" s="61"/>
      <c r="I274" s="61"/>
      <c r="J274" s="44"/>
    </row>
    <row r="275" spans="1:10" x14ac:dyDescent="0.35">
      <c r="A275" s="8"/>
      <c r="B275" s="10"/>
      <c r="C275" s="11"/>
      <c r="D275" s="11" t="s">
        <v>377</v>
      </c>
      <c r="E275" s="10">
        <v>1</v>
      </c>
      <c r="F275" s="10" t="s">
        <v>221</v>
      </c>
      <c r="G275" s="10" t="s">
        <v>13</v>
      </c>
      <c r="H275" s="53">
        <f>2000000-(2000000*25%)</f>
        <v>1500000</v>
      </c>
      <c r="I275" s="53">
        <f t="shared" ref="I275:I278" si="13">H275*E275</f>
        <v>1500000</v>
      </c>
      <c r="J275" s="13"/>
    </row>
    <row r="276" spans="1:10" x14ac:dyDescent="0.35">
      <c r="A276" s="8"/>
      <c r="B276" s="10"/>
      <c r="C276" s="11"/>
      <c r="D276" s="11" t="s">
        <v>378</v>
      </c>
      <c r="E276" s="10">
        <v>1</v>
      </c>
      <c r="F276" s="10" t="s">
        <v>210</v>
      </c>
      <c r="G276" s="10" t="s">
        <v>13</v>
      </c>
      <c r="H276" s="60">
        <f>5509500-(5509500*25%)</f>
        <v>4132125</v>
      </c>
      <c r="I276" s="60">
        <f t="shared" si="13"/>
        <v>4132125</v>
      </c>
      <c r="J276" s="13"/>
    </row>
    <row r="277" spans="1:10" x14ac:dyDescent="0.35">
      <c r="A277" s="8"/>
      <c r="B277" s="10"/>
      <c r="C277" s="11"/>
      <c r="D277" s="22" t="s">
        <v>379</v>
      </c>
      <c r="E277" s="21">
        <v>6</v>
      </c>
      <c r="F277" s="21" t="s">
        <v>210</v>
      </c>
      <c r="G277" s="21" t="s">
        <v>13</v>
      </c>
      <c r="H277" s="65"/>
      <c r="I277" s="65"/>
      <c r="J277" s="44"/>
    </row>
    <row r="278" spans="1:10" x14ac:dyDescent="0.35">
      <c r="A278" s="8"/>
      <c r="B278" s="10"/>
      <c r="C278" s="11"/>
      <c r="D278" s="11" t="s">
        <v>380</v>
      </c>
      <c r="E278" s="10">
        <v>1</v>
      </c>
      <c r="F278" s="10" t="s">
        <v>210</v>
      </c>
      <c r="G278" s="10" t="s">
        <v>13</v>
      </c>
      <c r="H278" s="53">
        <f>3000000-(3000000*25%)</f>
        <v>2250000</v>
      </c>
      <c r="I278" s="53">
        <f t="shared" si="13"/>
        <v>2250000</v>
      </c>
      <c r="J278" s="13"/>
    </row>
    <row r="279" spans="1:10" x14ac:dyDescent="0.35">
      <c r="A279" s="8"/>
      <c r="B279" s="10"/>
      <c r="C279" s="11"/>
      <c r="D279" s="11"/>
      <c r="E279" s="10"/>
      <c r="F279" s="10"/>
      <c r="G279" s="10"/>
      <c r="H279" s="53"/>
      <c r="I279" s="54">
        <f>SUM(I272:I278)</f>
        <v>7882125</v>
      </c>
      <c r="J279" s="13" t="s">
        <v>197</v>
      </c>
    </row>
    <row r="280" spans="1:10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35">
      <c r="A281" s="9">
        <v>45259</v>
      </c>
      <c r="B281" s="10">
        <v>756</v>
      </c>
      <c r="C281" s="11"/>
      <c r="D281" s="11" t="s">
        <v>370</v>
      </c>
      <c r="E281" s="10"/>
      <c r="F281" s="10"/>
      <c r="G281" s="10"/>
      <c r="H281" s="53"/>
      <c r="I281" s="53"/>
      <c r="J281" s="13"/>
    </row>
    <row r="282" spans="1:10" x14ac:dyDescent="0.35">
      <c r="A282" s="11"/>
      <c r="B282" s="10"/>
      <c r="C282" s="11"/>
      <c r="D282" s="11" t="s">
        <v>381</v>
      </c>
      <c r="E282" s="10">
        <v>1</v>
      </c>
      <c r="F282" s="10" t="s">
        <v>20</v>
      </c>
      <c r="G282" s="10" t="s">
        <v>13</v>
      </c>
      <c r="H282" s="53">
        <v>50500</v>
      </c>
      <c r="I282" s="53">
        <f t="shared" ref="I282:I288" si="14">H282*E282</f>
        <v>50500</v>
      </c>
      <c r="J282" s="13"/>
    </row>
    <row r="283" spans="1:10" x14ac:dyDescent="0.35">
      <c r="A283" s="11"/>
      <c r="B283" s="10"/>
      <c r="C283" s="11"/>
      <c r="D283" s="22" t="s">
        <v>382</v>
      </c>
      <c r="E283" s="21">
        <v>12</v>
      </c>
      <c r="F283" s="21" t="s">
        <v>14</v>
      </c>
      <c r="G283" s="21" t="s">
        <v>13</v>
      </c>
      <c r="H283" s="65"/>
      <c r="I283" s="65"/>
      <c r="J283" s="44"/>
    </row>
    <row r="284" spans="1:10" x14ac:dyDescent="0.35">
      <c r="A284" s="11"/>
      <c r="B284" s="10"/>
      <c r="C284" s="11"/>
      <c r="D284" s="11" t="s">
        <v>383</v>
      </c>
      <c r="E284" s="10">
        <v>1</v>
      </c>
      <c r="F284" s="10" t="s">
        <v>210</v>
      </c>
      <c r="G284" s="10" t="s">
        <v>13</v>
      </c>
      <c r="H284" s="53">
        <f>3000000-(3000000*25%)</f>
        <v>2250000</v>
      </c>
      <c r="I284" s="53">
        <f t="shared" si="14"/>
        <v>2250000</v>
      </c>
      <c r="J284" s="13"/>
    </row>
    <row r="285" spans="1:10" x14ac:dyDescent="0.35">
      <c r="A285" s="11"/>
      <c r="B285" s="10"/>
      <c r="C285" s="11"/>
      <c r="D285" s="11" t="s">
        <v>384</v>
      </c>
      <c r="E285" s="10">
        <v>1</v>
      </c>
      <c r="F285" s="10" t="s">
        <v>210</v>
      </c>
      <c r="G285" s="10" t="s">
        <v>13</v>
      </c>
      <c r="H285" s="53">
        <f>2500000-(2500000*25%)</f>
        <v>1875000</v>
      </c>
      <c r="I285" s="53">
        <f t="shared" si="14"/>
        <v>1875000</v>
      </c>
      <c r="J285" s="13"/>
    </row>
    <row r="286" spans="1:10" x14ac:dyDescent="0.35">
      <c r="A286" s="11"/>
      <c r="B286" s="10"/>
      <c r="C286" s="11"/>
      <c r="D286" s="22" t="s">
        <v>385</v>
      </c>
      <c r="E286" s="21">
        <v>2</v>
      </c>
      <c r="F286" s="21" t="s">
        <v>210</v>
      </c>
      <c r="G286" s="21" t="s">
        <v>13</v>
      </c>
      <c r="H286" s="65"/>
      <c r="I286" s="65"/>
      <c r="J286" s="44"/>
    </row>
    <row r="287" spans="1:10" x14ac:dyDescent="0.35">
      <c r="A287" s="11"/>
      <c r="B287" s="10"/>
      <c r="C287" s="11"/>
      <c r="D287" s="22" t="s">
        <v>386</v>
      </c>
      <c r="E287" s="21">
        <v>1</v>
      </c>
      <c r="F287" s="21" t="s">
        <v>210</v>
      </c>
      <c r="G287" s="21" t="s">
        <v>13</v>
      </c>
      <c r="H287" s="65"/>
      <c r="I287" s="65"/>
      <c r="J287" s="44"/>
    </row>
    <row r="288" spans="1:10" x14ac:dyDescent="0.35">
      <c r="A288" s="11"/>
      <c r="B288" s="10"/>
      <c r="C288" s="11"/>
      <c r="D288" s="11" t="s">
        <v>387</v>
      </c>
      <c r="E288" s="10">
        <v>1</v>
      </c>
      <c r="F288" s="10" t="s">
        <v>210</v>
      </c>
      <c r="G288" s="10" t="s">
        <v>200</v>
      </c>
      <c r="H288" s="53">
        <f>100000-(100000*25%)</f>
        <v>75000</v>
      </c>
      <c r="I288" s="53">
        <f t="shared" si="14"/>
        <v>75000</v>
      </c>
      <c r="J288" s="13"/>
    </row>
    <row r="289" spans="1:10" x14ac:dyDescent="0.35">
      <c r="A289" s="11"/>
      <c r="B289" s="10"/>
      <c r="C289" s="11"/>
      <c r="D289" s="11"/>
      <c r="E289" s="10"/>
      <c r="F289" s="10"/>
      <c r="G289" s="10"/>
      <c r="H289" s="53"/>
      <c r="I289" s="54">
        <f>SUM(I281:I288)</f>
        <v>4250500</v>
      </c>
      <c r="J289" s="13" t="s">
        <v>197</v>
      </c>
    </row>
    <row r="290" spans="1:10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35">
      <c r="A291" s="9">
        <v>45259</v>
      </c>
      <c r="B291" s="10">
        <v>755</v>
      </c>
      <c r="C291" s="11"/>
      <c r="D291" s="11" t="s">
        <v>388</v>
      </c>
      <c r="E291" s="10">
        <v>1</v>
      </c>
      <c r="F291" s="10" t="s">
        <v>210</v>
      </c>
      <c r="G291" s="10" t="s">
        <v>13</v>
      </c>
      <c r="H291" s="53">
        <f>4500000-(4500000*25%)</f>
        <v>3375000</v>
      </c>
      <c r="I291" s="53">
        <f>H291*E291</f>
        <v>3375000</v>
      </c>
      <c r="J291" s="13"/>
    </row>
    <row r="292" spans="1:10" x14ac:dyDescent="0.35">
      <c r="A292" s="11"/>
      <c r="B292" s="10"/>
      <c r="C292" s="11"/>
      <c r="D292" s="11"/>
      <c r="E292" s="10"/>
      <c r="F292" s="10"/>
      <c r="G292" s="10"/>
      <c r="H292" s="11"/>
      <c r="I292" s="56">
        <f>SUM(I291)</f>
        <v>3375000</v>
      </c>
      <c r="J292" s="13" t="s">
        <v>197</v>
      </c>
    </row>
    <row r="293" spans="1:10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35">
      <c r="A294" s="9">
        <v>45259</v>
      </c>
      <c r="B294" s="10">
        <v>753</v>
      </c>
      <c r="C294" s="8"/>
      <c r="D294" s="11" t="s">
        <v>389</v>
      </c>
      <c r="E294" s="10">
        <v>1</v>
      </c>
      <c r="F294" s="10" t="s">
        <v>207</v>
      </c>
      <c r="G294" s="10" t="s">
        <v>13</v>
      </c>
      <c r="H294" s="53">
        <f>10000000-(10000000*25%)</f>
        <v>7500000</v>
      </c>
      <c r="I294" s="53">
        <f>H294*E294</f>
        <v>7500000</v>
      </c>
      <c r="J294" s="13"/>
    </row>
    <row r="295" spans="1:10" x14ac:dyDescent="0.35">
      <c r="A295" s="8"/>
      <c r="B295" s="10"/>
      <c r="C295" s="8"/>
      <c r="D295" s="11"/>
      <c r="E295" s="10"/>
      <c r="F295" s="10"/>
      <c r="G295" s="10"/>
      <c r="H295" s="53"/>
      <c r="I295" s="54">
        <f>SUM(I294)</f>
        <v>7500000</v>
      </c>
      <c r="J295" s="13" t="s">
        <v>197</v>
      </c>
    </row>
    <row r="296" spans="1:10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35">
      <c r="A297" s="9">
        <v>45259</v>
      </c>
      <c r="B297" s="10">
        <v>748</v>
      </c>
      <c r="C297" s="8"/>
      <c r="D297" s="11" t="s">
        <v>390</v>
      </c>
      <c r="E297" s="10">
        <v>1</v>
      </c>
      <c r="F297" s="10" t="s">
        <v>14</v>
      </c>
      <c r="G297" s="10" t="s">
        <v>13</v>
      </c>
      <c r="H297" s="53">
        <f>2940000-(2940000*25%)</f>
        <v>2205000</v>
      </c>
      <c r="I297" s="53">
        <f>H297*E297</f>
        <v>2205000</v>
      </c>
      <c r="J297" s="13"/>
    </row>
    <row r="298" spans="1:10" x14ac:dyDescent="0.35">
      <c r="A298" s="8"/>
      <c r="B298" s="10"/>
      <c r="C298" s="8"/>
      <c r="D298" s="11" t="s">
        <v>391</v>
      </c>
      <c r="E298" s="10">
        <v>20</v>
      </c>
      <c r="F298" s="10" t="s">
        <v>14</v>
      </c>
      <c r="G298" s="10" t="s">
        <v>13</v>
      </c>
      <c r="H298" s="53">
        <f>150000-(150000*25%)</f>
        <v>112500</v>
      </c>
      <c r="I298" s="53">
        <f>H298*E298</f>
        <v>2250000</v>
      </c>
      <c r="J298" s="13"/>
    </row>
    <row r="299" spans="1:10" x14ac:dyDescent="0.35">
      <c r="A299" s="8"/>
      <c r="B299" s="10"/>
      <c r="C299" s="8"/>
      <c r="D299" s="66" t="s">
        <v>392</v>
      </c>
      <c r="E299" s="67">
        <v>1</v>
      </c>
      <c r="F299" s="67" t="s">
        <v>14</v>
      </c>
      <c r="G299" s="67" t="s">
        <v>13</v>
      </c>
      <c r="H299" s="68"/>
      <c r="I299" s="68"/>
      <c r="J299" s="55"/>
    </row>
    <row r="300" spans="1:10" x14ac:dyDescent="0.35">
      <c r="A300" s="8"/>
      <c r="B300" s="10"/>
      <c r="C300" s="8"/>
      <c r="D300" s="11" t="s">
        <v>393</v>
      </c>
      <c r="E300" s="10">
        <v>7</v>
      </c>
      <c r="F300" s="10" t="s">
        <v>14</v>
      </c>
      <c r="G300" s="10" t="s">
        <v>13</v>
      </c>
      <c r="H300" s="53">
        <f>109200-(109200*25%)</f>
        <v>81900</v>
      </c>
      <c r="I300" s="53">
        <f>H300*E300</f>
        <v>573300</v>
      </c>
      <c r="J300" s="13"/>
    </row>
    <row r="301" spans="1:10" x14ac:dyDescent="0.35">
      <c r="A301" s="8"/>
      <c r="B301" s="10"/>
      <c r="C301" s="8"/>
      <c r="D301" s="11"/>
      <c r="E301" s="10"/>
      <c r="F301" s="10"/>
      <c r="G301" s="10"/>
      <c r="H301" s="53"/>
      <c r="I301" s="54">
        <f>SUM(I297:I300)</f>
        <v>5028300</v>
      </c>
      <c r="J301" s="13" t="s">
        <v>197</v>
      </c>
    </row>
    <row r="302" spans="1:10" x14ac:dyDescent="0.35">
      <c r="A302" s="8"/>
      <c r="B302" s="10"/>
      <c r="C302" s="8"/>
      <c r="D302" s="8"/>
      <c r="E302" s="14"/>
      <c r="F302" s="14"/>
      <c r="G302" s="14"/>
      <c r="H302" s="57"/>
      <c r="I302" s="57"/>
      <c r="J302" s="55"/>
    </row>
    <row r="303" spans="1:10" x14ac:dyDescent="0.35">
      <c r="A303" s="9">
        <v>45259</v>
      </c>
      <c r="B303" s="10">
        <v>749</v>
      </c>
      <c r="C303" s="11"/>
      <c r="D303" s="11" t="s">
        <v>394</v>
      </c>
      <c r="E303" s="10">
        <v>24</v>
      </c>
      <c r="F303" s="10" t="s">
        <v>14</v>
      </c>
      <c r="G303" s="10" t="s">
        <v>13</v>
      </c>
      <c r="H303" s="53">
        <f>24500-(24500*25%)</f>
        <v>18375</v>
      </c>
      <c r="I303" s="53">
        <f>H303*E303</f>
        <v>441000</v>
      </c>
      <c r="J303" s="13"/>
    </row>
    <row r="304" spans="1:10" x14ac:dyDescent="0.35">
      <c r="A304" s="11"/>
      <c r="B304" s="10"/>
      <c r="C304" s="11"/>
      <c r="D304" s="11"/>
      <c r="E304" s="10"/>
      <c r="F304" s="10"/>
      <c r="G304" s="10"/>
      <c r="H304" s="53"/>
      <c r="I304" s="54">
        <f>SUM(I303)</f>
        <v>441000</v>
      </c>
      <c r="J304" s="13" t="s">
        <v>197</v>
      </c>
    </row>
    <row r="305" spans="1:10" x14ac:dyDescent="0.35">
      <c r="A305" s="11"/>
      <c r="B305" s="10"/>
      <c r="C305" s="11"/>
      <c r="D305" s="11"/>
      <c r="E305" s="10"/>
      <c r="F305" s="10"/>
      <c r="G305" s="10"/>
      <c r="H305" s="53"/>
      <c r="I305" s="53"/>
      <c r="J305" s="13"/>
    </row>
    <row r="306" spans="1:10" x14ac:dyDescent="0.35">
      <c r="A306" s="9">
        <v>45259</v>
      </c>
      <c r="B306" s="10">
        <v>750</v>
      </c>
      <c r="C306" s="11"/>
      <c r="D306" s="11" t="s">
        <v>395</v>
      </c>
      <c r="E306" s="10">
        <v>1</v>
      </c>
      <c r="F306" s="10" t="s">
        <v>210</v>
      </c>
      <c r="G306" s="10" t="s">
        <v>13</v>
      </c>
      <c r="H306" s="53">
        <f>2000000-(2000000*25%)</f>
        <v>1500000</v>
      </c>
      <c r="I306" s="53">
        <f>H306*E306</f>
        <v>1500000</v>
      </c>
      <c r="J306" s="13"/>
    </row>
    <row r="307" spans="1:10" x14ac:dyDescent="0.35">
      <c r="A307" s="11"/>
      <c r="B307" s="10"/>
      <c r="C307" s="11"/>
      <c r="D307" s="11" t="s">
        <v>396</v>
      </c>
      <c r="E307" s="10">
        <v>1</v>
      </c>
      <c r="F307" s="10" t="s">
        <v>210</v>
      </c>
      <c r="G307" s="10" t="s">
        <v>13</v>
      </c>
      <c r="H307" s="53">
        <f>1000000-(1000000*25%)</f>
        <v>750000</v>
      </c>
      <c r="I307" s="53">
        <f>H307*E307</f>
        <v>750000</v>
      </c>
      <c r="J307" s="13"/>
    </row>
    <row r="308" spans="1:10" x14ac:dyDescent="0.35">
      <c r="A308" s="11"/>
      <c r="B308" s="10"/>
      <c r="C308" s="11"/>
      <c r="D308" s="11"/>
      <c r="E308" s="10"/>
      <c r="F308" s="10"/>
      <c r="G308" s="10"/>
      <c r="H308" s="53"/>
      <c r="I308" s="54">
        <f>SUM(I306:I307)</f>
        <v>2250000</v>
      </c>
      <c r="J308" s="13" t="s">
        <v>197</v>
      </c>
    </row>
    <row r="309" spans="1:10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 spans="1:10" x14ac:dyDescent="0.35">
      <c r="A310" s="9">
        <v>45259</v>
      </c>
      <c r="B310" s="10">
        <v>747</v>
      </c>
      <c r="C310" s="8"/>
      <c r="D310" s="11" t="s">
        <v>397</v>
      </c>
      <c r="E310" s="10">
        <v>1</v>
      </c>
      <c r="F310" s="10" t="s">
        <v>221</v>
      </c>
      <c r="G310" s="10" t="s">
        <v>13</v>
      </c>
      <c r="H310" s="53">
        <f>6500000-(6500000*25%)</f>
        <v>4875000</v>
      </c>
      <c r="I310" s="53">
        <f>H310*E310</f>
        <v>4875000</v>
      </c>
      <c r="J310" s="13"/>
    </row>
    <row r="311" spans="1:10" x14ac:dyDescent="0.35">
      <c r="A311" s="8"/>
      <c r="B311" s="10"/>
      <c r="C311" s="8"/>
      <c r="D311" s="69" t="s">
        <v>398</v>
      </c>
      <c r="E311" s="10"/>
      <c r="F311" s="10"/>
      <c r="G311" s="10"/>
      <c r="H311" s="53"/>
      <c r="I311" s="54">
        <f>SUM(I310)</f>
        <v>4875000</v>
      </c>
      <c r="J311" s="13" t="s">
        <v>197</v>
      </c>
    </row>
    <row r="312" spans="1:10" x14ac:dyDescent="0.35">
      <c r="A312" s="8"/>
      <c r="B312" s="10"/>
      <c r="C312" s="8"/>
      <c r="D312" s="69" t="s">
        <v>399</v>
      </c>
      <c r="E312" s="10"/>
      <c r="F312" s="10"/>
      <c r="G312" s="10"/>
      <c r="H312" s="53"/>
      <c r="I312" s="53"/>
      <c r="J312" s="13"/>
    </row>
    <row r="313" spans="1:10" x14ac:dyDescent="0.35">
      <c r="A313" s="8"/>
      <c r="B313" s="10"/>
      <c r="C313" s="8"/>
      <c r="D313" s="69" t="s">
        <v>400</v>
      </c>
      <c r="E313" s="10"/>
      <c r="F313" s="10"/>
      <c r="G313" s="10"/>
      <c r="H313" s="53"/>
      <c r="I313" s="53"/>
      <c r="J313" s="13"/>
    </row>
    <row r="314" spans="1:10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 spans="1:10" x14ac:dyDescent="0.35">
      <c r="A315" s="9">
        <v>45259</v>
      </c>
      <c r="B315" s="10">
        <v>746</v>
      </c>
      <c r="C315" s="8"/>
      <c r="D315" s="11" t="s">
        <v>401</v>
      </c>
      <c r="E315" s="10">
        <v>30</v>
      </c>
      <c r="F315" s="10" t="s">
        <v>14</v>
      </c>
      <c r="G315" s="10" t="s">
        <v>200</v>
      </c>
      <c r="H315" s="53">
        <f>146000-(146000*25%)</f>
        <v>109500</v>
      </c>
      <c r="I315" s="53">
        <f>H315*E315</f>
        <v>3285000</v>
      </c>
      <c r="J315" s="13"/>
    </row>
    <row r="316" spans="1:10" x14ac:dyDescent="0.35">
      <c r="A316" s="8"/>
      <c r="B316" s="10"/>
      <c r="C316" s="8"/>
      <c r="D316" s="11" t="s">
        <v>402</v>
      </c>
      <c r="E316" s="10">
        <v>1</v>
      </c>
      <c r="F316" s="10" t="s">
        <v>210</v>
      </c>
      <c r="G316" s="10" t="s">
        <v>200</v>
      </c>
      <c r="H316" s="53">
        <f>7550000-(7550000*25%)</f>
        <v>5662500</v>
      </c>
      <c r="I316" s="53">
        <f>H316*E316</f>
        <v>5662500</v>
      </c>
      <c r="J316" s="13"/>
    </row>
    <row r="317" spans="1:10" x14ac:dyDescent="0.35">
      <c r="A317" s="8"/>
      <c r="B317" s="10"/>
      <c r="C317" s="8"/>
      <c r="D317" s="11"/>
      <c r="E317" s="10"/>
      <c r="F317" s="10"/>
      <c r="G317" s="10"/>
      <c r="H317" s="53"/>
      <c r="I317" s="54">
        <f>SUM(I315:I316)</f>
        <v>8947500</v>
      </c>
      <c r="J317" s="13" t="s">
        <v>197</v>
      </c>
    </row>
    <row r="318" spans="1:10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 spans="1:10" x14ac:dyDescent="0.35">
      <c r="A319" s="9">
        <v>45259</v>
      </c>
      <c r="B319" s="10">
        <v>744</v>
      </c>
      <c r="C319" s="8"/>
      <c r="D319" s="11" t="s">
        <v>403</v>
      </c>
      <c r="E319" s="10">
        <v>7</v>
      </c>
      <c r="F319" s="10" t="s">
        <v>207</v>
      </c>
      <c r="G319" s="10" t="s">
        <v>200</v>
      </c>
      <c r="H319" s="53">
        <v>335000</v>
      </c>
      <c r="I319" s="53">
        <f>H319*E319</f>
        <v>2345000</v>
      </c>
      <c r="J319" s="13"/>
    </row>
    <row r="320" spans="1:10" x14ac:dyDescent="0.35">
      <c r="A320" s="8"/>
      <c r="B320" s="10"/>
      <c r="C320" s="8"/>
      <c r="D320" s="11"/>
      <c r="E320" s="10"/>
      <c r="F320" s="10"/>
      <c r="G320" s="10"/>
      <c r="H320" s="53"/>
      <c r="I320" s="54">
        <f>SUM(I319)</f>
        <v>2345000</v>
      </c>
      <c r="J320" s="13" t="s">
        <v>197</v>
      </c>
    </row>
    <row r="321" spans="1:10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 spans="1:10" x14ac:dyDescent="0.35">
      <c r="A322" s="9">
        <v>45259</v>
      </c>
      <c r="B322" s="10">
        <v>743</v>
      </c>
      <c r="C322" s="11"/>
      <c r="D322" s="11" t="s">
        <v>404</v>
      </c>
      <c r="E322" s="10">
        <v>1</v>
      </c>
      <c r="F322" s="10" t="s">
        <v>207</v>
      </c>
      <c r="G322" s="10" t="s">
        <v>13</v>
      </c>
      <c r="H322" s="53">
        <f>1785000-(1785000*25%)</f>
        <v>1338750</v>
      </c>
      <c r="I322" s="53">
        <f>H322*E322</f>
        <v>1338750</v>
      </c>
      <c r="J322" s="13"/>
    </row>
    <row r="323" spans="1:10" x14ac:dyDescent="0.35">
      <c r="A323" s="8"/>
      <c r="B323" s="10"/>
      <c r="C323" s="11"/>
      <c r="D323" s="11" t="s">
        <v>405</v>
      </c>
      <c r="E323" s="10">
        <v>1</v>
      </c>
      <c r="F323" s="10" t="s">
        <v>207</v>
      </c>
      <c r="G323" s="10" t="s">
        <v>13</v>
      </c>
      <c r="H323" s="53">
        <f>1995000-(1995000*25%)</f>
        <v>1496250</v>
      </c>
      <c r="I323" s="53">
        <f>H323*E323</f>
        <v>1496250</v>
      </c>
      <c r="J323" s="13"/>
    </row>
    <row r="324" spans="1:10" x14ac:dyDescent="0.35">
      <c r="A324" s="8"/>
      <c r="B324" s="10"/>
      <c r="C324" s="11"/>
      <c r="D324" s="11"/>
      <c r="E324" s="10"/>
      <c r="F324" s="10"/>
      <c r="G324" s="10"/>
      <c r="H324" s="53"/>
      <c r="I324" s="54">
        <f>SUM(I322:I323)</f>
        <v>2835000</v>
      </c>
      <c r="J324" s="13" t="s">
        <v>197</v>
      </c>
    </row>
    <row r="325" spans="1:10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 spans="1:10" x14ac:dyDescent="0.35">
      <c r="A326" s="9">
        <v>45259</v>
      </c>
      <c r="B326" s="10">
        <v>742</v>
      </c>
      <c r="C326" s="8"/>
      <c r="D326" s="11" t="s">
        <v>406</v>
      </c>
      <c r="E326" s="10">
        <v>1</v>
      </c>
      <c r="F326" s="10" t="s">
        <v>210</v>
      </c>
      <c r="G326" s="10" t="s">
        <v>13</v>
      </c>
      <c r="H326" s="53">
        <f>250000-(250000*25%)</f>
        <v>187500</v>
      </c>
      <c r="I326" s="53">
        <f>H326*E326</f>
        <v>187500</v>
      </c>
      <c r="J326" s="13"/>
    </row>
    <row r="327" spans="1:10" x14ac:dyDescent="0.35">
      <c r="A327" s="8"/>
      <c r="B327" s="10"/>
      <c r="C327" s="8"/>
      <c r="D327" s="11"/>
      <c r="E327" s="10"/>
      <c r="F327" s="10"/>
      <c r="G327" s="10"/>
      <c r="H327" s="53"/>
      <c r="I327" s="54">
        <f>SUM(I326)</f>
        <v>187500</v>
      </c>
      <c r="J327" s="13" t="s">
        <v>197</v>
      </c>
    </row>
    <row r="328" spans="1:10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 spans="1:10" x14ac:dyDescent="0.35">
      <c r="A329" s="9">
        <v>45259</v>
      </c>
      <c r="B329" s="10">
        <v>740</v>
      </c>
      <c r="C329" s="8"/>
      <c r="D329" s="11" t="s">
        <v>407</v>
      </c>
      <c r="E329" s="10">
        <v>2</v>
      </c>
      <c r="F329" s="10" t="s">
        <v>210</v>
      </c>
      <c r="G329" s="10" t="s">
        <v>13</v>
      </c>
      <c r="H329" s="53">
        <f>993000-(993000*25%)</f>
        <v>744750</v>
      </c>
      <c r="I329" s="53">
        <f>H329*E329</f>
        <v>1489500</v>
      </c>
      <c r="J329" s="13"/>
    </row>
    <row r="330" spans="1:10" x14ac:dyDescent="0.35">
      <c r="A330" s="8"/>
      <c r="B330" s="10"/>
      <c r="C330" s="8"/>
      <c r="D330" s="22" t="s">
        <v>408</v>
      </c>
      <c r="E330" s="21">
        <v>2</v>
      </c>
      <c r="F330" s="21" t="s">
        <v>210</v>
      </c>
      <c r="G330" s="21" t="s">
        <v>13</v>
      </c>
      <c r="H330" s="65"/>
      <c r="I330" s="65"/>
      <c r="J330" s="13"/>
    </row>
    <row r="331" spans="1:10" x14ac:dyDescent="0.35">
      <c r="A331" s="8"/>
      <c r="B331" s="10"/>
      <c r="C331" s="8"/>
      <c r="D331" s="8"/>
      <c r="E331" s="14"/>
      <c r="F331" s="14"/>
      <c r="G331" s="14"/>
      <c r="H331" s="57"/>
      <c r="I331" s="54">
        <f>SUM(I329:I330)</f>
        <v>1489500</v>
      </c>
      <c r="J331" s="13" t="s">
        <v>197</v>
      </c>
    </row>
    <row r="332" spans="1:10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 spans="1:10" x14ac:dyDescent="0.35">
      <c r="A333" s="70">
        <v>45259</v>
      </c>
      <c r="B333" s="71">
        <v>739</v>
      </c>
      <c r="C333" s="72" t="s">
        <v>37</v>
      </c>
      <c r="D333" s="72" t="s">
        <v>409</v>
      </c>
      <c r="E333" s="71">
        <v>1</v>
      </c>
      <c r="F333" s="71" t="s">
        <v>210</v>
      </c>
      <c r="G333" s="71" t="s">
        <v>13</v>
      </c>
      <c r="H333" s="73">
        <v>550000</v>
      </c>
      <c r="I333" s="73">
        <f>H333*E333</f>
        <v>550000</v>
      </c>
      <c r="J333" s="74"/>
    </row>
    <row r="334" spans="1:10" x14ac:dyDescent="0.35">
      <c r="A334" s="70"/>
      <c r="B334" s="71"/>
      <c r="C334" s="72"/>
      <c r="D334" s="72" t="s">
        <v>410</v>
      </c>
      <c r="E334" s="71">
        <v>1</v>
      </c>
      <c r="F334" s="71" t="s">
        <v>210</v>
      </c>
      <c r="G334" s="71" t="s">
        <v>13</v>
      </c>
      <c r="H334" s="73">
        <v>810000</v>
      </c>
      <c r="I334" s="73">
        <f>H334*E334</f>
        <v>810000</v>
      </c>
      <c r="J334" s="74"/>
    </row>
    <row r="335" spans="1:10" x14ac:dyDescent="0.35">
      <c r="A335" s="75"/>
      <c r="B335" s="71"/>
      <c r="C335" s="75"/>
      <c r="D335" s="72"/>
      <c r="E335" s="71"/>
      <c r="F335" s="71"/>
      <c r="G335" s="71"/>
      <c r="H335" s="73"/>
      <c r="I335" s="76">
        <f>I333+I334</f>
        <v>1360000</v>
      </c>
      <c r="J335" s="74" t="s">
        <v>197</v>
      </c>
    </row>
    <row r="336" spans="1:10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 spans="1:10" x14ac:dyDescent="0.35">
      <c r="A337" s="9">
        <v>45259</v>
      </c>
      <c r="B337" s="10">
        <v>738</v>
      </c>
      <c r="C337" s="8"/>
      <c r="D337" s="11" t="s">
        <v>411</v>
      </c>
      <c r="E337" s="10">
        <v>1</v>
      </c>
      <c r="F337" s="10" t="s">
        <v>210</v>
      </c>
      <c r="G337" s="10" t="s">
        <v>13</v>
      </c>
      <c r="H337" s="53">
        <f>1000000-(1000000*25%)</f>
        <v>750000</v>
      </c>
      <c r="I337" s="53">
        <f>H337*E337</f>
        <v>750000</v>
      </c>
      <c r="J337" s="13"/>
    </row>
    <row r="338" spans="1:10" x14ac:dyDescent="0.35">
      <c r="A338" s="8"/>
      <c r="B338" s="10"/>
      <c r="C338" s="8"/>
      <c r="D338" s="11"/>
      <c r="E338" s="10"/>
      <c r="F338" s="10"/>
      <c r="G338" s="10"/>
      <c r="H338" s="53"/>
      <c r="I338" s="54">
        <f>SUM(I337)</f>
        <v>750000</v>
      </c>
      <c r="J338" s="13" t="s">
        <v>197</v>
      </c>
    </row>
    <row r="339" spans="1:10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 spans="1:10" x14ac:dyDescent="0.35">
      <c r="A340" s="9">
        <v>45259</v>
      </c>
      <c r="B340" s="10">
        <v>737</v>
      </c>
      <c r="C340" s="11"/>
      <c r="D340" s="11" t="s">
        <v>412</v>
      </c>
      <c r="E340" s="10">
        <v>1</v>
      </c>
      <c r="F340" s="10" t="s">
        <v>210</v>
      </c>
      <c r="G340" s="10" t="s">
        <v>13</v>
      </c>
      <c r="H340" s="53">
        <f>1693000-(1693000*25%)</f>
        <v>1269750</v>
      </c>
      <c r="I340" s="53">
        <f>H340*E340</f>
        <v>1269750</v>
      </c>
      <c r="J340" s="13"/>
    </row>
    <row r="341" spans="1:10" x14ac:dyDescent="0.35">
      <c r="A341" s="8"/>
      <c r="B341" s="10"/>
      <c r="C341" s="11" t="s">
        <v>413</v>
      </c>
      <c r="D341" s="11" t="s">
        <v>414</v>
      </c>
      <c r="E341" s="10">
        <v>1</v>
      </c>
      <c r="F341" s="10" t="s">
        <v>210</v>
      </c>
      <c r="G341" s="10" t="s">
        <v>13</v>
      </c>
      <c r="H341" s="53">
        <v>2100000</v>
      </c>
      <c r="I341" s="53">
        <f>H341*E341</f>
        <v>2100000</v>
      </c>
      <c r="J341" s="13"/>
    </row>
    <row r="342" spans="1:10" x14ac:dyDescent="0.35">
      <c r="A342" s="8"/>
      <c r="B342" s="10"/>
      <c r="C342" s="11"/>
      <c r="D342" s="22" t="s">
        <v>415</v>
      </c>
      <c r="E342" s="21">
        <v>10</v>
      </c>
      <c r="F342" s="21" t="s">
        <v>210</v>
      </c>
      <c r="G342" s="21" t="s">
        <v>13</v>
      </c>
      <c r="H342" s="65"/>
      <c r="I342" s="65"/>
      <c r="J342" s="44"/>
    </row>
    <row r="343" spans="1:10" x14ac:dyDescent="0.35">
      <c r="A343" s="8"/>
      <c r="B343" s="10"/>
      <c r="C343" s="11"/>
      <c r="D343" s="11"/>
      <c r="E343" s="10"/>
      <c r="F343" s="10"/>
      <c r="G343" s="10"/>
      <c r="H343" s="53"/>
      <c r="I343" s="54">
        <f>SUM(I340:I342)</f>
        <v>3369750</v>
      </c>
      <c r="J343" s="13" t="s">
        <v>197</v>
      </c>
    </row>
    <row r="344" spans="1:10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 spans="1:10" x14ac:dyDescent="0.35">
      <c r="A345" s="9">
        <v>45259</v>
      </c>
      <c r="B345" s="10">
        <v>736</v>
      </c>
      <c r="C345" s="22" t="s">
        <v>416</v>
      </c>
      <c r="D345" s="22" t="s">
        <v>417</v>
      </c>
      <c r="E345" s="21">
        <v>5</v>
      </c>
      <c r="F345" s="21" t="s">
        <v>207</v>
      </c>
      <c r="G345" s="21" t="s">
        <v>13</v>
      </c>
      <c r="H345" s="65"/>
      <c r="I345" s="65"/>
      <c r="J345" s="13"/>
    </row>
    <row r="346" spans="1:10" x14ac:dyDescent="0.35">
      <c r="A346" s="11"/>
      <c r="B346" s="10"/>
      <c r="C346" s="11"/>
      <c r="D346" s="22" t="s">
        <v>418</v>
      </c>
      <c r="E346" s="21">
        <f>11+11+30+20</f>
        <v>72</v>
      </c>
      <c r="F346" s="21" t="s">
        <v>240</v>
      </c>
      <c r="G346" s="21" t="s">
        <v>13</v>
      </c>
      <c r="H346" s="65"/>
      <c r="I346" s="65"/>
      <c r="J346" s="44"/>
    </row>
    <row r="347" spans="1:10" x14ac:dyDescent="0.35">
      <c r="A347" s="11"/>
      <c r="B347" s="10"/>
      <c r="C347" s="11"/>
      <c r="D347" s="11" t="s">
        <v>419</v>
      </c>
      <c r="E347" s="10">
        <v>1</v>
      </c>
      <c r="F347" s="10" t="s">
        <v>14</v>
      </c>
      <c r="G347" s="10" t="s">
        <v>13</v>
      </c>
      <c r="H347" s="53">
        <v>2152000</v>
      </c>
      <c r="I347" s="53">
        <f t="shared" ref="I347:I349" si="15">H347*E347</f>
        <v>2152000</v>
      </c>
      <c r="J347" s="13"/>
    </row>
    <row r="348" spans="1:10" x14ac:dyDescent="0.35">
      <c r="A348" s="11"/>
      <c r="B348" s="10"/>
      <c r="C348" s="11"/>
      <c r="D348" s="22" t="s">
        <v>420</v>
      </c>
      <c r="E348" s="21">
        <v>1</v>
      </c>
      <c r="F348" s="21" t="s">
        <v>14</v>
      </c>
      <c r="G348" s="21" t="s">
        <v>13</v>
      </c>
      <c r="H348" s="65"/>
      <c r="I348" s="65"/>
      <c r="J348" s="13"/>
    </row>
    <row r="349" spans="1:10" x14ac:dyDescent="0.35">
      <c r="A349" s="11"/>
      <c r="B349" s="10"/>
      <c r="C349" s="11"/>
      <c r="D349" s="11" t="s">
        <v>421</v>
      </c>
      <c r="E349" s="10">
        <v>5</v>
      </c>
      <c r="F349" s="10" t="s">
        <v>14</v>
      </c>
      <c r="G349" s="10" t="s">
        <v>13</v>
      </c>
      <c r="H349" s="53">
        <v>200000</v>
      </c>
      <c r="I349" s="53">
        <f t="shared" si="15"/>
        <v>1000000</v>
      </c>
      <c r="J349" s="13"/>
    </row>
    <row r="350" spans="1:10" x14ac:dyDescent="0.35">
      <c r="A350" s="11"/>
      <c r="B350" s="10"/>
      <c r="C350" s="11"/>
      <c r="D350" s="11"/>
      <c r="E350" s="10"/>
      <c r="F350" s="10"/>
      <c r="G350" s="10"/>
      <c r="H350" s="53"/>
      <c r="I350" s="54">
        <f>SUM(I345:I349)</f>
        <v>3152000</v>
      </c>
      <c r="J350" s="13" t="s">
        <v>197</v>
      </c>
    </row>
    <row r="351" spans="1:10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 spans="1:10" x14ac:dyDescent="0.35">
      <c r="A352" s="9">
        <v>45259</v>
      </c>
      <c r="B352" s="10">
        <v>734</v>
      </c>
      <c r="C352" s="11" t="s">
        <v>11</v>
      </c>
      <c r="D352" s="11" t="s">
        <v>422</v>
      </c>
      <c r="E352" s="10">
        <v>300</v>
      </c>
      <c r="F352" s="10" t="s">
        <v>52</v>
      </c>
      <c r="G352" s="10" t="s">
        <v>13</v>
      </c>
      <c r="H352" s="53">
        <v>1200</v>
      </c>
      <c r="I352" s="53">
        <f>H352*E352</f>
        <v>360000</v>
      </c>
      <c r="J352" s="13"/>
    </row>
    <row r="353" spans="1:10" x14ac:dyDescent="0.35">
      <c r="A353" s="11"/>
      <c r="B353" s="10"/>
      <c r="C353" s="11"/>
      <c r="D353" s="11" t="s">
        <v>423</v>
      </c>
      <c r="E353" s="10">
        <v>10</v>
      </c>
      <c r="F353" s="10" t="s">
        <v>21</v>
      </c>
      <c r="G353" s="10" t="s">
        <v>13</v>
      </c>
      <c r="H353" s="53">
        <v>20500</v>
      </c>
      <c r="I353" s="53">
        <f>H353*E353</f>
        <v>205000</v>
      </c>
      <c r="J353" s="13"/>
    </row>
    <row r="354" spans="1:10" x14ac:dyDescent="0.35">
      <c r="A354" s="11"/>
      <c r="B354" s="10"/>
      <c r="C354" s="11"/>
      <c r="D354" s="11" t="s">
        <v>424</v>
      </c>
      <c r="E354" s="10">
        <v>100</v>
      </c>
      <c r="F354" s="10" t="s">
        <v>20</v>
      </c>
      <c r="G354" s="10" t="s">
        <v>13</v>
      </c>
      <c r="H354" s="53">
        <v>45500</v>
      </c>
      <c r="I354" s="53">
        <f>H354*E354</f>
        <v>4550000</v>
      </c>
      <c r="J354" s="13"/>
    </row>
    <row r="355" spans="1:10" x14ac:dyDescent="0.35">
      <c r="A355" s="11"/>
      <c r="B355" s="10"/>
      <c r="C355" s="11"/>
      <c r="D355" s="11" t="s">
        <v>19</v>
      </c>
      <c r="E355" s="10">
        <v>50</v>
      </c>
      <c r="F355" s="10" t="s">
        <v>20</v>
      </c>
      <c r="G355" s="10" t="s">
        <v>13</v>
      </c>
      <c r="H355" s="53">
        <v>40500</v>
      </c>
      <c r="I355" s="53">
        <f>H355*E355</f>
        <v>2025000</v>
      </c>
      <c r="J355" s="13"/>
    </row>
    <row r="356" spans="1:10" x14ac:dyDescent="0.35">
      <c r="A356" s="11"/>
      <c r="B356" s="10"/>
      <c r="C356" s="11"/>
      <c r="D356" s="11" t="s">
        <v>425</v>
      </c>
      <c r="E356" s="10">
        <v>1</v>
      </c>
      <c r="F356" s="10" t="s">
        <v>14</v>
      </c>
      <c r="G356" s="10" t="s">
        <v>13</v>
      </c>
      <c r="H356" s="53">
        <v>103500</v>
      </c>
      <c r="I356" s="53">
        <f>H356*E356</f>
        <v>103500</v>
      </c>
      <c r="J356" s="13"/>
    </row>
    <row r="357" spans="1:10" x14ac:dyDescent="0.35">
      <c r="A357" s="11"/>
      <c r="B357" s="10"/>
      <c r="C357" s="11"/>
      <c r="D357" s="11"/>
      <c r="E357" s="10"/>
      <c r="F357" s="10"/>
      <c r="G357" s="10"/>
      <c r="H357" s="53"/>
      <c r="I357" s="54">
        <f>SUM(I352:I356)</f>
        <v>7243500</v>
      </c>
      <c r="J357" s="13" t="s">
        <v>197</v>
      </c>
    </row>
    <row r="358" spans="1:10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 spans="1:10" x14ac:dyDescent="0.35">
      <c r="A359" s="9">
        <v>45259</v>
      </c>
      <c r="B359" s="10">
        <v>731</v>
      </c>
      <c r="C359" s="11" t="s">
        <v>426</v>
      </c>
      <c r="D359" s="11" t="s">
        <v>427</v>
      </c>
      <c r="E359" s="10">
        <v>10</v>
      </c>
      <c r="F359" s="10" t="s">
        <v>14</v>
      </c>
      <c r="G359" s="10" t="s">
        <v>219</v>
      </c>
      <c r="H359" s="53">
        <v>3000</v>
      </c>
      <c r="I359" s="53">
        <f>H359*E359</f>
        <v>30000</v>
      </c>
      <c r="J359" s="13"/>
    </row>
    <row r="360" spans="1:10" x14ac:dyDescent="0.35">
      <c r="A360" s="11"/>
      <c r="B360" s="10"/>
      <c r="C360" s="11"/>
      <c r="D360" s="11" t="s">
        <v>428</v>
      </c>
      <c r="E360" s="10">
        <v>4</v>
      </c>
      <c r="F360" s="10" t="s">
        <v>286</v>
      </c>
      <c r="G360" s="10" t="s">
        <v>219</v>
      </c>
      <c r="H360" s="53">
        <f>81000/4</f>
        <v>20250</v>
      </c>
      <c r="I360" s="53">
        <f>H360*E360</f>
        <v>81000</v>
      </c>
      <c r="J360" s="13"/>
    </row>
    <row r="361" spans="1:10" x14ac:dyDescent="0.35">
      <c r="A361" s="11"/>
      <c r="B361" s="10"/>
      <c r="C361" s="11"/>
      <c r="D361" s="11"/>
      <c r="E361" s="10"/>
      <c r="F361" s="10"/>
      <c r="G361" s="10"/>
      <c r="H361" s="53"/>
      <c r="I361" s="54">
        <f>SUM(I359:I360)</f>
        <v>111000</v>
      </c>
      <c r="J361" s="13" t="s">
        <v>197</v>
      </c>
    </row>
    <row r="362" spans="1:10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 spans="1:10" x14ac:dyDescent="0.35">
      <c r="A363" s="9">
        <v>45257</v>
      </c>
      <c r="B363" s="10">
        <v>723</v>
      </c>
      <c r="C363" s="11" t="s">
        <v>11</v>
      </c>
      <c r="D363" s="11" t="s">
        <v>26</v>
      </c>
      <c r="E363" s="10">
        <v>100</v>
      </c>
      <c r="F363" s="10" t="s">
        <v>20</v>
      </c>
      <c r="G363" s="10" t="s">
        <v>13</v>
      </c>
      <c r="H363" s="53">
        <v>50000</v>
      </c>
      <c r="I363" s="53">
        <f>H363*E363</f>
        <v>5000000</v>
      </c>
      <c r="J363" s="13"/>
    </row>
    <row r="364" spans="1:10" x14ac:dyDescent="0.35">
      <c r="A364" s="11"/>
      <c r="B364" s="10"/>
      <c r="C364" s="11"/>
      <c r="D364" s="11" t="s">
        <v>29</v>
      </c>
      <c r="E364" s="10">
        <v>50</v>
      </c>
      <c r="F364" s="10" t="s">
        <v>20</v>
      </c>
      <c r="G364" s="10" t="s">
        <v>13</v>
      </c>
      <c r="H364" s="53">
        <v>44000</v>
      </c>
      <c r="I364" s="53">
        <f>H364*E364</f>
        <v>2200000</v>
      </c>
      <c r="J364" s="13"/>
    </row>
    <row r="365" spans="1:10" x14ac:dyDescent="0.35">
      <c r="A365" s="11"/>
      <c r="B365" s="10"/>
      <c r="C365" s="11"/>
      <c r="D365" s="11" t="s">
        <v>429</v>
      </c>
      <c r="E365" s="10">
        <v>50</v>
      </c>
      <c r="F365" s="10" t="s">
        <v>21</v>
      </c>
      <c r="G365" s="10" t="s">
        <v>13</v>
      </c>
      <c r="H365" s="53">
        <v>27000</v>
      </c>
      <c r="I365" s="53">
        <f>H365*E365</f>
        <v>1350000</v>
      </c>
      <c r="J365" s="13"/>
    </row>
    <row r="366" spans="1:10" x14ac:dyDescent="0.35">
      <c r="A366" s="11"/>
      <c r="B366" s="10"/>
      <c r="C366" s="11"/>
      <c r="D366" s="11"/>
      <c r="E366" s="10"/>
      <c r="F366" s="10"/>
      <c r="G366" s="10"/>
      <c r="H366" s="53"/>
      <c r="I366" s="54">
        <f>SUM(I363:I365)</f>
        <v>8550000</v>
      </c>
      <c r="J366" s="13" t="s">
        <v>197</v>
      </c>
    </row>
    <row r="367" spans="1:10" x14ac:dyDescent="0.35">
      <c r="A367" s="22"/>
      <c r="B367" s="14"/>
      <c r="C367" s="8"/>
      <c r="D367" s="8"/>
      <c r="E367" s="14"/>
      <c r="F367" s="14"/>
      <c r="G367" s="14"/>
      <c r="H367" s="57"/>
      <c r="I367" s="57"/>
      <c r="J367" s="55"/>
    </row>
    <row r="368" spans="1:10" x14ac:dyDescent="0.35">
      <c r="A368" s="9">
        <v>45258</v>
      </c>
      <c r="B368" s="10">
        <v>724</v>
      </c>
      <c r="C368" s="11" t="s">
        <v>430</v>
      </c>
      <c r="D368" s="11" t="s">
        <v>26</v>
      </c>
      <c r="E368" s="10">
        <v>250</v>
      </c>
      <c r="F368" s="10" t="s">
        <v>20</v>
      </c>
      <c r="G368" s="10" t="s">
        <v>13</v>
      </c>
      <c r="H368" s="53">
        <v>49800</v>
      </c>
      <c r="I368" s="53">
        <f>H368*E368</f>
        <v>12450000</v>
      </c>
      <c r="J368" s="13"/>
    </row>
    <row r="369" spans="1:10" x14ac:dyDescent="0.35">
      <c r="A369" s="11"/>
      <c r="B369" s="10"/>
      <c r="C369" s="11"/>
      <c r="D369" s="11" t="s">
        <v>29</v>
      </c>
      <c r="E369" s="10">
        <v>25</v>
      </c>
      <c r="F369" s="10" t="s">
        <v>20</v>
      </c>
      <c r="G369" s="10" t="s">
        <v>13</v>
      </c>
      <c r="H369" s="53">
        <v>43900</v>
      </c>
      <c r="I369" s="53">
        <f>H369*E369</f>
        <v>1097500</v>
      </c>
      <c r="J369" s="13"/>
    </row>
    <row r="370" spans="1:10" x14ac:dyDescent="0.35">
      <c r="A370" s="11"/>
      <c r="B370" s="10"/>
      <c r="C370" s="11"/>
      <c r="D370" s="11"/>
      <c r="E370" s="10"/>
      <c r="F370" s="10"/>
      <c r="G370" s="10"/>
      <c r="H370" s="53"/>
      <c r="I370" s="54">
        <f>SUM(I368:I369)</f>
        <v>13547500</v>
      </c>
      <c r="J370" s="13" t="s">
        <v>197</v>
      </c>
    </row>
    <row r="371" spans="1:10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 spans="1:10" x14ac:dyDescent="0.35">
      <c r="A372" s="9">
        <v>45254</v>
      </c>
      <c r="B372" s="10">
        <v>720</v>
      </c>
      <c r="C372" s="11" t="s">
        <v>11</v>
      </c>
      <c r="D372" s="11" t="s">
        <v>431</v>
      </c>
      <c r="E372" s="10">
        <v>25</v>
      </c>
      <c r="F372" s="10" t="s">
        <v>14</v>
      </c>
      <c r="G372" s="10" t="s">
        <v>13</v>
      </c>
      <c r="H372" s="53">
        <v>12000</v>
      </c>
      <c r="I372" s="53">
        <f>H372*E372</f>
        <v>300000</v>
      </c>
      <c r="J372" s="13"/>
    </row>
    <row r="373" spans="1:10" x14ac:dyDescent="0.35">
      <c r="A373" s="11"/>
      <c r="B373" s="10"/>
      <c r="C373" s="11"/>
      <c r="D373" s="11"/>
      <c r="E373" s="10"/>
      <c r="F373" s="10"/>
      <c r="G373" s="10"/>
      <c r="H373" s="53"/>
      <c r="I373" s="54">
        <f>SUM(I372)</f>
        <v>300000</v>
      </c>
      <c r="J373" s="13" t="s">
        <v>197</v>
      </c>
    </row>
    <row r="374" spans="1:10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 spans="1:10" x14ac:dyDescent="0.35">
      <c r="A375" s="9">
        <v>45251</v>
      </c>
      <c r="B375" s="10">
        <v>710</v>
      </c>
      <c r="C375" s="11" t="s">
        <v>432</v>
      </c>
      <c r="D375" s="11" t="s">
        <v>433</v>
      </c>
      <c r="E375" s="10">
        <v>10</v>
      </c>
      <c r="F375" s="10" t="s">
        <v>25</v>
      </c>
      <c r="G375" s="10" t="s">
        <v>40</v>
      </c>
      <c r="H375" s="53">
        <v>35000</v>
      </c>
      <c r="I375" s="53">
        <f>H375*E375</f>
        <v>350000</v>
      </c>
      <c r="J375" s="13"/>
    </row>
    <row r="376" spans="1:10" x14ac:dyDescent="0.35">
      <c r="A376" s="11"/>
      <c r="B376" s="10"/>
      <c r="C376" s="11"/>
      <c r="D376" s="11"/>
      <c r="E376" s="10"/>
      <c r="F376" s="10"/>
      <c r="G376" s="10"/>
      <c r="H376" s="53"/>
      <c r="I376" s="54">
        <f>SUM(I375)</f>
        <v>350000</v>
      </c>
      <c r="J376" s="13" t="s">
        <v>197</v>
      </c>
    </row>
    <row r="377" spans="1:10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 spans="1:10" x14ac:dyDescent="0.35">
      <c r="A378" s="9">
        <v>45244</v>
      </c>
      <c r="B378" s="10">
        <v>696</v>
      </c>
      <c r="C378" s="11" t="s">
        <v>11</v>
      </c>
      <c r="D378" s="11" t="s">
        <v>434</v>
      </c>
      <c r="E378" s="10">
        <v>10</v>
      </c>
      <c r="F378" s="10" t="s">
        <v>20</v>
      </c>
      <c r="G378" s="10" t="s">
        <v>13</v>
      </c>
      <c r="H378" s="77">
        <v>45500</v>
      </c>
      <c r="I378" s="53">
        <f>H378*E378</f>
        <v>455000</v>
      </c>
      <c r="J378" s="13"/>
    </row>
    <row r="379" spans="1:10" x14ac:dyDescent="0.35">
      <c r="A379" s="11"/>
      <c r="B379" s="10"/>
      <c r="C379" s="11"/>
      <c r="D379" s="11" t="s">
        <v>435</v>
      </c>
      <c r="E379" s="10">
        <v>250</v>
      </c>
      <c r="F379" s="10" t="s">
        <v>52</v>
      </c>
      <c r="G379" s="10" t="s">
        <v>24</v>
      </c>
      <c r="H379" s="77">
        <v>1700</v>
      </c>
      <c r="I379" s="53">
        <f>H379*E379</f>
        <v>425000</v>
      </c>
      <c r="J379" s="13"/>
    </row>
    <row r="380" spans="1:10" x14ac:dyDescent="0.35">
      <c r="A380" s="11"/>
      <c r="B380" s="10"/>
      <c r="C380" s="11"/>
      <c r="D380" s="11" t="s">
        <v>436</v>
      </c>
      <c r="E380" s="10">
        <f>3*12</f>
        <v>36</v>
      </c>
      <c r="F380" s="10" t="s">
        <v>14</v>
      </c>
      <c r="G380" s="10" t="s">
        <v>13</v>
      </c>
      <c r="H380" s="77">
        <v>2500</v>
      </c>
      <c r="I380" s="53">
        <f>H380*E380</f>
        <v>90000</v>
      </c>
      <c r="J380" s="13"/>
    </row>
    <row r="381" spans="1:10" x14ac:dyDescent="0.35">
      <c r="A381" s="11"/>
      <c r="B381" s="10"/>
      <c r="C381" s="11"/>
      <c r="D381" s="11" t="s">
        <v>429</v>
      </c>
      <c r="E381" s="10">
        <v>20</v>
      </c>
      <c r="F381" s="10" t="s">
        <v>20</v>
      </c>
      <c r="G381" s="10" t="s">
        <v>13</v>
      </c>
      <c r="H381" s="77">
        <v>27000</v>
      </c>
      <c r="I381" s="53">
        <f>H381*E381</f>
        <v>540000</v>
      </c>
      <c r="J381" s="13"/>
    </row>
    <row r="382" spans="1:10" x14ac:dyDescent="0.35">
      <c r="A382" s="11"/>
      <c r="B382" s="10"/>
      <c r="C382" s="11"/>
      <c r="D382" s="11" t="s">
        <v>437</v>
      </c>
      <c r="E382" s="10">
        <v>10</v>
      </c>
      <c r="F382" s="10" t="s">
        <v>14</v>
      </c>
      <c r="G382" s="10" t="s">
        <v>13</v>
      </c>
      <c r="H382" s="77">
        <v>162000</v>
      </c>
      <c r="I382" s="53">
        <f>H382*E382</f>
        <v>1620000</v>
      </c>
      <c r="J382" s="13"/>
    </row>
    <row r="383" spans="1:10" x14ac:dyDescent="0.35">
      <c r="A383" s="11"/>
      <c r="B383" s="10"/>
      <c r="C383" s="11"/>
      <c r="D383" s="11"/>
      <c r="E383" s="10"/>
      <c r="F383" s="10"/>
      <c r="G383" s="10"/>
      <c r="H383" s="77"/>
      <c r="I383" s="54">
        <f>SUM(I378:I382)</f>
        <v>3130000</v>
      </c>
      <c r="J383" s="13" t="s">
        <v>197</v>
      </c>
    </row>
    <row r="384" spans="1:10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 spans="1:10" x14ac:dyDescent="0.35">
      <c r="A385" s="9">
        <v>45243</v>
      </c>
      <c r="B385" s="10">
        <v>694</v>
      </c>
      <c r="C385" s="11" t="s">
        <v>11</v>
      </c>
      <c r="D385" s="11" t="s">
        <v>438</v>
      </c>
      <c r="E385" s="10">
        <v>25</v>
      </c>
      <c r="F385" s="10" t="s">
        <v>28</v>
      </c>
      <c r="G385" s="10" t="s">
        <v>13</v>
      </c>
      <c r="H385" s="77">
        <v>15000</v>
      </c>
      <c r="I385" s="53">
        <f t="shared" ref="I385:I407" si="16">H385*E385</f>
        <v>375000</v>
      </c>
      <c r="J385" s="13"/>
    </row>
    <row r="386" spans="1:10" x14ac:dyDescent="0.35">
      <c r="A386" s="11"/>
      <c r="B386" s="10"/>
      <c r="C386" s="11"/>
      <c r="D386" s="11" t="s">
        <v>439</v>
      </c>
      <c r="E386" s="10">
        <v>90</v>
      </c>
      <c r="F386" s="10" t="s">
        <v>20</v>
      </c>
      <c r="G386" s="10" t="s">
        <v>13</v>
      </c>
      <c r="H386" s="77">
        <v>50000</v>
      </c>
      <c r="I386" s="53">
        <f t="shared" si="16"/>
        <v>4500000</v>
      </c>
      <c r="J386" s="13"/>
    </row>
    <row r="387" spans="1:10" x14ac:dyDescent="0.35">
      <c r="A387" s="11"/>
      <c r="B387" s="10"/>
      <c r="C387" s="11"/>
      <c r="D387" s="11" t="s">
        <v>61</v>
      </c>
      <c r="E387" s="10">
        <v>70</v>
      </c>
      <c r="F387" s="10" t="s">
        <v>20</v>
      </c>
      <c r="G387" s="10" t="s">
        <v>13</v>
      </c>
      <c r="H387" s="77">
        <v>44000</v>
      </c>
      <c r="I387" s="53">
        <f t="shared" si="16"/>
        <v>3080000</v>
      </c>
      <c r="J387" s="13"/>
    </row>
    <row r="388" spans="1:10" x14ac:dyDescent="0.35">
      <c r="A388" s="11"/>
      <c r="B388" s="10"/>
      <c r="C388" s="11"/>
      <c r="D388" s="11" t="s">
        <v>268</v>
      </c>
      <c r="E388" s="10">
        <v>20</v>
      </c>
      <c r="F388" s="10" t="s">
        <v>14</v>
      </c>
      <c r="G388" s="10" t="s">
        <v>13</v>
      </c>
      <c r="H388" s="77">
        <v>19250</v>
      </c>
      <c r="I388" s="53">
        <f t="shared" si="16"/>
        <v>385000</v>
      </c>
      <c r="J388" s="13"/>
    </row>
    <row r="389" spans="1:10" x14ac:dyDescent="0.35">
      <c r="A389" s="11"/>
      <c r="B389" s="10"/>
      <c r="C389" s="11"/>
      <c r="D389" s="11" t="s">
        <v>234</v>
      </c>
      <c r="E389" s="10">
        <v>15</v>
      </c>
      <c r="F389" s="10" t="s">
        <v>28</v>
      </c>
      <c r="G389" s="10" t="s">
        <v>13</v>
      </c>
      <c r="H389" s="77">
        <v>9500</v>
      </c>
      <c r="I389" s="53">
        <f t="shared" si="16"/>
        <v>142500</v>
      </c>
      <c r="J389" s="13"/>
    </row>
    <row r="390" spans="1:10" x14ac:dyDescent="0.35">
      <c r="A390" s="11"/>
      <c r="B390" s="10"/>
      <c r="C390" s="11"/>
      <c r="D390" s="11" t="s">
        <v>128</v>
      </c>
      <c r="E390" s="10">
        <v>84</v>
      </c>
      <c r="F390" s="10" t="s">
        <v>14</v>
      </c>
      <c r="G390" s="10" t="s">
        <v>13</v>
      </c>
      <c r="H390" s="77">
        <v>16000</v>
      </c>
      <c r="I390" s="53">
        <f t="shared" si="16"/>
        <v>1344000</v>
      </c>
      <c r="J390" s="13"/>
    </row>
    <row r="391" spans="1:10" x14ac:dyDescent="0.35">
      <c r="A391" s="11"/>
      <c r="B391" s="10"/>
      <c r="C391" s="11"/>
      <c r="D391" s="11" t="s">
        <v>440</v>
      </c>
      <c r="E391" s="10">
        <v>72</v>
      </c>
      <c r="F391" s="10" t="s">
        <v>14</v>
      </c>
      <c r="G391" s="10" t="s">
        <v>13</v>
      </c>
      <c r="H391" s="77">
        <v>6500</v>
      </c>
      <c r="I391" s="53">
        <f t="shared" si="16"/>
        <v>468000</v>
      </c>
      <c r="J391" s="13"/>
    </row>
    <row r="392" spans="1:10" x14ac:dyDescent="0.35">
      <c r="A392" s="11"/>
      <c r="B392" s="10"/>
      <c r="C392" s="11"/>
      <c r="D392" s="11" t="s">
        <v>441</v>
      </c>
      <c r="E392" s="10">
        <f>4*12</f>
        <v>48</v>
      </c>
      <c r="F392" s="10" t="s">
        <v>14</v>
      </c>
      <c r="G392" s="10" t="s">
        <v>13</v>
      </c>
      <c r="H392" s="77">
        <f>14400/12</f>
        <v>1200</v>
      </c>
      <c r="I392" s="53">
        <f t="shared" si="16"/>
        <v>57600</v>
      </c>
      <c r="J392" s="13"/>
    </row>
    <row r="393" spans="1:10" x14ac:dyDescent="0.35">
      <c r="A393" s="11"/>
      <c r="B393" s="10"/>
      <c r="C393" s="11"/>
      <c r="D393" s="11" t="s">
        <v>442</v>
      </c>
      <c r="E393" s="10">
        <v>24</v>
      </c>
      <c r="F393" s="10" t="s">
        <v>14</v>
      </c>
      <c r="G393" s="10" t="s">
        <v>13</v>
      </c>
      <c r="H393" s="77">
        <v>1200</v>
      </c>
      <c r="I393" s="53">
        <f t="shared" si="16"/>
        <v>28800</v>
      </c>
      <c r="J393" s="13"/>
    </row>
    <row r="394" spans="1:10" x14ac:dyDescent="0.35">
      <c r="A394" s="11"/>
      <c r="B394" s="10"/>
      <c r="C394" s="11"/>
      <c r="D394" s="11" t="s">
        <v>443</v>
      </c>
      <c r="E394" s="10">
        <v>24</v>
      </c>
      <c r="F394" s="10" t="s">
        <v>14</v>
      </c>
      <c r="G394" s="10" t="s">
        <v>13</v>
      </c>
      <c r="H394" s="77">
        <v>1200</v>
      </c>
      <c r="I394" s="53">
        <f t="shared" si="16"/>
        <v>28800</v>
      </c>
      <c r="J394" s="13"/>
    </row>
    <row r="395" spans="1:10" x14ac:dyDescent="0.35">
      <c r="A395" s="11"/>
      <c r="B395" s="10"/>
      <c r="C395" s="11"/>
      <c r="D395" s="11" t="s">
        <v>444</v>
      </c>
      <c r="E395" s="10">
        <v>24</v>
      </c>
      <c r="F395" s="10" t="s">
        <v>14</v>
      </c>
      <c r="G395" s="10" t="s">
        <v>13</v>
      </c>
      <c r="H395" s="77">
        <v>1200</v>
      </c>
      <c r="I395" s="53">
        <f t="shared" si="16"/>
        <v>28800</v>
      </c>
      <c r="J395" s="13"/>
    </row>
    <row r="396" spans="1:10" x14ac:dyDescent="0.35">
      <c r="A396" s="11"/>
      <c r="B396" s="10"/>
      <c r="C396" s="11"/>
      <c r="D396" s="11" t="s">
        <v>445</v>
      </c>
      <c r="E396" s="10">
        <v>20</v>
      </c>
      <c r="F396" s="10" t="s">
        <v>14</v>
      </c>
      <c r="G396" s="10" t="s">
        <v>13</v>
      </c>
      <c r="H396" s="77">
        <v>9000</v>
      </c>
      <c r="I396" s="53">
        <f t="shared" si="16"/>
        <v>180000</v>
      </c>
      <c r="J396" s="13"/>
    </row>
    <row r="397" spans="1:10" x14ac:dyDescent="0.35">
      <c r="A397" s="11"/>
      <c r="B397" s="10"/>
      <c r="C397" s="11"/>
      <c r="D397" s="11" t="s">
        <v>281</v>
      </c>
      <c r="E397" s="10">
        <v>24</v>
      </c>
      <c r="F397" s="10" t="s">
        <v>14</v>
      </c>
      <c r="G397" s="10" t="s">
        <v>13</v>
      </c>
      <c r="H397" s="77">
        <f>63000/12</f>
        <v>5250</v>
      </c>
      <c r="I397" s="53">
        <f t="shared" si="16"/>
        <v>126000</v>
      </c>
      <c r="J397" s="13"/>
    </row>
    <row r="398" spans="1:10" x14ac:dyDescent="0.35">
      <c r="A398" s="11"/>
      <c r="B398" s="10"/>
      <c r="C398" s="11"/>
      <c r="D398" s="11" t="s">
        <v>85</v>
      </c>
      <c r="E398" s="10">
        <v>24</v>
      </c>
      <c r="F398" s="10" t="s">
        <v>17</v>
      </c>
      <c r="G398" s="10" t="s">
        <v>13</v>
      </c>
      <c r="H398" s="77">
        <v>2750</v>
      </c>
      <c r="I398" s="53">
        <f t="shared" si="16"/>
        <v>66000</v>
      </c>
      <c r="J398" s="13"/>
    </row>
    <row r="399" spans="1:10" x14ac:dyDescent="0.35">
      <c r="A399" s="11"/>
      <c r="B399" s="10"/>
      <c r="C399" s="11"/>
      <c r="D399" s="11" t="s">
        <v>446</v>
      </c>
      <c r="E399" s="10">
        <v>12</v>
      </c>
      <c r="F399" s="10" t="s">
        <v>14</v>
      </c>
      <c r="G399" s="10" t="s">
        <v>13</v>
      </c>
      <c r="H399" s="77">
        <v>8000</v>
      </c>
      <c r="I399" s="53">
        <f t="shared" si="16"/>
        <v>96000</v>
      </c>
      <c r="J399" s="13"/>
    </row>
    <row r="400" spans="1:10" x14ac:dyDescent="0.35">
      <c r="A400" s="11"/>
      <c r="B400" s="10"/>
      <c r="C400" s="11"/>
      <c r="D400" s="11" t="s">
        <v>447</v>
      </c>
      <c r="E400" s="10">
        <v>12</v>
      </c>
      <c r="F400" s="10" t="s">
        <v>14</v>
      </c>
      <c r="G400" s="10" t="s">
        <v>13</v>
      </c>
      <c r="H400" s="77">
        <v>8000</v>
      </c>
      <c r="I400" s="53">
        <f t="shared" si="16"/>
        <v>96000</v>
      </c>
      <c r="J400" s="13"/>
    </row>
    <row r="401" spans="1:10" x14ac:dyDescent="0.35">
      <c r="A401" s="11"/>
      <c r="B401" s="10"/>
      <c r="C401" s="11"/>
      <c r="D401" s="11" t="s">
        <v>448</v>
      </c>
      <c r="E401" s="10">
        <v>10</v>
      </c>
      <c r="F401" s="10" t="s">
        <v>14</v>
      </c>
      <c r="G401" s="10" t="s">
        <v>13</v>
      </c>
      <c r="H401" s="77">
        <v>3000</v>
      </c>
      <c r="I401" s="53">
        <f t="shared" si="16"/>
        <v>30000</v>
      </c>
      <c r="J401" s="13"/>
    </row>
    <row r="402" spans="1:10" x14ac:dyDescent="0.35">
      <c r="A402" s="11"/>
      <c r="B402" s="10"/>
      <c r="C402" s="11"/>
      <c r="D402" s="11" t="s">
        <v>449</v>
      </c>
      <c r="E402" s="10">
        <v>15</v>
      </c>
      <c r="F402" s="10" t="s">
        <v>28</v>
      </c>
      <c r="G402" s="10" t="s">
        <v>13</v>
      </c>
      <c r="H402" s="77">
        <v>11000</v>
      </c>
      <c r="I402" s="53">
        <f t="shared" si="16"/>
        <v>165000</v>
      </c>
      <c r="J402" s="13"/>
    </row>
    <row r="403" spans="1:10" x14ac:dyDescent="0.35">
      <c r="A403" s="11"/>
      <c r="B403" s="10"/>
      <c r="C403" s="11"/>
      <c r="D403" s="11" t="s">
        <v>450</v>
      </c>
      <c r="E403" s="10">
        <v>12</v>
      </c>
      <c r="F403" s="10" t="s">
        <v>14</v>
      </c>
      <c r="G403" s="10" t="s">
        <v>13</v>
      </c>
      <c r="H403" s="77">
        <v>8000</v>
      </c>
      <c r="I403" s="53">
        <f t="shared" si="16"/>
        <v>96000</v>
      </c>
      <c r="J403" s="13"/>
    </row>
    <row r="404" spans="1:10" x14ac:dyDescent="0.35">
      <c r="A404" s="11"/>
      <c r="B404" s="10"/>
      <c r="C404" s="11"/>
      <c r="D404" s="11" t="s">
        <v>451</v>
      </c>
      <c r="E404" s="10">
        <v>10</v>
      </c>
      <c r="F404" s="10" t="s">
        <v>28</v>
      </c>
      <c r="G404" s="10" t="s">
        <v>13</v>
      </c>
      <c r="H404" s="77">
        <v>5250</v>
      </c>
      <c r="I404" s="53">
        <f t="shared" si="16"/>
        <v>52500</v>
      </c>
      <c r="J404" s="13"/>
    </row>
    <row r="405" spans="1:10" x14ac:dyDescent="0.35">
      <c r="A405" s="11"/>
      <c r="B405" s="10"/>
      <c r="C405" s="11"/>
      <c r="D405" s="11" t="s">
        <v>452</v>
      </c>
      <c r="E405" s="10">
        <v>10</v>
      </c>
      <c r="F405" s="10" t="s">
        <v>21</v>
      </c>
      <c r="G405" s="10" t="s">
        <v>13</v>
      </c>
      <c r="H405" s="77">
        <v>31500</v>
      </c>
      <c r="I405" s="53">
        <f t="shared" si="16"/>
        <v>315000</v>
      </c>
      <c r="J405" s="13"/>
    </row>
    <row r="406" spans="1:10" x14ac:dyDescent="0.35">
      <c r="A406" s="11"/>
      <c r="B406" s="10"/>
      <c r="C406" s="11"/>
      <c r="D406" s="11" t="s">
        <v>68</v>
      </c>
      <c r="E406" s="10">
        <v>20</v>
      </c>
      <c r="F406" s="10" t="s">
        <v>17</v>
      </c>
      <c r="G406" s="10" t="s">
        <v>13</v>
      </c>
      <c r="H406" s="77">
        <v>87500</v>
      </c>
      <c r="I406" s="53">
        <f t="shared" si="16"/>
        <v>1750000</v>
      </c>
      <c r="J406" s="13"/>
    </row>
    <row r="407" spans="1:10" x14ac:dyDescent="0.35">
      <c r="A407" s="11"/>
      <c r="B407" s="10"/>
      <c r="C407" s="11"/>
      <c r="D407" s="11" t="s">
        <v>453</v>
      </c>
      <c r="E407" s="10">
        <v>25</v>
      </c>
      <c r="F407" s="10" t="s">
        <v>14</v>
      </c>
      <c r="G407" s="10" t="s">
        <v>13</v>
      </c>
      <c r="H407" s="77">
        <v>3250</v>
      </c>
      <c r="I407" s="53">
        <f t="shared" si="16"/>
        <v>81250</v>
      </c>
      <c r="J407" s="13"/>
    </row>
    <row r="408" spans="1:10" x14ac:dyDescent="0.35">
      <c r="A408" s="11"/>
      <c r="B408" s="10"/>
      <c r="C408" s="11"/>
      <c r="D408" s="11"/>
      <c r="E408" s="10"/>
      <c r="F408" s="10"/>
      <c r="G408" s="10"/>
      <c r="H408" s="77"/>
      <c r="I408" s="54">
        <f>SUM(I385:I407)</f>
        <v>13492250</v>
      </c>
      <c r="J408" s="13" t="s">
        <v>197</v>
      </c>
    </row>
    <row r="409" spans="1:10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 spans="1:10" x14ac:dyDescent="0.35">
      <c r="A410" s="9">
        <v>45239</v>
      </c>
      <c r="B410" s="10">
        <v>686</v>
      </c>
      <c r="C410" s="11" t="s">
        <v>11</v>
      </c>
      <c r="D410" s="11" t="s">
        <v>237</v>
      </c>
      <c r="E410" s="10">
        <v>50</v>
      </c>
      <c r="F410" s="10" t="s">
        <v>20</v>
      </c>
      <c r="G410" s="10" t="s">
        <v>24</v>
      </c>
      <c r="H410" s="53">
        <v>54500</v>
      </c>
      <c r="I410" s="53">
        <f>H410*E410</f>
        <v>2725000</v>
      </c>
      <c r="J410" s="13"/>
    </row>
    <row r="411" spans="1:10" x14ac:dyDescent="0.35">
      <c r="A411" s="11"/>
      <c r="B411" s="10"/>
      <c r="C411" s="11"/>
      <c r="D411" s="11" t="s">
        <v>454</v>
      </c>
      <c r="E411" s="10">
        <v>30</v>
      </c>
      <c r="F411" s="10" t="s">
        <v>20</v>
      </c>
      <c r="G411" s="10" t="s">
        <v>24</v>
      </c>
      <c r="H411" s="53">
        <v>55000</v>
      </c>
      <c r="I411" s="53">
        <f t="shared" ref="I411:I418" si="17">H411*E411</f>
        <v>1650000</v>
      </c>
      <c r="J411" s="13"/>
    </row>
    <row r="412" spans="1:10" x14ac:dyDescent="0.35">
      <c r="A412" s="11"/>
      <c r="B412" s="10"/>
      <c r="C412" s="11"/>
      <c r="D412" s="11" t="s">
        <v>455</v>
      </c>
      <c r="E412" s="10">
        <v>10</v>
      </c>
      <c r="F412" s="10" t="s">
        <v>20</v>
      </c>
      <c r="G412" s="10" t="s">
        <v>24</v>
      </c>
      <c r="H412" s="53">
        <v>55000</v>
      </c>
      <c r="I412" s="53">
        <f t="shared" si="17"/>
        <v>550000</v>
      </c>
      <c r="J412" s="13"/>
    </row>
    <row r="413" spans="1:10" x14ac:dyDescent="0.35">
      <c r="A413" s="11"/>
      <c r="B413" s="10"/>
      <c r="C413" s="11"/>
      <c r="D413" s="11" t="s">
        <v>117</v>
      </c>
      <c r="E413" s="10">
        <v>10</v>
      </c>
      <c r="F413" s="10" t="s">
        <v>20</v>
      </c>
      <c r="G413" s="10" t="s">
        <v>24</v>
      </c>
      <c r="H413" s="53">
        <v>50000</v>
      </c>
      <c r="I413" s="53">
        <f t="shared" si="17"/>
        <v>500000</v>
      </c>
      <c r="J413" s="13"/>
    </row>
    <row r="414" spans="1:10" x14ac:dyDescent="0.35">
      <c r="A414" s="11"/>
      <c r="B414" s="10"/>
      <c r="C414" s="11"/>
      <c r="D414" s="72" t="s">
        <v>456</v>
      </c>
      <c r="E414" s="71">
        <f>6*12</f>
        <v>72</v>
      </c>
      <c r="F414" s="71" t="s">
        <v>14</v>
      </c>
      <c r="G414" s="71" t="s">
        <v>13</v>
      </c>
      <c r="H414" s="73">
        <v>2250</v>
      </c>
      <c r="I414" s="53">
        <f t="shared" si="17"/>
        <v>162000</v>
      </c>
      <c r="J414" s="13"/>
    </row>
    <row r="415" spans="1:10" x14ac:dyDescent="0.35">
      <c r="A415" s="11"/>
      <c r="B415" s="10"/>
      <c r="C415" s="11"/>
      <c r="D415" s="72" t="s">
        <v>457</v>
      </c>
      <c r="E415" s="71">
        <v>72</v>
      </c>
      <c r="F415" s="71" t="s">
        <v>14</v>
      </c>
      <c r="G415" s="71" t="s">
        <v>13</v>
      </c>
      <c r="H415" s="73">
        <v>2250</v>
      </c>
      <c r="I415" s="53">
        <f t="shared" si="17"/>
        <v>162000</v>
      </c>
      <c r="J415" s="13"/>
    </row>
    <row r="416" spans="1:10" x14ac:dyDescent="0.35">
      <c r="A416" s="11"/>
      <c r="B416" s="10"/>
      <c r="C416" s="11"/>
      <c r="D416" s="72" t="s">
        <v>458</v>
      </c>
      <c r="E416" s="71">
        <v>72</v>
      </c>
      <c r="F416" s="71" t="s">
        <v>14</v>
      </c>
      <c r="G416" s="71" t="s">
        <v>13</v>
      </c>
      <c r="H416" s="73">
        <v>2250</v>
      </c>
      <c r="I416" s="53">
        <f t="shared" si="17"/>
        <v>162000</v>
      </c>
      <c r="J416" s="13"/>
    </row>
    <row r="417" spans="1:10" x14ac:dyDescent="0.35">
      <c r="A417" s="11"/>
      <c r="B417" s="10"/>
      <c r="C417" s="11"/>
      <c r="D417" s="72" t="s">
        <v>459</v>
      </c>
      <c r="E417" s="71">
        <v>72</v>
      </c>
      <c r="F417" s="71" t="s">
        <v>14</v>
      </c>
      <c r="G417" s="71" t="s">
        <v>13</v>
      </c>
      <c r="H417" s="73">
        <v>2250</v>
      </c>
      <c r="I417" s="53">
        <f t="shared" si="17"/>
        <v>162000</v>
      </c>
      <c r="J417" s="13"/>
    </row>
    <row r="418" spans="1:10" x14ac:dyDescent="0.35">
      <c r="A418" s="11"/>
      <c r="B418" s="10"/>
      <c r="C418" s="11"/>
      <c r="D418" s="11" t="s">
        <v>460</v>
      </c>
      <c r="E418" s="10">
        <v>2</v>
      </c>
      <c r="F418" s="10" t="s">
        <v>14</v>
      </c>
      <c r="G418" s="10" t="s">
        <v>13</v>
      </c>
      <c r="H418" s="53">
        <v>162000</v>
      </c>
      <c r="I418" s="53">
        <f t="shared" si="17"/>
        <v>324000</v>
      </c>
      <c r="J418" s="13"/>
    </row>
    <row r="419" spans="1:10" x14ac:dyDescent="0.35">
      <c r="A419" s="11"/>
      <c r="B419" s="10"/>
      <c r="C419" s="11"/>
      <c r="D419" s="11"/>
      <c r="E419" s="10"/>
      <c r="F419" s="10"/>
      <c r="G419" s="10"/>
      <c r="H419" s="53"/>
      <c r="I419" s="54">
        <f>SUM(I410:I418)</f>
        <v>6397000</v>
      </c>
      <c r="J419" s="13" t="s">
        <v>197</v>
      </c>
    </row>
    <row r="420" spans="1:10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 spans="1:10" x14ac:dyDescent="0.35">
      <c r="A421" s="9">
        <v>45237</v>
      </c>
      <c r="B421" s="10">
        <v>681</v>
      </c>
      <c r="C421" s="11" t="s">
        <v>11</v>
      </c>
      <c r="D421" s="11" t="s">
        <v>83</v>
      </c>
      <c r="E421" s="10">
        <v>50</v>
      </c>
      <c r="F421" s="10" t="s">
        <v>286</v>
      </c>
      <c r="G421" s="10" t="s">
        <v>13</v>
      </c>
      <c r="H421" s="78">
        <v>8500</v>
      </c>
      <c r="I421" s="78">
        <f t="shared" ref="I421:I434" si="18">H421*E421</f>
        <v>425000</v>
      </c>
      <c r="J421" s="13"/>
    </row>
    <row r="422" spans="1:10" x14ac:dyDescent="0.35">
      <c r="A422" s="11"/>
      <c r="B422" s="10"/>
      <c r="C422" s="11"/>
      <c r="D422" s="11" t="s">
        <v>461</v>
      </c>
      <c r="E422" s="10">
        <v>12</v>
      </c>
      <c r="F422" s="10" t="s">
        <v>28</v>
      </c>
      <c r="G422" s="10" t="s">
        <v>13</v>
      </c>
      <c r="H422" s="78">
        <v>11250</v>
      </c>
      <c r="I422" s="78">
        <f t="shared" si="18"/>
        <v>135000</v>
      </c>
      <c r="J422" s="13"/>
    </row>
    <row r="423" spans="1:10" x14ac:dyDescent="0.35">
      <c r="A423" s="11"/>
      <c r="B423" s="10"/>
      <c r="C423" s="11"/>
      <c r="D423" s="11" t="s">
        <v>462</v>
      </c>
      <c r="E423" s="10">
        <v>48</v>
      </c>
      <c r="F423" s="10" t="s">
        <v>17</v>
      </c>
      <c r="G423" s="10" t="s">
        <v>13</v>
      </c>
      <c r="H423" s="78">
        <v>7200</v>
      </c>
      <c r="I423" s="78">
        <f t="shared" si="18"/>
        <v>345600</v>
      </c>
      <c r="J423" s="13"/>
    </row>
    <row r="424" spans="1:10" x14ac:dyDescent="0.35">
      <c r="A424" s="11"/>
      <c r="B424" s="10"/>
      <c r="C424" s="11"/>
      <c r="D424" s="11" t="s">
        <v>463</v>
      </c>
      <c r="E424" s="10">
        <v>48</v>
      </c>
      <c r="F424" s="10" t="s">
        <v>17</v>
      </c>
      <c r="G424" s="10" t="s">
        <v>13</v>
      </c>
      <c r="H424" s="78">
        <v>3000</v>
      </c>
      <c r="I424" s="78">
        <f t="shared" si="18"/>
        <v>144000</v>
      </c>
      <c r="J424" s="13"/>
    </row>
    <row r="425" spans="1:10" x14ac:dyDescent="0.35">
      <c r="A425" s="11"/>
      <c r="B425" s="10"/>
      <c r="C425" s="11"/>
      <c r="D425" s="11" t="s">
        <v>464</v>
      </c>
      <c r="E425" s="10">
        <v>12</v>
      </c>
      <c r="F425" s="10" t="s">
        <v>14</v>
      </c>
      <c r="G425" s="10" t="s">
        <v>13</v>
      </c>
      <c r="H425" s="78">
        <v>9000</v>
      </c>
      <c r="I425" s="78">
        <f t="shared" si="18"/>
        <v>108000</v>
      </c>
      <c r="J425" s="13"/>
    </row>
    <row r="426" spans="1:10" x14ac:dyDescent="0.35">
      <c r="A426" s="11"/>
      <c r="B426" s="10"/>
      <c r="C426" s="11"/>
      <c r="D426" s="11" t="s">
        <v>465</v>
      </c>
      <c r="E426" s="10">
        <v>12</v>
      </c>
      <c r="F426" s="10" t="s">
        <v>14</v>
      </c>
      <c r="G426" s="10" t="s">
        <v>13</v>
      </c>
      <c r="H426" s="78">
        <v>13750</v>
      </c>
      <c r="I426" s="78">
        <f t="shared" si="18"/>
        <v>165000</v>
      </c>
      <c r="J426" s="13"/>
    </row>
    <row r="427" spans="1:10" x14ac:dyDescent="0.35">
      <c r="A427" s="11"/>
      <c r="B427" s="10"/>
      <c r="C427" s="11"/>
      <c r="D427" s="11" t="s">
        <v>466</v>
      </c>
      <c r="E427" s="10">
        <v>40</v>
      </c>
      <c r="F427" s="10" t="s">
        <v>286</v>
      </c>
      <c r="G427" s="10" t="s">
        <v>13</v>
      </c>
      <c r="H427" s="78">
        <v>3400</v>
      </c>
      <c r="I427" s="78">
        <f t="shared" si="18"/>
        <v>136000</v>
      </c>
      <c r="J427" s="13"/>
    </row>
    <row r="428" spans="1:10" x14ac:dyDescent="0.35">
      <c r="A428" s="11"/>
      <c r="B428" s="10"/>
      <c r="C428" s="11"/>
      <c r="D428" s="11" t="s">
        <v>467</v>
      </c>
      <c r="E428" s="10">
        <v>3</v>
      </c>
      <c r="F428" s="10" t="s">
        <v>21</v>
      </c>
      <c r="G428" s="10" t="s">
        <v>13</v>
      </c>
      <c r="H428" s="78">
        <v>30000</v>
      </c>
      <c r="I428" s="78">
        <f t="shared" si="18"/>
        <v>90000</v>
      </c>
      <c r="J428" s="13"/>
    </row>
    <row r="429" spans="1:10" x14ac:dyDescent="0.35">
      <c r="A429" s="11"/>
      <c r="B429" s="10"/>
      <c r="C429" s="11"/>
      <c r="D429" s="11" t="s">
        <v>468</v>
      </c>
      <c r="E429" s="10">
        <v>3</v>
      </c>
      <c r="F429" s="10" t="s">
        <v>21</v>
      </c>
      <c r="G429" s="10" t="s">
        <v>13</v>
      </c>
      <c r="H429" s="78">
        <v>30000</v>
      </c>
      <c r="I429" s="78">
        <f t="shared" si="18"/>
        <v>90000</v>
      </c>
      <c r="J429" s="13"/>
    </row>
    <row r="430" spans="1:10" x14ac:dyDescent="0.35">
      <c r="A430" s="11"/>
      <c r="B430" s="10"/>
      <c r="C430" s="11"/>
      <c r="D430" s="11" t="s">
        <v>469</v>
      </c>
      <c r="E430" s="10">
        <v>3</v>
      </c>
      <c r="F430" s="10" t="s">
        <v>21</v>
      </c>
      <c r="G430" s="10" t="s">
        <v>13</v>
      </c>
      <c r="H430" s="78">
        <v>30000</v>
      </c>
      <c r="I430" s="78">
        <f t="shared" si="18"/>
        <v>90000</v>
      </c>
      <c r="J430" s="13"/>
    </row>
    <row r="431" spans="1:10" x14ac:dyDescent="0.35">
      <c r="A431" s="11"/>
      <c r="B431" s="10"/>
      <c r="C431" s="11"/>
      <c r="D431" s="11" t="s">
        <v>470</v>
      </c>
      <c r="E431" s="10">
        <v>3</v>
      </c>
      <c r="F431" s="10" t="s">
        <v>21</v>
      </c>
      <c r="G431" s="10" t="s">
        <v>13</v>
      </c>
      <c r="H431" s="78">
        <v>30000</v>
      </c>
      <c r="I431" s="78">
        <f t="shared" si="18"/>
        <v>90000</v>
      </c>
      <c r="J431" s="13"/>
    </row>
    <row r="432" spans="1:10" x14ac:dyDescent="0.35">
      <c r="A432" s="11"/>
      <c r="B432" s="10"/>
      <c r="C432" s="11"/>
      <c r="D432" s="11" t="s">
        <v>139</v>
      </c>
      <c r="E432" s="10">
        <v>12</v>
      </c>
      <c r="F432" s="10" t="s">
        <v>14</v>
      </c>
      <c r="G432" s="10" t="s">
        <v>13</v>
      </c>
      <c r="H432" s="78">
        <v>20250</v>
      </c>
      <c r="I432" s="78">
        <f t="shared" si="18"/>
        <v>243000</v>
      </c>
      <c r="J432" s="13"/>
    </row>
    <row r="433" spans="1:10" x14ac:dyDescent="0.35">
      <c r="A433" s="11"/>
      <c r="B433" s="10"/>
      <c r="C433" s="11"/>
      <c r="D433" s="11" t="s">
        <v>268</v>
      </c>
      <c r="E433" s="10">
        <v>40</v>
      </c>
      <c r="F433" s="10" t="s">
        <v>14</v>
      </c>
      <c r="G433" s="10" t="s">
        <v>13</v>
      </c>
      <c r="H433" s="78">
        <v>19250</v>
      </c>
      <c r="I433" s="78">
        <f t="shared" si="18"/>
        <v>770000</v>
      </c>
      <c r="J433" s="13"/>
    </row>
    <row r="434" spans="1:10" x14ac:dyDescent="0.35">
      <c r="A434" s="11"/>
      <c r="B434" s="10"/>
      <c r="C434" s="11"/>
      <c r="D434" s="11" t="s">
        <v>294</v>
      </c>
      <c r="E434" s="10">
        <v>288</v>
      </c>
      <c r="F434" s="10" t="s">
        <v>14</v>
      </c>
      <c r="G434" s="10" t="s">
        <v>13</v>
      </c>
      <c r="H434" s="78">
        <f>13000/2</f>
        <v>6500</v>
      </c>
      <c r="I434" s="78">
        <f t="shared" si="18"/>
        <v>1872000</v>
      </c>
      <c r="J434" s="13"/>
    </row>
    <row r="435" spans="1:10" x14ac:dyDescent="0.35">
      <c r="A435" s="11"/>
      <c r="B435" s="10"/>
      <c r="C435" s="11"/>
      <c r="D435" s="11"/>
      <c r="E435" s="10"/>
      <c r="F435" s="10"/>
      <c r="G435" s="10"/>
      <c r="H435" s="78"/>
      <c r="I435" s="79">
        <f>SUM(I421:I434)</f>
        <v>4703600</v>
      </c>
      <c r="J435" s="13" t="s">
        <v>197</v>
      </c>
    </row>
    <row r="436" spans="1:10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 spans="1:10" x14ac:dyDescent="0.35">
      <c r="A437" s="9">
        <v>45233</v>
      </c>
      <c r="B437" s="10">
        <v>670</v>
      </c>
      <c r="C437" s="11" t="s">
        <v>56</v>
      </c>
      <c r="D437" s="11" t="s">
        <v>471</v>
      </c>
      <c r="E437" s="10">
        <v>90</v>
      </c>
      <c r="F437" s="10" t="s">
        <v>14</v>
      </c>
      <c r="G437" s="10" t="s">
        <v>13</v>
      </c>
      <c r="H437" s="53">
        <v>4770</v>
      </c>
      <c r="I437" s="53">
        <f>H437*E437</f>
        <v>429300</v>
      </c>
      <c r="J437" s="13"/>
    </row>
    <row r="438" spans="1:10" x14ac:dyDescent="0.35">
      <c r="A438" s="11"/>
      <c r="B438" s="10"/>
      <c r="C438" s="11"/>
      <c r="D438" s="11"/>
      <c r="E438" s="10"/>
      <c r="F438" s="10"/>
      <c r="G438" s="10"/>
      <c r="H438" s="53"/>
      <c r="I438" s="54">
        <f>SUM(I437)</f>
        <v>429300</v>
      </c>
      <c r="J438" s="13" t="s">
        <v>197</v>
      </c>
    </row>
    <row r="439" spans="1:10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 spans="1:10" x14ac:dyDescent="0.35">
      <c r="A440" s="9">
        <v>45232</v>
      </c>
      <c r="B440" s="10">
        <v>669</v>
      </c>
      <c r="C440" s="11" t="s">
        <v>56</v>
      </c>
      <c r="D440" s="11" t="s">
        <v>252</v>
      </c>
      <c r="E440" s="10">
        <v>100</v>
      </c>
      <c r="F440" s="10" t="s">
        <v>20</v>
      </c>
      <c r="G440" s="10" t="s">
        <v>13</v>
      </c>
      <c r="H440" s="53">
        <v>38200</v>
      </c>
      <c r="I440" s="53">
        <f>H440*E440</f>
        <v>3820000</v>
      </c>
      <c r="J440" s="13"/>
    </row>
    <row r="441" spans="1:10" x14ac:dyDescent="0.35">
      <c r="A441" s="11"/>
      <c r="B441" s="10"/>
      <c r="C441" s="11"/>
      <c r="D441" s="11"/>
      <c r="E441" s="10"/>
      <c r="F441" s="10"/>
      <c r="G441" s="10"/>
      <c r="H441" s="53"/>
      <c r="I441" s="54">
        <f>SUM(I440)</f>
        <v>3820000</v>
      </c>
      <c r="J441" s="13" t="s">
        <v>197</v>
      </c>
    </row>
    <row r="442" spans="1:10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 spans="1:10" x14ac:dyDescent="0.35">
      <c r="A443" s="9">
        <v>45208</v>
      </c>
      <c r="B443" s="10">
        <v>665</v>
      </c>
      <c r="C443" s="11" t="s">
        <v>472</v>
      </c>
      <c r="D443" s="11" t="s">
        <v>473</v>
      </c>
      <c r="E443" s="10">
        <v>6</v>
      </c>
      <c r="F443" s="10" t="s">
        <v>14</v>
      </c>
      <c r="G443" s="10" t="s">
        <v>219</v>
      </c>
      <c r="H443" s="53">
        <v>116000</v>
      </c>
      <c r="I443" s="53">
        <f>H443*E443</f>
        <v>696000</v>
      </c>
      <c r="J443" s="13"/>
    </row>
    <row r="444" spans="1:10" x14ac:dyDescent="0.35">
      <c r="A444" s="11"/>
      <c r="B444" s="10"/>
      <c r="C444" s="11"/>
      <c r="D444" s="11"/>
      <c r="E444" s="10"/>
      <c r="F444" s="10"/>
      <c r="G444" s="10"/>
      <c r="H444" s="53"/>
      <c r="I444" s="54">
        <f>SUM(I443)</f>
        <v>696000</v>
      </c>
      <c r="J444" s="13" t="s">
        <v>197</v>
      </c>
    </row>
    <row r="445" spans="1:10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 spans="1:10" x14ac:dyDescent="0.35">
      <c r="A446" s="9">
        <v>45230</v>
      </c>
      <c r="B446" s="10">
        <v>659</v>
      </c>
      <c r="C446" s="11" t="s">
        <v>11</v>
      </c>
      <c r="D446" s="11" t="s">
        <v>474</v>
      </c>
      <c r="E446" s="10">
        <v>24</v>
      </c>
      <c r="F446" s="10" t="s">
        <v>14</v>
      </c>
      <c r="G446" s="10" t="s">
        <v>13</v>
      </c>
      <c r="H446" s="53">
        <f>17500/12</f>
        <v>1458.3333333333333</v>
      </c>
      <c r="I446" s="53">
        <f t="shared" ref="I446:I456" si="19">H446*E446</f>
        <v>35000</v>
      </c>
      <c r="J446" s="13"/>
    </row>
    <row r="447" spans="1:10" x14ac:dyDescent="0.35">
      <c r="A447" s="11"/>
      <c r="B447" s="10"/>
      <c r="C447" s="11"/>
      <c r="D447" s="11" t="s">
        <v>475</v>
      </c>
      <c r="E447" s="10">
        <v>24</v>
      </c>
      <c r="F447" s="10" t="s">
        <v>14</v>
      </c>
      <c r="G447" s="10" t="s">
        <v>13</v>
      </c>
      <c r="H447" s="53">
        <f>17500/12</f>
        <v>1458.3333333333333</v>
      </c>
      <c r="I447" s="53">
        <f t="shared" si="19"/>
        <v>35000</v>
      </c>
      <c r="J447" s="13"/>
    </row>
    <row r="448" spans="1:10" x14ac:dyDescent="0.35">
      <c r="A448" s="11"/>
      <c r="B448" s="10"/>
      <c r="C448" s="11"/>
      <c r="D448" s="11" t="s">
        <v>139</v>
      </c>
      <c r="E448" s="10">
        <v>12</v>
      </c>
      <c r="F448" s="10" t="s">
        <v>14</v>
      </c>
      <c r="G448" s="10" t="s">
        <v>13</v>
      </c>
      <c r="H448" s="53">
        <v>20250</v>
      </c>
      <c r="I448" s="53">
        <f t="shared" si="19"/>
        <v>243000</v>
      </c>
      <c r="J448" s="13"/>
    </row>
    <row r="449" spans="1:10" x14ac:dyDescent="0.35">
      <c r="A449" s="11"/>
      <c r="B449" s="10"/>
      <c r="C449" s="11"/>
      <c r="D449" s="11" t="s">
        <v>339</v>
      </c>
      <c r="E449" s="10">
        <v>500</v>
      </c>
      <c r="F449" s="10" t="s">
        <v>286</v>
      </c>
      <c r="G449" s="10" t="s">
        <v>13</v>
      </c>
      <c r="H449" s="53">
        <v>1600</v>
      </c>
      <c r="I449" s="53">
        <f t="shared" si="19"/>
        <v>800000</v>
      </c>
      <c r="J449" s="13"/>
    </row>
    <row r="450" spans="1:10" x14ac:dyDescent="0.35">
      <c r="A450" s="11"/>
      <c r="B450" s="10"/>
      <c r="C450" s="11"/>
      <c r="D450" s="11" t="s">
        <v>465</v>
      </c>
      <c r="E450" s="10">
        <v>12</v>
      </c>
      <c r="F450" s="10" t="s">
        <v>14</v>
      </c>
      <c r="G450" s="10" t="s">
        <v>13</v>
      </c>
      <c r="H450" s="53">
        <v>13750</v>
      </c>
      <c r="I450" s="53">
        <f t="shared" si="19"/>
        <v>165000</v>
      </c>
      <c r="J450" s="13"/>
    </row>
    <row r="451" spans="1:10" x14ac:dyDescent="0.35">
      <c r="A451" s="11"/>
      <c r="B451" s="10"/>
      <c r="C451" s="11"/>
      <c r="D451" s="11" t="s">
        <v>158</v>
      </c>
      <c r="E451" s="10">
        <v>50</v>
      </c>
      <c r="F451" s="10" t="s">
        <v>476</v>
      </c>
      <c r="G451" s="10" t="s">
        <v>13</v>
      </c>
      <c r="H451" s="53">
        <v>2900</v>
      </c>
      <c r="I451" s="53">
        <f t="shared" si="19"/>
        <v>145000</v>
      </c>
      <c r="J451" s="13"/>
    </row>
    <row r="452" spans="1:10" x14ac:dyDescent="0.35">
      <c r="A452" s="11"/>
      <c r="B452" s="10"/>
      <c r="C452" s="11"/>
      <c r="D452" s="11" t="s">
        <v>477</v>
      </c>
      <c r="E452" s="10">
        <v>5</v>
      </c>
      <c r="F452" s="10" t="s">
        <v>28</v>
      </c>
      <c r="G452" s="10" t="s">
        <v>13</v>
      </c>
      <c r="H452" s="53">
        <v>16500</v>
      </c>
      <c r="I452" s="53">
        <f t="shared" si="19"/>
        <v>82500</v>
      </c>
      <c r="J452" s="13"/>
    </row>
    <row r="453" spans="1:10" x14ac:dyDescent="0.35">
      <c r="A453" s="11"/>
      <c r="B453" s="10"/>
      <c r="C453" s="11"/>
      <c r="D453" s="11" t="s">
        <v>478</v>
      </c>
      <c r="E453" s="10">
        <v>24</v>
      </c>
      <c r="F453" s="10" t="s">
        <v>14</v>
      </c>
      <c r="G453" s="10" t="s">
        <v>13</v>
      </c>
      <c r="H453" s="53">
        <v>3250</v>
      </c>
      <c r="I453" s="53">
        <f t="shared" si="19"/>
        <v>78000</v>
      </c>
      <c r="J453" s="13"/>
    </row>
    <row r="454" spans="1:10" x14ac:dyDescent="0.35">
      <c r="A454" s="11"/>
      <c r="B454" s="10"/>
      <c r="C454" s="11"/>
      <c r="D454" s="72" t="s">
        <v>479</v>
      </c>
      <c r="E454" s="71">
        <v>25</v>
      </c>
      <c r="F454" s="71" t="s">
        <v>14</v>
      </c>
      <c r="G454" s="71" t="s">
        <v>13</v>
      </c>
      <c r="H454" s="73">
        <v>13000</v>
      </c>
      <c r="I454" s="73">
        <f t="shared" si="19"/>
        <v>325000</v>
      </c>
      <c r="J454" s="13"/>
    </row>
    <row r="455" spans="1:10" x14ac:dyDescent="0.35">
      <c r="A455" s="11"/>
      <c r="B455" s="10"/>
      <c r="C455" s="11"/>
      <c r="D455" s="11" t="s">
        <v>252</v>
      </c>
      <c r="E455" s="10">
        <v>30</v>
      </c>
      <c r="F455" s="10" t="s">
        <v>20</v>
      </c>
      <c r="G455" s="10" t="s">
        <v>13</v>
      </c>
      <c r="H455" s="53">
        <v>40500</v>
      </c>
      <c r="I455" s="53">
        <f t="shared" si="19"/>
        <v>1215000</v>
      </c>
      <c r="J455" s="13"/>
    </row>
    <row r="456" spans="1:10" x14ac:dyDescent="0.35">
      <c r="A456" s="11"/>
      <c r="B456" s="10"/>
      <c r="C456" s="11"/>
      <c r="D456" s="11" t="s">
        <v>480</v>
      </c>
      <c r="E456" s="10">
        <v>5</v>
      </c>
      <c r="F456" s="10" t="s">
        <v>14</v>
      </c>
      <c r="G456" s="10" t="s">
        <v>13</v>
      </c>
      <c r="H456" s="53">
        <v>95000</v>
      </c>
      <c r="I456" s="53">
        <f t="shared" si="19"/>
        <v>475000</v>
      </c>
      <c r="J456" s="13"/>
    </row>
    <row r="457" spans="1:10" x14ac:dyDescent="0.35">
      <c r="A457" s="11"/>
      <c r="B457" s="10"/>
      <c r="C457" s="11"/>
      <c r="D457" s="11"/>
      <c r="E457" s="10"/>
      <c r="F457" s="10"/>
      <c r="G457" s="10"/>
      <c r="H457" s="53"/>
      <c r="I457" s="54">
        <f>SUM(I446:I456)</f>
        <v>3598500</v>
      </c>
      <c r="J457" s="13" t="s">
        <v>197</v>
      </c>
    </row>
    <row r="458" spans="1:10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 spans="1:10" x14ac:dyDescent="0.35">
      <c r="A459" s="9">
        <v>45226</v>
      </c>
      <c r="B459" s="10">
        <v>653</v>
      </c>
      <c r="C459" s="11" t="s">
        <v>11</v>
      </c>
      <c r="D459" s="11" t="s">
        <v>19</v>
      </c>
      <c r="E459" s="10">
        <v>150</v>
      </c>
      <c r="F459" s="10" t="s">
        <v>20</v>
      </c>
      <c r="G459" s="10" t="s">
        <v>13</v>
      </c>
      <c r="H459" s="53">
        <v>41000</v>
      </c>
      <c r="I459" s="53">
        <f>H459*E459</f>
        <v>6150000</v>
      </c>
      <c r="J459" s="13"/>
    </row>
    <row r="460" spans="1:10" x14ac:dyDescent="0.35">
      <c r="A460" s="11"/>
      <c r="B460" s="10"/>
      <c r="C460" s="11"/>
      <c r="D460" s="11" t="s">
        <v>184</v>
      </c>
      <c r="E460" s="10">
        <v>50</v>
      </c>
      <c r="F460" s="10" t="s">
        <v>20</v>
      </c>
      <c r="G460" s="10" t="s">
        <v>13</v>
      </c>
      <c r="H460" s="53">
        <v>59000</v>
      </c>
      <c r="I460" s="53">
        <f>H460*E460</f>
        <v>2950000</v>
      </c>
      <c r="J460" s="13"/>
    </row>
    <row r="461" spans="1:10" x14ac:dyDescent="0.35">
      <c r="A461" s="11"/>
      <c r="B461" s="10"/>
      <c r="C461" s="11"/>
      <c r="D461" s="72" t="s">
        <v>481</v>
      </c>
      <c r="E461" s="71">
        <v>250</v>
      </c>
      <c r="F461" s="71" t="s">
        <v>52</v>
      </c>
      <c r="G461" s="71" t="s">
        <v>24</v>
      </c>
      <c r="H461" s="73">
        <v>2900</v>
      </c>
      <c r="I461" s="73">
        <f>H461*E461</f>
        <v>725000</v>
      </c>
      <c r="J461" s="13"/>
    </row>
    <row r="462" spans="1:10" x14ac:dyDescent="0.35">
      <c r="A462" s="11"/>
      <c r="B462" s="10"/>
      <c r="C462" s="11"/>
      <c r="D462" s="11"/>
      <c r="E462" s="10"/>
      <c r="F462" s="10"/>
      <c r="G462" s="10"/>
      <c r="H462" s="53"/>
      <c r="I462" s="54">
        <f>SUM(I459:I461)</f>
        <v>9825000</v>
      </c>
      <c r="J462" s="13" t="s">
        <v>197</v>
      </c>
    </row>
    <row r="463" spans="1:10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 spans="1:10" x14ac:dyDescent="0.35">
      <c r="A464" s="9">
        <v>45225</v>
      </c>
      <c r="B464" s="10">
        <v>651</v>
      </c>
      <c r="C464" s="11" t="s">
        <v>11</v>
      </c>
      <c r="D464" s="11" t="s">
        <v>482</v>
      </c>
      <c r="E464" s="10">
        <v>80</v>
      </c>
      <c r="F464" s="10" t="s">
        <v>14</v>
      </c>
      <c r="G464" s="10" t="s">
        <v>13</v>
      </c>
      <c r="H464" s="53">
        <v>8750</v>
      </c>
      <c r="I464" s="53">
        <f>H464*E464</f>
        <v>700000</v>
      </c>
      <c r="J464" s="13"/>
    </row>
    <row r="465" spans="1:10" x14ac:dyDescent="0.35">
      <c r="A465" s="11"/>
      <c r="B465" s="10"/>
      <c r="C465" s="11"/>
      <c r="D465" s="11" t="s">
        <v>483</v>
      </c>
      <c r="E465" s="10">
        <v>100</v>
      </c>
      <c r="F465" s="10" t="s">
        <v>14</v>
      </c>
      <c r="G465" s="10" t="s">
        <v>13</v>
      </c>
      <c r="H465" s="53">
        <v>9000</v>
      </c>
      <c r="I465" s="53">
        <f>H465*E465</f>
        <v>900000</v>
      </c>
      <c r="J465" s="13"/>
    </row>
    <row r="466" spans="1:10" x14ac:dyDescent="0.35">
      <c r="A466" s="11"/>
      <c r="B466" s="10"/>
      <c r="C466" s="11"/>
      <c r="D466" s="11"/>
      <c r="E466" s="10"/>
      <c r="F466" s="10"/>
      <c r="G466" s="10"/>
      <c r="H466" s="53"/>
      <c r="I466" s="54">
        <f>SUM(I464:I465)</f>
        <v>1600000</v>
      </c>
      <c r="J466" s="13" t="s">
        <v>197</v>
      </c>
    </row>
    <row r="467" spans="1:10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 spans="1:10" x14ac:dyDescent="0.35">
      <c r="A468" s="9">
        <v>45224</v>
      </c>
      <c r="B468" s="10">
        <v>649</v>
      </c>
      <c r="C468" s="11" t="s">
        <v>11</v>
      </c>
      <c r="D468" s="11" t="s">
        <v>482</v>
      </c>
      <c r="E468" s="10">
        <v>600</v>
      </c>
      <c r="F468" s="10" t="s">
        <v>14</v>
      </c>
      <c r="G468" s="10" t="s">
        <v>13</v>
      </c>
      <c r="H468" s="53">
        <v>8750</v>
      </c>
      <c r="I468" s="53">
        <f>H468*E468</f>
        <v>5250000</v>
      </c>
      <c r="J468" s="13"/>
    </row>
    <row r="469" spans="1:10" x14ac:dyDescent="0.35">
      <c r="A469" s="11"/>
      <c r="B469" s="10"/>
      <c r="C469" s="11"/>
      <c r="D469" s="11"/>
      <c r="E469" s="10"/>
      <c r="F469" s="10"/>
      <c r="G469" s="10"/>
      <c r="H469" s="53"/>
      <c r="I469" s="54">
        <f>SUM(I468:I468)</f>
        <v>5250000</v>
      </c>
      <c r="J469" s="13" t="s">
        <v>197</v>
      </c>
    </row>
    <row r="470" spans="1:10" x14ac:dyDescent="0.35">
      <c r="A470" s="22"/>
      <c r="B470" s="21"/>
      <c r="C470" s="22"/>
      <c r="D470" s="8"/>
      <c r="E470" s="14"/>
      <c r="F470" s="14"/>
      <c r="G470" s="14"/>
      <c r="H470" s="57"/>
      <c r="I470" s="80"/>
      <c r="J470" s="44"/>
    </row>
    <row r="471" spans="1:10" x14ac:dyDescent="0.35">
      <c r="A471" s="9">
        <v>45224</v>
      </c>
      <c r="B471" s="10">
        <v>650</v>
      </c>
      <c r="C471" s="11" t="s">
        <v>11</v>
      </c>
      <c r="D471" s="11" t="s">
        <v>484</v>
      </c>
      <c r="E471" s="10">
        <v>20</v>
      </c>
      <c r="F471" s="10" t="s">
        <v>286</v>
      </c>
      <c r="G471" s="10" t="s">
        <v>13</v>
      </c>
      <c r="H471" s="53">
        <v>18500</v>
      </c>
      <c r="I471" s="53">
        <f t="shared" ref="I471:I478" si="20">H471*E471</f>
        <v>370000</v>
      </c>
      <c r="J471" s="13"/>
    </row>
    <row r="472" spans="1:10" x14ac:dyDescent="0.35">
      <c r="A472" s="11"/>
      <c r="B472" s="10"/>
      <c r="C472" s="11"/>
      <c r="D472" s="11" t="s">
        <v>485</v>
      </c>
      <c r="E472" s="10">
        <v>10</v>
      </c>
      <c r="F472" s="10" t="s">
        <v>28</v>
      </c>
      <c r="G472" s="10" t="s">
        <v>13</v>
      </c>
      <c r="H472" s="53">
        <v>11000</v>
      </c>
      <c r="I472" s="53">
        <f t="shared" si="20"/>
        <v>110000</v>
      </c>
      <c r="J472" s="13"/>
    </row>
    <row r="473" spans="1:10" x14ac:dyDescent="0.35">
      <c r="A473" s="11"/>
      <c r="B473" s="10"/>
      <c r="C473" s="11"/>
      <c r="D473" s="11" t="s">
        <v>486</v>
      </c>
      <c r="E473" s="10">
        <v>24</v>
      </c>
      <c r="F473" s="10" t="s">
        <v>14</v>
      </c>
      <c r="G473" s="10" t="s">
        <v>13</v>
      </c>
      <c r="H473" s="53">
        <v>19500</v>
      </c>
      <c r="I473" s="53">
        <f t="shared" si="20"/>
        <v>468000</v>
      </c>
      <c r="J473" s="13"/>
    </row>
    <row r="474" spans="1:10" x14ac:dyDescent="0.35">
      <c r="A474" s="11"/>
      <c r="B474" s="10"/>
      <c r="C474" s="11"/>
      <c r="D474" s="11" t="s">
        <v>94</v>
      </c>
      <c r="E474" s="10">
        <v>30</v>
      </c>
      <c r="F474" s="10" t="s">
        <v>20</v>
      </c>
      <c r="G474" s="10" t="s">
        <v>13</v>
      </c>
      <c r="H474" s="53">
        <v>27000</v>
      </c>
      <c r="I474" s="53">
        <f t="shared" si="20"/>
        <v>810000</v>
      </c>
      <c r="J474" s="13"/>
    </row>
    <row r="475" spans="1:10" x14ac:dyDescent="0.35">
      <c r="A475" s="11"/>
      <c r="B475" s="10"/>
      <c r="C475" s="11"/>
      <c r="D475" s="11" t="s">
        <v>487</v>
      </c>
      <c r="E475" s="10">
        <f>30*2</f>
        <v>60</v>
      </c>
      <c r="F475" s="10" t="s">
        <v>14</v>
      </c>
      <c r="G475" s="10" t="s">
        <v>13</v>
      </c>
      <c r="H475" s="53">
        <f>13000/2</f>
        <v>6500</v>
      </c>
      <c r="I475" s="53">
        <f t="shared" si="20"/>
        <v>390000</v>
      </c>
      <c r="J475" s="13"/>
    </row>
    <row r="476" spans="1:10" x14ac:dyDescent="0.35">
      <c r="A476" s="11"/>
      <c r="B476" s="10"/>
      <c r="C476" s="11"/>
      <c r="D476" s="11" t="s">
        <v>113</v>
      </c>
      <c r="E476" s="10">
        <v>6</v>
      </c>
      <c r="F476" s="10" t="s">
        <v>21</v>
      </c>
      <c r="G476" s="10" t="s">
        <v>13</v>
      </c>
      <c r="H476" s="53">
        <v>30000</v>
      </c>
      <c r="I476" s="53">
        <f t="shared" si="20"/>
        <v>180000</v>
      </c>
      <c r="J476" s="13"/>
    </row>
    <row r="477" spans="1:10" x14ac:dyDescent="0.35">
      <c r="A477" s="11"/>
      <c r="B477" s="10"/>
      <c r="C477" s="11"/>
      <c r="D477" s="11" t="s">
        <v>488</v>
      </c>
      <c r="E477" s="10">
        <v>12</v>
      </c>
      <c r="F477" s="10" t="s">
        <v>14</v>
      </c>
      <c r="G477" s="10" t="s">
        <v>13</v>
      </c>
      <c r="H477" s="53">
        <v>3500</v>
      </c>
      <c r="I477" s="53">
        <f t="shared" si="20"/>
        <v>42000</v>
      </c>
      <c r="J477" s="13"/>
    </row>
    <row r="478" spans="1:10" x14ac:dyDescent="0.35">
      <c r="A478" s="11"/>
      <c r="B478" s="10"/>
      <c r="C478" s="11"/>
      <c r="D478" s="11" t="s">
        <v>489</v>
      </c>
      <c r="E478" s="10">
        <v>15</v>
      </c>
      <c r="F478" s="10" t="s">
        <v>14</v>
      </c>
      <c r="G478" s="10" t="s">
        <v>13</v>
      </c>
      <c r="H478" s="53">
        <v>2000</v>
      </c>
      <c r="I478" s="53">
        <f t="shared" si="20"/>
        <v>30000</v>
      </c>
      <c r="J478" s="13"/>
    </row>
    <row r="479" spans="1:10" x14ac:dyDescent="0.35">
      <c r="A479" s="11"/>
      <c r="B479" s="10"/>
      <c r="C479" s="11"/>
      <c r="D479" s="11"/>
      <c r="E479" s="10"/>
      <c r="F479" s="10"/>
      <c r="G479" s="10"/>
      <c r="H479" s="53"/>
      <c r="I479" s="54">
        <f>SUM(I471:I478)</f>
        <v>2400000</v>
      </c>
      <c r="J479" s="13" t="s">
        <v>197</v>
      </c>
    </row>
    <row r="480" spans="1:10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 spans="1:10" x14ac:dyDescent="0.35">
      <c r="A481" s="9">
        <v>45223</v>
      </c>
      <c r="B481" s="10">
        <v>643</v>
      </c>
      <c r="C481" s="11" t="s">
        <v>11</v>
      </c>
      <c r="D481" s="11" t="s">
        <v>490</v>
      </c>
      <c r="E481" s="10">
        <v>250</v>
      </c>
      <c r="F481" s="10" t="s">
        <v>52</v>
      </c>
      <c r="G481" s="10" t="s">
        <v>24</v>
      </c>
      <c r="H481" s="53">
        <v>4700</v>
      </c>
      <c r="I481" s="53">
        <f>H481*E481</f>
        <v>1175000</v>
      </c>
      <c r="J481" s="13"/>
    </row>
    <row r="482" spans="1:10" x14ac:dyDescent="0.35">
      <c r="A482" s="11"/>
      <c r="B482" s="10"/>
      <c r="C482" s="11"/>
      <c r="D482" s="11" t="s">
        <v>483</v>
      </c>
      <c r="E482" s="10">
        <v>1000</v>
      </c>
      <c r="F482" s="10" t="s">
        <v>14</v>
      </c>
      <c r="G482" s="10" t="s">
        <v>13</v>
      </c>
      <c r="H482" s="53">
        <v>9000</v>
      </c>
      <c r="I482" s="53">
        <f>H482*E482</f>
        <v>9000000</v>
      </c>
      <c r="J482" s="13"/>
    </row>
    <row r="483" spans="1:10" x14ac:dyDescent="0.35">
      <c r="A483" s="11"/>
      <c r="B483" s="10"/>
      <c r="C483" s="11"/>
      <c r="D483" s="11" t="s">
        <v>297</v>
      </c>
      <c r="E483" s="10">
        <v>420</v>
      </c>
      <c r="F483" s="10" t="s">
        <v>14</v>
      </c>
      <c r="G483" s="10" t="s">
        <v>13</v>
      </c>
      <c r="H483" s="53">
        <v>8750</v>
      </c>
      <c r="I483" s="53">
        <f>H483*E483</f>
        <v>3675000</v>
      </c>
      <c r="J483" s="13"/>
    </row>
    <row r="484" spans="1:10" x14ac:dyDescent="0.35">
      <c r="A484" s="11"/>
      <c r="B484" s="10"/>
      <c r="C484" s="11"/>
      <c r="D484" s="11" t="s">
        <v>491</v>
      </c>
      <c r="E484" s="10">
        <v>1100</v>
      </c>
      <c r="F484" s="10" t="s">
        <v>14</v>
      </c>
      <c r="G484" s="10" t="s">
        <v>13</v>
      </c>
      <c r="H484" s="53">
        <v>1458.34</v>
      </c>
      <c r="I484" s="53">
        <f>H484*E484</f>
        <v>1604174</v>
      </c>
      <c r="J484" s="13"/>
    </row>
    <row r="485" spans="1:10" x14ac:dyDescent="0.35">
      <c r="A485" s="11"/>
      <c r="B485" s="10"/>
      <c r="C485" s="11"/>
      <c r="D485" s="11" t="s">
        <v>492</v>
      </c>
      <c r="E485" s="10">
        <v>1100</v>
      </c>
      <c r="F485" s="10" t="s">
        <v>14</v>
      </c>
      <c r="G485" s="10" t="s">
        <v>13</v>
      </c>
      <c r="H485" s="53">
        <v>2500</v>
      </c>
      <c r="I485" s="53">
        <f>H485*E485</f>
        <v>2750000</v>
      </c>
      <c r="J485" s="13"/>
    </row>
    <row r="486" spans="1:10" x14ac:dyDescent="0.35">
      <c r="A486" s="11"/>
      <c r="B486" s="10"/>
      <c r="C486" s="11"/>
      <c r="D486" s="11"/>
      <c r="E486" s="10"/>
      <c r="F486" s="10"/>
      <c r="G486" s="10"/>
      <c r="H486" s="53"/>
      <c r="I486" s="54">
        <f>SUM(I481:I485)</f>
        <v>18204174</v>
      </c>
      <c r="J486" s="13" t="s">
        <v>197</v>
      </c>
    </row>
    <row r="487" spans="1:10" x14ac:dyDescent="0.35">
      <c r="A487" s="8"/>
      <c r="B487" s="14"/>
      <c r="C487" s="8"/>
      <c r="D487" s="8"/>
      <c r="E487" s="14"/>
      <c r="F487" s="14"/>
      <c r="G487" s="14"/>
      <c r="H487" s="57"/>
      <c r="I487" s="57"/>
      <c r="J487" s="44"/>
    </row>
    <row r="488" spans="1:10" x14ac:dyDescent="0.35">
      <c r="A488" s="9">
        <v>45223</v>
      </c>
      <c r="B488" s="10">
        <v>644</v>
      </c>
      <c r="C488" s="11" t="s">
        <v>11</v>
      </c>
      <c r="D488" s="11" t="s">
        <v>493</v>
      </c>
      <c r="E488" s="10">
        <v>100</v>
      </c>
      <c r="F488" s="10" t="s">
        <v>14</v>
      </c>
      <c r="G488" s="10" t="s">
        <v>13</v>
      </c>
      <c r="H488" s="53">
        <v>3750</v>
      </c>
      <c r="I488" s="53">
        <f>H488*E488</f>
        <v>375000</v>
      </c>
      <c r="J488" s="13"/>
    </row>
    <row r="489" spans="1:10" x14ac:dyDescent="0.35">
      <c r="A489" s="11"/>
      <c r="B489" s="10"/>
      <c r="C489" s="11"/>
      <c r="D489" s="11" t="s">
        <v>233</v>
      </c>
      <c r="E489" s="10">
        <v>350</v>
      </c>
      <c r="F489" s="10" t="s">
        <v>14</v>
      </c>
      <c r="G489" s="10" t="s">
        <v>13</v>
      </c>
      <c r="H489" s="53">
        <v>600</v>
      </c>
      <c r="I489" s="53">
        <f>H489*E489</f>
        <v>210000</v>
      </c>
      <c r="J489" s="13"/>
    </row>
    <row r="490" spans="1:10" x14ac:dyDescent="0.35">
      <c r="A490" s="11"/>
      <c r="B490" s="10"/>
      <c r="C490" s="11"/>
      <c r="D490" s="11" t="s">
        <v>494</v>
      </c>
      <c r="E490" s="10">
        <v>24</v>
      </c>
      <c r="F490" s="10" t="s">
        <v>14</v>
      </c>
      <c r="G490" s="10" t="s">
        <v>13</v>
      </c>
      <c r="H490" s="53">
        <v>8000</v>
      </c>
      <c r="I490" s="53">
        <f>H490*E490</f>
        <v>192000</v>
      </c>
      <c r="J490" s="13"/>
    </row>
    <row r="491" spans="1:10" x14ac:dyDescent="0.35">
      <c r="A491" s="11"/>
      <c r="B491" s="10"/>
      <c r="C491" s="11"/>
      <c r="D491" s="11" t="s">
        <v>495</v>
      </c>
      <c r="E491" s="10">
        <v>24</v>
      </c>
      <c r="F491" s="10" t="s">
        <v>14</v>
      </c>
      <c r="G491" s="10" t="s">
        <v>496</v>
      </c>
      <c r="H491" s="53">
        <v>21000</v>
      </c>
      <c r="I491" s="53">
        <f>H491*E491</f>
        <v>504000</v>
      </c>
      <c r="J491" s="13"/>
    </row>
    <row r="492" spans="1:10" x14ac:dyDescent="0.35">
      <c r="A492" s="11"/>
      <c r="B492" s="10"/>
      <c r="C492" s="11"/>
      <c r="D492" s="11" t="s">
        <v>497</v>
      </c>
      <c r="E492" s="10">
        <f>5*12</f>
        <v>60</v>
      </c>
      <c r="F492" s="10" t="s">
        <v>14</v>
      </c>
      <c r="G492" s="10" t="s">
        <v>13</v>
      </c>
      <c r="H492" s="53">
        <v>645.84</v>
      </c>
      <c r="I492" s="53">
        <f>H492*E492</f>
        <v>38750.400000000001</v>
      </c>
      <c r="J492" s="13"/>
    </row>
    <row r="493" spans="1:10" x14ac:dyDescent="0.35">
      <c r="A493" s="11"/>
      <c r="B493" s="10"/>
      <c r="C493" s="11"/>
      <c r="D493" s="11"/>
      <c r="E493" s="10"/>
      <c r="F493" s="10"/>
      <c r="G493" s="10"/>
      <c r="H493" s="53"/>
      <c r="I493" s="54">
        <f>SUM(I488:I492)</f>
        <v>1319750.3999999999</v>
      </c>
      <c r="J493" s="13" t="s">
        <v>197</v>
      </c>
    </row>
    <row r="494" spans="1:10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 spans="1:10" x14ac:dyDescent="0.35">
      <c r="A495" s="9">
        <v>45201</v>
      </c>
      <c r="B495" s="10">
        <v>642</v>
      </c>
      <c r="C495" s="11" t="s">
        <v>498</v>
      </c>
      <c r="D495" s="22" t="s">
        <v>499</v>
      </c>
      <c r="E495" s="21">
        <v>442</v>
      </c>
      <c r="F495" s="21" t="s">
        <v>500</v>
      </c>
      <c r="G495" s="21" t="s">
        <v>24</v>
      </c>
      <c r="H495" s="65"/>
      <c r="I495" s="65"/>
      <c r="J495" s="44"/>
    </row>
    <row r="496" spans="1:10" x14ac:dyDescent="0.35">
      <c r="A496" s="11"/>
      <c r="B496" s="10"/>
      <c r="C496" s="11"/>
      <c r="D496" s="11" t="s">
        <v>501</v>
      </c>
      <c r="E496" s="10">
        <v>17</v>
      </c>
      <c r="F496" s="10" t="s">
        <v>502</v>
      </c>
      <c r="G496" s="10" t="s">
        <v>24</v>
      </c>
      <c r="H496" s="53">
        <v>100000</v>
      </c>
      <c r="I496" s="53">
        <f t="shared" ref="I496" si="21">H496*E496</f>
        <v>1700000</v>
      </c>
      <c r="J496" s="44"/>
    </row>
    <row r="497" spans="1:10" x14ac:dyDescent="0.35">
      <c r="A497" s="11"/>
      <c r="B497" s="10"/>
      <c r="C497" s="11"/>
      <c r="D497" s="22" t="s">
        <v>503</v>
      </c>
      <c r="E497" s="21">
        <v>10</v>
      </c>
      <c r="F497" s="21" t="s">
        <v>14</v>
      </c>
      <c r="G497" s="21" t="s">
        <v>24</v>
      </c>
      <c r="H497" s="65"/>
      <c r="I497" s="65"/>
      <c r="J497" s="44"/>
    </row>
    <row r="498" spans="1:10" x14ac:dyDescent="0.35">
      <c r="A498" s="11"/>
      <c r="B498" s="10"/>
      <c r="C498" s="11"/>
      <c r="D498" s="22" t="s">
        <v>504</v>
      </c>
      <c r="E498" s="21">
        <v>221</v>
      </c>
      <c r="F498" s="21" t="s">
        <v>500</v>
      </c>
      <c r="G498" s="21" t="s">
        <v>24</v>
      </c>
      <c r="H498" s="65"/>
      <c r="I498" s="65"/>
      <c r="J498" s="44"/>
    </row>
    <row r="499" spans="1:10" x14ac:dyDescent="0.35">
      <c r="A499" s="11"/>
      <c r="B499" s="10"/>
      <c r="C499" s="11"/>
      <c r="D499" s="11"/>
      <c r="E499" s="10"/>
      <c r="F499" s="10"/>
      <c r="G499" s="10"/>
      <c r="H499" s="11"/>
      <c r="I499" s="56">
        <f>SUM(I495:I498)</f>
        <v>1700000</v>
      </c>
      <c r="J499" s="13" t="s">
        <v>197</v>
      </c>
    </row>
    <row r="500" spans="1:10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 spans="1:10" x14ac:dyDescent="0.35">
      <c r="A501" s="9">
        <v>45219</v>
      </c>
      <c r="B501" s="10">
        <v>639</v>
      </c>
      <c r="C501" s="11" t="s">
        <v>505</v>
      </c>
      <c r="D501" s="11" t="s">
        <v>506</v>
      </c>
      <c r="E501" s="10">
        <v>21</v>
      </c>
      <c r="F501" s="10" t="s">
        <v>25</v>
      </c>
      <c r="G501" s="10" t="s">
        <v>40</v>
      </c>
      <c r="H501" s="53">
        <v>22000</v>
      </c>
      <c r="I501" s="53">
        <f>H501*E501</f>
        <v>462000</v>
      </c>
      <c r="J501" s="13"/>
    </row>
    <row r="502" spans="1:10" x14ac:dyDescent="0.35">
      <c r="A502" s="11"/>
      <c r="B502" s="10"/>
      <c r="C502" s="11"/>
      <c r="D502" s="11"/>
      <c r="E502" s="10"/>
      <c r="F502" s="10"/>
      <c r="G502" s="10"/>
      <c r="H502" s="53"/>
      <c r="I502" s="54">
        <f>SUM(I501)</f>
        <v>462000</v>
      </c>
      <c r="J502" s="13" t="s">
        <v>197</v>
      </c>
    </row>
    <row r="503" spans="1:10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 spans="1:10" x14ac:dyDescent="0.35">
      <c r="A504" s="9">
        <v>45218</v>
      </c>
      <c r="B504" s="10">
        <v>635</v>
      </c>
      <c r="C504" s="11" t="s">
        <v>11</v>
      </c>
      <c r="D504" s="11" t="s">
        <v>507</v>
      </c>
      <c r="E504" s="10">
        <v>50</v>
      </c>
      <c r="F504" s="10" t="s">
        <v>240</v>
      </c>
      <c r="G504" s="10" t="s">
        <v>13</v>
      </c>
      <c r="H504" s="53">
        <f>180000/50</f>
        <v>3600</v>
      </c>
      <c r="I504" s="53">
        <f t="shared" ref="I504:I512" si="22">H504*E504</f>
        <v>180000</v>
      </c>
      <c r="J504" s="13"/>
    </row>
    <row r="505" spans="1:10" x14ac:dyDescent="0.35">
      <c r="A505" s="11"/>
      <c r="B505" s="10"/>
      <c r="C505" s="11"/>
      <c r="D505" s="11" t="s">
        <v>508</v>
      </c>
      <c r="E505" s="10">
        <f>5*30</f>
        <v>150</v>
      </c>
      <c r="F505" s="10" t="s">
        <v>52</v>
      </c>
      <c r="G505" s="10" t="s">
        <v>24</v>
      </c>
      <c r="H505" s="53">
        <f>5750002.5/750</f>
        <v>7666.67</v>
      </c>
      <c r="I505" s="53">
        <f t="shared" si="22"/>
        <v>1150000.5</v>
      </c>
      <c r="J505" s="13"/>
    </row>
    <row r="506" spans="1:10" x14ac:dyDescent="0.35">
      <c r="A506" s="11"/>
      <c r="B506" s="10"/>
      <c r="C506" s="11"/>
      <c r="D506" s="11" t="s">
        <v>509</v>
      </c>
      <c r="E506" s="10">
        <v>500</v>
      </c>
      <c r="F506" s="10" t="s">
        <v>52</v>
      </c>
      <c r="G506" s="10" t="s">
        <v>24</v>
      </c>
      <c r="H506" s="53">
        <v>1500</v>
      </c>
      <c r="I506" s="53">
        <f t="shared" si="22"/>
        <v>750000</v>
      </c>
      <c r="J506" s="13"/>
    </row>
    <row r="507" spans="1:10" x14ac:dyDescent="0.35">
      <c r="A507" s="11"/>
      <c r="B507" s="10"/>
      <c r="C507" s="11"/>
      <c r="D507" s="11" t="s">
        <v>510</v>
      </c>
      <c r="E507" s="10">
        <v>36</v>
      </c>
      <c r="F507" s="10" t="s">
        <v>48</v>
      </c>
      <c r="G507" s="10" t="s">
        <v>13</v>
      </c>
      <c r="H507" s="53">
        <v>24500</v>
      </c>
      <c r="I507" s="53">
        <f t="shared" si="22"/>
        <v>882000</v>
      </c>
      <c r="J507" s="13"/>
    </row>
    <row r="508" spans="1:10" x14ac:dyDescent="0.35">
      <c r="A508" s="11"/>
      <c r="B508" s="10"/>
      <c r="C508" s="11"/>
      <c r="D508" s="11" t="s">
        <v>22</v>
      </c>
      <c r="E508" s="10">
        <v>100</v>
      </c>
      <c r="F508" s="10" t="s">
        <v>20</v>
      </c>
      <c r="G508" s="10" t="s">
        <v>13</v>
      </c>
      <c r="H508" s="53">
        <v>46000</v>
      </c>
      <c r="I508" s="53">
        <f t="shared" si="22"/>
        <v>4600000</v>
      </c>
      <c r="J508" s="13"/>
    </row>
    <row r="509" spans="1:10" x14ac:dyDescent="0.35">
      <c r="A509" s="11"/>
      <c r="B509" s="10"/>
      <c r="C509" s="11"/>
      <c r="D509" s="11" t="s">
        <v>19</v>
      </c>
      <c r="E509" s="10">
        <v>50</v>
      </c>
      <c r="F509" s="10" t="s">
        <v>20</v>
      </c>
      <c r="G509" s="10" t="s">
        <v>13</v>
      </c>
      <c r="H509" s="53">
        <v>41000</v>
      </c>
      <c r="I509" s="53">
        <f t="shared" si="22"/>
        <v>2050000</v>
      </c>
      <c r="J509" s="13"/>
    </row>
    <row r="510" spans="1:10" x14ac:dyDescent="0.35">
      <c r="A510" s="11"/>
      <c r="B510" s="10"/>
      <c r="C510" s="11"/>
      <c r="D510" s="11" t="s">
        <v>158</v>
      </c>
      <c r="E510" s="10">
        <v>50</v>
      </c>
      <c r="F510" s="10" t="s">
        <v>14</v>
      </c>
      <c r="G510" s="10" t="s">
        <v>13</v>
      </c>
      <c r="H510" s="53">
        <v>2900</v>
      </c>
      <c r="I510" s="53">
        <f t="shared" si="22"/>
        <v>145000</v>
      </c>
      <c r="J510" s="13"/>
    </row>
    <row r="511" spans="1:10" x14ac:dyDescent="0.35">
      <c r="A511" s="11"/>
      <c r="B511" s="10"/>
      <c r="C511" s="11"/>
      <c r="D511" s="11" t="s">
        <v>511</v>
      </c>
      <c r="E511" s="10">
        <v>5</v>
      </c>
      <c r="F511" s="10" t="s">
        <v>14</v>
      </c>
      <c r="G511" s="10" t="s">
        <v>13</v>
      </c>
      <c r="H511" s="53">
        <v>60000</v>
      </c>
      <c r="I511" s="53">
        <f t="shared" si="22"/>
        <v>300000</v>
      </c>
      <c r="J511" s="13"/>
    </row>
    <row r="512" spans="1:10" x14ac:dyDescent="0.35">
      <c r="A512" s="11"/>
      <c r="B512" s="10"/>
      <c r="C512" s="11"/>
      <c r="D512" s="11" t="s">
        <v>512</v>
      </c>
      <c r="E512" s="10">
        <f>5*12</f>
        <v>60</v>
      </c>
      <c r="F512" s="10" t="s">
        <v>14</v>
      </c>
      <c r="G512" s="10" t="s">
        <v>13</v>
      </c>
      <c r="H512" s="53">
        <f>87500/60</f>
        <v>1458.3333333333333</v>
      </c>
      <c r="I512" s="53">
        <f t="shared" si="22"/>
        <v>87500</v>
      </c>
      <c r="J512" s="13"/>
    </row>
    <row r="513" spans="1:10" x14ac:dyDescent="0.35">
      <c r="A513" s="11"/>
      <c r="B513" s="10"/>
      <c r="C513" s="11"/>
      <c r="D513" s="11"/>
      <c r="E513" s="10"/>
      <c r="F513" s="10"/>
      <c r="G513" s="10"/>
      <c r="H513" s="53"/>
      <c r="I513" s="64">
        <f>SUM(I504:I512)</f>
        <v>10144500.5</v>
      </c>
      <c r="J513" s="13" t="s">
        <v>197</v>
      </c>
    </row>
    <row r="514" spans="1:10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 spans="1:10" x14ac:dyDescent="0.35">
      <c r="A515" s="9">
        <v>45210</v>
      </c>
      <c r="B515" s="10">
        <v>631</v>
      </c>
      <c r="C515" s="15" t="s">
        <v>513</v>
      </c>
      <c r="D515" s="15" t="s">
        <v>514</v>
      </c>
      <c r="E515" s="10">
        <v>5</v>
      </c>
      <c r="F515" s="10" t="s">
        <v>14</v>
      </c>
      <c r="G515" s="10" t="s">
        <v>200</v>
      </c>
      <c r="H515" s="78">
        <v>80000</v>
      </c>
      <c r="I515" s="78">
        <f>H515*E515</f>
        <v>400000</v>
      </c>
      <c r="J515" s="10"/>
    </row>
    <row r="516" spans="1:10" x14ac:dyDescent="0.35">
      <c r="A516" s="13"/>
      <c r="B516" s="10"/>
      <c r="C516" s="15" t="s">
        <v>515</v>
      </c>
      <c r="D516" s="15" t="s">
        <v>516</v>
      </c>
      <c r="E516" s="10">
        <v>5</v>
      </c>
      <c r="F516" s="10" t="s">
        <v>21</v>
      </c>
      <c r="G516" s="10" t="s">
        <v>200</v>
      </c>
      <c r="H516" s="78">
        <v>39785</v>
      </c>
      <c r="I516" s="78">
        <f>H516*E516</f>
        <v>198925</v>
      </c>
      <c r="J516" s="10"/>
    </row>
    <row r="517" spans="1:10" x14ac:dyDescent="0.35">
      <c r="A517" s="13"/>
      <c r="B517" s="10"/>
      <c r="C517" s="15" t="s">
        <v>515</v>
      </c>
      <c r="D517" s="47" t="s">
        <v>517</v>
      </c>
      <c r="E517" s="21">
        <f>50+168</f>
        <v>218</v>
      </c>
      <c r="F517" s="21" t="s">
        <v>14</v>
      </c>
      <c r="G517" s="21" t="s">
        <v>200</v>
      </c>
      <c r="H517" s="81"/>
      <c r="I517" s="81"/>
      <c r="J517" s="10"/>
    </row>
    <row r="518" spans="1:10" x14ac:dyDescent="0.35">
      <c r="A518" s="13"/>
      <c r="B518" s="10"/>
      <c r="C518" s="15" t="s">
        <v>515</v>
      </c>
      <c r="D518" s="15" t="s">
        <v>518</v>
      </c>
      <c r="E518" s="10">
        <v>1</v>
      </c>
      <c r="F518" s="10" t="s">
        <v>14</v>
      </c>
      <c r="G518" s="10" t="s">
        <v>200</v>
      </c>
      <c r="H518" s="78">
        <v>800</v>
      </c>
      <c r="I518" s="78">
        <f>H518*E518</f>
        <v>800</v>
      </c>
      <c r="J518" s="10"/>
    </row>
    <row r="519" spans="1:10" x14ac:dyDescent="0.35">
      <c r="A519" s="13"/>
      <c r="B519" s="10"/>
      <c r="C519" s="13"/>
      <c r="D519" s="15"/>
      <c r="E519" s="10"/>
      <c r="F519" s="10"/>
      <c r="G519" s="10"/>
      <c r="H519" s="78"/>
      <c r="I519" s="79">
        <f>SUM(I515:I518)</f>
        <v>599725</v>
      </c>
      <c r="J519" s="13" t="s">
        <v>197</v>
      </c>
    </row>
    <row r="520" spans="1:10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 spans="1:10" x14ac:dyDescent="0.35">
      <c r="A521" s="9">
        <v>45217</v>
      </c>
      <c r="B521" s="10">
        <v>626</v>
      </c>
      <c r="C521" s="13"/>
      <c r="D521" s="15" t="s">
        <v>519</v>
      </c>
      <c r="E521" s="10">
        <v>54</v>
      </c>
      <c r="F521" s="10" t="s">
        <v>14</v>
      </c>
      <c r="G521" s="10" t="s">
        <v>200</v>
      </c>
      <c r="H521" s="78">
        <v>468000</v>
      </c>
      <c r="I521" s="78">
        <f>H521</f>
        <v>468000</v>
      </c>
      <c r="J521" s="13"/>
    </row>
    <row r="522" spans="1:10" x14ac:dyDescent="0.35">
      <c r="A522" s="13"/>
      <c r="B522" s="10"/>
      <c r="C522" s="13"/>
      <c r="D522" s="15"/>
      <c r="E522" s="10"/>
      <c r="F522" s="10"/>
      <c r="G522" s="10"/>
      <c r="H522" s="78"/>
      <c r="I522" s="79">
        <f>I521</f>
        <v>468000</v>
      </c>
      <c r="J522" s="13" t="s">
        <v>197</v>
      </c>
    </row>
    <row r="523" spans="1:10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 spans="1:10" x14ac:dyDescent="0.35">
      <c r="A524" s="9">
        <v>45202</v>
      </c>
      <c r="B524" s="10">
        <v>590</v>
      </c>
      <c r="C524" s="11"/>
      <c r="D524" s="11" t="s">
        <v>520</v>
      </c>
      <c r="E524" s="10">
        <v>1</v>
      </c>
      <c r="F524" s="10" t="s">
        <v>207</v>
      </c>
      <c r="G524" s="10" t="s">
        <v>200</v>
      </c>
      <c r="H524" s="53">
        <f>1000000-(1000000*25%)</f>
        <v>750000</v>
      </c>
      <c r="I524" s="53">
        <f>H524*E524</f>
        <v>750000</v>
      </c>
      <c r="J524" s="13"/>
    </row>
    <row r="525" spans="1:10" x14ac:dyDescent="0.35">
      <c r="A525" s="11"/>
      <c r="B525" s="10"/>
      <c r="C525" s="11"/>
      <c r="D525" s="11"/>
      <c r="E525" s="10"/>
      <c r="F525" s="10"/>
      <c r="G525" s="10"/>
      <c r="H525" s="53"/>
      <c r="I525" s="54">
        <f>SUM(I523:I524)</f>
        <v>750000</v>
      </c>
      <c r="J525" s="13" t="s">
        <v>197</v>
      </c>
    </row>
    <row r="526" spans="1:10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 spans="1:10" x14ac:dyDescent="0.35">
      <c r="A527" s="9">
        <v>45212</v>
      </c>
      <c r="B527" s="10">
        <v>615</v>
      </c>
      <c r="C527" s="11" t="s">
        <v>11</v>
      </c>
      <c r="D527" s="11" t="s">
        <v>521</v>
      </c>
      <c r="E527" s="10">
        <v>144</v>
      </c>
      <c r="F527" s="10" t="s">
        <v>14</v>
      </c>
      <c r="G527" s="10" t="s">
        <v>13</v>
      </c>
      <c r="H527" s="60">
        <v>2875</v>
      </c>
      <c r="I527" s="60">
        <f>H527*E527</f>
        <v>414000</v>
      </c>
      <c r="J527" s="13"/>
    </row>
    <row r="528" spans="1:10" x14ac:dyDescent="0.35">
      <c r="A528" s="11"/>
      <c r="B528" s="10"/>
      <c r="C528" s="11"/>
      <c r="D528" s="11" t="s">
        <v>522</v>
      </c>
      <c r="E528" s="10">
        <v>3</v>
      </c>
      <c r="F528" s="10" t="s">
        <v>14</v>
      </c>
      <c r="G528" s="10" t="s">
        <v>13</v>
      </c>
      <c r="H528" s="60">
        <v>162000</v>
      </c>
      <c r="I528" s="60">
        <f t="shared" ref="I528:I532" si="23">H528*E528</f>
        <v>486000</v>
      </c>
      <c r="J528" s="13"/>
    </row>
    <row r="529" spans="1:10" x14ac:dyDescent="0.35">
      <c r="A529" s="11"/>
      <c r="B529" s="10"/>
      <c r="C529" s="11"/>
      <c r="D529" s="11" t="s">
        <v>523</v>
      </c>
      <c r="E529" s="10">
        <v>50</v>
      </c>
      <c r="F529" s="10" t="s">
        <v>28</v>
      </c>
      <c r="G529" s="10" t="s">
        <v>13</v>
      </c>
      <c r="H529" s="60">
        <v>6700</v>
      </c>
      <c r="I529" s="60">
        <f t="shared" si="23"/>
        <v>335000</v>
      </c>
      <c r="J529" s="13"/>
    </row>
    <row r="530" spans="1:10" x14ac:dyDescent="0.35">
      <c r="A530" s="11"/>
      <c r="B530" s="10"/>
      <c r="C530" s="11"/>
      <c r="D530" s="11" t="s">
        <v>524</v>
      </c>
      <c r="E530" s="10">
        <v>20</v>
      </c>
      <c r="F530" s="10" t="s">
        <v>21</v>
      </c>
      <c r="G530" s="10" t="s">
        <v>13</v>
      </c>
      <c r="H530" s="60">
        <v>22000</v>
      </c>
      <c r="I530" s="60">
        <f t="shared" si="23"/>
        <v>440000</v>
      </c>
      <c r="J530" s="13"/>
    </row>
    <row r="531" spans="1:10" x14ac:dyDescent="0.35">
      <c r="A531" s="11"/>
      <c r="B531" s="10"/>
      <c r="C531" s="11"/>
      <c r="D531" s="11" t="s">
        <v>525</v>
      </c>
      <c r="E531" s="10">
        <v>10</v>
      </c>
      <c r="F531" s="10" t="s">
        <v>20</v>
      </c>
      <c r="G531" s="10" t="s">
        <v>13</v>
      </c>
      <c r="H531" s="60">
        <v>56000</v>
      </c>
      <c r="I531" s="60">
        <f t="shared" si="23"/>
        <v>560000</v>
      </c>
      <c r="J531" s="13"/>
    </row>
    <row r="532" spans="1:10" x14ac:dyDescent="0.35">
      <c r="A532" s="11"/>
      <c r="B532" s="10"/>
      <c r="C532" s="11"/>
      <c r="D532" s="11" t="s">
        <v>526</v>
      </c>
      <c r="E532" s="10">
        <v>24</v>
      </c>
      <c r="F532" s="10" t="s">
        <v>207</v>
      </c>
      <c r="G532" s="10" t="s">
        <v>13</v>
      </c>
      <c r="H532" s="60">
        <v>4750</v>
      </c>
      <c r="I532" s="60">
        <f t="shared" si="23"/>
        <v>114000</v>
      </c>
      <c r="J532" s="13"/>
    </row>
    <row r="533" spans="1:10" x14ac:dyDescent="0.35">
      <c r="A533" s="11"/>
      <c r="B533" s="10"/>
      <c r="C533" s="11"/>
      <c r="D533" s="11"/>
      <c r="E533" s="10"/>
      <c r="F533" s="10"/>
      <c r="G533" s="10"/>
      <c r="H533" s="60"/>
      <c r="I533" s="64">
        <f>SUM(I527:I532)</f>
        <v>2349000</v>
      </c>
      <c r="J533" s="13" t="s">
        <v>197</v>
      </c>
    </row>
    <row r="534" spans="1:10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 spans="1:10" x14ac:dyDescent="0.35">
      <c r="A535" s="9">
        <v>45210</v>
      </c>
      <c r="B535" s="10">
        <v>611</v>
      </c>
      <c r="C535" s="11" t="s">
        <v>527</v>
      </c>
      <c r="D535" s="11" t="s">
        <v>528</v>
      </c>
      <c r="E535" s="10">
        <v>30</v>
      </c>
      <c r="F535" s="10" t="s">
        <v>14</v>
      </c>
      <c r="G535" s="10" t="s">
        <v>200</v>
      </c>
      <c r="H535" s="60">
        <v>48000</v>
      </c>
      <c r="I535" s="60">
        <f>H535*E535</f>
        <v>1440000</v>
      </c>
      <c r="J535" s="13"/>
    </row>
    <row r="536" spans="1:10" x14ac:dyDescent="0.35">
      <c r="A536" s="11"/>
      <c r="B536" s="10"/>
      <c r="C536" s="11"/>
      <c r="D536" s="11" t="s">
        <v>529</v>
      </c>
      <c r="E536" s="10"/>
      <c r="F536" s="10"/>
      <c r="G536" s="10"/>
      <c r="H536" s="60"/>
      <c r="I536" s="64">
        <f>SUM(I535)</f>
        <v>1440000</v>
      </c>
      <c r="J536" s="13" t="s">
        <v>197</v>
      </c>
    </row>
    <row r="537" spans="1:10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 spans="1:10" x14ac:dyDescent="0.35">
      <c r="A538" s="9">
        <v>45202</v>
      </c>
      <c r="B538" s="10">
        <v>590</v>
      </c>
      <c r="C538" s="11"/>
      <c r="D538" s="11" t="s">
        <v>520</v>
      </c>
      <c r="E538" s="10">
        <v>1</v>
      </c>
      <c r="F538" s="10" t="s">
        <v>207</v>
      </c>
      <c r="G538" s="10" t="s">
        <v>200</v>
      </c>
      <c r="H538" s="53">
        <f>1000000-(1000000*25%)</f>
        <v>750000</v>
      </c>
      <c r="I538" s="53">
        <f>H538*E538</f>
        <v>750000</v>
      </c>
      <c r="J538" s="13"/>
    </row>
    <row r="539" spans="1:10" x14ac:dyDescent="0.35">
      <c r="A539" s="11"/>
      <c r="B539" s="10"/>
      <c r="C539" s="11"/>
      <c r="D539" s="11"/>
      <c r="E539" s="10"/>
      <c r="F539" s="10"/>
      <c r="G539" s="10"/>
      <c r="H539" s="53"/>
      <c r="I539" s="54">
        <f>SUM(I537:I538)</f>
        <v>750000</v>
      </c>
      <c r="J539" s="13" t="s">
        <v>197</v>
      </c>
    </row>
    <row r="540" spans="1:10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 spans="1:10" x14ac:dyDescent="0.35">
      <c r="A541" s="9">
        <v>45174</v>
      </c>
      <c r="B541" s="10">
        <v>503</v>
      </c>
      <c r="C541" s="11" t="s">
        <v>49</v>
      </c>
      <c r="D541" s="11" t="s">
        <v>530</v>
      </c>
      <c r="E541" s="10">
        <v>100</v>
      </c>
      <c r="F541" s="10" t="s">
        <v>14</v>
      </c>
      <c r="G541" s="10" t="s">
        <v>13</v>
      </c>
      <c r="H541" s="53">
        <f>1400000/100</f>
        <v>14000</v>
      </c>
      <c r="I541" s="53">
        <f>H541*E541</f>
        <v>1400000</v>
      </c>
      <c r="J541" s="13"/>
    </row>
    <row r="542" spans="1:10" x14ac:dyDescent="0.35">
      <c r="A542" s="11"/>
      <c r="B542" s="10"/>
      <c r="C542" s="11"/>
      <c r="D542" s="11"/>
      <c r="E542" s="10"/>
      <c r="F542" s="10"/>
      <c r="G542" s="10"/>
      <c r="H542" s="53"/>
      <c r="I542" s="54">
        <f>SUM(I541)</f>
        <v>1400000</v>
      </c>
      <c r="J542" s="13" t="s">
        <v>197</v>
      </c>
    </row>
    <row r="543" spans="1:10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 spans="1:10" x14ac:dyDescent="0.35">
      <c r="A544" s="9">
        <v>45170</v>
      </c>
      <c r="B544" s="10">
        <v>493</v>
      </c>
      <c r="C544" s="11" t="s">
        <v>531</v>
      </c>
      <c r="D544" s="11" t="s">
        <v>532</v>
      </c>
      <c r="E544" s="10">
        <v>30</v>
      </c>
      <c r="F544" s="10" t="s">
        <v>14</v>
      </c>
      <c r="G544" s="10" t="s">
        <v>200</v>
      </c>
      <c r="H544" s="53">
        <v>48000</v>
      </c>
      <c r="I544" s="53">
        <f>H544*E544</f>
        <v>1440000</v>
      </c>
      <c r="J544" s="13"/>
    </row>
    <row r="545" spans="1:10" x14ac:dyDescent="0.35">
      <c r="A545" s="11"/>
      <c r="B545" s="10"/>
      <c r="C545" s="11"/>
      <c r="D545" s="11" t="s">
        <v>533</v>
      </c>
      <c r="E545" s="10"/>
      <c r="F545" s="10"/>
      <c r="G545" s="10"/>
      <c r="H545" s="53"/>
      <c r="I545" s="54">
        <f>SUM(I544)</f>
        <v>1440000</v>
      </c>
      <c r="J545" s="13" t="s">
        <v>197</v>
      </c>
    </row>
    <row r="546" spans="1:10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 spans="1:10" x14ac:dyDescent="0.35">
      <c r="A547" s="9">
        <v>45154</v>
      </c>
      <c r="B547" s="10">
        <v>425</v>
      </c>
      <c r="C547" s="11" t="s">
        <v>254</v>
      </c>
      <c r="D547" s="11" t="s">
        <v>534</v>
      </c>
      <c r="E547" s="10">
        <v>48</v>
      </c>
      <c r="F547" s="10" t="s">
        <v>240</v>
      </c>
      <c r="G547" s="10" t="s">
        <v>200</v>
      </c>
      <c r="H547" s="53">
        <v>7000</v>
      </c>
      <c r="I547" s="53">
        <f>H547*E547</f>
        <v>336000</v>
      </c>
      <c r="J547" s="13"/>
    </row>
    <row r="548" spans="1:10" x14ac:dyDescent="0.35">
      <c r="A548" s="11"/>
      <c r="B548" s="10"/>
      <c r="C548" s="11"/>
      <c r="D548" s="11" t="s">
        <v>535</v>
      </c>
      <c r="E548" s="10">
        <v>24</v>
      </c>
      <c r="F548" s="10" t="s">
        <v>240</v>
      </c>
      <c r="G548" s="10" t="s">
        <v>200</v>
      </c>
      <c r="H548" s="53">
        <v>8075.1</v>
      </c>
      <c r="I548" s="53">
        <f>H548*E548</f>
        <v>193802.40000000002</v>
      </c>
      <c r="J548" s="13"/>
    </row>
    <row r="549" spans="1:10" x14ac:dyDescent="0.35">
      <c r="A549" s="11"/>
      <c r="B549" s="10"/>
      <c r="C549" s="11"/>
      <c r="D549" s="11"/>
      <c r="E549" s="10"/>
      <c r="F549" s="10"/>
      <c r="G549" s="10"/>
      <c r="H549" s="53"/>
      <c r="I549" s="54">
        <f>SUM(I547:I548)</f>
        <v>529802.4</v>
      </c>
      <c r="J549" s="13" t="s">
        <v>197</v>
      </c>
    </row>
    <row r="550" spans="1:10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 spans="1:10" x14ac:dyDescent="0.35">
      <c r="A551" s="9">
        <v>45149</v>
      </c>
      <c r="B551" s="10">
        <v>418</v>
      </c>
      <c r="C551" s="11" t="s">
        <v>430</v>
      </c>
      <c r="D551" s="11" t="s">
        <v>536</v>
      </c>
      <c r="E551" s="10">
        <v>200</v>
      </c>
      <c r="F551" s="10" t="s">
        <v>12</v>
      </c>
      <c r="G551" s="10" t="s">
        <v>13</v>
      </c>
      <c r="H551" s="53">
        <v>2750</v>
      </c>
      <c r="I551" s="53">
        <f>H551*E551</f>
        <v>550000</v>
      </c>
      <c r="J551" s="13"/>
    </row>
    <row r="552" spans="1:10" x14ac:dyDescent="0.35">
      <c r="A552" s="11"/>
      <c r="B552" s="10"/>
      <c r="C552" s="11"/>
      <c r="D552" s="11" t="s">
        <v>26</v>
      </c>
      <c r="E552" s="10">
        <v>200</v>
      </c>
      <c r="F552" s="10" t="s">
        <v>20</v>
      </c>
      <c r="G552" s="10" t="s">
        <v>13</v>
      </c>
      <c r="H552" s="53">
        <v>49800</v>
      </c>
      <c r="I552" s="53">
        <f>H552*E552</f>
        <v>9960000</v>
      </c>
      <c r="J552" s="13"/>
    </row>
    <row r="553" spans="1:10" x14ac:dyDescent="0.35">
      <c r="A553" s="11"/>
      <c r="B553" s="10"/>
      <c r="C553" s="11"/>
      <c r="D553" s="11"/>
      <c r="E553" s="10"/>
      <c r="F553" s="10"/>
      <c r="G553" s="10"/>
      <c r="H553" s="53"/>
      <c r="I553" s="54">
        <f>SUM(I551:I552)</f>
        <v>10510000</v>
      </c>
      <c r="J553" s="13" t="s">
        <v>197</v>
      </c>
    </row>
    <row r="554" spans="1:10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 spans="1:10" x14ac:dyDescent="0.35">
      <c r="A555" s="9">
        <v>45132</v>
      </c>
      <c r="B555" s="10">
        <v>365</v>
      </c>
      <c r="C555" s="11" t="s">
        <v>11</v>
      </c>
      <c r="D555" s="11" t="s">
        <v>67</v>
      </c>
      <c r="E555" s="10">
        <v>12</v>
      </c>
      <c r="F555" s="10" t="s">
        <v>17</v>
      </c>
      <c r="G555" s="10" t="s">
        <v>13</v>
      </c>
      <c r="H555" s="53">
        <v>74750</v>
      </c>
      <c r="I555" s="78">
        <f t="shared" ref="I555:I560" si="24">H555*E555</f>
        <v>897000</v>
      </c>
      <c r="J555" s="13"/>
    </row>
    <row r="556" spans="1:10" x14ac:dyDescent="0.35">
      <c r="A556" s="11"/>
      <c r="B556" s="10"/>
      <c r="C556" s="11"/>
      <c r="D556" s="11" t="s">
        <v>68</v>
      </c>
      <c r="E556" s="10">
        <v>6</v>
      </c>
      <c r="F556" s="10" t="s">
        <v>17</v>
      </c>
      <c r="G556" s="10" t="s">
        <v>13</v>
      </c>
      <c r="H556" s="53">
        <v>87500</v>
      </c>
      <c r="I556" s="78">
        <f t="shared" si="24"/>
        <v>525000</v>
      </c>
      <c r="J556" s="13"/>
    </row>
    <row r="557" spans="1:10" x14ac:dyDescent="0.35">
      <c r="A557" s="11"/>
      <c r="B557" s="10"/>
      <c r="C557" s="11"/>
      <c r="D557" s="11" t="s">
        <v>465</v>
      </c>
      <c r="E557" s="10">
        <v>12</v>
      </c>
      <c r="F557" s="10" t="s">
        <v>14</v>
      </c>
      <c r="G557" s="10" t="s">
        <v>13</v>
      </c>
      <c r="H557" s="53">
        <v>13750</v>
      </c>
      <c r="I557" s="78">
        <f t="shared" si="24"/>
        <v>165000</v>
      </c>
      <c r="J557" s="13"/>
    </row>
    <row r="558" spans="1:10" x14ac:dyDescent="0.35">
      <c r="A558" s="11"/>
      <c r="B558" s="10"/>
      <c r="C558" s="11"/>
      <c r="D558" s="11" t="s">
        <v>537</v>
      </c>
      <c r="E558" s="10">
        <v>2</v>
      </c>
      <c r="F558" s="10" t="s">
        <v>21</v>
      </c>
      <c r="G558" s="10" t="s">
        <v>13</v>
      </c>
      <c r="H558" s="53">
        <v>245000</v>
      </c>
      <c r="I558" s="78">
        <f t="shared" si="24"/>
        <v>490000</v>
      </c>
      <c r="J558" s="13"/>
    </row>
    <row r="559" spans="1:10" x14ac:dyDescent="0.35">
      <c r="A559" s="11"/>
      <c r="B559" s="10"/>
      <c r="C559" s="11"/>
      <c r="D559" s="11" t="s">
        <v>477</v>
      </c>
      <c r="E559" s="10">
        <v>10</v>
      </c>
      <c r="F559" s="10" t="s">
        <v>28</v>
      </c>
      <c r="G559" s="10" t="s">
        <v>13</v>
      </c>
      <c r="H559" s="53">
        <v>16500</v>
      </c>
      <c r="I559" s="78">
        <f t="shared" si="24"/>
        <v>165000</v>
      </c>
      <c r="J559" s="13"/>
    </row>
    <row r="560" spans="1:10" x14ac:dyDescent="0.35">
      <c r="A560" s="11"/>
      <c r="B560" s="10"/>
      <c r="C560" s="11"/>
      <c r="D560" s="11" t="s">
        <v>538</v>
      </c>
      <c r="E560" s="10">
        <v>3</v>
      </c>
      <c r="F560" s="10" t="s">
        <v>14</v>
      </c>
      <c r="G560" s="10" t="s">
        <v>13</v>
      </c>
      <c r="H560" s="53">
        <v>27500</v>
      </c>
      <c r="I560" s="78">
        <f t="shared" si="24"/>
        <v>82500</v>
      </c>
      <c r="J560" s="13"/>
    </row>
    <row r="561" spans="1:10" x14ac:dyDescent="0.35">
      <c r="A561" s="11"/>
      <c r="B561" s="10"/>
      <c r="C561" s="11"/>
      <c r="D561" s="11"/>
      <c r="E561" s="10"/>
      <c r="F561" s="10"/>
      <c r="G561" s="10"/>
      <c r="H561" s="53"/>
      <c r="I561" s="79">
        <f>SUM(I555:I560)</f>
        <v>2324500</v>
      </c>
      <c r="J561" s="13" t="s">
        <v>197</v>
      </c>
    </row>
    <row r="562" spans="1:10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 spans="1:10" x14ac:dyDescent="0.35">
      <c r="A563" s="9">
        <v>45083</v>
      </c>
      <c r="B563" s="10">
        <v>324</v>
      </c>
      <c r="C563" s="11" t="s">
        <v>505</v>
      </c>
      <c r="D563" s="11" t="s">
        <v>539</v>
      </c>
      <c r="E563" s="10">
        <v>2</v>
      </c>
      <c r="F563" s="10" t="s">
        <v>18</v>
      </c>
      <c r="G563" s="10" t="s">
        <v>40</v>
      </c>
      <c r="H563" s="53">
        <v>31000</v>
      </c>
      <c r="I563" s="53">
        <f>H563*E563</f>
        <v>62000</v>
      </c>
      <c r="J563" s="13"/>
    </row>
    <row r="564" spans="1:10" x14ac:dyDescent="0.35">
      <c r="A564" s="9"/>
      <c r="B564" s="10"/>
      <c r="C564" s="11"/>
      <c r="D564" s="11"/>
      <c r="E564" s="10"/>
      <c r="F564" s="10"/>
      <c r="G564" s="10"/>
      <c r="H564" s="53"/>
      <c r="I564" s="54">
        <f>SUM(I563)</f>
        <v>62000</v>
      </c>
      <c r="J564" s="13" t="s">
        <v>197</v>
      </c>
    </row>
    <row r="565" spans="1:10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 spans="1:10" x14ac:dyDescent="0.35">
      <c r="A566" s="9">
        <v>45098</v>
      </c>
      <c r="B566" s="10">
        <v>299</v>
      </c>
      <c r="C566" s="11" t="s">
        <v>254</v>
      </c>
      <c r="D566" s="11" t="s">
        <v>256</v>
      </c>
      <c r="E566" s="10">
        <v>126</v>
      </c>
      <c r="F566" s="10" t="s">
        <v>240</v>
      </c>
      <c r="G566" s="10" t="s">
        <v>200</v>
      </c>
      <c r="H566" s="53">
        <f>102797/126</f>
        <v>815.84920634920638</v>
      </c>
      <c r="I566" s="53">
        <f>H566*E566</f>
        <v>102797</v>
      </c>
      <c r="J566" s="13"/>
    </row>
    <row r="567" spans="1:10" x14ac:dyDescent="0.35">
      <c r="A567" s="11"/>
      <c r="B567" s="10"/>
      <c r="C567" s="11"/>
      <c r="D567" s="11" t="s">
        <v>540</v>
      </c>
      <c r="E567" s="10">
        <v>48</v>
      </c>
      <c r="F567" s="10" t="s">
        <v>240</v>
      </c>
      <c r="G567" s="10" t="s">
        <v>200</v>
      </c>
      <c r="H567" s="53">
        <f>349943/48</f>
        <v>7290.479166666667</v>
      </c>
      <c r="I567" s="53">
        <f>H567*E567</f>
        <v>349943</v>
      </c>
      <c r="J567" s="13"/>
    </row>
    <row r="568" spans="1:10" x14ac:dyDescent="0.35">
      <c r="A568" s="11"/>
      <c r="B568" s="10"/>
      <c r="C568" s="11"/>
      <c r="D568" s="11"/>
      <c r="E568" s="10"/>
      <c r="F568" s="10"/>
      <c r="G568" s="10"/>
      <c r="H568" s="53"/>
      <c r="I568" s="54">
        <f>SUM(I566:I567)</f>
        <v>452740</v>
      </c>
      <c r="J568" s="13" t="s">
        <v>267</v>
      </c>
    </row>
    <row r="569" spans="1:10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 spans="1:10" x14ac:dyDescent="0.35">
      <c r="A570" s="9">
        <v>45072</v>
      </c>
      <c r="B570" s="10">
        <v>233</v>
      </c>
      <c r="C570" s="11" t="s">
        <v>541</v>
      </c>
      <c r="D570" s="11" t="s">
        <v>542</v>
      </c>
      <c r="E570" s="10">
        <v>80</v>
      </c>
      <c r="F570" s="10" t="s">
        <v>21</v>
      </c>
      <c r="G570" s="82" t="s">
        <v>200</v>
      </c>
      <c r="H570" s="53">
        <f>724500/80</f>
        <v>9056.25</v>
      </c>
      <c r="I570" s="53">
        <f>H570*E570</f>
        <v>724500</v>
      </c>
      <c r="J570" s="13"/>
    </row>
    <row r="571" spans="1:10" x14ac:dyDescent="0.35">
      <c r="A571" s="11"/>
      <c r="B571" s="10"/>
      <c r="C571" s="11"/>
      <c r="D571" s="11"/>
      <c r="E571" s="11"/>
      <c r="F571" s="11"/>
      <c r="G571" s="11"/>
      <c r="H571" s="53"/>
      <c r="I571" s="54">
        <f>SUM(I570)</f>
        <v>724500</v>
      </c>
      <c r="J571" s="13" t="s">
        <v>197</v>
      </c>
    </row>
  </sheetData>
  <mergeCells count="3">
    <mergeCell ref="L72:M72"/>
    <mergeCell ref="L73:M73"/>
    <mergeCell ref="L74:M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9"/>
  <sheetViews>
    <sheetView zoomScale="80" zoomScaleNormal="80" workbookViewId="0">
      <selection activeCell="I248" sqref="I248"/>
    </sheetView>
  </sheetViews>
  <sheetFormatPr defaultRowHeight="14.5" x14ac:dyDescent="0.35"/>
  <cols>
    <col min="1" max="1" width="10.54296875" customWidth="1"/>
    <col min="2" max="2" width="5.7265625" bestFit="1" customWidth="1"/>
    <col min="3" max="3" width="17.81640625" customWidth="1"/>
    <col min="4" max="4" width="31.7265625" hidden="1" customWidth="1"/>
    <col min="5" max="6" width="0" hidden="1" customWidth="1"/>
    <col min="7" max="7" width="12.26953125" hidden="1" customWidth="1"/>
    <col min="8" max="8" width="9.54296875" hidden="1" customWidth="1"/>
    <col min="9" max="9" width="14.453125" bestFit="1" customWidth="1"/>
    <col min="10" max="10" width="12.453125" bestFit="1" customWidth="1"/>
  </cols>
  <sheetData>
    <row r="1" spans="1:24" ht="15.5" x14ac:dyDescent="0.35">
      <c r="A1" s="1" t="s">
        <v>187</v>
      </c>
      <c r="J1" s="2"/>
    </row>
    <row r="2" spans="1:24" ht="15.5" x14ac:dyDescent="0.35">
      <c r="A2" s="1" t="s">
        <v>0</v>
      </c>
      <c r="J2" s="2"/>
    </row>
    <row r="3" spans="1:24" ht="23" x14ac:dyDescent="0.35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6" t="s">
        <v>9</v>
      </c>
      <c r="J3" s="7" t="s">
        <v>10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</row>
    <row r="4" spans="1:24" x14ac:dyDescent="0.35">
      <c r="A4" s="43">
        <v>44831</v>
      </c>
      <c r="B4" s="21">
        <v>340</v>
      </c>
      <c r="C4" s="22" t="s">
        <v>11</v>
      </c>
      <c r="D4" s="22" t="s">
        <v>186</v>
      </c>
      <c r="E4" s="21">
        <v>5</v>
      </c>
      <c r="F4" s="21" t="s">
        <v>21</v>
      </c>
      <c r="G4" s="21" t="s">
        <v>13</v>
      </c>
      <c r="H4" s="24">
        <v>16250</v>
      </c>
      <c r="I4" s="18">
        <v>81250</v>
      </c>
      <c r="J4" s="44" t="s">
        <v>13</v>
      </c>
      <c r="O4">
        <v>44831</v>
      </c>
      <c r="P4">
        <v>340</v>
      </c>
      <c r="Q4" t="s">
        <v>11</v>
      </c>
      <c r="R4" t="s">
        <v>186</v>
      </c>
      <c r="S4">
        <v>5</v>
      </c>
      <c r="T4" t="s">
        <v>21</v>
      </c>
      <c r="U4" t="s">
        <v>13</v>
      </c>
      <c r="V4">
        <v>16250</v>
      </c>
      <c r="W4">
        <v>81250</v>
      </c>
    </row>
    <row r="5" spans="1:24" x14ac:dyDescent="0.35">
      <c r="A5" s="22"/>
      <c r="B5" s="21"/>
      <c r="C5" s="22"/>
      <c r="D5" s="22"/>
      <c r="E5" s="21"/>
      <c r="F5" s="21"/>
      <c r="G5" s="21"/>
      <c r="H5" s="24"/>
      <c r="I5" s="45"/>
      <c r="J5" s="44"/>
      <c r="W5">
        <v>81250</v>
      </c>
      <c r="X5" t="s">
        <v>13</v>
      </c>
    </row>
    <row r="6" spans="1:24" x14ac:dyDescent="0.35">
      <c r="A6" s="22"/>
      <c r="B6" s="21"/>
      <c r="C6" s="22"/>
      <c r="D6" s="22"/>
      <c r="E6" s="21"/>
      <c r="F6" s="21"/>
      <c r="G6" s="21"/>
      <c r="H6" s="46"/>
      <c r="I6" s="46"/>
      <c r="J6" s="44"/>
    </row>
    <row r="7" spans="1:24" x14ac:dyDescent="0.35">
      <c r="A7" s="43">
        <v>44839</v>
      </c>
      <c r="B7" s="21">
        <v>349</v>
      </c>
      <c r="C7" s="22" t="s">
        <v>11</v>
      </c>
      <c r="D7" s="22" t="s">
        <v>145</v>
      </c>
      <c r="E7" s="21">
        <v>50</v>
      </c>
      <c r="F7" s="21" t="s">
        <v>12</v>
      </c>
      <c r="G7" s="21" t="s">
        <v>13</v>
      </c>
      <c r="H7" s="24">
        <v>9600</v>
      </c>
      <c r="I7" s="18">
        <v>9145200</v>
      </c>
      <c r="J7" s="44"/>
      <c r="O7">
        <v>44839</v>
      </c>
      <c r="P7">
        <v>349</v>
      </c>
      <c r="Q7" t="s">
        <v>11</v>
      </c>
      <c r="R7" t="s">
        <v>145</v>
      </c>
      <c r="S7">
        <v>50</v>
      </c>
      <c r="T7" t="s">
        <v>12</v>
      </c>
      <c r="U7" t="s">
        <v>13</v>
      </c>
      <c r="V7">
        <v>9600</v>
      </c>
      <c r="W7">
        <v>480000</v>
      </c>
    </row>
    <row r="8" spans="1:24" hidden="1" x14ac:dyDescent="0.35">
      <c r="A8" s="22"/>
      <c r="B8" s="21"/>
      <c r="C8" s="22"/>
      <c r="D8" s="22" t="s">
        <v>146</v>
      </c>
      <c r="E8" s="21">
        <v>30</v>
      </c>
      <c r="F8" s="21" t="s">
        <v>12</v>
      </c>
      <c r="G8" s="21" t="s">
        <v>13</v>
      </c>
      <c r="H8" s="24">
        <v>9500</v>
      </c>
      <c r="I8" s="24">
        <f t="shared" ref="I8:I34" si="0">H8*E8</f>
        <v>285000</v>
      </c>
      <c r="J8" s="44"/>
      <c r="R8" t="s">
        <v>146</v>
      </c>
      <c r="S8">
        <v>30</v>
      </c>
      <c r="T8" t="s">
        <v>12</v>
      </c>
      <c r="U8" t="s">
        <v>13</v>
      </c>
      <c r="V8">
        <v>9500</v>
      </c>
      <c r="W8">
        <v>285000</v>
      </c>
    </row>
    <row r="9" spans="1:24" hidden="1" x14ac:dyDescent="0.35">
      <c r="A9" s="22"/>
      <c r="B9" s="21"/>
      <c r="C9" s="22"/>
      <c r="D9" s="22" t="s">
        <v>147</v>
      </c>
      <c r="E9" s="21">
        <v>50</v>
      </c>
      <c r="F9" s="21" t="s">
        <v>12</v>
      </c>
      <c r="G9" s="21" t="s">
        <v>13</v>
      </c>
      <c r="H9" s="24">
        <v>17600</v>
      </c>
      <c r="I9" s="24">
        <f t="shared" si="0"/>
        <v>880000</v>
      </c>
      <c r="J9" s="44"/>
      <c r="R9" t="s">
        <v>147</v>
      </c>
      <c r="S9">
        <v>50</v>
      </c>
      <c r="T9" t="s">
        <v>12</v>
      </c>
      <c r="U9" t="s">
        <v>13</v>
      </c>
      <c r="V9">
        <v>17600</v>
      </c>
      <c r="W9">
        <v>880000</v>
      </c>
    </row>
    <row r="10" spans="1:24" hidden="1" x14ac:dyDescent="0.35">
      <c r="A10" s="22"/>
      <c r="B10" s="21"/>
      <c r="C10" s="22"/>
      <c r="D10" s="22" t="s">
        <v>148</v>
      </c>
      <c r="E10" s="21">
        <v>24</v>
      </c>
      <c r="F10" s="21" t="s">
        <v>17</v>
      </c>
      <c r="G10" s="21" t="s">
        <v>13</v>
      </c>
      <c r="H10" s="24">
        <f>72000/24</f>
        <v>3000</v>
      </c>
      <c r="I10" s="24">
        <f t="shared" si="0"/>
        <v>72000</v>
      </c>
      <c r="J10" s="44"/>
      <c r="R10" t="s">
        <v>148</v>
      </c>
      <c r="S10">
        <v>24</v>
      </c>
      <c r="T10" t="s">
        <v>17</v>
      </c>
      <c r="U10" t="s">
        <v>13</v>
      </c>
      <c r="V10">
        <v>3000</v>
      </c>
      <c r="W10">
        <v>72000</v>
      </c>
    </row>
    <row r="11" spans="1:24" hidden="1" x14ac:dyDescent="0.35">
      <c r="A11" s="22"/>
      <c r="B11" s="21"/>
      <c r="C11" s="22"/>
      <c r="D11" s="22" t="s">
        <v>149</v>
      </c>
      <c r="E11" s="21">
        <v>24</v>
      </c>
      <c r="F11" s="21" t="s">
        <v>17</v>
      </c>
      <c r="G11" s="21" t="s">
        <v>13</v>
      </c>
      <c r="H11" s="24">
        <f>172800/24</f>
        <v>7200</v>
      </c>
      <c r="I11" s="24">
        <f t="shared" si="0"/>
        <v>172800</v>
      </c>
      <c r="J11" s="44"/>
      <c r="R11" t="s">
        <v>149</v>
      </c>
      <c r="S11">
        <v>24</v>
      </c>
      <c r="T11" t="s">
        <v>17</v>
      </c>
      <c r="U11" t="s">
        <v>13</v>
      </c>
      <c r="V11">
        <v>7200</v>
      </c>
      <c r="W11">
        <v>172800</v>
      </c>
    </row>
    <row r="12" spans="1:24" hidden="1" x14ac:dyDescent="0.35">
      <c r="A12" s="22"/>
      <c r="B12" s="21"/>
      <c r="C12" s="22"/>
      <c r="D12" s="22" t="s">
        <v>150</v>
      </c>
      <c r="E12" s="21">
        <v>3</v>
      </c>
      <c r="F12" s="21" t="s">
        <v>17</v>
      </c>
      <c r="G12" s="21" t="s">
        <v>13</v>
      </c>
      <c r="H12" s="24">
        <f>135000/3</f>
        <v>45000</v>
      </c>
      <c r="I12" s="24">
        <f t="shared" si="0"/>
        <v>135000</v>
      </c>
      <c r="J12" s="22"/>
      <c r="R12" t="s">
        <v>150</v>
      </c>
      <c r="S12">
        <v>3</v>
      </c>
      <c r="T12" t="s">
        <v>17</v>
      </c>
      <c r="U12" t="s">
        <v>13</v>
      </c>
      <c r="V12">
        <v>45000</v>
      </c>
      <c r="W12">
        <v>135000</v>
      </c>
    </row>
    <row r="13" spans="1:24" hidden="1" x14ac:dyDescent="0.35">
      <c r="A13" s="22"/>
      <c r="B13" s="21"/>
      <c r="C13" s="22"/>
      <c r="D13" s="22" t="s">
        <v>151</v>
      </c>
      <c r="E13" s="21">
        <v>22</v>
      </c>
      <c r="F13" s="21" t="s">
        <v>14</v>
      </c>
      <c r="G13" s="21" t="s">
        <v>13</v>
      </c>
      <c r="H13" s="24">
        <v>57500</v>
      </c>
      <c r="I13" s="24">
        <f t="shared" si="0"/>
        <v>1265000</v>
      </c>
      <c r="J13" s="22"/>
      <c r="R13" t="s">
        <v>151</v>
      </c>
      <c r="S13">
        <v>22</v>
      </c>
      <c r="T13" t="s">
        <v>14</v>
      </c>
      <c r="U13" t="s">
        <v>13</v>
      </c>
      <c r="V13">
        <v>57500</v>
      </c>
      <c r="W13">
        <v>1265000</v>
      </c>
    </row>
    <row r="14" spans="1:24" hidden="1" x14ac:dyDescent="0.35">
      <c r="A14" s="22"/>
      <c r="B14" s="21"/>
      <c r="C14" s="22"/>
      <c r="D14" s="22" t="s">
        <v>152</v>
      </c>
      <c r="E14" s="21">
        <v>15</v>
      </c>
      <c r="F14" s="21" t="s">
        <v>14</v>
      </c>
      <c r="G14" s="21" t="s">
        <v>13</v>
      </c>
      <c r="H14" s="24">
        <v>34000</v>
      </c>
      <c r="I14" s="24">
        <f t="shared" si="0"/>
        <v>510000</v>
      </c>
      <c r="J14" s="22"/>
      <c r="R14" t="s">
        <v>152</v>
      </c>
      <c r="S14">
        <v>15</v>
      </c>
      <c r="T14" t="s">
        <v>14</v>
      </c>
      <c r="U14" t="s">
        <v>13</v>
      </c>
      <c r="V14">
        <v>34000</v>
      </c>
      <c r="W14">
        <v>510000</v>
      </c>
    </row>
    <row r="15" spans="1:24" hidden="1" x14ac:dyDescent="0.35">
      <c r="A15" s="22"/>
      <c r="B15" s="21"/>
      <c r="C15" s="22"/>
      <c r="D15" s="22" t="s">
        <v>153</v>
      </c>
      <c r="E15" s="21">
        <v>10</v>
      </c>
      <c r="F15" s="21" t="s">
        <v>21</v>
      </c>
      <c r="G15" s="21" t="s">
        <v>13</v>
      </c>
      <c r="H15" s="24">
        <v>31000</v>
      </c>
      <c r="I15" s="24">
        <f t="shared" si="0"/>
        <v>310000</v>
      </c>
      <c r="J15" s="22"/>
      <c r="R15" t="s">
        <v>153</v>
      </c>
      <c r="S15">
        <v>10</v>
      </c>
      <c r="T15" t="s">
        <v>21</v>
      </c>
      <c r="U15" t="s">
        <v>13</v>
      </c>
      <c r="V15">
        <v>31000</v>
      </c>
      <c r="W15">
        <v>310000</v>
      </c>
    </row>
    <row r="16" spans="1:24" hidden="1" x14ac:dyDescent="0.35">
      <c r="A16" s="22"/>
      <c r="B16" s="21"/>
      <c r="C16" s="22"/>
      <c r="D16" s="22" t="s">
        <v>154</v>
      </c>
      <c r="E16" s="21">
        <v>60</v>
      </c>
      <c r="F16" s="21" t="s">
        <v>21</v>
      </c>
      <c r="G16" s="21" t="s">
        <v>13</v>
      </c>
      <c r="H16" s="24">
        <f>960000/60</f>
        <v>16000</v>
      </c>
      <c r="I16" s="24">
        <f t="shared" si="0"/>
        <v>960000</v>
      </c>
      <c r="J16" s="44"/>
      <c r="R16" t="s">
        <v>154</v>
      </c>
      <c r="S16">
        <v>60</v>
      </c>
      <c r="T16" t="s">
        <v>21</v>
      </c>
      <c r="U16" t="s">
        <v>13</v>
      </c>
      <c r="V16">
        <v>16000</v>
      </c>
      <c r="W16">
        <v>960000</v>
      </c>
    </row>
    <row r="17" spans="1:23" hidden="1" x14ac:dyDescent="0.35">
      <c r="A17" s="22"/>
      <c r="B17" s="21"/>
      <c r="C17" s="22"/>
      <c r="D17" s="22" t="s">
        <v>155</v>
      </c>
      <c r="E17" s="21">
        <v>5</v>
      </c>
      <c r="F17" s="21" t="s">
        <v>14</v>
      </c>
      <c r="G17" s="21" t="s">
        <v>13</v>
      </c>
      <c r="H17" s="24">
        <v>59000</v>
      </c>
      <c r="I17" s="24">
        <f t="shared" si="0"/>
        <v>295000</v>
      </c>
      <c r="J17" s="22"/>
      <c r="R17" t="s">
        <v>155</v>
      </c>
      <c r="S17">
        <v>5</v>
      </c>
      <c r="T17" t="s">
        <v>14</v>
      </c>
      <c r="U17" t="s">
        <v>13</v>
      </c>
      <c r="V17">
        <v>59000</v>
      </c>
      <c r="W17">
        <v>295000</v>
      </c>
    </row>
    <row r="18" spans="1:23" hidden="1" x14ac:dyDescent="0.35">
      <c r="A18" s="22"/>
      <c r="B18" s="21"/>
      <c r="C18" s="22"/>
      <c r="D18" s="22" t="s">
        <v>156</v>
      </c>
      <c r="E18" s="21">
        <v>8</v>
      </c>
      <c r="F18" s="21" t="s">
        <v>21</v>
      </c>
      <c r="G18" s="21" t="s">
        <v>13</v>
      </c>
      <c r="H18" s="24">
        <v>39000</v>
      </c>
      <c r="I18" s="24">
        <f t="shared" si="0"/>
        <v>312000</v>
      </c>
      <c r="J18" s="22"/>
      <c r="R18" t="s">
        <v>156</v>
      </c>
      <c r="S18">
        <v>8</v>
      </c>
      <c r="T18" t="s">
        <v>21</v>
      </c>
      <c r="U18" t="s">
        <v>13</v>
      </c>
      <c r="V18">
        <v>39000</v>
      </c>
      <c r="W18">
        <v>312000</v>
      </c>
    </row>
    <row r="19" spans="1:23" hidden="1" x14ac:dyDescent="0.35">
      <c r="A19" s="22"/>
      <c r="B19" s="21"/>
      <c r="C19" s="22"/>
      <c r="D19" s="22" t="s">
        <v>157</v>
      </c>
      <c r="E19" s="21">
        <v>12</v>
      </c>
      <c r="F19" s="21" t="s">
        <v>14</v>
      </c>
      <c r="G19" s="21" t="s">
        <v>13</v>
      </c>
      <c r="H19" s="24">
        <v>7500</v>
      </c>
      <c r="I19" s="24">
        <f t="shared" si="0"/>
        <v>90000</v>
      </c>
      <c r="J19" s="22"/>
      <c r="R19" t="s">
        <v>157</v>
      </c>
      <c r="S19">
        <v>12</v>
      </c>
      <c r="T19" t="s">
        <v>14</v>
      </c>
      <c r="U19" t="s">
        <v>13</v>
      </c>
      <c r="V19">
        <v>7500</v>
      </c>
      <c r="W19">
        <v>90000</v>
      </c>
    </row>
    <row r="20" spans="1:23" hidden="1" x14ac:dyDescent="0.35">
      <c r="A20" s="22"/>
      <c r="B20" s="21"/>
      <c r="C20" s="22"/>
      <c r="D20" s="22" t="s">
        <v>158</v>
      </c>
      <c r="E20" s="21">
        <v>2</v>
      </c>
      <c r="F20" s="21" t="s">
        <v>21</v>
      </c>
      <c r="G20" s="21" t="s">
        <v>13</v>
      </c>
      <c r="H20" s="24">
        <f>145000/2</f>
        <v>72500</v>
      </c>
      <c r="I20" s="24">
        <f t="shared" si="0"/>
        <v>145000</v>
      </c>
      <c r="J20" s="22"/>
      <c r="R20" t="s">
        <v>158</v>
      </c>
      <c r="S20">
        <v>2</v>
      </c>
      <c r="T20" t="s">
        <v>21</v>
      </c>
      <c r="U20" t="s">
        <v>13</v>
      </c>
      <c r="V20">
        <v>72500</v>
      </c>
      <c r="W20">
        <v>145000</v>
      </c>
    </row>
    <row r="21" spans="1:23" hidden="1" x14ac:dyDescent="0.35">
      <c r="A21" s="22"/>
      <c r="B21" s="21"/>
      <c r="C21" s="22"/>
      <c r="D21" s="22" t="s">
        <v>159</v>
      </c>
      <c r="E21" s="21">
        <v>12</v>
      </c>
      <c r="F21" s="21" t="s">
        <v>28</v>
      </c>
      <c r="G21" s="21" t="s">
        <v>13</v>
      </c>
      <c r="H21" s="24">
        <v>12750</v>
      </c>
      <c r="I21" s="24">
        <f t="shared" si="0"/>
        <v>153000</v>
      </c>
      <c r="J21" s="22"/>
      <c r="R21" t="s">
        <v>159</v>
      </c>
      <c r="S21">
        <v>12</v>
      </c>
      <c r="T21" t="s">
        <v>28</v>
      </c>
      <c r="U21" t="s">
        <v>13</v>
      </c>
      <c r="V21">
        <v>12750</v>
      </c>
      <c r="W21">
        <v>153000</v>
      </c>
    </row>
    <row r="22" spans="1:23" hidden="1" x14ac:dyDescent="0.35">
      <c r="A22" s="22"/>
      <c r="B22" s="21"/>
      <c r="C22" s="22"/>
      <c r="D22" s="22" t="s">
        <v>160</v>
      </c>
      <c r="E22" s="21">
        <v>12</v>
      </c>
      <c r="F22" s="21" t="s">
        <v>28</v>
      </c>
      <c r="G22" s="21" t="s">
        <v>13</v>
      </c>
      <c r="H22" s="24">
        <v>12750</v>
      </c>
      <c r="I22" s="24">
        <f t="shared" si="0"/>
        <v>153000</v>
      </c>
      <c r="J22" s="44"/>
      <c r="R22" t="s">
        <v>160</v>
      </c>
      <c r="S22">
        <v>12</v>
      </c>
      <c r="T22" t="s">
        <v>28</v>
      </c>
      <c r="U22" t="s">
        <v>13</v>
      </c>
      <c r="V22">
        <v>12750</v>
      </c>
      <c r="W22">
        <v>153000</v>
      </c>
    </row>
    <row r="23" spans="1:23" hidden="1" x14ac:dyDescent="0.35">
      <c r="A23" s="22"/>
      <c r="B23" s="21"/>
      <c r="C23" s="22"/>
      <c r="D23" s="22" t="s">
        <v>161</v>
      </c>
      <c r="E23" s="21">
        <v>2</v>
      </c>
      <c r="F23" s="21" t="s">
        <v>17</v>
      </c>
      <c r="G23" s="21" t="s">
        <v>13</v>
      </c>
      <c r="H23" s="24">
        <f>98400/2</f>
        <v>49200</v>
      </c>
      <c r="I23" s="24">
        <f t="shared" si="0"/>
        <v>98400</v>
      </c>
      <c r="J23" s="22"/>
      <c r="R23" t="s">
        <v>161</v>
      </c>
      <c r="S23">
        <v>2</v>
      </c>
      <c r="T23" t="s">
        <v>17</v>
      </c>
      <c r="U23" t="s">
        <v>13</v>
      </c>
      <c r="V23">
        <v>49200</v>
      </c>
      <c r="W23">
        <v>98400</v>
      </c>
    </row>
    <row r="24" spans="1:23" hidden="1" x14ac:dyDescent="0.35">
      <c r="A24" s="22"/>
      <c r="B24" s="21"/>
      <c r="C24" s="22"/>
      <c r="D24" s="22" t="s">
        <v>162</v>
      </c>
      <c r="E24" s="21">
        <v>30</v>
      </c>
      <c r="F24" s="21" t="s">
        <v>21</v>
      </c>
      <c r="G24" s="21" t="s">
        <v>13</v>
      </c>
      <c r="H24" s="24">
        <f>1020000/30</f>
        <v>34000</v>
      </c>
      <c r="I24" s="24">
        <f t="shared" si="0"/>
        <v>1020000</v>
      </c>
      <c r="J24" s="22"/>
      <c r="R24" t="s">
        <v>162</v>
      </c>
      <c r="S24">
        <v>30</v>
      </c>
      <c r="T24" t="s">
        <v>21</v>
      </c>
      <c r="U24" t="s">
        <v>13</v>
      </c>
      <c r="V24">
        <v>34000</v>
      </c>
      <c r="W24">
        <v>1020000</v>
      </c>
    </row>
    <row r="25" spans="1:23" hidden="1" x14ac:dyDescent="0.35">
      <c r="A25" s="22"/>
      <c r="B25" s="21"/>
      <c r="C25" s="22"/>
      <c r="D25" s="22" t="s">
        <v>68</v>
      </c>
      <c r="E25" s="21">
        <v>6</v>
      </c>
      <c r="F25" s="21" t="s">
        <v>17</v>
      </c>
      <c r="G25" s="21" t="s">
        <v>13</v>
      </c>
      <c r="H25" s="24">
        <f>525000.24/6</f>
        <v>87500.04</v>
      </c>
      <c r="I25" s="24">
        <f t="shared" si="0"/>
        <v>525000.24</v>
      </c>
      <c r="J25" s="22"/>
      <c r="R25" t="s">
        <v>68</v>
      </c>
      <c r="S25">
        <v>6</v>
      </c>
      <c r="T25" t="s">
        <v>17</v>
      </c>
      <c r="U25" t="s">
        <v>13</v>
      </c>
      <c r="V25">
        <v>87500.04</v>
      </c>
      <c r="W25">
        <v>525000.24</v>
      </c>
    </row>
    <row r="26" spans="1:23" hidden="1" x14ac:dyDescent="0.35">
      <c r="A26" s="22"/>
      <c r="B26" s="21"/>
      <c r="C26" s="22"/>
      <c r="D26" s="22" t="s">
        <v>163</v>
      </c>
      <c r="E26" s="21">
        <v>30</v>
      </c>
      <c r="F26" s="21" t="s">
        <v>14</v>
      </c>
      <c r="G26" s="21" t="s">
        <v>13</v>
      </c>
      <c r="H26" s="24">
        <v>1150</v>
      </c>
      <c r="I26" s="24">
        <f t="shared" si="0"/>
        <v>34500</v>
      </c>
      <c r="J26" s="22"/>
      <c r="R26" t="s">
        <v>163</v>
      </c>
      <c r="S26">
        <v>30</v>
      </c>
      <c r="T26" t="s">
        <v>14</v>
      </c>
      <c r="U26" t="s">
        <v>13</v>
      </c>
      <c r="V26">
        <v>1150</v>
      </c>
      <c r="W26">
        <v>34500</v>
      </c>
    </row>
    <row r="27" spans="1:23" hidden="1" x14ac:dyDescent="0.35">
      <c r="A27" s="22"/>
      <c r="B27" s="21"/>
      <c r="C27" s="22"/>
      <c r="D27" s="22" t="s">
        <v>164</v>
      </c>
      <c r="E27" s="21">
        <v>30</v>
      </c>
      <c r="F27" s="21" t="s">
        <v>14</v>
      </c>
      <c r="G27" s="21" t="s">
        <v>13</v>
      </c>
      <c r="H27" s="24">
        <v>18500</v>
      </c>
      <c r="I27" s="24">
        <f t="shared" si="0"/>
        <v>555000</v>
      </c>
      <c r="J27" s="22"/>
      <c r="R27" t="s">
        <v>164</v>
      </c>
      <c r="S27">
        <v>30</v>
      </c>
      <c r="T27" t="s">
        <v>14</v>
      </c>
      <c r="U27" t="s">
        <v>13</v>
      </c>
      <c r="V27">
        <v>18500</v>
      </c>
      <c r="W27">
        <v>555000</v>
      </c>
    </row>
    <row r="28" spans="1:23" hidden="1" x14ac:dyDescent="0.35">
      <c r="A28" s="22"/>
      <c r="B28" s="21"/>
      <c r="C28" s="22"/>
      <c r="D28" s="22" t="s">
        <v>113</v>
      </c>
      <c r="E28" s="21">
        <v>10</v>
      </c>
      <c r="F28" s="21" t="s">
        <v>21</v>
      </c>
      <c r="G28" s="21" t="s">
        <v>13</v>
      </c>
      <c r="H28" s="24">
        <f>300000/10</f>
        <v>30000</v>
      </c>
      <c r="I28" s="24">
        <f t="shared" si="0"/>
        <v>300000</v>
      </c>
      <c r="J28" s="22"/>
      <c r="R28" t="s">
        <v>113</v>
      </c>
      <c r="S28">
        <v>10</v>
      </c>
      <c r="T28" t="s">
        <v>21</v>
      </c>
      <c r="U28" t="s">
        <v>13</v>
      </c>
      <c r="V28">
        <v>30000</v>
      </c>
      <c r="W28">
        <v>300000</v>
      </c>
    </row>
    <row r="29" spans="1:23" hidden="1" x14ac:dyDescent="0.35">
      <c r="A29" s="22"/>
      <c r="B29" s="21"/>
      <c r="C29" s="22"/>
      <c r="D29" s="22" t="s">
        <v>113</v>
      </c>
      <c r="E29" s="21">
        <v>3</v>
      </c>
      <c r="F29" s="21" t="s">
        <v>21</v>
      </c>
      <c r="G29" s="21" t="s">
        <v>13</v>
      </c>
      <c r="H29" s="24">
        <f>97500/3</f>
        <v>32500</v>
      </c>
      <c r="I29" s="24">
        <f t="shared" si="0"/>
        <v>97500</v>
      </c>
      <c r="J29" s="22"/>
      <c r="R29" t="s">
        <v>113</v>
      </c>
      <c r="S29">
        <v>3</v>
      </c>
      <c r="T29" t="s">
        <v>21</v>
      </c>
      <c r="U29" t="s">
        <v>13</v>
      </c>
      <c r="V29">
        <v>32500</v>
      </c>
      <c r="W29">
        <v>97500</v>
      </c>
    </row>
    <row r="30" spans="1:23" hidden="1" x14ac:dyDescent="0.35">
      <c r="A30" s="22"/>
      <c r="B30" s="21"/>
      <c r="C30" s="22"/>
      <c r="D30" s="22" t="s">
        <v>165</v>
      </c>
      <c r="E30" s="21">
        <v>2</v>
      </c>
      <c r="F30" s="21" t="s">
        <v>17</v>
      </c>
      <c r="G30" s="21" t="s">
        <v>13</v>
      </c>
      <c r="H30" s="24">
        <f>69000/2</f>
        <v>34500</v>
      </c>
      <c r="I30" s="24">
        <f t="shared" si="0"/>
        <v>69000</v>
      </c>
      <c r="J30" s="44"/>
      <c r="R30" t="s">
        <v>165</v>
      </c>
      <c r="S30">
        <v>2</v>
      </c>
      <c r="T30" t="s">
        <v>17</v>
      </c>
      <c r="U30" t="s">
        <v>13</v>
      </c>
      <c r="V30">
        <v>34500</v>
      </c>
      <c r="W30">
        <v>69000</v>
      </c>
    </row>
    <row r="31" spans="1:23" hidden="1" x14ac:dyDescent="0.35">
      <c r="A31" s="22"/>
      <c r="B31" s="21"/>
      <c r="C31" s="22"/>
      <c r="D31" s="22" t="s">
        <v>166</v>
      </c>
      <c r="E31" s="21">
        <v>10</v>
      </c>
      <c r="F31" s="21" t="s">
        <v>14</v>
      </c>
      <c r="G31" s="21" t="s">
        <v>13</v>
      </c>
      <c r="H31" s="24">
        <v>7500</v>
      </c>
      <c r="I31" s="24">
        <f t="shared" si="0"/>
        <v>75000</v>
      </c>
      <c r="J31" s="22"/>
      <c r="R31" t="s">
        <v>166</v>
      </c>
      <c r="S31">
        <v>10</v>
      </c>
      <c r="T31" t="s">
        <v>14</v>
      </c>
      <c r="U31" t="s">
        <v>13</v>
      </c>
      <c r="V31">
        <v>7500</v>
      </c>
      <c r="W31">
        <v>75000</v>
      </c>
    </row>
    <row r="32" spans="1:23" hidden="1" x14ac:dyDescent="0.35">
      <c r="A32" s="22"/>
      <c r="B32" s="21"/>
      <c r="C32" s="22"/>
      <c r="D32" s="22" t="s">
        <v>167</v>
      </c>
      <c r="E32" s="21">
        <v>2</v>
      </c>
      <c r="F32" s="21" t="s">
        <v>17</v>
      </c>
      <c r="G32" s="21" t="s">
        <v>13</v>
      </c>
      <c r="H32" s="24">
        <f>35000/2</f>
        <v>17500</v>
      </c>
      <c r="I32" s="24">
        <f t="shared" si="0"/>
        <v>35000</v>
      </c>
      <c r="J32" s="22"/>
      <c r="R32" t="s">
        <v>167</v>
      </c>
      <c r="S32">
        <v>2</v>
      </c>
      <c r="T32" t="s">
        <v>17</v>
      </c>
      <c r="U32" t="s">
        <v>13</v>
      </c>
      <c r="V32">
        <v>17500</v>
      </c>
      <c r="W32">
        <v>35000</v>
      </c>
    </row>
    <row r="33" spans="1:24" hidden="1" x14ac:dyDescent="0.35">
      <c r="A33" s="22"/>
      <c r="B33" s="21"/>
      <c r="C33" s="22"/>
      <c r="D33" s="22" t="s">
        <v>168</v>
      </c>
      <c r="E33" s="21">
        <v>8</v>
      </c>
      <c r="F33" s="21" t="s">
        <v>14</v>
      </c>
      <c r="G33" s="21" t="s">
        <v>13</v>
      </c>
      <c r="H33" s="24">
        <v>7250</v>
      </c>
      <c r="I33" s="24">
        <f t="shared" si="0"/>
        <v>58000</v>
      </c>
      <c r="J33" s="22"/>
      <c r="R33" t="s">
        <v>168</v>
      </c>
      <c r="S33">
        <v>8</v>
      </c>
      <c r="T33" t="s">
        <v>14</v>
      </c>
      <c r="U33" t="s">
        <v>13</v>
      </c>
      <c r="V33">
        <v>7250</v>
      </c>
      <c r="W33">
        <v>58000</v>
      </c>
    </row>
    <row r="34" spans="1:24" hidden="1" x14ac:dyDescent="0.35">
      <c r="A34" s="22"/>
      <c r="B34" s="21"/>
      <c r="C34" s="22"/>
      <c r="D34" s="22" t="s">
        <v>169</v>
      </c>
      <c r="E34" s="21">
        <v>12</v>
      </c>
      <c r="F34" s="21" t="s">
        <v>28</v>
      </c>
      <c r="G34" s="21" t="s">
        <v>13</v>
      </c>
      <c r="H34" s="24">
        <v>5000</v>
      </c>
      <c r="I34" s="24">
        <f t="shared" si="0"/>
        <v>60000</v>
      </c>
      <c r="J34" s="22"/>
      <c r="R34" t="s">
        <v>169</v>
      </c>
      <c r="S34">
        <v>12</v>
      </c>
      <c r="T34" t="s">
        <v>28</v>
      </c>
      <c r="U34" t="s">
        <v>13</v>
      </c>
      <c r="V34">
        <v>5000</v>
      </c>
      <c r="W34">
        <v>60000</v>
      </c>
    </row>
    <row r="35" spans="1:24" x14ac:dyDescent="0.35">
      <c r="A35" s="22"/>
      <c r="B35" s="21"/>
      <c r="C35" s="22"/>
      <c r="D35" s="22"/>
      <c r="E35" s="21"/>
      <c r="F35" s="21"/>
      <c r="G35" s="21"/>
      <c r="H35" s="24"/>
      <c r="I35" s="45"/>
      <c r="J35" s="44" t="s">
        <v>13</v>
      </c>
      <c r="W35">
        <v>9145200.2400000002</v>
      </c>
      <c r="X35" t="s">
        <v>13</v>
      </c>
    </row>
    <row r="36" spans="1:24" x14ac:dyDescent="0.35">
      <c r="A36" s="22"/>
      <c r="B36" s="21"/>
      <c r="C36" s="47"/>
      <c r="D36" s="22"/>
      <c r="E36" s="21"/>
      <c r="F36" s="21"/>
      <c r="G36" s="21"/>
      <c r="H36" s="46"/>
      <c r="I36" s="46"/>
      <c r="J36" s="22"/>
    </row>
    <row r="37" spans="1:24" x14ac:dyDescent="0.35">
      <c r="A37" s="43">
        <v>44861</v>
      </c>
      <c r="B37" s="21">
        <v>373</v>
      </c>
      <c r="C37" s="22" t="s">
        <v>11</v>
      </c>
      <c r="D37" s="22" t="s">
        <v>184</v>
      </c>
      <c r="E37" s="21">
        <v>20</v>
      </c>
      <c r="F37" s="21" t="s">
        <v>20</v>
      </c>
      <c r="G37" s="21" t="s">
        <v>24</v>
      </c>
      <c r="H37" s="24">
        <v>59000</v>
      </c>
      <c r="I37" s="18">
        <v>4768000</v>
      </c>
      <c r="J37" s="44"/>
      <c r="O37">
        <v>44861</v>
      </c>
      <c r="P37">
        <v>373</v>
      </c>
      <c r="Q37" t="s">
        <v>11</v>
      </c>
      <c r="R37" t="s">
        <v>184</v>
      </c>
      <c r="S37">
        <v>20</v>
      </c>
      <c r="T37" t="s">
        <v>20</v>
      </c>
      <c r="U37" t="s">
        <v>24</v>
      </c>
      <c r="V37">
        <v>59000</v>
      </c>
      <c r="W37">
        <v>1180000</v>
      </c>
    </row>
    <row r="38" spans="1:24" hidden="1" x14ac:dyDescent="0.35">
      <c r="A38" s="22"/>
      <c r="B38" s="21"/>
      <c r="C38" s="22"/>
      <c r="D38" s="22" t="s">
        <v>185</v>
      </c>
      <c r="E38" s="21">
        <v>10</v>
      </c>
      <c r="F38" s="21" t="s">
        <v>28</v>
      </c>
      <c r="G38" s="21" t="s">
        <v>76</v>
      </c>
      <c r="H38" s="24">
        <v>5800</v>
      </c>
      <c r="I38" s="24">
        <f>H38*E38</f>
        <v>58000</v>
      </c>
      <c r="J38" s="44"/>
      <c r="R38" t="s">
        <v>185</v>
      </c>
      <c r="S38">
        <v>10</v>
      </c>
      <c r="T38" t="s">
        <v>28</v>
      </c>
      <c r="U38" t="s">
        <v>76</v>
      </c>
      <c r="V38">
        <v>5800</v>
      </c>
      <c r="W38">
        <v>58000</v>
      </c>
    </row>
    <row r="39" spans="1:24" hidden="1" x14ac:dyDescent="0.35">
      <c r="A39" s="22"/>
      <c r="B39" s="21"/>
      <c r="C39" s="22"/>
      <c r="D39" s="22" t="s">
        <v>64</v>
      </c>
      <c r="E39" s="21">
        <v>10</v>
      </c>
      <c r="F39" s="21" t="s">
        <v>20</v>
      </c>
      <c r="G39" s="21" t="s">
        <v>13</v>
      </c>
      <c r="H39" s="24">
        <v>65750</v>
      </c>
      <c r="I39" s="24">
        <f>H39*E39</f>
        <v>657500</v>
      </c>
      <c r="J39" s="44"/>
      <c r="R39" t="s">
        <v>64</v>
      </c>
      <c r="S39">
        <v>10</v>
      </c>
      <c r="T39" t="s">
        <v>20</v>
      </c>
      <c r="U39" t="s">
        <v>13</v>
      </c>
      <c r="V39">
        <v>65750</v>
      </c>
      <c r="W39">
        <v>657500</v>
      </c>
    </row>
    <row r="40" spans="1:24" hidden="1" x14ac:dyDescent="0.35">
      <c r="A40" s="22"/>
      <c r="B40" s="21"/>
      <c r="C40" s="22"/>
      <c r="D40" s="22" t="s">
        <v>63</v>
      </c>
      <c r="E40" s="21">
        <v>20</v>
      </c>
      <c r="F40" s="21" t="s">
        <v>20</v>
      </c>
      <c r="G40" s="21" t="s">
        <v>13</v>
      </c>
      <c r="H40" s="24">
        <v>65750</v>
      </c>
      <c r="I40" s="24">
        <f>H40*E40</f>
        <v>1315000</v>
      </c>
      <c r="J40" s="44"/>
      <c r="R40" t="s">
        <v>63</v>
      </c>
      <c r="S40">
        <v>20</v>
      </c>
      <c r="T40" t="s">
        <v>20</v>
      </c>
      <c r="U40" t="s">
        <v>13</v>
      </c>
      <c r="V40">
        <v>65750</v>
      </c>
      <c r="W40">
        <v>1315000</v>
      </c>
    </row>
    <row r="41" spans="1:24" hidden="1" x14ac:dyDescent="0.35">
      <c r="A41" s="22"/>
      <c r="B41" s="21"/>
      <c r="C41" s="22"/>
      <c r="D41" s="22" t="s">
        <v>29</v>
      </c>
      <c r="E41" s="21">
        <v>35</v>
      </c>
      <c r="F41" s="21" t="s">
        <v>20</v>
      </c>
      <c r="G41" s="21" t="s">
        <v>13</v>
      </c>
      <c r="H41" s="24">
        <v>44500</v>
      </c>
      <c r="I41" s="24">
        <f>H41*E41</f>
        <v>1557500</v>
      </c>
      <c r="J41" s="44"/>
      <c r="R41" t="s">
        <v>29</v>
      </c>
      <c r="S41">
        <v>35</v>
      </c>
      <c r="T41" t="s">
        <v>20</v>
      </c>
      <c r="U41" t="s">
        <v>13</v>
      </c>
      <c r="V41">
        <v>44500</v>
      </c>
      <c r="W41">
        <v>1557500</v>
      </c>
    </row>
    <row r="42" spans="1:24" x14ac:dyDescent="0.35">
      <c r="A42" s="22"/>
      <c r="B42" s="21"/>
      <c r="C42" s="22"/>
      <c r="D42" s="22"/>
      <c r="E42" s="21"/>
      <c r="F42" s="21"/>
      <c r="G42" s="21"/>
      <c r="H42" s="24"/>
      <c r="I42" s="45"/>
      <c r="J42" s="44" t="s">
        <v>13</v>
      </c>
      <c r="W42">
        <v>4768000</v>
      </c>
      <c r="X42" t="s">
        <v>13</v>
      </c>
    </row>
    <row r="43" spans="1:24" x14ac:dyDescent="0.35">
      <c r="A43" s="22"/>
      <c r="B43" s="21"/>
      <c r="C43" s="22"/>
      <c r="D43" s="22"/>
      <c r="E43" s="21"/>
      <c r="F43" s="21"/>
      <c r="G43" s="21"/>
      <c r="H43" s="46"/>
      <c r="I43" s="46"/>
      <c r="J43" s="44"/>
    </row>
    <row r="44" spans="1:24" x14ac:dyDescent="0.35">
      <c r="A44" s="43">
        <v>44851</v>
      </c>
      <c r="B44" s="21">
        <v>365</v>
      </c>
      <c r="C44" s="22" t="s">
        <v>11</v>
      </c>
      <c r="D44" s="22" t="s">
        <v>182</v>
      </c>
      <c r="E44" s="21">
        <v>16</v>
      </c>
      <c r="F44" s="21" t="s">
        <v>14</v>
      </c>
      <c r="G44" s="21" t="s">
        <v>13</v>
      </c>
      <c r="H44" s="24">
        <v>57500</v>
      </c>
      <c r="I44" s="18">
        <v>2145000</v>
      </c>
      <c r="J44" s="44"/>
      <c r="O44">
        <v>44851</v>
      </c>
      <c r="P44">
        <v>365</v>
      </c>
      <c r="Q44" t="s">
        <v>11</v>
      </c>
      <c r="R44" t="s">
        <v>182</v>
      </c>
      <c r="S44">
        <v>16</v>
      </c>
      <c r="T44" t="s">
        <v>14</v>
      </c>
      <c r="U44" t="s">
        <v>13</v>
      </c>
      <c r="V44">
        <v>57500</v>
      </c>
      <c r="W44">
        <v>920000</v>
      </c>
    </row>
    <row r="45" spans="1:24" hidden="1" x14ac:dyDescent="0.35">
      <c r="A45" s="22"/>
      <c r="B45" s="21"/>
      <c r="C45" s="22"/>
      <c r="D45" s="22" t="s">
        <v>183</v>
      </c>
      <c r="E45" s="21">
        <v>250</v>
      </c>
      <c r="F45" s="21" t="s">
        <v>52</v>
      </c>
      <c r="G45" s="21" t="s">
        <v>24</v>
      </c>
      <c r="H45" s="24">
        <v>4900</v>
      </c>
      <c r="I45" s="24">
        <f>H45*E45</f>
        <v>1225000</v>
      </c>
      <c r="J45" s="44"/>
      <c r="R45" t="s">
        <v>183</v>
      </c>
      <c r="S45">
        <v>250</v>
      </c>
      <c r="T45" t="s">
        <v>52</v>
      </c>
      <c r="U45" t="s">
        <v>24</v>
      </c>
      <c r="V45">
        <v>4900</v>
      </c>
      <c r="W45">
        <v>1225000</v>
      </c>
    </row>
    <row r="46" spans="1:24" x14ac:dyDescent="0.35">
      <c r="A46" s="22"/>
      <c r="B46" s="21"/>
      <c r="C46" s="22"/>
      <c r="D46" s="22"/>
      <c r="E46" s="21"/>
      <c r="F46" s="21"/>
      <c r="G46" s="21"/>
      <c r="H46" s="24"/>
      <c r="I46" s="45"/>
      <c r="J46" s="44" t="s">
        <v>24</v>
      </c>
      <c r="W46">
        <v>2145000</v>
      </c>
      <c r="X46" t="s">
        <v>24</v>
      </c>
    </row>
    <row r="47" spans="1:24" x14ac:dyDescent="0.35">
      <c r="A47" s="43"/>
      <c r="B47" s="21"/>
      <c r="C47" s="22"/>
      <c r="D47" s="22"/>
      <c r="E47" s="21"/>
      <c r="F47" s="21"/>
      <c r="G47" s="21"/>
      <c r="H47" s="46"/>
      <c r="I47" s="46"/>
      <c r="J47" s="44"/>
    </row>
    <row r="48" spans="1:24" x14ac:dyDescent="0.35">
      <c r="A48" s="43">
        <v>44848</v>
      </c>
      <c r="B48" s="21">
        <v>364</v>
      </c>
      <c r="C48" s="22" t="s">
        <v>11</v>
      </c>
      <c r="D48" s="22" t="s">
        <v>176</v>
      </c>
      <c r="E48" s="21">
        <v>10</v>
      </c>
      <c r="F48" s="21" t="s">
        <v>20</v>
      </c>
      <c r="G48" s="21" t="s">
        <v>13</v>
      </c>
      <c r="H48" s="24">
        <v>54000</v>
      </c>
      <c r="I48" s="18">
        <v>2547700</v>
      </c>
      <c r="J48" s="44"/>
      <c r="O48">
        <v>44848</v>
      </c>
      <c r="P48">
        <v>364</v>
      </c>
      <c r="Q48" t="s">
        <v>11</v>
      </c>
      <c r="R48" t="s">
        <v>176</v>
      </c>
      <c r="S48">
        <v>10</v>
      </c>
      <c r="T48" t="s">
        <v>20</v>
      </c>
      <c r="U48" t="s">
        <v>13</v>
      </c>
      <c r="V48">
        <v>54000</v>
      </c>
      <c r="W48">
        <v>540000</v>
      </c>
    </row>
    <row r="49" spans="1:24" hidden="1" x14ac:dyDescent="0.35">
      <c r="A49" s="22"/>
      <c r="B49" s="21"/>
      <c r="C49" s="22"/>
      <c r="D49" s="22" t="s">
        <v>177</v>
      </c>
      <c r="E49" s="21">
        <v>10</v>
      </c>
      <c r="F49" s="21" t="s">
        <v>20</v>
      </c>
      <c r="G49" s="21" t="s">
        <v>13</v>
      </c>
      <c r="H49" s="24">
        <v>54000</v>
      </c>
      <c r="I49" s="24">
        <f t="shared" ref="I49" si="1">H49*E49</f>
        <v>540000</v>
      </c>
      <c r="J49" s="44"/>
      <c r="R49" t="s">
        <v>177</v>
      </c>
      <c r="S49">
        <v>10</v>
      </c>
      <c r="T49" t="s">
        <v>20</v>
      </c>
      <c r="U49" t="s">
        <v>13</v>
      </c>
      <c r="V49">
        <v>54000</v>
      </c>
      <c r="W49">
        <v>540000</v>
      </c>
    </row>
    <row r="50" spans="1:24" hidden="1" x14ac:dyDescent="0.35">
      <c r="A50" s="22"/>
      <c r="B50" s="21"/>
      <c r="C50" s="22"/>
      <c r="D50" s="22" t="s">
        <v>178</v>
      </c>
      <c r="E50" s="21">
        <v>6</v>
      </c>
      <c r="F50" s="21" t="s">
        <v>17</v>
      </c>
      <c r="G50" s="21" t="s">
        <v>13</v>
      </c>
      <c r="H50" s="24">
        <f>2100*12</f>
        <v>25200</v>
      </c>
      <c r="I50" s="24">
        <f>H50*E50</f>
        <v>151200</v>
      </c>
      <c r="J50" s="44"/>
      <c r="R50" t="s">
        <v>178</v>
      </c>
      <c r="S50">
        <v>6</v>
      </c>
      <c r="T50" t="s">
        <v>17</v>
      </c>
      <c r="U50" t="s">
        <v>13</v>
      </c>
      <c r="V50">
        <v>25200</v>
      </c>
      <c r="W50">
        <v>151200</v>
      </c>
    </row>
    <row r="51" spans="1:24" hidden="1" x14ac:dyDescent="0.35">
      <c r="A51" s="22"/>
      <c r="B51" s="21"/>
      <c r="C51" s="46"/>
      <c r="D51" s="22" t="s">
        <v>179</v>
      </c>
      <c r="E51" s="21">
        <v>12</v>
      </c>
      <c r="F51" s="21" t="s">
        <v>14</v>
      </c>
      <c r="G51" s="21" t="s">
        <v>13</v>
      </c>
      <c r="H51" s="24">
        <v>13250</v>
      </c>
      <c r="I51" s="24">
        <f>H51*E51</f>
        <v>159000</v>
      </c>
      <c r="J51" s="22"/>
      <c r="R51" t="s">
        <v>179</v>
      </c>
      <c r="S51">
        <v>12</v>
      </c>
      <c r="T51" t="s">
        <v>14</v>
      </c>
      <c r="U51" t="s">
        <v>13</v>
      </c>
      <c r="V51">
        <v>13250</v>
      </c>
      <c r="W51">
        <v>159000</v>
      </c>
    </row>
    <row r="52" spans="1:24" hidden="1" x14ac:dyDescent="0.35">
      <c r="A52" s="22"/>
      <c r="B52" s="21"/>
      <c r="C52" s="46"/>
      <c r="D52" s="22" t="s">
        <v>180</v>
      </c>
      <c r="E52" s="21">
        <v>12</v>
      </c>
      <c r="F52" s="21" t="s">
        <v>14</v>
      </c>
      <c r="G52" s="21" t="s">
        <v>13</v>
      </c>
      <c r="H52" s="24">
        <v>5000</v>
      </c>
      <c r="I52" s="24">
        <f>H52*E52</f>
        <v>60000</v>
      </c>
      <c r="J52" s="44"/>
      <c r="R52" t="s">
        <v>180</v>
      </c>
      <c r="S52">
        <v>12</v>
      </c>
      <c r="T52" t="s">
        <v>14</v>
      </c>
      <c r="U52" t="s">
        <v>13</v>
      </c>
      <c r="V52">
        <v>5000</v>
      </c>
      <c r="W52">
        <v>60000</v>
      </c>
    </row>
    <row r="53" spans="1:24" hidden="1" x14ac:dyDescent="0.35">
      <c r="A53" s="22"/>
      <c r="B53" s="21"/>
      <c r="C53" s="22"/>
      <c r="D53" s="22" t="s">
        <v>181</v>
      </c>
      <c r="E53" s="21">
        <v>20</v>
      </c>
      <c r="F53" s="21" t="s">
        <v>28</v>
      </c>
      <c r="G53" s="21" t="s">
        <v>13</v>
      </c>
      <c r="H53" s="24">
        <v>5000</v>
      </c>
      <c r="I53" s="24">
        <f>H53*E53</f>
        <v>100000</v>
      </c>
      <c r="J53" s="44"/>
      <c r="R53" t="s">
        <v>181</v>
      </c>
      <c r="S53">
        <v>20</v>
      </c>
      <c r="T53" t="s">
        <v>28</v>
      </c>
      <c r="U53" t="s">
        <v>13</v>
      </c>
      <c r="V53">
        <v>5000</v>
      </c>
      <c r="W53">
        <v>100000</v>
      </c>
    </row>
    <row r="54" spans="1:24" hidden="1" x14ac:dyDescent="0.35">
      <c r="A54" s="22"/>
      <c r="B54" s="21"/>
      <c r="C54" s="22"/>
      <c r="D54" s="22" t="s">
        <v>79</v>
      </c>
      <c r="E54" s="21">
        <v>2</v>
      </c>
      <c r="F54" s="21" t="s">
        <v>21</v>
      </c>
      <c r="G54" s="21" t="s">
        <v>13</v>
      </c>
      <c r="H54" s="24">
        <f>600*50</f>
        <v>30000</v>
      </c>
      <c r="I54" s="24">
        <f>H54*E54</f>
        <v>60000</v>
      </c>
      <c r="J54" s="44"/>
      <c r="R54" t="s">
        <v>79</v>
      </c>
      <c r="S54">
        <v>2</v>
      </c>
      <c r="T54" t="s">
        <v>21</v>
      </c>
      <c r="U54" t="s">
        <v>13</v>
      </c>
      <c r="V54">
        <v>30000</v>
      </c>
      <c r="W54">
        <v>60000</v>
      </c>
    </row>
    <row r="55" spans="1:24" hidden="1" x14ac:dyDescent="0.35">
      <c r="A55" s="22"/>
      <c r="B55" s="21"/>
      <c r="C55" s="22"/>
      <c r="D55" s="22" t="s">
        <v>131</v>
      </c>
      <c r="E55" s="21">
        <v>2</v>
      </c>
      <c r="F55" s="21" t="s">
        <v>21</v>
      </c>
      <c r="G55" s="21" t="s">
        <v>13</v>
      </c>
      <c r="H55" s="24">
        <v>30000</v>
      </c>
      <c r="I55" s="24">
        <f t="shared" ref="I55:I58" si="2">H55*E55</f>
        <v>60000</v>
      </c>
      <c r="J55" s="44"/>
      <c r="R55" t="s">
        <v>131</v>
      </c>
      <c r="S55">
        <v>2</v>
      </c>
      <c r="T55" t="s">
        <v>21</v>
      </c>
      <c r="U55" t="s">
        <v>13</v>
      </c>
      <c r="V55">
        <v>30000</v>
      </c>
      <c r="W55">
        <v>60000</v>
      </c>
    </row>
    <row r="56" spans="1:24" hidden="1" x14ac:dyDescent="0.35">
      <c r="A56" s="22"/>
      <c r="B56" s="21"/>
      <c r="C56" s="22"/>
      <c r="D56" s="22" t="s">
        <v>57</v>
      </c>
      <c r="E56" s="21">
        <v>2</v>
      </c>
      <c r="F56" s="21" t="s">
        <v>21</v>
      </c>
      <c r="G56" s="21" t="s">
        <v>13</v>
      </c>
      <c r="H56" s="24">
        <v>30000</v>
      </c>
      <c r="I56" s="24">
        <f t="shared" si="2"/>
        <v>60000</v>
      </c>
      <c r="J56" s="44"/>
      <c r="R56" t="s">
        <v>57</v>
      </c>
      <c r="S56">
        <v>2</v>
      </c>
      <c r="T56" t="s">
        <v>21</v>
      </c>
      <c r="U56" t="s">
        <v>13</v>
      </c>
      <c r="V56">
        <v>30000</v>
      </c>
      <c r="W56">
        <v>60000</v>
      </c>
    </row>
    <row r="57" spans="1:24" hidden="1" x14ac:dyDescent="0.35">
      <c r="A57" s="22"/>
      <c r="B57" s="21"/>
      <c r="C57" s="22"/>
      <c r="D57" s="22" t="s">
        <v>80</v>
      </c>
      <c r="E57" s="21">
        <v>2</v>
      </c>
      <c r="F57" s="21" t="s">
        <v>21</v>
      </c>
      <c r="G57" s="21" t="s">
        <v>13</v>
      </c>
      <c r="H57" s="24">
        <v>30000</v>
      </c>
      <c r="I57" s="24">
        <f t="shared" si="2"/>
        <v>60000</v>
      </c>
      <c r="J57" s="44"/>
      <c r="R57" t="s">
        <v>80</v>
      </c>
      <c r="S57">
        <v>2</v>
      </c>
      <c r="T57" t="s">
        <v>21</v>
      </c>
      <c r="U57" t="s">
        <v>13</v>
      </c>
      <c r="V57">
        <v>30000</v>
      </c>
      <c r="W57">
        <v>60000</v>
      </c>
    </row>
    <row r="58" spans="1:24" hidden="1" x14ac:dyDescent="0.35">
      <c r="A58" s="22"/>
      <c r="B58" s="21"/>
      <c r="C58" s="22"/>
      <c r="D58" s="22" t="s">
        <v>26</v>
      </c>
      <c r="E58" s="21">
        <v>15</v>
      </c>
      <c r="F58" s="21" t="s">
        <v>20</v>
      </c>
      <c r="G58" s="21" t="s">
        <v>13</v>
      </c>
      <c r="H58" s="24">
        <v>50500</v>
      </c>
      <c r="I58" s="24">
        <f t="shared" si="2"/>
        <v>757500</v>
      </c>
      <c r="J58" s="44"/>
      <c r="R58" t="s">
        <v>26</v>
      </c>
      <c r="S58">
        <v>15</v>
      </c>
      <c r="T58" t="s">
        <v>20</v>
      </c>
      <c r="U58" t="s">
        <v>13</v>
      </c>
      <c r="V58">
        <v>50500</v>
      </c>
      <c r="W58">
        <v>757500</v>
      </c>
    </row>
    <row r="59" spans="1:24" x14ac:dyDescent="0.35">
      <c r="A59" s="22"/>
      <c r="B59" s="21"/>
      <c r="C59" s="22"/>
      <c r="D59" s="22"/>
      <c r="E59" s="21"/>
      <c r="F59" s="21"/>
      <c r="G59" s="21"/>
      <c r="H59" s="24"/>
      <c r="I59" s="45"/>
      <c r="J59" s="44" t="s">
        <v>13</v>
      </c>
      <c r="W59">
        <v>2547700</v>
      </c>
      <c r="X59" t="s">
        <v>13</v>
      </c>
    </row>
    <row r="60" spans="1:24" x14ac:dyDescent="0.35">
      <c r="A60" s="22"/>
      <c r="B60" s="21"/>
      <c r="C60" s="22"/>
      <c r="D60" s="22"/>
      <c r="E60" s="21"/>
      <c r="F60" s="21"/>
      <c r="G60" s="21"/>
      <c r="H60" s="46"/>
      <c r="I60" s="46"/>
      <c r="J60" s="44"/>
    </row>
    <row r="61" spans="1:24" x14ac:dyDescent="0.35">
      <c r="A61" s="43">
        <v>44845</v>
      </c>
      <c r="B61" s="21">
        <v>356</v>
      </c>
      <c r="C61" s="22" t="s">
        <v>11</v>
      </c>
      <c r="D61" s="22" t="s">
        <v>170</v>
      </c>
      <c r="E61" s="21">
        <v>5</v>
      </c>
      <c r="F61" s="21" t="s">
        <v>14</v>
      </c>
      <c r="G61" s="21" t="s">
        <v>13</v>
      </c>
      <c r="H61" s="24">
        <v>5000</v>
      </c>
      <c r="I61" s="24">
        <v>368720</v>
      </c>
      <c r="J61" s="44"/>
      <c r="O61">
        <v>44845</v>
      </c>
      <c r="P61">
        <v>356</v>
      </c>
      <c r="Q61" t="s">
        <v>11</v>
      </c>
      <c r="R61" t="s">
        <v>170</v>
      </c>
      <c r="S61">
        <v>5</v>
      </c>
      <c r="T61" t="s">
        <v>14</v>
      </c>
      <c r="U61" t="s">
        <v>13</v>
      </c>
      <c r="V61">
        <v>5000</v>
      </c>
      <c r="W61">
        <v>25000</v>
      </c>
    </row>
    <row r="62" spans="1:24" hidden="1" x14ac:dyDescent="0.35">
      <c r="A62" s="22"/>
      <c r="B62" s="21"/>
      <c r="C62" s="22"/>
      <c r="D62" s="22" t="s">
        <v>171</v>
      </c>
      <c r="E62" s="21">
        <v>4</v>
      </c>
      <c r="F62" s="21" t="s">
        <v>14</v>
      </c>
      <c r="G62" s="21" t="s">
        <v>13</v>
      </c>
      <c r="H62" s="24">
        <v>8500</v>
      </c>
      <c r="I62" s="24">
        <f t="shared" ref="I62:I67" si="3">H62*E62</f>
        <v>34000</v>
      </c>
      <c r="J62" s="44"/>
      <c r="R62" t="s">
        <v>171</v>
      </c>
      <c r="S62">
        <v>4</v>
      </c>
      <c r="T62" t="s">
        <v>14</v>
      </c>
      <c r="U62" t="s">
        <v>13</v>
      </c>
      <c r="V62">
        <v>8500</v>
      </c>
      <c r="W62">
        <v>34000</v>
      </c>
    </row>
    <row r="63" spans="1:24" hidden="1" x14ac:dyDescent="0.35">
      <c r="A63" s="22"/>
      <c r="B63" s="21"/>
      <c r="C63" s="22"/>
      <c r="D63" s="22" t="s">
        <v>172</v>
      </c>
      <c r="E63" s="21">
        <v>12</v>
      </c>
      <c r="F63" s="21" t="s">
        <v>123</v>
      </c>
      <c r="G63" s="21" t="s">
        <v>13</v>
      </c>
      <c r="H63" s="24">
        <f>30000/12</f>
        <v>2500</v>
      </c>
      <c r="I63" s="24">
        <f t="shared" si="3"/>
        <v>30000</v>
      </c>
      <c r="J63" s="44"/>
      <c r="R63" t="s">
        <v>172</v>
      </c>
      <c r="S63">
        <v>12</v>
      </c>
      <c r="T63" t="s">
        <v>123</v>
      </c>
      <c r="U63" t="s">
        <v>13</v>
      </c>
      <c r="V63">
        <v>2500</v>
      </c>
      <c r="W63">
        <v>30000</v>
      </c>
    </row>
    <row r="64" spans="1:24" hidden="1" x14ac:dyDescent="0.35">
      <c r="A64" s="22"/>
      <c r="B64" s="21"/>
      <c r="C64" s="22"/>
      <c r="D64" s="22" t="s">
        <v>173</v>
      </c>
      <c r="E64" s="21">
        <v>24</v>
      </c>
      <c r="F64" s="21" t="s">
        <v>123</v>
      </c>
      <c r="G64" s="21" t="s">
        <v>13</v>
      </c>
      <c r="H64" s="24">
        <f>34560/12</f>
        <v>2880</v>
      </c>
      <c r="I64" s="24">
        <f t="shared" si="3"/>
        <v>69120</v>
      </c>
      <c r="J64" s="44"/>
      <c r="R64" t="s">
        <v>173</v>
      </c>
      <c r="S64">
        <v>24</v>
      </c>
      <c r="T64" t="s">
        <v>123</v>
      </c>
      <c r="U64" t="s">
        <v>13</v>
      </c>
      <c r="V64">
        <v>2880</v>
      </c>
      <c r="W64">
        <v>69120</v>
      </c>
    </row>
    <row r="65" spans="1:24" hidden="1" x14ac:dyDescent="0.35">
      <c r="A65" s="22"/>
      <c r="B65" s="21"/>
      <c r="C65" s="22"/>
      <c r="D65" s="22" t="s">
        <v>125</v>
      </c>
      <c r="E65" s="21">
        <v>24</v>
      </c>
      <c r="F65" s="21" t="s">
        <v>123</v>
      </c>
      <c r="G65" s="21" t="s">
        <v>13</v>
      </c>
      <c r="H65" s="24">
        <f>57600/12</f>
        <v>4800</v>
      </c>
      <c r="I65" s="24">
        <f t="shared" si="3"/>
        <v>115200</v>
      </c>
      <c r="J65" s="44"/>
      <c r="R65" t="s">
        <v>125</v>
      </c>
      <c r="S65">
        <v>24</v>
      </c>
      <c r="T65" t="s">
        <v>123</v>
      </c>
      <c r="U65" t="s">
        <v>13</v>
      </c>
      <c r="V65">
        <v>4800</v>
      </c>
      <c r="W65">
        <v>115200</v>
      </c>
    </row>
    <row r="66" spans="1:24" hidden="1" x14ac:dyDescent="0.35">
      <c r="A66" s="22"/>
      <c r="B66" s="21"/>
      <c r="C66" s="22"/>
      <c r="D66" s="22" t="s">
        <v>174</v>
      </c>
      <c r="E66" s="21">
        <v>12</v>
      </c>
      <c r="F66" s="21" t="s">
        <v>14</v>
      </c>
      <c r="G66" s="21" t="s">
        <v>13</v>
      </c>
      <c r="H66" s="24">
        <v>3750</v>
      </c>
      <c r="I66" s="24">
        <f t="shared" si="3"/>
        <v>45000</v>
      </c>
      <c r="J66" s="44"/>
      <c r="R66" t="s">
        <v>174</v>
      </c>
      <c r="S66">
        <v>12</v>
      </c>
      <c r="T66" t="s">
        <v>14</v>
      </c>
      <c r="U66" t="s">
        <v>13</v>
      </c>
      <c r="V66">
        <v>3750</v>
      </c>
      <c r="W66">
        <v>45000</v>
      </c>
    </row>
    <row r="67" spans="1:24" hidden="1" x14ac:dyDescent="0.35">
      <c r="A67" s="22"/>
      <c r="B67" s="21"/>
      <c r="C67" s="22"/>
      <c r="D67" s="22" t="s">
        <v>175</v>
      </c>
      <c r="E67" s="21">
        <v>24</v>
      </c>
      <c r="F67" s="21" t="s">
        <v>14</v>
      </c>
      <c r="G67" s="21" t="s">
        <v>13</v>
      </c>
      <c r="H67" s="24">
        <v>2100</v>
      </c>
      <c r="I67" s="24">
        <f t="shared" si="3"/>
        <v>50400</v>
      </c>
      <c r="J67" s="44"/>
      <c r="R67" t="s">
        <v>175</v>
      </c>
      <c r="S67">
        <v>24</v>
      </c>
      <c r="T67" t="s">
        <v>14</v>
      </c>
      <c r="U67" t="s">
        <v>13</v>
      </c>
      <c r="V67">
        <v>2100</v>
      </c>
      <c r="W67">
        <v>50400</v>
      </c>
    </row>
    <row r="68" spans="1:24" x14ac:dyDescent="0.35">
      <c r="A68" s="22"/>
      <c r="B68" s="21"/>
      <c r="C68" s="22"/>
      <c r="D68" s="22"/>
      <c r="E68" s="21"/>
      <c r="F68" s="21"/>
      <c r="G68" s="21"/>
      <c r="H68" s="24"/>
      <c r="I68" s="45"/>
      <c r="J68" s="44" t="s">
        <v>13</v>
      </c>
      <c r="W68">
        <v>368720</v>
      </c>
      <c r="X68" t="s">
        <v>13</v>
      </c>
    </row>
    <row r="69" spans="1:24" x14ac:dyDescent="0.35">
      <c r="A69" s="22"/>
      <c r="B69" s="21"/>
      <c r="C69" s="47"/>
      <c r="D69" s="22"/>
      <c r="E69" s="21"/>
      <c r="F69" s="21"/>
      <c r="G69" s="21"/>
      <c r="H69" s="46"/>
      <c r="I69" s="48"/>
      <c r="J69" s="44"/>
    </row>
    <row r="70" spans="1:24" x14ac:dyDescent="0.35">
      <c r="A70" s="43">
        <v>44855</v>
      </c>
      <c r="B70" s="21">
        <v>370</v>
      </c>
      <c r="C70" s="22" t="s">
        <v>11</v>
      </c>
      <c r="D70" s="22" t="s">
        <v>22</v>
      </c>
      <c r="E70" s="21">
        <v>50</v>
      </c>
      <c r="F70" s="21" t="s">
        <v>20</v>
      </c>
      <c r="G70" s="21" t="s">
        <v>13</v>
      </c>
      <c r="H70" s="24">
        <v>48500</v>
      </c>
      <c r="I70" s="18">
        <v>2521250</v>
      </c>
      <c r="J70" s="22"/>
      <c r="O70">
        <v>44855</v>
      </c>
      <c r="P70">
        <v>370</v>
      </c>
      <c r="Q70" t="s">
        <v>11</v>
      </c>
      <c r="R70" t="s">
        <v>22</v>
      </c>
      <c r="S70">
        <v>50</v>
      </c>
      <c r="T70" t="s">
        <v>20</v>
      </c>
      <c r="U70" t="s">
        <v>13</v>
      </c>
      <c r="V70">
        <v>48500</v>
      </c>
      <c r="W70">
        <v>2425000</v>
      </c>
    </row>
    <row r="71" spans="1:24" hidden="1" x14ac:dyDescent="0.35">
      <c r="A71" s="22"/>
      <c r="B71" s="21"/>
      <c r="C71" s="22"/>
      <c r="D71" s="22" t="s">
        <v>144</v>
      </c>
      <c r="E71" s="21">
        <v>5</v>
      </c>
      <c r="F71" s="21" t="s">
        <v>21</v>
      </c>
      <c r="G71" s="21" t="s">
        <v>13</v>
      </c>
      <c r="H71" s="24">
        <v>19250</v>
      </c>
      <c r="I71" s="24">
        <f>H71*E71</f>
        <v>96250</v>
      </c>
      <c r="J71" s="22"/>
      <c r="R71" t="s">
        <v>144</v>
      </c>
      <c r="S71">
        <v>5</v>
      </c>
      <c r="T71" t="s">
        <v>21</v>
      </c>
      <c r="U71" t="s">
        <v>13</v>
      </c>
      <c r="V71">
        <v>19250</v>
      </c>
      <c r="W71">
        <v>96250</v>
      </c>
    </row>
    <row r="72" spans="1:24" x14ac:dyDescent="0.35">
      <c r="A72" s="22"/>
      <c r="B72" s="21"/>
      <c r="C72" s="22"/>
      <c r="D72" s="22"/>
      <c r="E72" s="21"/>
      <c r="F72" s="21"/>
      <c r="G72" s="21"/>
      <c r="H72" s="24"/>
      <c r="I72" s="45"/>
      <c r="J72" s="44" t="s">
        <v>13</v>
      </c>
      <c r="L72" s="149">
        <f>'PU+Cetak'!I140</f>
        <v>390000</v>
      </c>
      <c r="M72" s="150"/>
      <c r="W72">
        <v>2521250</v>
      </c>
      <c r="X72" t="s">
        <v>13</v>
      </c>
    </row>
    <row r="73" spans="1:24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L73" s="149">
        <f>Cetak!I20</f>
        <v>47025000</v>
      </c>
      <c r="M73" s="150"/>
    </row>
    <row r="74" spans="1:24" x14ac:dyDescent="0.35">
      <c r="A74" s="43">
        <v>44865</v>
      </c>
      <c r="B74" s="21">
        <v>376</v>
      </c>
      <c r="C74" s="22" t="s">
        <v>11</v>
      </c>
      <c r="D74" s="22" t="s">
        <v>143</v>
      </c>
      <c r="E74" s="21">
        <v>20</v>
      </c>
      <c r="F74" s="21" t="s">
        <v>20</v>
      </c>
      <c r="G74" s="21" t="s">
        <v>13</v>
      </c>
      <c r="H74" s="24">
        <v>52500</v>
      </c>
      <c r="I74" s="18">
        <v>1050000</v>
      </c>
      <c r="J74" s="22"/>
      <c r="L74" s="149">
        <f>SUM(L72:L73)</f>
        <v>47415000</v>
      </c>
      <c r="M74" s="150"/>
      <c r="O74">
        <v>44865</v>
      </c>
      <c r="P74">
        <v>376</v>
      </c>
      <c r="Q74" t="s">
        <v>11</v>
      </c>
      <c r="R74" t="s">
        <v>143</v>
      </c>
      <c r="S74">
        <v>20</v>
      </c>
      <c r="T74" t="s">
        <v>20</v>
      </c>
      <c r="U74" t="s">
        <v>13</v>
      </c>
      <c r="V74">
        <v>52500</v>
      </c>
      <c r="W74">
        <v>1050000</v>
      </c>
    </row>
    <row r="75" spans="1:24" x14ac:dyDescent="0.35">
      <c r="A75" s="22"/>
      <c r="B75" s="21"/>
      <c r="C75" s="22"/>
      <c r="D75" s="22"/>
      <c r="E75" s="21"/>
      <c r="F75" s="21"/>
      <c r="G75" s="21"/>
      <c r="H75" s="24"/>
      <c r="I75" s="45"/>
      <c r="J75" s="44" t="s">
        <v>13</v>
      </c>
      <c r="W75">
        <v>1050000</v>
      </c>
      <c r="X75" t="s">
        <v>13</v>
      </c>
    </row>
    <row r="76" spans="1:24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 spans="1:24" x14ac:dyDescent="0.35">
      <c r="A77" s="43">
        <v>44867</v>
      </c>
      <c r="B77" s="21">
        <v>377</v>
      </c>
      <c r="C77" s="22" t="s">
        <v>11</v>
      </c>
      <c r="D77" s="22" t="s">
        <v>142</v>
      </c>
      <c r="E77" s="21">
        <v>30</v>
      </c>
      <c r="F77" s="21" t="s">
        <v>52</v>
      </c>
      <c r="G77" s="21" t="s">
        <v>24</v>
      </c>
      <c r="H77" s="24">
        <v>8000</v>
      </c>
      <c r="I77" s="18">
        <v>240000</v>
      </c>
      <c r="J77" s="22"/>
      <c r="O77">
        <v>44867</v>
      </c>
      <c r="P77">
        <v>377</v>
      </c>
      <c r="Q77" t="s">
        <v>11</v>
      </c>
      <c r="R77" t="s">
        <v>142</v>
      </c>
      <c r="S77">
        <v>30</v>
      </c>
      <c r="T77" t="s">
        <v>52</v>
      </c>
      <c r="U77" t="s">
        <v>24</v>
      </c>
      <c r="V77">
        <v>8000</v>
      </c>
      <c r="W77">
        <v>240000</v>
      </c>
    </row>
    <row r="78" spans="1:24" x14ac:dyDescent="0.35">
      <c r="A78" s="43"/>
      <c r="B78" s="21"/>
      <c r="C78" s="22"/>
      <c r="D78" s="22"/>
      <c r="E78" s="21"/>
      <c r="F78" s="21"/>
      <c r="G78" s="21"/>
      <c r="H78" s="24"/>
      <c r="I78" s="45"/>
      <c r="J78" s="44" t="s">
        <v>24</v>
      </c>
      <c r="W78">
        <v>240000</v>
      </c>
      <c r="X78" t="s">
        <v>24</v>
      </c>
    </row>
    <row r="79" spans="1:24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 spans="1:24" x14ac:dyDescent="0.35">
      <c r="A80" s="43">
        <v>44872</v>
      </c>
      <c r="B80" s="21">
        <v>379</v>
      </c>
      <c r="C80" s="47" t="s">
        <v>11</v>
      </c>
      <c r="D80" s="22" t="s">
        <v>22</v>
      </c>
      <c r="E80" s="21">
        <v>100</v>
      </c>
      <c r="F80" s="21" t="s">
        <v>20</v>
      </c>
      <c r="G80" s="21" t="s">
        <v>13</v>
      </c>
      <c r="H80" s="24">
        <v>48500</v>
      </c>
      <c r="I80" s="18">
        <v>9900000</v>
      </c>
      <c r="J80" s="22"/>
      <c r="O80">
        <v>44872</v>
      </c>
      <c r="P80">
        <v>379</v>
      </c>
      <c r="Q80" t="s">
        <v>11</v>
      </c>
      <c r="R80" t="s">
        <v>22</v>
      </c>
      <c r="S80">
        <v>100</v>
      </c>
      <c r="T80" t="s">
        <v>20</v>
      </c>
      <c r="U80" t="s">
        <v>13</v>
      </c>
      <c r="V80">
        <v>48500</v>
      </c>
      <c r="W80">
        <v>4850000</v>
      </c>
    </row>
    <row r="81" spans="1:24" hidden="1" x14ac:dyDescent="0.35">
      <c r="A81" s="22"/>
      <c r="B81" s="21"/>
      <c r="C81" s="22"/>
      <c r="D81" s="22" t="s">
        <v>26</v>
      </c>
      <c r="E81" s="21">
        <v>100</v>
      </c>
      <c r="F81" s="21" t="s">
        <v>20</v>
      </c>
      <c r="G81" s="21" t="s">
        <v>13</v>
      </c>
      <c r="H81" s="24">
        <v>50500</v>
      </c>
      <c r="I81" s="24">
        <f>H81*E81</f>
        <v>5050000</v>
      </c>
      <c r="J81" s="22"/>
      <c r="R81" t="s">
        <v>26</v>
      </c>
      <c r="S81">
        <v>100</v>
      </c>
      <c r="T81" t="s">
        <v>20</v>
      </c>
      <c r="U81" t="s">
        <v>13</v>
      </c>
      <c r="V81">
        <v>50500</v>
      </c>
      <c r="W81">
        <v>5050000</v>
      </c>
    </row>
    <row r="82" spans="1:24" x14ac:dyDescent="0.35">
      <c r="A82" s="22"/>
      <c r="B82" s="21"/>
      <c r="C82" s="22"/>
      <c r="D82" s="22"/>
      <c r="E82" s="21"/>
      <c r="F82" s="21"/>
      <c r="G82" s="21"/>
      <c r="H82" s="24"/>
      <c r="I82" s="45"/>
      <c r="J82" s="44" t="s">
        <v>188</v>
      </c>
      <c r="W82">
        <v>9900000</v>
      </c>
      <c r="X82" t="s">
        <v>188</v>
      </c>
    </row>
    <row r="83" spans="1:24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 spans="1:24" x14ac:dyDescent="0.35">
      <c r="A84" s="43">
        <v>44874</v>
      </c>
      <c r="B84" s="21">
        <v>383</v>
      </c>
      <c r="C84" s="22" t="s">
        <v>11</v>
      </c>
      <c r="D84" s="22" t="s">
        <v>79</v>
      </c>
      <c r="E84" s="21">
        <v>10</v>
      </c>
      <c r="F84" s="21" t="s">
        <v>21</v>
      </c>
      <c r="G84" s="21" t="s">
        <v>13</v>
      </c>
      <c r="H84" s="24">
        <f>600*50</f>
        <v>30000</v>
      </c>
      <c r="I84" s="18">
        <v>4379007</v>
      </c>
      <c r="J84" s="22"/>
      <c r="O84">
        <v>44874</v>
      </c>
      <c r="P84">
        <v>383</v>
      </c>
      <c r="Q84" t="s">
        <v>11</v>
      </c>
      <c r="R84" t="s">
        <v>79</v>
      </c>
      <c r="S84">
        <v>10</v>
      </c>
      <c r="T84" t="s">
        <v>21</v>
      </c>
      <c r="U84" t="s">
        <v>13</v>
      </c>
      <c r="V84">
        <v>30000</v>
      </c>
      <c r="W84">
        <v>300000</v>
      </c>
    </row>
    <row r="85" spans="1:24" hidden="1" x14ac:dyDescent="0.35">
      <c r="A85" s="22"/>
      <c r="B85" s="21"/>
      <c r="C85" s="22"/>
      <c r="D85" s="22" t="s">
        <v>80</v>
      </c>
      <c r="E85" s="21">
        <v>10</v>
      </c>
      <c r="F85" s="21" t="s">
        <v>21</v>
      </c>
      <c r="G85" s="21" t="s">
        <v>13</v>
      </c>
      <c r="H85" s="24">
        <v>30000</v>
      </c>
      <c r="I85" s="24">
        <f t="shared" ref="I85:I98" si="4">H85*E85</f>
        <v>300000</v>
      </c>
      <c r="J85" s="22"/>
      <c r="R85" t="s">
        <v>80</v>
      </c>
      <c r="S85">
        <v>10</v>
      </c>
      <c r="T85" t="s">
        <v>21</v>
      </c>
      <c r="U85" t="s">
        <v>13</v>
      </c>
      <c r="V85">
        <v>30000</v>
      </c>
      <c r="W85">
        <v>300000</v>
      </c>
    </row>
    <row r="86" spans="1:24" hidden="1" x14ac:dyDescent="0.35">
      <c r="A86" s="22"/>
      <c r="B86" s="21"/>
      <c r="C86" s="22"/>
      <c r="D86" s="22" t="s">
        <v>57</v>
      </c>
      <c r="E86" s="21">
        <v>5</v>
      </c>
      <c r="F86" s="21" t="s">
        <v>21</v>
      </c>
      <c r="G86" s="21" t="s">
        <v>13</v>
      </c>
      <c r="H86" s="24">
        <v>30000</v>
      </c>
      <c r="I86" s="24">
        <f t="shared" si="4"/>
        <v>150000</v>
      </c>
      <c r="J86" s="22"/>
      <c r="R86" t="s">
        <v>57</v>
      </c>
      <c r="S86">
        <v>5</v>
      </c>
      <c r="T86" t="s">
        <v>21</v>
      </c>
      <c r="U86" t="s">
        <v>13</v>
      </c>
      <c r="V86">
        <v>30000</v>
      </c>
      <c r="W86">
        <v>150000</v>
      </c>
    </row>
    <row r="87" spans="1:24" hidden="1" x14ac:dyDescent="0.35">
      <c r="A87" s="22"/>
      <c r="B87" s="21"/>
      <c r="C87" s="22"/>
      <c r="D87" s="22" t="s">
        <v>131</v>
      </c>
      <c r="E87" s="21">
        <v>5</v>
      </c>
      <c r="F87" s="21" t="s">
        <v>21</v>
      </c>
      <c r="G87" s="21" t="s">
        <v>13</v>
      </c>
      <c r="H87" s="24">
        <v>30000</v>
      </c>
      <c r="I87" s="24">
        <f t="shared" si="4"/>
        <v>150000</v>
      </c>
      <c r="J87" s="22"/>
      <c r="R87" t="s">
        <v>131</v>
      </c>
      <c r="S87">
        <v>5</v>
      </c>
      <c r="T87" t="s">
        <v>21</v>
      </c>
      <c r="U87" t="s">
        <v>13</v>
      </c>
      <c r="V87">
        <v>30000</v>
      </c>
      <c r="W87">
        <v>150000</v>
      </c>
    </row>
    <row r="88" spans="1:24" hidden="1" x14ac:dyDescent="0.35">
      <c r="A88" s="22"/>
      <c r="B88" s="21"/>
      <c r="C88" s="22"/>
      <c r="D88" s="22" t="s">
        <v>132</v>
      </c>
      <c r="E88" s="21">
        <v>20</v>
      </c>
      <c r="F88" s="21" t="s">
        <v>14</v>
      </c>
      <c r="G88" s="21" t="s">
        <v>13</v>
      </c>
      <c r="H88" s="24">
        <v>5750</v>
      </c>
      <c r="I88" s="24">
        <f t="shared" si="4"/>
        <v>115000</v>
      </c>
      <c r="J88" s="22"/>
      <c r="R88" t="s">
        <v>132</v>
      </c>
      <c r="S88">
        <v>20</v>
      </c>
      <c r="T88" t="s">
        <v>14</v>
      </c>
      <c r="U88" t="s">
        <v>13</v>
      </c>
      <c r="V88">
        <v>5750</v>
      </c>
      <c r="W88">
        <v>115000</v>
      </c>
    </row>
    <row r="89" spans="1:24" hidden="1" x14ac:dyDescent="0.35">
      <c r="A89" s="22"/>
      <c r="B89" s="21"/>
      <c r="C89" s="46"/>
      <c r="D89" s="22" t="s">
        <v>83</v>
      </c>
      <c r="E89" s="21">
        <v>50</v>
      </c>
      <c r="F89" s="21" t="s">
        <v>25</v>
      </c>
      <c r="G89" s="21" t="s">
        <v>13</v>
      </c>
      <c r="H89" s="24">
        <v>8500</v>
      </c>
      <c r="I89" s="24">
        <f t="shared" si="4"/>
        <v>425000</v>
      </c>
      <c r="J89" s="22"/>
      <c r="R89" t="s">
        <v>83</v>
      </c>
      <c r="S89">
        <v>50</v>
      </c>
      <c r="T89" t="s">
        <v>25</v>
      </c>
      <c r="U89" t="s">
        <v>13</v>
      </c>
      <c r="V89">
        <v>8500</v>
      </c>
      <c r="W89">
        <v>425000</v>
      </c>
    </row>
    <row r="90" spans="1:24" hidden="1" x14ac:dyDescent="0.35">
      <c r="A90" s="22"/>
      <c r="B90" s="21"/>
      <c r="C90" s="22"/>
      <c r="D90" s="22" t="s">
        <v>133</v>
      </c>
      <c r="E90" s="21">
        <v>24</v>
      </c>
      <c r="F90" s="21" t="s">
        <v>14</v>
      </c>
      <c r="G90" s="21" t="s">
        <v>13</v>
      </c>
      <c r="H90" s="24">
        <v>13250</v>
      </c>
      <c r="I90" s="24">
        <f t="shared" si="4"/>
        <v>318000</v>
      </c>
      <c r="J90" s="22"/>
      <c r="R90" t="s">
        <v>133</v>
      </c>
      <c r="S90">
        <v>24</v>
      </c>
      <c r="T90" t="s">
        <v>14</v>
      </c>
      <c r="U90" t="s">
        <v>13</v>
      </c>
      <c r="V90">
        <v>13250</v>
      </c>
      <c r="W90">
        <v>318000</v>
      </c>
    </row>
    <row r="91" spans="1:24" hidden="1" x14ac:dyDescent="0.35">
      <c r="A91" s="22"/>
      <c r="B91" s="21"/>
      <c r="C91" s="22"/>
      <c r="D91" s="22" t="s">
        <v>134</v>
      </c>
      <c r="E91" s="21">
        <v>50</v>
      </c>
      <c r="F91" s="21" t="s">
        <v>12</v>
      </c>
      <c r="G91" s="21" t="s">
        <v>13</v>
      </c>
      <c r="H91" s="24">
        <v>17600</v>
      </c>
      <c r="I91" s="24">
        <f t="shared" si="4"/>
        <v>880000</v>
      </c>
      <c r="J91" s="22"/>
      <c r="R91" t="s">
        <v>134</v>
      </c>
      <c r="S91">
        <v>50</v>
      </c>
      <c r="T91" t="s">
        <v>12</v>
      </c>
      <c r="U91" t="s">
        <v>13</v>
      </c>
      <c r="V91">
        <v>17600</v>
      </c>
      <c r="W91">
        <v>880000</v>
      </c>
    </row>
    <row r="92" spans="1:24" hidden="1" x14ac:dyDescent="0.35">
      <c r="A92" s="22"/>
      <c r="B92" s="21"/>
      <c r="C92" s="22"/>
      <c r="D92" s="22" t="s">
        <v>135</v>
      </c>
      <c r="E92" s="21">
        <v>96</v>
      </c>
      <c r="F92" s="21" t="s">
        <v>123</v>
      </c>
      <c r="G92" s="21" t="s">
        <v>13</v>
      </c>
      <c r="H92" s="24">
        <f>229.17*12</f>
        <v>2750.04</v>
      </c>
      <c r="I92" s="24">
        <f t="shared" si="4"/>
        <v>264003.83999999997</v>
      </c>
      <c r="J92" s="22"/>
      <c r="R92" t="s">
        <v>135</v>
      </c>
      <c r="S92">
        <v>96</v>
      </c>
      <c r="T92" t="s">
        <v>123</v>
      </c>
      <c r="U92" t="s">
        <v>13</v>
      </c>
      <c r="V92">
        <v>2750.04</v>
      </c>
      <c r="W92">
        <v>264003.83999999997</v>
      </c>
    </row>
    <row r="93" spans="1:24" hidden="1" x14ac:dyDescent="0.35">
      <c r="A93" s="22"/>
      <c r="B93" s="21"/>
      <c r="C93" s="22"/>
      <c r="D93" s="22" t="s">
        <v>136</v>
      </c>
      <c r="E93" s="21">
        <v>12</v>
      </c>
      <c r="F93" s="21" t="s">
        <v>14</v>
      </c>
      <c r="G93" s="21" t="s">
        <v>13</v>
      </c>
      <c r="H93" s="24">
        <v>3000</v>
      </c>
      <c r="I93" s="24">
        <f t="shared" si="4"/>
        <v>36000</v>
      </c>
      <c r="J93" s="22"/>
      <c r="R93" t="s">
        <v>136</v>
      </c>
      <c r="S93">
        <v>12</v>
      </c>
      <c r="T93" t="s">
        <v>14</v>
      </c>
      <c r="U93" t="s">
        <v>13</v>
      </c>
      <c r="V93">
        <v>3000</v>
      </c>
      <c r="W93">
        <v>36000</v>
      </c>
    </row>
    <row r="94" spans="1:24" hidden="1" x14ac:dyDescent="0.35">
      <c r="A94" s="22"/>
      <c r="B94" s="21"/>
      <c r="C94" s="22"/>
      <c r="D94" s="22" t="s">
        <v>137</v>
      </c>
      <c r="E94" s="21">
        <v>20</v>
      </c>
      <c r="F94" s="21" t="s">
        <v>12</v>
      </c>
      <c r="G94" s="21" t="s">
        <v>13</v>
      </c>
      <c r="H94" s="24">
        <v>3600</v>
      </c>
      <c r="I94" s="24">
        <f t="shared" si="4"/>
        <v>72000</v>
      </c>
      <c r="J94" s="22"/>
      <c r="R94" t="s">
        <v>137</v>
      </c>
      <c r="S94">
        <v>20</v>
      </c>
      <c r="T94" t="s">
        <v>12</v>
      </c>
      <c r="U94" t="s">
        <v>13</v>
      </c>
      <c r="V94">
        <v>3600</v>
      </c>
      <c r="W94">
        <v>72000</v>
      </c>
    </row>
    <row r="95" spans="1:24" hidden="1" x14ac:dyDescent="0.35">
      <c r="A95" s="22"/>
      <c r="B95" s="21"/>
      <c r="C95" s="22"/>
      <c r="D95" s="22" t="s">
        <v>138</v>
      </c>
      <c r="E95" s="21">
        <f>12*3</f>
        <v>36</v>
      </c>
      <c r="F95" s="21" t="s">
        <v>17</v>
      </c>
      <c r="G95" s="21" t="s">
        <v>13</v>
      </c>
      <c r="H95" s="24">
        <f>1458.34*12</f>
        <v>17500.079999999998</v>
      </c>
      <c r="I95" s="24">
        <f t="shared" si="4"/>
        <v>630002.87999999989</v>
      </c>
      <c r="J95" s="22"/>
      <c r="R95" t="s">
        <v>138</v>
      </c>
      <c r="S95">
        <v>36</v>
      </c>
      <c r="T95" t="s">
        <v>17</v>
      </c>
      <c r="U95" t="s">
        <v>13</v>
      </c>
      <c r="V95">
        <v>17500.079999999998</v>
      </c>
      <c r="W95">
        <v>630002.87999999989</v>
      </c>
    </row>
    <row r="96" spans="1:24" hidden="1" x14ac:dyDescent="0.35">
      <c r="A96" s="22"/>
      <c r="B96" s="21"/>
      <c r="C96" s="22"/>
      <c r="D96" s="22" t="s">
        <v>139</v>
      </c>
      <c r="E96" s="21">
        <v>24</v>
      </c>
      <c r="F96" s="21" t="s">
        <v>14</v>
      </c>
      <c r="G96" s="21" t="s">
        <v>13</v>
      </c>
      <c r="H96" s="24">
        <v>20250</v>
      </c>
      <c r="I96" s="24">
        <f t="shared" si="4"/>
        <v>486000</v>
      </c>
      <c r="J96" s="22"/>
      <c r="R96" t="s">
        <v>139</v>
      </c>
      <c r="S96">
        <v>24</v>
      </c>
      <c r="T96" t="s">
        <v>14</v>
      </c>
      <c r="U96" t="s">
        <v>13</v>
      </c>
      <c r="V96">
        <v>20250</v>
      </c>
      <c r="W96">
        <v>486000</v>
      </c>
    </row>
    <row r="97" spans="1:24" hidden="1" x14ac:dyDescent="0.35">
      <c r="A97" s="22"/>
      <c r="B97" s="21"/>
      <c r="C97" s="22"/>
      <c r="D97" s="22" t="s">
        <v>140</v>
      </c>
      <c r="E97" s="21">
        <v>20</v>
      </c>
      <c r="F97" s="21" t="s">
        <v>14</v>
      </c>
      <c r="G97" s="21" t="s">
        <v>13</v>
      </c>
      <c r="H97" s="24">
        <v>8750</v>
      </c>
      <c r="I97" s="24">
        <f t="shared" si="4"/>
        <v>175000</v>
      </c>
      <c r="J97" s="22"/>
      <c r="R97" t="s">
        <v>140</v>
      </c>
      <c r="S97">
        <v>20</v>
      </c>
      <c r="T97" t="s">
        <v>14</v>
      </c>
      <c r="U97" t="s">
        <v>13</v>
      </c>
      <c r="V97">
        <v>8750</v>
      </c>
      <c r="W97">
        <v>175000</v>
      </c>
    </row>
    <row r="98" spans="1:24" hidden="1" x14ac:dyDescent="0.35">
      <c r="A98" s="22"/>
      <c r="B98" s="21"/>
      <c r="C98" s="22"/>
      <c r="D98" s="22" t="s">
        <v>141</v>
      </c>
      <c r="E98" s="21">
        <v>2</v>
      </c>
      <c r="F98" s="21" t="s">
        <v>21</v>
      </c>
      <c r="G98" s="21" t="s">
        <v>13</v>
      </c>
      <c r="H98" s="24">
        <v>39000</v>
      </c>
      <c r="I98" s="24">
        <f t="shared" si="4"/>
        <v>78000</v>
      </c>
      <c r="J98" s="22"/>
      <c r="R98" t="s">
        <v>141</v>
      </c>
      <c r="S98">
        <v>2</v>
      </c>
      <c r="T98" t="s">
        <v>21</v>
      </c>
      <c r="U98" t="s">
        <v>13</v>
      </c>
      <c r="V98">
        <v>39000</v>
      </c>
      <c r="W98">
        <v>78000</v>
      </c>
    </row>
    <row r="99" spans="1:24" x14ac:dyDescent="0.35">
      <c r="A99" s="22"/>
      <c r="B99" s="21"/>
      <c r="C99" s="22"/>
      <c r="D99" s="22"/>
      <c r="E99" s="21"/>
      <c r="F99" s="21"/>
      <c r="G99" s="21"/>
      <c r="H99" s="24"/>
      <c r="I99" s="45"/>
      <c r="J99" s="44" t="s">
        <v>188</v>
      </c>
      <c r="W99">
        <v>4379006.72</v>
      </c>
      <c r="X99" t="s">
        <v>188</v>
      </c>
    </row>
    <row r="100" spans="1:24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 spans="1:24" x14ac:dyDescent="0.35">
      <c r="A101" s="43">
        <v>44874</v>
      </c>
      <c r="B101" s="21">
        <v>384</v>
      </c>
      <c r="C101" s="22" t="s">
        <v>11</v>
      </c>
      <c r="D101" s="22" t="s">
        <v>113</v>
      </c>
      <c r="E101" s="21">
        <v>30</v>
      </c>
      <c r="F101" s="21" t="s">
        <v>21</v>
      </c>
      <c r="G101" s="21" t="s">
        <v>13</v>
      </c>
      <c r="H101" s="24">
        <v>30000</v>
      </c>
      <c r="I101" s="18">
        <v>3148501</v>
      </c>
      <c r="J101" s="22"/>
      <c r="O101">
        <v>44874</v>
      </c>
      <c r="P101">
        <v>384</v>
      </c>
      <c r="Q101" t="s">
        <v>11</v>
      </c>
      <c r="R101" t="s">
        <v>113</v>
      </c>
      <c r="S101">
        <v>30</v>
      </c>
      <c r="T101" t="s">
        <v>21</v>
      </c>
      <c r="U101" t="s">
        <v>13</v>
      </c>
      <c r="V101">
        <v>30000</v>
      </c>
      <c r="W101">
        <v>900000</v>
      </c>
    </row>
    <row r="102" spans="1:24" hidden="1" x14ac:dyDescent="0.35">
      <c r="A102" s="22"/>
      <c r="B102" s="21"/>
      <c r="C102" s="22"/>
      <c r="D102" s="22" t="s">
        <v>125</v>
      </c>
      <c r="E102" s="21">
        <v>30</v>
      </c>
      <c r="F102" s="21" t="s">
        <v>17</v>
      </c>
      <c r="G102" s="21" t="s">
        <v>13</v>
      </c>
      <c r="H102" s="24">
        <f>150001.2/30</f>
        <v>5000.04</v>
      </c>
      <c r="I102" s="24">
        <f t="shared" ref="I102:I110" si="5">H102*E102</f>
        <v>150001.20000000001</v>
      </c>
      <c r="J102" s="22"/>
      <c r="R102" t="s">
        <v>125</v>
      </c>
      <c r="S102">
        <v>30</v>
      </c>
      <c r="T102" t="s">
        <v>17</v>
      </c>
      <c r="U102" t="s">
        <v>13</v>
      </c>
      <c r="V102">
        <v>5000.04</v>
      </c>
      <c r="W102">
        <v>150001.20000000001</v>
      </c>
    </row>
    <row r="103" spans="1:24" hidden="1" x14ac:dyDescent="0.35">
      <c r="A103" s="22"/>
      <c r="B103" s="21"/>
      <c r="C103" s="22"/>
      <c r="D103" s="22" t="s">
        <v>16</v>
      </c>
      <c r="E103" s="21">
        <v>10</v>
      </c>
      <c r="F103" s="21" t="s">
        <v>28</v>
      </c>
      <c r="G103" s="21" t="s">
        <v>13</v>
      </c>
      <c r="H103" s="24">
        <v>11000</v>
      </c>
      <c r="I103" s="24">
        <f t="shared" si="5"/>
        <v>110000</v>
      </c>
      <c r="J103" s="22"/>
      <c r="R103" t="s">
        <v>16</v>
      </c>
      <c r="S103">
        <v>10</v>
      </c>
      <c r="T103" t="s">
        <v>28</v>
      </c>
      <c r="U103" t="s">
        <v>13</v>
      </c>
      <c r="V103">
        <v>11000</v>
      </c>
      <c r="W103">
        <v>110000</v>
      </c>
    </row>
    <row r="104" spans="1:24" hidden="1" x14ac:dyDescent="0.35">
      <c r="A104" s="22"/>
      <c r="B104" s="21"/>
      <c r="C104" s="22"/>
      <c r="D104" s="22" t="s">
        <v>126</v>
      </c>
      <c r="E104" s="21">
        <v>2</v>
      </c>
      <c r="F104" s="21" t="s">
        <v>21</v>
      </c>
      <c r="G104" s="21" t="s">
        <v>13</v>
      </c>
      <c r="H104" s="24">
        <v>36000</v>
      </c>
      <c r="I104" s="24">
        <f t="shared" si="5"/>
        <v>72000</v>
      </c>
      <c r="J104" s="22"/>
      <c r="R104" t="s">
        <v>126</v>
      </c>
      <c r="S104">
        <v>2</v>
      </c>
      <c r="T104" t="s">
        <v>21</v>
      </c>
      <c r="U104" t="s">
        <v>13</v>
      </c>
      <c r="V104">
        <v>36000</v>
      </c>
      <c r="W104">
        <v>72000</v>
      </c>
    </row>
    <row r="105" spans="1:24" hidden="1" x14ac:dyDescent="0.35">
      <c r="A105" s="22"/>
      <c r="B105" s="21"/>
      <c r="C105" s="22"/>
      <c r="D105" s="22" t="s">
        <v>94</v>
      </c>
      <c r="E105" s="21">
        <v>7</v>
      </c>
      <c r="F105" s="21" t="s">
        <v>20</v>
      </c>
      <c r="G105" s="21" t="s">
        <v>13</v>
      </c>
      <c r="H105" s="24">
        <v>27000</v>
      </c>
      <c r="I105" s="24">
        <f t="shared" si="5"/>
        <v>189000</v>
      </c>
      <c r="J105" s="22"/>
      <c r="R105" t="s">
        <v>94</v>
      </c>
      <c r="S105">
        <v>7</v>
      </c>
      <c r="T105" t="s">
        <v>20</v>
      </c>
      <c r="U105" t="s">
        <v>13</v>
      </c>
      <c r="V105">
        <v>27000</v>
      </c>
      <c r="W105">
        <v>189000</v>
      </c>
    </row>
    <row r="106" spans="1:24" hidden="1" x14ac:dyDescent="0.35">
      <c r="A106" s="22"/>
      <c r="B106" s="21"/>
      <c r="C106" s="22"/>
      <c r="D106" s="22" t="s">
        <v>127</v>
      </c>
      <c r="E106" s="21">
        <v>10</v>
      </c>
      <c r="F106" s="21" t="s">
        <v>14</v>
      </c>
      <c r="G106" s="21" t="s">
        <v>13</v>
      </c>
      <c r="H106" s="24">
        <v>15000</v>
      </c>
      <c r="I106" s="24">
        <f t="shared" si="5"/>
        <v>150000</v>
      </c>
      <c r="J106" s="22"/>
      <c r="R106" t="s">
        <v>127</v>
      </c>
      <c r="S106">
        <v>10</v>
      </c>
      <c r="T106" t="s">
        <v>14</v>
      </c>
      <c r="U106" t="s">
        <v>13</v>
      </c>
      <c r="V106">
        <v>15000</v>
      </c>
      <c r="W106">
        <v>150000</v>
      </c>
    </row>
    <row r="107" spans="1:24" hidden="1" x14ac:dyDescent="0.35">
      <c r="A107" s="22"/>
      <c r="B107" s="21"/>
      <c r="C107" s="22"/>
      <c r="D107" s="22" t="s">
        <v>128</v>
      </c>
      <c r="E107" s="21">
        <v>60</v>
      </c>
      <c r="F107" s="21" t="s">
        <v>14</v>
      </c>
      <c r="G107" s="21" t="s">
        <v>13</v>
      </c>
      <c r="H107" s="24">
        <v>16000</v>
      </c>
      <c r="I107" s="24">
        <f t="shared" si="5"/>
        <v>960000</v>
      </c>
      <c r="J107" s="22"/>
      <c r="R107" t="s">
        <v>128</v>
      </c>
      <c r="S107">
        <v>60</v>
      </c>
      <c r="T107" t="s">
        <v>14</v>
      </c>
      <c r="U107" t="s">
        <v>13</v>
      </c>
      <c r="V107">
        <v>16000</v>
      </c>
      <c r="W107">
        <v>960000</v>
      </c>
    </row>
    <row r="108" spans="1:24" hidden="1" x14ac:dyDescent="0.35">
      <c r="A108" s="22"/>
      <c r="B108" s="21"/>
      <c r="C108" s="22"/>
      <c r="D108" s="22" t="s">
        <v>68</v>
      </c>
      <c r="E108" s="21">
        <v>5</v>
      </c>
      <c r="F108" s="21" t="s">
        <v>17</v>
      </c>
      <c r="G108" s="21" t="s">
        <v>13</v>
      </c>
      <c r="H108" s="24">
        <f>437500.2/5</f>
        <v>87500.040000000008</v>
      </c>
      <c r="I108" s="24">
        <f t="shared" si="5"/>
        <v>437500.20000000007</v>
      </c>
      <c r="J108" s="22"/>
      <c r="R108" t="s">
        <v>68</v>
      </c>
      <c r="S108">
        <v>5</v>
      </c>
      <c r="T108" t="s">
        <v>17</v>
      </c>
      <c r="U108" t="s">
        <v>13</v>
      </c>
      <c r="V108">
        <v>87500.040000000008</v>
      </c>
      <c r="W108">
        <v>437500.20000000007</v>
      </c>
    </row>
    <row r="109" spans="1:24" hidden="1" x14ac:dyDescent="0.35">
      <c r="A109" s="22"/>
      <c r="B109" s="21"/>
      <c r="C109" s="22"/>
      <c r="D109" s="22" t="s">
        <v>129</v>
      </c>
      <c r="E109" s="21">
        <v>2</v>
      </c>
      <c r="F109" s="21" t="s">
        <v>21</v>
      </c>
      <c r="G109" s="21" t="s">
        <v>13</v>
      </c>
      <c r="H109" s="24">
        <v>60000</v>
      </c>
      <c r="I109" s="24">
        <f t="shared" si="5"/>
        <v>120000</v>
      </c>
      <c r="J109" s="22"/>
      <c r="R109" t="s">
        <v>129</v>
      </c>
      <c r="S109">
        <v>2</v>
      </c>
      <c r="T109" t="s">
        <v>21</v>
      </c>
      <c r="U109" t="s">
        <v>13</v>
      </c>
      <c r="V109">
        <v>60000</v>
      </c>
      <c r="W109">
        <v>120000</v>
      </c>
    </row>
    <row r="110" spans="1:24" hidden="1" x14ac:dyDescent="0.35">
      <c r="A110" s="22"/>
      <c r="B110" s="21"/>
      <c r="C110" s="22"/>
      <c r="D110" s="22" t="s">
        <v>130</v>
      </c>
      <c r="E110" s="21">
        <v>1</v>
      </c>
      <c r="F110" s="21" t="s">
        <v>21</v>
      </c>
      <c r="G110" s="21" t="s">
        <v>13</v>
      </c>
      <c r="H110" s="24">
        <v>60000</v>
      </c>
      <c r="I110" s="24">
        <f t="shared" si="5"/>
        <v>60000</v>
      </c>
      <c r="J110" s="22"/>
      <c r="R110" t="s">
        <v>130</v>
      </c>
      <c r="S110">
        <v>1</v>
      </c>
      <c r="T110" t="s">
        <v>21</v>
      </c>
      <c r="U110" t="s">
        <v>13</v>
      </c>
      <c r="V110">
        <v>60000</v>
      </c>
      <c r="W110">
        <v>60000</v>
      </c>
    </row>
    <row r="111" spans="1:24" x14ac:dyDescent="0.35">
      <c r="A111" s="22"/>
      <c r="B111" s="21"/>
      <c r="C111" s="22"/>
      <c r="D111" s="22"/>
      <c r="E111" s="21"/>
      <c r="F111" s="21"/>
      <c r="G111" s="21"/>
      <c r="H111" s="24"/>
      <c r="I111" s="45"/>
      <c r="J111" s="44" t="s">
        <v>188</v>
      </c>
      <c r="W111">
        <v>3148501.4000000004</v>
      </c>
      <c r="X111" t="s">
        <v>188</v>
      </c>
    </row>
    <row r="112" spans="1:24" x14ac:dyDescent="0.35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24" x14ac:dyDescent="0.35">
      <c r="A113" s="43">
        <v>44879</v>
      </c>
      <c r="B113" s="21">
        <v>386</v>
      </c>
      <c r="C113" s="22" t="s">
        <v>11</v>
      </c>
      <c r="D113" s="22" t="s">
        <v>116</v>
      </c>
      <c r="E113" s="21">
        <v>2</v>
      </c>
      <c r="F113" s="21" t="s">
        <v>21</v>
      </c>
      <c r="G113" s="21" t="s">
        <v>13</v>
      </c>
      <c r="H113" s="24">
        <v>60000</v>
      </c>
      <c r="I113" s="18">
        <v>2435000</v>
      </c>
      <c r="J113" s="22"/>
      <c r="O113">
        <v>44879</v>
      </c>
      <c r="P113">
        <v>386</v>
      </c>
      <c r="Q113" t="s">
        <v>11</v>
      </c>
      <c r="R113" t="s">
        <v>116</v>
      </c>
      <c r="S113">
        <v>2</v>
      </c>
      <c r="T113" t="s">
        <v>21</v>
      </c>
      <c r="U113" t="s">
        <v>13</v>
      </c>
      <c r="V113">
        <v>60000</v>
      </c>
      <c r="W113">
        <v>120000</v>
      </c>
    </row>
    <row r="114" spans="1:24" hidden="1" x14ac:dyDescent="0.35">
      <c r="A114" s="22"/>
      <c r="B114" s="21"/>
      <c r="C114" s="22"/>
      <c r="D114" s="22" t="s">
        <v>62</v>
      </c>
      <c r="E114" s="21">
        <v>10</v>
      </c>
      <c r="F114" s="21" t="s">
        <v>20</v>
      </c>
      <c r="G114" s="21" t="s">
        <v>24</v>
      </c>
      <c r="H114" s="24">
        <v>50000</v>
      </c>
      <c r="I114" s="24">
        <f t="shared" ref="I114:I119" si="6">H114*E114</f>
        <v>500000</v>
      </c>
      <c r="J114" s="22"/>
      <c r="R114" t="s">
        <v>62</v>
      </c>
      <c r="S114">
        <v>10</v>
      </c>
      <c r="T114" t="s">
        <v>20</v>
      </c>
      <c r="U114" t="s">
        <v>24</v>
      </c>
      <c r="V114">
        <v>50000</v>
      </c>
      <c r="W114">
        <v>500000</v>
      </c>
    </row>
    <row r="115" spans="1:24" hidden="1" x14ac:dyDescent="0.35">
      <c r="A115" s="22"/>
      <c r="B115" s="21"/>
      <c r="C115" s="22"/>
      <c r="D115" s="22" t="s">
        <v>117</v>
      </c>
      <c r="E115" s="21">
        <v>10</v>
      </c>
      <c r="F115" s="21" t="s">
        <v>20</v>
      </c>
      <c r="G115" s="21" t="s">
        <v>24</v>
      </c>
      <c r="H115" s="24">
        <v>50000</v>
      </c>
      <c r="I115" s="24">
        <f t="shared" si="6"/>
        <v>500000</v>
      </c>
      <c r="J115" s="22"/>
      <c r="R115" t="s">
        <v>117</v>
      </c>
      <c r="S115">
        <v>10</v>
      </c>
      <c r="T115" t="s">
        <v>20</v>
      </c>
      <c r="U115" t="s">
        <v>24</v>
      </c>
      <c r="V115">
        <v>50000</v>
      </c>
      <c r="W115">
        <v>500000</v>
      </c>
    </row>
    <row r="116" spans="1:24" hidden="1" x14ac:dyDescent="0.35">
      <c r="A116" s="22"/>
      <c r="B116" s="21"/>
      <c r="C116" s="22"/>
      <c r="D116" s="22" t="s">
        <v>118</v>
      </c>
      <c r="E116" s="21">
        <v>5</v>
      </c>
      <c r="F116" s="21" t="s">
        <v>20</v>
      </c>
      <c r="G116" s="21" t="s">
        <v>13</v>
      </c>
      <c r="H116" s="24">
        <v>65750</v>
      </c>
      <c r="I116" s="24">
        <f t="shared" si="6"/>
        <v>328750</v>
      </c>
      <c r="J116" s="22"/>
      <c r="R116" t="s">
        <v>118</v>
      </c>
      <c r="S116">
        <v>5</v>
      </c>
      <c r="T116" t="s">
        <v>20</v>
      </c>
      <c r="U116" t="s">
        <v>13</v>
      </c>
      <c r="V116">
        <v>65750</v>
      </c>
      <c r="W116">
        <v>328750</v>
      </c>
    </row>
    <row r="117" spans="1:24" hidden="1" x14ac:dyDescent="0.35">
      <c r="A117" s="22"/>
      <c r="B117" s="21"/>
      <c r="C117" s="22"/>
      <c r="D117" s="22" t="s">
        <v>119</v>
      </c>
      <c r="E117" s="21">
        <v>5</v>
      </c>
      <c r="F117" s="21" t="s">
        <v>20</v>
      </c>
      <c r="G117" s="21" t="s">
        <v>13</v>
      </c>
      <c r="H117" s="24">
        <v>65750</v>
      </c>
      <c r="I117" s="24">
        <f t="shared" si="6"/>
        <v>328750</v>
      </c>
      <c r="J117" s="22"/>
      <c r="R117" t="s">
        <v>119</v>
      </c>
      <c r="S117">
        <v>5</v>
      </c>
      <c r="T117" t="s">
        <v>20</v>
      </c>
      <c r="U117" t="s">
        <v>13</v>
      </c>
      <c r="V117">
        <v>65750</v>
      </c>
      <c r="W117">
        <v>328750</v>
      </c>
    </row>
    <row r="118" spans="1:24" hidden="1" x14ac:dyDescent="0.35">
      <c r="A118" s="22"/>
      <c r="B118" s="21"/>
      <c r="C118" s="22"/>
      <c r="D118" s="22" t="s">
        <v>120</v>
      </c>
      <c r="E118" s="21">
        <v>5</v>
      </c>
      <c r="F118" s="21" t="s">
        <v>20</v>
      </c>
      <c r="G118" s="21" t="s">
        <v>13</v>
      </c>
      <c r="H118" s="24">
        <v>65750</v>
      </c>
      <c r="I118" s="24">
        <f t="shared" si="6"/>
        <v>328750</v>
      </c>
      <c r="J118" s="22"/>
      <c r="R118" t="s">
        <v>120</v>
      </c>
      <c r="S118">
        <v>5</v>
      </c>
      <c r="T118" t="s">
        <v>20</v>
      </c>
      <c r="U118" t="s">
        <v>13</v>
      </c>
      <c r="V118">
        <v>65750</v>
      </c>
      <c r="W118">
        <v>328750</v>
      </c>
    </row>
    <row r="119" spans="1:24" hidden="1" x14ac:dyDescent="0.35">
      <c r="A119" s="22"/>
      <c r="B119" s="21"/>
      <c r="C119" s="22"/>
      <c r="D119" s="22" t="s">
        <v>121</v>
      </c>
      <c r="E119" s="21">
        <v>5</v>
      </c>
      <c r="F119" s="21" t="s">
        <v>20</v>
      </c>
      <c r="G119" s="21" t="s">
        <v>13</v>
      </c>
      <c r="H119" s="24">
        <v>65750</v>
      </c>
      <c r="I119" s="24">
        <f t="shared" si="6"/>
        <v>328750</v>
      </c>
      <c r="J119" s="22"/>
      <c r="R119" t="s">
        <v>121</v>
      </c>
      <c r="S119">
        <v>5</v>
      </c>
      <c r="T119" t="s">
        <v>20</v>
      </c>
      <c r="U119" t="s">
        <v>13</v>
      </c>
      <c r="V119">
        <v>65750</v>
      </c>
      <c r="W119">
        <v>328750</v>
      </c>
    </row>
    <row r="120" spans="1:24" x14ac:dyDescent="0.35">
      <c r="A120" s="22"/>
      <c r="B120" s="21"/>
      <c r="C120" s="22"/>
      <c r="D120" s="22"/>
      <c r="E120" s="21"/>
      <c r="F120" s="21"/>
      <c r="G120" s="21"/>
      <c r="H120" s="24"/>
      <c r="I120" s="45"/>
      <c r="J120" s="44" t="s">
        <v>188</v>
      </c>
      <c r="W120">
        <v>2435000</v>
      </c>
      <c r="X120" t="s">
        <v>188</v>
      </c>
    </row>
    <row r="121" spans="1:24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24" x14ac:dyDescent="0.35">
      <c r="A122" s="43">
        <v>44879</v>
      </c>
      <c r="B122" s="21">
        <v>387</v>
      </c>
      <c r="C122" s="22" t="s">
        <v>11</v>
      </c>
      <c r="D122" s="22" t="s">
        <v>122</v>
      </c>
      <c r="E122" s="21">
        <v>10</v>
      </c>
      <c r="F122" s="21" t="s">
        <v>123</v>
      </c>
      <c r="G122" s="21" t="s">
        <v>13</v>
      </c>
      <c r="H122" s="24">
        <v>17000</v>
      </c>
      <c r="I122" s="18">
        <v>275000</v>
      </c>
      <c r="J122" s="22"/>
      <c r="O122">
        <v>44879</v>
      </c>
      <c r="P122">
        <v>387</v>
      </c>
      <c r="Q122" t="s">
        <v>11</v>
      </c>
      <c r="R122" t="s">
        <v>122</v>
      </c>
      <c r="S122">
        <v>10</v>
      </c>
      <c r="T122" t="s">
        <v>123</v>
      </c>
      <c r="U122" t="s">
        <v>13</v>
      </c>
      <c r="V122">
        <v>17000</v>
      </c>
      <c r="W122">
        <v>170000</v>
      </c>
    </row>
    <row r="123" spans="1:24" hidden="1" x14ac:dyDescent="0.35">
      <c r="A123" s="22"/>
      <c r="B123" s="21"/>
      <c r="C123" s="22"/>
      <c r="D123" s="22" t="s">
        <v>124</v>
      </c>
      <c r="E123" s="21">
        <v>50</v>
      </c>
      <c r="F123" s="21" t="s">
        <v>14</v>
      </c>
      <c r="G123" s="21" t="s">
        <v>13</v>
      </c>
      <c r="H123" s="24">
        <v>2100</v>
      </c>
      <c r="I123" s="24">
        <f>H123*E123</f>
        <v>105000</v>
      </c>
      <c r="J123" s="22"/>
      <c r="R123" t="s">
        <v>124</v>
      </c>
      <c r="S123">
        <v>50</v>
      </c>
      <c r="T123" t="s">
        <v>14</v>
      </c>
      <c r="U123" t="s">
        <v>13</v>
      </c>
      <c r="V123">
        <v>2100</v>
      </c>
      <c r="W123">
        <v>105000</v>
      </c>
    </row>
    <row r="124" spans="1:24" x14ac:dyDescent="0.35">
      <c r="A124" s="22"/>
      <c r="B124" s="21"/>
      <c r="C124" s="22"/>
      <c r="D124" s="22"/>
      <c r="E124" s="21"/>
      <c r="F124" s="21"/>
      <c r="G124" s="21"/>
      <c r="H124" s="24"/>
      <c r="I124" s="45"/>
      <c r="J124" s="44" t="s">
        <v>188</v>
      </c>
      <c r="W124">
        <v>275000</v>
      </c>
      <c r="X124" t="s">
        <v>188</v>
      </c>
    </row>
    <row r="125" spans="1:24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24" x14ac:dyDescent="0.35">
      <c r="A126" s="43">
        <v>44875</v>
      </c>
      <c r="B126" s="21">
        <v>388</v>
      </c>
      <c r="C126" s="22" t="s">
        <v>11</v>
      </c>
      <c r="D126" s="22" t="s">
        <v>57</v>
      </c>
      <c r="E126" s="21">
        <v>2</v>
      </c>
      <c r="F126" s="21" t="s">
        <v>21</v>
      </c>
      <c r="G126" s="21" t="s">
        <v>13</v>
      </c>
      <c r="H126" s="24">
        <v>30000</v>
      </c>
      <c r="I126" s="18">
        <v>792000</v>
      </c>
      <c r="J126" s="22"/>
      <c r="O126">
        <v>44875</v>
      </c>
      <c r="P126">
        <v>388</v>
      </c>
      <c r="Q126" t="s">
        <v>11</v>
      </c>
      <c r="R126" t="s">
        <v>57</v>
      </c>
      <c r="S126">
        <v>2</v>
      </c>
      <c r="T126" t="s">
        <v>21</v>
      </c>
      <c r="U126" t="s">
        <v>13</v>
      </c>
      <c r="V126">
        <v>30000</v>
      </c>
      <c r="W126">
        <v>60000</v>
      </c>
    </row>
    <row r="127" spans="1:24" hidden="1" x14ac:dyDescent="0.35">
      <c r="A127" s="22"/>
      <c r="B127" s="21"/>
      <c r="C127" s="22"/>
      <c r="D127" s="22" t="s">
        <v>106</v>
      </c>
      <c r="E127" s="21">
        <v>12</v>
      </c>
      <c r="F127" s="21" t="s">
        <v>48</v>
      </c>
      <c r="G127" s="21" t="s">
        <v>13</v>
      </c>
      <c r="H127" s="24">
        <v>16000</v>
      </c>
      <c r="I127" s="24">
        <f>H127*E127</f>
        <v>192000</v>
      </c>
      <c r="J127" s="22"/>
      <c r="R127" t="s">
        <v>106</v>
      </c>
      <c r="S127">
        <v>12</v>
      </c>
      <c r="T127" t="s">
        <v>48</v>
      </c>
      <c r="U127" t="s">
        <v>13</v>
      </c>
      <c r="V127">
        <v>16000</v>
      </c>
      <c r="W127">
        <v>192000</v>
      </c>
    </row>
    <row r="128" spans="1:24" hidden="1" x14ac:dyDescent="0.35">
      <c r="A128" s="22"/>
      <c r="B128" s="21"/>
      <c r="C128" s="22"/>
      <c r="D128" s="22" t="s">
        <v>107</v>
      </c>
      <c r="E128" s="21">
        <v>1</v>
      </c>
      <c r="F128" s="21" t="s">
        <v>21</v>
      </c>
      <c r="G128" s="21" t="s">
        <v>13</v>
      </c>
      <c r="H128" s="24">
        <v>60000</v>
      </c>
      <c r="I128" s="24">
        <f>H128*E128</f>
        <v>60000</v>
      </c>
      <c r="J128" s="22"/>
      <c r="R128" t="s">
        <v>107</v>
      </c>
      <c r="S128">
        <v>1</v>
      </c>
      <c r="T128" t="s">
        <v>21</v>
      </c>
      <c r="U128" t="s">
        <v>13</v>
      </c>
      <c r="V128">
        <v>60000</v>
      </c>
      <c r="W128">
        <v>60000</v>
      </c>
    </row>
    <row r="129" spans="1:24" hidden="1" x14ac:dyDescent="0.35">
      <c r="A129" s="22"/>
      <c r="B129" s="21"/>
      <c r="C129" s="22"/>
      <c r="D129" s="22" t="s">
        <v>108</v>
      </c>
      <c r="E129" s="21">
        <v>30</v>
      </c>
      <c r="F129" s="21" t="s">
        <v>14</v>
      </c>
      <c r="G129" s="21" t="s">
        <v>13</v>
      </c>
      <c r="H129" s="24">
        <v>8000</v>
      </c>
      <c r="I129" s="24">
        <f>H129*E129</f>
        <v>240000</v>
      </c>
      <c r="J129" s="22"/>
      <c r="R129" t="s">
        <v>108</v>
      </c>
      <c r="S129">
        <v>30</v>
      </c>
      <c r="T129" t="s">
        <v>14</v>
      </c>
      <c r="U129" t="s">
        <v>13</v>
      </c>
      <c r="V129">
        <v>8000</v>
      </c>
      <c r="W129">
        <v>240000</v>
      </c>
    </row>
    <row r="130" spans="1:24" hidden="1" x14ac:dyDescent="0.35">
      <c r="A130" s="22"/>
      <c r="B130" s="21"/>
      <c r="C130" s="22"/>
      <c r="D130" s="22" t="s">
        <v>109</v>
      </c>
      <c r="E130" s="21">
        <v>30</v>
      </c>
      <c r="F130" s="21" t="s">
        <v>14</v>
      </c>
      <c r="G130" s="21" t="s">
        <v>13</v>
      </c>
      <c r="H130" s="24">
        <v>8000</v>
      </c>
      <c r="I130" s="24">
        <f>H130*E130</f>
        <v>240000</v>
      </c>
      <c r="J130" s="22"/>
      <c r="R130" t="s">
        <v>109</v>
      </c>
      <c r="S130">
        <v>30</v>
      </c>
      <c r="T130" t="s">
        <v>14</v>
      </c>
      <c r="U130" t="s">
        <v>13</v>
      </c>
      <c r="V130">
        <v>8000</v>
      </c>
      <c r="W130">
        <v>240000</v>
      </c>
    </row>
    <row r="131" spans="1:24" x14ac:dyDescent="0.35">
      <c r="A131" s="22"/>
      <c r="B131" s="21"/>
      <c r="C131" s="22"/>
      <c r="D131" s="22"/>
      <c r="E131" s="21"/>
      <c r="F131" s="21"/>
      <c r="G131" s="21"/>
      <c r="H131" s="24"/>
      <c r="I131" s="45"/>
      <c r="J131" s="44" t="s">
        <v>188</v>
      </c>
      <c r="W131">
        <v>792000</v>
      </c>
      <c r="X131" t="s">
        <v>188</v>
      </c>
    </row>
    <row r="132" spans="1:24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24" x14ac:dyDescent="0.35">
      <c r="A133" s="43">
        <v>44875</v>
      </c>
      <c r="B133" s="21">
        <v>389</v>
      </c>
      <c r="C133" s="22" t="s">
        <v>11</v>
      </c>
      <c r="D133" s="22" t="s">
        <v>110</v>
      </c>
      <c r="E133" s="21">
        <v>12</v>
      </c>
      <c r="F133" s="21" t="s">
        <v>14</v>
      </c>
      <c r="G133" s="21" t="s">
        <v>13</v>
      </c>
      <c r="H133" s="24">
        <v>5750</v>
      </c>
      <c r="I133" s="18">
        <v>1788500</v>
      </c>
      <c r="J133" s="22"/>
      <c r="O133">
        <v>44875</v>
      </c>
      <c r="P133">
        <v>389</v>
      </c>
      <c r="Q133" t="s">
        <v>11</v>
      </c>
      <c r="R133" t="s">
        <v>110</v>
      </c>
      <c r="S133">
        <v>12</v>
      </c>
      <c r="T133" t="s">
        <v>14</v>
      </c>
      <c r="U133" t="s">
        <v>13</v>
      </c>
      <c r="V133">
        <v>5750</v>
      </c>
      <c r="W133">
        <v>69000</v>
      </c>
    </row>
    <row r="134" spans="1:24" hidden="1" x14ac:dyDescent="0.35">
      <c r="A134" s="22"/>
      <c r="B134" s="21"/>
      <c r="C134" s="22"/>
      <c r="D134" s="22" t="s">
        <v>111</v>
      </c>
      <c r="E134" s="21">
        <v>50</v>
      </c>
      <c r="F134" s="21" t="s">
        <v>14</v>
      </c>
      <c r="G134" s="21" t="s">
        <v>13</v>
      </c>
      <c r="H134" s="24">
        <v>4000</v>
      </c>
      <c r="I134" s="24">
        <f t="shared" ref="I134:I139" si="7">H134*E134</f>
        <v>200000</v>
      </c>
      <c r="J134" s="22"/>
      <c r="R134" t="s">
        <v>111</v>
      </c>
      <c r="S134">
        <v>50</v>
      </c>
      <c r="T134" t="s">
        <v>14</v>
      </c>
      <c r="U134" t="s">
        <v>13</v>
      </c>
      <c r="V134">
        <v>4000</v>
      </c>
      <c r="W134">
        <v>200000</v>
      </c>
    </row>
    <row r="135" spans="1:24" hidden="1" x14ac:dyDescent="0.35">
      <c r="A135" s="22"/>
      <c r="B135" s="21"/>
      <c r="C135" s="22"/>
      <c r="D135" s="22" t="s">
        <v>106</v>
      </c>
      <c r="E135" s="21">
        <v>12</v>
      </c>
      <c r="F135" s="21" t="s">
        <v>14</v>
      </c>
      <c r="G135" s="21" t="s">
        <v>13</v>
      </c>
      <c r="H135" s="24">
        <f>192000/12</f>
        <v>16000</v>
      </c>
      <c r="I135" s="24">
        <f t="shared" si="7"/>
        <v>192000</v>
      </c>
      <c r="J135" s="22"/>
      <c r="R135" t="s">
        <v>106</v>
      </c>
      <c r="S135">
        <v>12</v>
      </c>
      <c r="T135" t="s">
        <v>14</v>
      </c>
      <c r="U135" t="s">
        <v>13</v>
      </c>
      <c r="V135">
        <v>16000</v>
      </c>
      <c r="W135">
        <v>192000</v>
      </c>
    </row>
    <row r="136" spans="1:24" hidden="1" x14ac:dyDescent="0.35">
      <c r="A136" s="22"/>
      <c r="B136" s="21"/>
      <c r="C136" s="22"/>
      <c r="D136" s="22" t="s">
        <v>112</v>
      </c>
      <c r="E136" s="21">
        <v>12</v>
      </c>
      <c r="F136" s="21" t="s">
        <v>14</v>
      </c>
      <c r="G136" s="21" t="s">
        <v>13</v>
      </c>
      <c r="H136" s="24">
        <f>87500/12</f>
        <v>7291.666666666667</v>
      </c>
      <c r="I136" s="24">
        <f t="shared" si="7"/>
        <v>87500</v>
      </c>
      <c r="J136" s="22"/>
      <c r="R136" t="s">
        <v>112</v>
      </c>
      <c r="S136">
        <v>12</v>
      </c>
      <c r="T136" t="s">
        <v>14</v>
      </c>
      <c r="U136" t="s">
        <v>13</v>
      </c>
      <c r="V136">
        <v>7291.666666666667</v>
      </c>
      <c r="W136">
        <v>87500</v>
      </c>
    </row>
    <row r="137" spans="1:24" hidden="1" x14ac:dyDescent="0.35">
      <c r="A137" s="22"/>
      <c r="B137" s="21"/>
      <c r="C137" s="22"/>
      <c r="D137" s="22" t="s">
        <v>113</v>
      </c>
      <c r="E137" s="21">
        <v>10</v>
      </c>
      <c r="F137" s="21" t="s">
        <v>21</v>
      </c>
      <c r="G137" s="21" t="s">
        <v>13</v>
      </c>
      <c r="H137" s="24">
        <v>30000</v>
      </c>
      <c r="I137" s="24">
        <f t="shared" si="7"/>
        <v>300000</v>
      </c>
      <c r="J137" s="22"/>
      <c r="R137" t="s">
        <v>113</v>
      </c>
      <c r="S137">
        <v>10</v>
      </c>
      <c r="T137" t="s">
        <v>21</v>
      </c>
      <c r="U137" t="s">
        <v>13</v>
      </c>
      <c r="V137">
        <v>30000</v>
      </c>
      <c r="W137">
        <v>300000</v>
      </c>
    </row>
    <row r="138" spans="1:24" hidden="1" x14ac:dyDescent="0.35">
      <c r="A138" s="22"/>
      <c r="B138" s="21"/>
      <c r="C138" s="22"/>
      <c r="D138" s="22" t="s">
        <v>114</v>
      </c>
      <c r="E138" s="21">
        <v>250</v>
      </c>
      <c r="F138" s="21" t="s">
        <v>14</v>
      </c>
      <c r="G138" s="21" t="s">
        <v>13</v>
      </c>
      <c r="H138" s="24">
        <v>3600</v>
      </c>
      <c r="I138" s="24">
        <f t="shared" si="7"/>
        <v>900000</v>
      </c>
      <c r="J138" s="22"/>
      <c r="R138" t="s">
        <v>114</v>
      </c>
      <c r="S138">
        <v>250</v>
      </c>
      <c r="T138" t="s">
        <v>14</v>
      </c>
      <c r="U138" t="s">
        <v>13</v>
      </c>
      <c r="V138">
        <v>3600</v>
      </c>
      <c r="W138">
        <v>900000</v>
      </c>
    </row>
    <row r="139" spans="1:24" hidden="1" x14ac:dyDescent="0.35">
      <c r="A139" s="22"/>
      <c r="B139" s="21"/>
      <c r="C139" s="22"/>
      <c r="D139" s="22" t="s">
        <v>115</v>
      </c>
      <c r="E139" s="21">
        <v>50</v>
      </c>
      <c r="F139" s="21" t="s">
        <v>52</v>
      </c>
      <c r="G139" s="21" t="s">
        <v>13</v>
      </c>
      <c r="H139" s="24">
        <f>40000/50</f>
        <v>800</v>
      </c>
      <c r="I139" s="24">
        <f t="shared" si="7"/>
        <v>40000</v>
      </c>
      <c r="J139" s="22"/>
      <c r="R139" t="s">
        <v>115</v>
      </c>
      <c r="S139">
        <v>50</v>
      </c>
      <c r="T139" t="s">
        <v>52</v>
      </c>
      <c r="U139" t="s">
        <v>13</v>
      </c>
      <c r="V139">
        <v>800</v>
      </c>
      <c r="W139">
        <v>40000</v>
      </c>
    </row>
    <row r="140" spans="1:24" x14ac:dyDescent="0.35">
      <c r="A140" s="22"/>
      <c r="B140" s="21"/>
      <c r="C140" s="22"/>
      <c r="D140" s="22"/>
      <c r="E140" s="21"/>
      <c r="F140" s="21"/>
      <c r="G140" s="21"/>
      <c r="H140" s="24"/>
      <c r="I140" s="45"/>
      <c r="J140" s="44" t="s">
        <v>188</v>
      </c>
      <c r="W140">
        <v>1788500</v>
      </c>
      <c r="X140" t="s">
        <v>188</v>
      </c>
    </row>
    <row r="141" spans="1:24" x14ac:dyDescent="0.35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 spans="1:24" x14ac:dyDescent="0.35">
      <c r="A142" s="43">
        <v>44883</v>
      </c>
      <c r="B142" s="21">
        <v>396</v>
      </c>
      <c r="C142" s="22" t="s">
        <v>11</v>
      </c>
      <c r="D142" s="22" t="s">
        <v>104</v>
      </c>
      <c r="E142" s="21">
        <v>250</v>
      </c>
      <c r="F142" s="21" t="s">
        <v>52</v>
      </c>
      <c r="G142" s="21" t="s">
        <v>13</v>
      </c>
      <c r="H142" s="24">
        <v>1600</v>
      </c>
      <c r="I142" s="18">
        <v>910000</v>
      </c>
      <c r="J142" s="22"/>
      <c r="O142">
        <v>44883</v>
      </c>
      <c r="P142">
        <v>396</v>
      </c>
      <c r="Q142" t="s">
        <v>11</v>
      </c>
      <c r="R142" t="s">
        <v>104</v>
      </c>
      <c r="S142">
        <v>250</v>
      </c>
      <c r="T142" t="s">
        <v>52</v>
      </c>
      <c r="U142" t="s">
        <v>13</v>
      </c>
      <c r="V142">
        <v>1600</v>
      </c>
      <c r="W142">
        <v>400000</v>
      </c>
    </row>
    <row r="143" spans="1:24" hidden="1" x14ac:dyDescent="0.35">
      <c r="A143" s="22"/>
      <c r="B143" s="21"/>
      <c r="C143" s="22"/>
      <c r="D143" s="22" t="s">
        <v>105</v>
      </c>
      <c r="E143" s="21">
        <v>15</v>
      </c>
      <c r="F143" s="21" t="s">
        <v>14</v>
      </c>
      <c r="G143" s="21" t="s">
        <v>13</v>
      </c>
      <c r="H143" s="24">
        <v>34000</v>
      </c>
      <c r="I143" s="24">
        <f>H143*E143</f>
        <v>510000</v>
      </c>
      <c r="J143" s="22"/>
      <c r="R143" t="s">
        <v>105</v>
      </c>
      <c r="S143">
        <v>15</v>
      </c>
      <c r="T143" t="s">
        <v>14</v>
      </c>
      <c r="U143" t="s">
        <v>13</v>
      </c>
      <c r="V143">
        <v>34000</v>
      </c>
      <c r="W143">
        <v>510000</v>
      </c>
    </row>
    <row r="144" spans="1:24" x14ac:dyDescent="0.35">
      <c r="A144" s="22"/>
      <c r="B144" s="21"/>
      <c r="C144" s="22"/>
      <c r="D144" s="22"/>
      <c r="E144" s="21"/>
      <c r="F144" s="21"/>
      <c r="G144" s="21"/>
      <c r="H144" s="24"/>
      <c r="I144" s="45"/>
      <c r="J144" s="44" t="s">
        <v>188</v>
      </c>
      <c r="W144">
        <v>910000</v>
      </c>
      <c r="X144" t="s">
        <v>188</v>
      </c>
    </row>
    <row r="145" spans="1:24" x14ac:dyDescent="0.3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 spans="1:24" x14ac:dyDescent="0.35">
      <c r="A146" s="43">
        <v>44881</v>
      </c>
      <c r="B146" s="21">
        <v>402</v>
      </c>
      <c r="C146" s="22" t="s">
        <v>11</v>
      </c>
      <c r="D146" s="22" t="s">
        <v>102</v>
      </c>
      <c r="E146" s="21">
        <v>30</v>
      </c>
      <c r="F146" s="21" t="s">
        <v>103</v>
      </c>
      <c r="G146" s="21" t="s">
        <v>13</v>
      </c>
      <c r="H146" s="24">
        <v>9500</v>
      </c>
      <c r="I146" s="18">
        <v>285000</v>
      </c>
      <c r="J146" s="22"/>
      <c r="O146">
        <v>44881</v>
      </c>
      <c r="P146">
        <v>402</v>
      </c>
      <c r="Q146" t="s">
        <v>11</v>
      </c>
      <c r="R146" t="s">
        <v>102</v>
      </c>
      <c r="S146">
        <v>30</v>
      </c>
      <c r="T146" t="s">
        <v>103</v>
      </c>
      <c r="U146" t="s">
        <v>13</v>
      </c>
      <c r="V146">
        <v>9500</v>
      </c>
      <c r="W146">
        <v>285000</v>
      </c>
    </row>
    <row r="147" spans="1:24" x14ac:dyDescent="0.35">
      <c r="A147" s="22"/>
      <c r="B147" s="21"/>
      <c r="C147" s="22"/>
      <c r="D147" s="22"/>
      <c r="E147" s="21"/>
      <c r="F147" s="21"/>
      <c r="G147" s="21"/>
      <c r="H147" s="22"/>
      <c r="I147" s="48"/>
      <c r="J147" s="44" t="s">
        <v>188</v>
      </c>
      <c r="W147">
        <v>285000</v>
      </c>
      <c r="X147" t="s">
        <v>188</v>
      </c>
    </row>
    <row r="148" spans="1:24" x14ac:dyDescent="0.35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 spans="1:24" x14ac:dyDescent="0.35">
      <c r="A149" s="43">
        <v>44886</v>
      </c>
      <c r="B149" s="21">
        <v>403</v>
      </c>
      <c r="C149" s="22" t="s">
        <v>11</v>
      </c>
      <c r="D149" s="22" t="s">
        <v>99</v>
      </c>
      <c r="E149" s="21">
        <v>12</v>
      </c>
      <c r="F149" s="21" t="s">
        <v>14</v>
      </c>
      <c r="G149" s="21" t="s">
        <v>13</v>
      </c>
      <c r="H149" s="24">
        <v>8000</v>
      </c>
      <c r="I149" s="18">
        <v>224750</v>
      </c>
      <c r="J149" s="22"/>
      <c r="O149">
        <v>44886</v>
      </c>
      <c r="P149">
        <v>403</v>
      </c>
      <c r="Q149" t="s">
        <v>11</v>
      </c>
      <c r="R149" t="s">
        <v>99</v>
      </c>
      <c r="S149">
        <v>12</v>
      </c>
      <c r="T149" t="s">
        <v>14</v>
      </c>
      <c r="U149" t="s">
        <v>13</v>
      </c>
      <c r="V149">
        <v>8000</v>
      </c>
      <c r="W149">
        <v>96000</v>
      </c>
    </row>
    <row r="150" spans="1:24" hidden="1" x14ac:dyDescent="0.35">
      <c r="A150" s="22"/>
      <c r="B150" s="21"/>
      <c r="C150" s="22"/>
      <c r="D150" s="22" t="s">
        <v>100</v>
      </c>
      <c r="E150" s="21">
        <v>10</v>
      </c>
      <c r="F150" s="21" t="s">
        <v>14</v>
      </c>
      <c r="G150" s="21" t="s">
        <v>13</v>
      </c>
      <c r="H150" s="24">
        <v>8750</v>
      </c>
      <c r="I150" s="24">
        <f>H150*E150</f>
        <v>87500</v>
      </c>
      <c r="J150" s="22"/>
      <c r="R150" t="s">
        <v>100</v>
      </c>
      <c r="S150">
        <v>10</v>
      </c>
      <c r="T150" t="s">
        <v>14</v>
      </c>
      <c r="U150" t="s">
        <v>13</v>
      </c>
      <c r="V150">
        <v>8750</v>
      </c>
      <c r="W150">
        <v>87500</v>
      </c>
    </row>
    <row r="151" spans="1:24" hidden="1" x14ac:dyDescent="0.35">
      <c r="A151" s="22"/>
      <c r="B151" s="21"/>
      <c r="C151" s="22"/>
      <c r="D151" s="22" t="s">
        <v>101</v>
      </c>
      <c r="E151" s="21">
        <v>5</v>
      </c>
      <c r="F151" s="21" t="s">
        <v>14</v>
      </c>
      <c r="G151" s="21" t="s">
        <v>13</v>
      </c>
      <c r="H151" s="24">
        <v>8250</v>
      </c>
      <c r="I151" s="24">
        <f>H151*E151</f>
        <v>41250</v>
      </c>
      <c r="J151" s="22"/>
      <c r="R151" t="s">
        <v>101</v>
      </c>
      <c r="S151">
        <v>5</v>
      </c>
      <c r="T151" t="s">
        <v>14</v>
      </c>
      <c r="U151" t="s">
        <v>13</v>
      </c>
      <c r="V151">
        <v>8250</v>
      </c>
      <c r="W151">
        <v>41250</v>
      </c>
    </row>
    <row r="152" spans="1:24" x14ac:dyDescent="0.35">
      <c r="A152" s="22"/>
      <c r="B152" s="21"/>
      <c r="C152" s="22"/>
      <c r="D152" s="22"/>
      <c r="E152" s="21"/>
      <c r="F152" s="21"/>
      <c r="G152" s="21"/>
      <c r="H152" s="24"/>
      <c r="I152" s="45"/>
      <c r="J152" s="44" t="s">
        <v>188</v>
      </c>
      <c r="W152">
        <v>224750</v>
      </c>
      <c r="X152" t="s">
        <v>188</v>
      </c>
    </row>
    <row r="153" spans="1:24" x14ac:dyDescent="0.35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 spans="1:24" x14ac:dyDescent="0.35">
      <c r="A154" s="43">
        <v>44894</v>
      </c>
      <c r="B154" s="21">
        <v>405</v>
      </c>
      <c r="C154" s="22" t="s">
        <v>11</v>
      </c>
      <c r="D154" s="22" t="s">
        <v>94</v>
      </c>
      <c r="E154" s="21">
        <v>20</v>
      </c>
      <c r="F154" s="21" t="s">
        <v>20</v>
      </c>
      <c r="G154" s="21" t="s">
        <v>13</v>
      </c>
      <c r="H154" s="24">
        <v>27000</v>
      </c>
      <c r="I154" s="18">
        <v>2512500</v>
      </c>
      <c r="J154" s="22"/>
      <c r="O154">
        <v>44894</v>
      </c>
      <c r="P154">
        <v>405</v>
      </c>
      <c r="Q154" t="s">
        <v>11</v>
      </c>
      <c r="R154" t="s">
        <v>94</v>
      </c>
      <c r="S154">
        <v>20</v>
      </c>
      <c r="T154" t="s">
        <v>20</v>
      </c>
      <c r="U154" t="s">
        <v>13</v>
      </c>
      <c r="V154">
        <v>27000</v>
      </c>
      <c r="W154">
        <v>540000</v>
      </c>
    </row>
    <row r="155" spans="1:24" hidden="1" x14ac:dyDescent="0.35">
      <c r="A155" s="22"/>
      <c r="B155" s="21"/>
      <c r="C155" s="22"/>
      <c r="D155" s="22" t="s">
        <v>95</v>
      </c>
      <c r="E155" s="21">
        <v>10</v>
      </c>
      <c r="F155" s="21" t="s">
        <v>20</v>
      </c>
      <c r="G155" s="21" t="s">
        <v>13</v>
      </c>
      <c r="H155" s="24">
        <v>65750</v>
      </c>
      <c r="I155" s="24">
        <f>H155*E155</f>
        <v>657500</v>
      </c>
      <c r="J155" s="22"/>
      <c r="R155" t="s">
        <v>95</v>
      </c>
      <c r="S155">
        <v>10</v>
      </c>
      <c r="T155" t="s">
        <v>20</v>
      </c>
      <c r="U155" t="s">
        <v>13</v>
      </c>
      <c r="V155">
        <v>65750</v>
      </c>
      <c r="W155">
        <v>657500</v>
      </c>
    </row>
    <row r="156" spans="1:24" hidden="1" x14ac:dyDescent="0.35">
      <c r="A156" s="22"/>
      <c r="B156" s="21"/>
      <c r="C156" s="22"/>
      <c r="D156" s="22" t="s">
        <v>96</v>
      </c>
      <c r="E156" s="21">
        <v>10</v>
      </c>
      <c r="F156" s="21" t="s">
        <v>20</v>
      </c>
      <c r="G156" s="21" t="s">
        <v>13</v>
      </c>
      <c r="H156" s="24">
        <v>65750</v>
      </c>
      <c r="I156" s="24">
        <f t="shared" ref="I156:I158" si="8">H156*E156</f>
        <v>657500</v>
      </c>
      <c r="J156" s="22"/>
      <c r="R156" t="s">
        <v>96</v>
      </c>
      <c r="S156">
        <v>10</v>
      </c>
      <c r="T156" t="s">
        <v>20</v>
      </c>
      <c r="U156" t="s">
        <v>13</v>
      </c>
      <c r="V156">
        <v>65750</v>
      </c>
      <c r="W156">
        <v>657500</v>
      </c>
    </row>
    <row r="157" spans="1:24" hidden="1" x14ac:dyDescent="0.35">
      <c r="A157" s="22"/>
      <c r="B157" s="21"/>
      <c r="C157" s="22"/>
      <c r="D157" s="22" t="s">
        <v>97</v>
      </c>
      <c r="E157" s="21">
        <v>5</v>
      </c>
      <c r="F157" s="21" t="s">
        <v>20</v>
      </c>
      <c r="G157" s="21" t="s">
        <v>13</v>
      </c>
      <c r="H157" s="24">
        <v>65750</v>
      </c>
      <c r="I157" s="24">
        <f t="shared" si="8"/>
        <v>328750</v>
      </c>
      <c r="J157" s="22"/>
      <c r="R157" t="s">
        <v>97</v>
      </c>
      <c r="S157">
        <v>5</v>
      </c>
      <c r="T157" t="s">
        <v>20</v>
      </c>
      <c r="U157" t="s">
        <v>13</v>
      </c>
      <c r="V157">
        <v>65750</v>
      </c>
      <c r="W157">
        <v>328750</v>
      </c>
    </row>
    <row r="158" spans="1:24" hidden="1" x14ac:dyDescent="0.35">
      <c r="A158" s="22"/>
      <c r="B158" s="21"/>
      <c r="C158" s="22"/>
      <c r="D158" s="22" t="s">
        <v>98</v>
      </c>
      <c r="E158" s="21">
        <v>5</v>
      </c>
      <c r="F158" s="21" t="s">
        <v>20</v>
      </c>
      <c r="G158" s="21" t="s">
        <v>13</v>
      </c>
      <c r="H158" s="24">
        <v>65750</v>
      </c>
      <c r="I158" s="24">
        <f t="shared" si="8"/>
        <v>328750</v>
      </c>
      <c r="J158" s="22"/>
      <c r="R158" t="s">
        <v>98</v>
      </c>
      <c r="S158">
        <v>5</v>
      </c>
      <c r="T158" t="s">
        <v>20</v>
      </c>
      <c r="U158" t="s">
        <v>13</v>
      </c>
      <c r="V158">
        <v>65750</v>
      </c>
      <c r="W158">
        <v>328750</v>
      </c>
    </row>
    <row r="159" spans="1:24" x14ac:dyDescent="0.35">
      <c r="A159" s="22"/>
      <c r="B159" s="21"/>
      <c r="C159" s="22"/>
      <c r="D159" s="22"/>
      <c r="E159" s="21"/>
      <c r="F159" s="21"/>
      <c r="G159" s="21"/>
      <c r="H159" s="24"/>
      <c r="I159" s="45"/>
      <c r="J159" s="44" t="s">
        <v>188</v>
      </c>
      <c r="W159">
        <v>2512500</v>
      </c>
      <c r="X159" t="s">
        <v>188</v>
      </c>
    </row>
    <row r="160" spans="1:24" x14ac:dyDescent="0.35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 spans="1:23" x14ac:dyDescent="0.35">
      <c r="A161" s="43">
        <v>44897</v>
      </c>
      <c r="B161" s="21">
        <v>409</v>
      </c>
      <c r="C161" s="22" t="s">
        <v>11</v>
      </c>
      <c r="D161" s="22" t="s">
        <v>26</v>
      </c>
      <c r="E161" s="21">
        <v>100</v>
      </c>
      <c r="F161" s="21" t="s">
        <v>20</v>
      </c>
      <c r="G161" s="21" t="s">
        <v>13</v>
      </c>
      <c r="H161" s="24">
        <v>50500</v>
      </c>
      <c r="I161" s="26">
        <v>13177355</v>
      </c>
      <c r="J161" s="22"/>
      <c r="O161">
        <v>44897</v>
      </c>
      <c r="P161">
        <v>409</v>
      </c>
      <c r="Q161" t="s">
        <v>11</v>
      </c>
      <c r="R161" t="s">
        <v>26</v>
      </c>
      <c r="S161">
        <v>100</v>
      </c>
      <c r="T161" t="s">
        <v>20</v>
      </c>
      <c r="U161" t="s">
        <v>13</v>
      </c>
      <c r="V161">
        <v>50500</v>
      </c>
      <c r="W161">
        <v>5050000</v>
      </c>
    </row>
    <row r="162" spans="1:23" hidden="1" x14ac:dyDescent="0.35">
      <c r="A162" s="43"/>
      <c r="B162" s="21"/>
      <c r="C162" s="22"/>
      <c r="D162" s="22" t="s">
        <v>79</v>
      </c>
      <c r="E162" s="21">
        <v>10</v>
      </c>
      <c r="F162" s="21" t="s">
        <v>21</v>
      </c>
      <c r="G162" s="21" t="s">
        <v>13</v>
      </c>
      <c r="H162" s="24">
        <f>600*50</f>
        <v>30000</v>
      </c>
      <c r="I162" s="29">
        <f t="shared" ref="I162:I178" si="9">H162*E162</f>
        <v>300000</v>
      </c>
      <c r="J162" s="22"/>
      <c r="R162" t="s">
        <v>79</v>
      </c>
      <c r="S162">
        <v>10</v>
      </c>
      <c r="T162" t="s">
        <v>21</v>
      </c>
      <c r="U162" t="s">
        <v>13</v>
      </c>
      <c r="V162">
        <v>30000</v>
      </c>
      <c r="W162">
        <v>300000</v>
      </c>
    </row>
    <row r="163" spans="1:23" hidden="1" x14ac:dyDescent="0.35">
      <c r="A163" s="22"/>
      <c r="B163" s="21"/>
      <c r="C163" s="47"/>
      <c r="D163" s="22" t="s">
        <v>80</v>
      </c>
      <c r="E163" s="49">
        <v>10</v>
      </c>
      <c r="F163" s="21" t="s">
        <v>21</v>
      </c>
      <c r="G163" s="21" t="s">
        <v>13</v>
      </c>
      <c r="H163" s="24">
        <v>30000</v>
      </c>
      <c r="I163" s="29">
        <f t="shared" si="9"/>
        <v>300000</v>
      </c>
      <c r="J163" s="22"/>
      <c r="R163" t="s">
        <v>80</v>
      </c>
      <c r="S163">
        <v>10</v>
      </c>
      <c r="T163" t="s">
        <v>21</v>
      </c>
      <c r="U163" t="s">
        <v>13</v>
      </c>
      <c r="V163">
        <v>30000</v>
      </c>
      <c r="W163">
        <v>300000</v>
      </c>
    </row>
    <row r="164" spans="1:23" hidden="1" x14ac:dyDescent="0.35">
      <c r="A164" s="43"/>
      <c r="B164" s="21"/>
      <c r="C164" s="22"/>
      <c r="D164" s="22" t="s">
        <v>57</v>
      </c>
      <c r="E164" s="21">
        <v>10</v>
      </c>
      <c r="F164" s="21" t="s">
        <v>21</v>
      </c>
      <c r="G164" s="21" t="s">
        <v>13</v>
      </c>
      <c r="H164" s="24">
        <v>30000</v>
      </c>
      <c r="I164" s="29">
        <f t="shared" si="9"/>
        <v>300000</v>
      </c>
      <c r="J164" s="22"/>
      <c r="R164" t="s">
        <v>57</v>
      </c>
      <c r="S164">
        <v>10</v>
      </c>
      <c r="T164" t="s">
        <v>21</v>
      </c>
      <c r="U164" t="s">
        <v>13</v>
      </c>
      <c r="V164">
        <v>30000</v>
      </c>
      <c r="W164">
        <v>300000</v>
      </c>
    </row>
    <row r="165" spans="1:23" hidden="1" x14ac:dyDescent="0.35">
      <c r="A165" s="43"/>
      <c r="B165" s="21"/>
      <c r="C165" s="22"/>
      <c r="D165" s="22" t="s">
        <v>81</v>
      </c>
      <c r="E165" s="21">
        <v>12</v>
      </c>
      <c r="F165" s="21" t="s">
        <v>14</v>
      </c>
      <c r="G165" s="21" t="s">
        <v>13</v>
      </c>
      <c r="H165" s="24">
        <v>2300</v>
      </c>
      <c r="I165" s="29">
        <f>H165*E165</f>
        <v>27600</v>
      </c>
      <c r="J165" s="22"/>
      <c r="R165" t="s">
        <v>81</v>
      </c>
      <c r="S165">
        <v>12</v>
      </c>
      <c r="T165" t="s">
        <v>14</v>
      </c>
      <c r="U165" t="s">
        <v>13</v>
      </c>
      <c r="V165">
        <v>2300</v>
      </c>
      <c r="W165">
        <v>27600</v>
      </c>
    </row>
    <row r="166" spans="1:23" hidden="1" x14ac:dyDescent="0.35">
      <c r="A166" s="22"/>
      <c r="B166" s="21"/>
      <c r="C166" s="22"/>
      <c r="D166" s="22" t="s">
        <v>82</v>
      </c>
      <c r="E166" s="21">
        <v>24</v>
      </c>
      <c r="F166" s="21" t="s">
        <v>17</v>
      </c>
      <c r="G166" s="21" t="s">
        <v>13</v>
      </c>
      <c r="H166" s="24">
        <f>2000*12</f>
        <v>24000</v>
      </c>
      <c r="I166" s="29">
        <f t="shared" si="9"/>
        <v>576000</v>
      </c>
      <c r="J166" s="22"/>
      <c r="R166" t="s">
        <v>82</v>
      </c>
      <c r="S166">
        <v>24</v>
      </c>
      <c r="T166" t="s">
        <v>17</v>
      </c>
      <c r="U166" t="s">
        <v>13</v>
      </c>
      <c r="V166">
        <v>24000</v>
      </c>
      <c r="W166">
        <v>576000</v>
      </c>
    </row>
    <row r="167" spans="1:23" hidden="1" x14ac:dyDescent="0.35">
      <c r="A167" s="43"/>
      <c r="B167" s="21"/>
      <c r="C167" s="47"/>
      <c r="D167" s="22" t="s">
        <v>83</v>
      </c>
      <c r="E167" s="49">
        <v>30</v>
      </c>
      <c r="F167" s="21" t="s">
        <v>25</v>
      </c>
      <c r="G167" s="21" t="s">
        <v>13</v>
      </c>
      <c r="H167" s="24">
        <v>8500</v>
      </c>
      <c r="I167" s="29">
        <f t="shared" si="9"/>
        <v>255000</v>
      </c>
      <c r="J167" s="22"/>
      <c r="R167" t="s">
        <v>83</v>
      </c>
      <c r="S167">
        <v>30</v>
      </c>
      <c r="T167" t="s">
        <v>25</v>
      </c>
      <c r="U167" t="s">
        <v>13</v>
      </c>
      <c r="V167">
        <v>8500</v>
      </c>
      <c r="W167">
        <v>255000</v>
      </c>
    </row>
    <row r="168" spans="1:23" hidden="1" x14ac:dyDescent="0.35">
      <c r="A168" s="22"/>
      <c r="B168" s="21"/>
      <c r="C168" s="47"/>
      <c r="D168" s="22" t="s">
        <v>84</v>
      </c>
      <c r="E168" s="49">
        <v>12</v>
      </c>
      <c r="F168" s="21" t="s">
        <v>14</v>
      </c>
      <c r="G168" s="21" t="s">
        <v>13</v>
      </c>
      <c r="H168" s="24">
        <v>4500</v>
      </c>
      <c r="I168" s="29">
        <f t="shared" si="9"/>
        <v>54000</v>
      </c>
      <c r="J168" s="22"/>
      <c r="R168" t="s">
        <v>84</v>
      </c>
      <c r="S168">
        <v>12</v>
      </c>
      <c r="T168" t="s">
        <v>14</v>
      </c>
      <c r="U168" t="s">
        <v>13</v>
      </c>
      <c r="V168">
        <v>4500</v>
      </c>
      <c r="W168">
        <v>54000</v>
      </c>
    </row>
    <row r="169" spans="1:23" hidden="1" x14ac:dyDescent="0.35">
      <c r="A169" s="22"/>
      <c r="B169" s="21"/>
      <c r="C169" s="47"/>
      <c r="D169" s="22" t="s">
        <v>85</v>
      </c>
      <c r="E169" s="49">
        <v>60</v>
      </c>
      <c r="F169" s="21" t="s">
        <v>17</v>
      </c>
      <c r="G169" s="21" t="s">
        <v>13</v>
      </c>
      <c r="H169" s="24">
        <f>229.17*12</f>
        <v>2750.04</v>
      </c>
      <c r="I169" s="29">
        <f t="shared" si="9"/>
        <v>165002.4</v>
      </c>
      <c r="J169" s="22"/>
      <c r="R169" t="s">
        <v>85</v>
      </c>
      <c r="S169">
        <v>60</v>
      </c>
      <c r="T169" t="s">
        <v>17</v>
      </c>
      <c r="U169" t="s">
        <v>13</v>
      </c>
      <c r="V169">
        <v>2750.04</v>
      </c>
      <c r="W169">
        <v>165002.4</v>
      </c>
    </row>
    <row r="170" spans="1:23" hidden="1" x14ac:dyDescent="0.35">
      <c r="A170" s="43"/>
      <c r="B170" s="21"/>
      <c r="C170" s="47"/>
      <c r="D170" s="22" t="s">
        <v>86</v>
      </c>
      <c r="E170" s="49">
        <v>20</v>
      </c>
      <c r="F170" s="21" t="s">
        <v>12</v>
      </c>
      <c r="G170" s="21" t="s">
        <v>13</v>
      </c>
      <c r="H170" s="24">
        <v>3600</v>
      </c>
      <c r="I170" s="29">
        <f t="shared" si="9"/>
        <v>72000</v>
      </c>
      <c r="J170" s="22"/>
      <c r="R170" t="s">
        <v>86</v>
      </c>
      <c r="S170">
        <v>20</v>
      </c>
      <c r="T170" t="s">
        <v>12</v>
      </c>
      <c r="U170" t="s">
        <v>13</v>
      </c>
      <c r="V170">
        <v>3600</v>
      </c>
      <c r="W170">
        <v>72000</v>
      </c>
    </row>
    <row r="171" spans="1:23" hidden="1" x14ac:dyDescent="0.35">
      <c r="A171" s="22"/>
      <c r="B171" s="21"/>
      <c r="C171" s="47"/>
      <c r="D171" s="22" t="s">
        <v>87</v>
      </c>
      <c r="E171" s="49">
        <f>144*2</f>
        <v>288</v>
      </c>
      <c r="F171" s="21" t="s">
        <v>14</v>
      </c>
      <c r="G171" s="21" t="s">
        <v>13</v>
      </c>
      <c r="H171" s="24">
        <v>1458.34</v>
      </c>
      <c r="I171" s="29">
        <f t="shared" si="9"/>
        <v>420001.92</v>
      </c>
      <c r="J171" s="22"/>
      <c r="R171" t="s">
        <v>87</v>
      </c>
      <c r="S171">
        <v>288</v>
      </c>
      <c r="T171" t="s">
        <v>14</v>
      </c>
      <c r="U171" t="s">
        <v>13</v>
      </c>
      <c r="V171">
        <v>1458.34</v>
      </c>
      <c r="W171">
        <v>420001.92</v>
      </c>
    </row>
    <row r="172" spans="1:23" hidden="1" x14ac:dyDescent="0.35">
      <c r="A172" s="22"/>
      <c r="B172" s="21"/>
      <c r="C172" s="47"/>
      <c r="D172" s="22" t="s">
        <v>88</v>
      </c>
      <c r="E172" s="49">
        <v>48</v>
      </c>
      <c r="F172" s="21" t="s">
        <v>14</v>
      </c>
      <c r="G172" s="21" t="s">
        <v>13</v>
      </c>
      <c r="H172" s="24">
        <v>20250</v>
      </c>
      <c r="I172" s="29">
        <f t="shared" si="9"/>
        <v>972000</v>
      </c>
      <c r="J172" s="22"/>
      <c r="R172" t="s">
        <v>88</v>
      </c>
      <c r="S172">
        <v>48</v>
      </c>
      <c r="T172" t="s">
        <v>14</v>
      </c>
      <c r="U172" t="s">
        <v>13</v>
      </c>
      <c r="V172">
        <v>20250</v>
      </c>
      <c r="W172">
        <v>972000</v>
      </c>
    </row>
    <row r="173" spans="1:23" hidden="1" x14ac:dyDescent="0.35">
      <c r="A173" s="43"/>
      <c r="B173" s="21"/>
      <c r="C173" s="47"/>
      <c r="D173" s="22" t="s">
        <v>67</v>
      </c>
      <c r="E173" s="49">
        <v>36</v>
      </c>
      <c r="F173" s="21" t="s">
        <v>14</v>
      </c>
      <c r="G173" s="21" t="s">
        <v>13</v>
      </c>
      <c r="H173" s="24">
        <v>6229.17</v>
      </c>
      <c r="I173" s="29">
        <f t="shared" si="9"/>
        <v>224250.12</v>
      </c>
      <c r="J173" s="22"/>
      <c r="R173" t="s">
        <v>67</v>
      </c>
      <c r="S173">
        <v>36</v>
      </c>
      <c r="T173" t="s">
        <v>14</v>
      </c>
      <c r="U173" t="s">
        <v>13</v>
      </c>
      <c r="V173">
        <v>6229.17</v>
      </c>
      <c r="W173">
        <v>224250.12</v>
      </c>
    </row>
    <row r="174" spans="1:23" hidden="1" x14ac:dyDescent="0.35">
      <c r="A174" s="22"/>
      <c r="B174" s="21"/>
      <c r="C174" s="22"/>
      <c r="D174" s="22" t="s">
        <v>89</v>
      </c>
      <c r="E174" s="21">
        <v>36</v>
      </c>
      <c r="F174" s="21" t="s">
        <v>14</v>
      </c>
      <c r="G174" s="21" t="s">
        <v>13</v>
      </c>
      <c r="H174" s="24">
        <v>7291.67</v>
      </c>
      <c r="I174" s="29">
        <f t="shared" si="9"/>
        <v>262500.12</v>
      </c>
      <c r="J174" s="22"/>
      <c r="R174" t="s">
        <v>89</v>
      </c>
      <c r="S174">
        <v>36</v>
      </c>
      <c r="T174" t="s">
        <v>14</v>
      </c>
      <c r="U174" t="s">
        <v>13</v>
      </c>
      <c r="V174">
        <v>7291.67</v>
      </c>
      <c r="W174">
        <v>262500.12</v>
      </c>
    </row>
    <row r="175" spans="1:23" hidden="1" x14ac:dyDescent="0.35">
      <c r="A175" s="22"/>
      <c r="B175" s="21"/>
      <c r="C175" s="22"/>
      <c r="D175" s="22" t="s">
        <v>90</v>
      </c>
      <c r="E175" s="21">
        <v>288</v>
      </c>
      <c r="F175" s="21" t="s">
        <v>14</v>
      </c>
      <c r="G175" s="21" t="s">
        <v>13</v>
      </c>
      <c r="H175" s="24">
        <f>12500/2</f>
        <v>6250</v>
      </c>
      <c r="I175" s="29">
        <f t="shared" si="9"/>
        <v>1800000</v>
      </c>
      <c r="J175" s="22"/>
      <c r="R175" t="s">
        <v>90</v>
      </c>
      <c r="S175">
        <v>288</v>
      </c>
      <c r="T175" t="s">
        <v>14</v>
      </c>
      <c r="U175" t="s">
        <v>13</v>
      </c>
      <c r="V175">
        <v>6250</v>
      </c>
      <c r="W175">
        <v>1800000</v>
      </c>
    </row>
    <row r="176" spans="1:23" hidden="1" x14ac:dyDescent="0.35">
      <c r="A176" s="22"/>
      <c r="B176" s="21"/>
      <c r="C176" s="22"/>
      <c r="D176" s="22" t="s">
        <v>91</v>
      </c>
      <c r="E176" s="21">
        <v>144</v>
      </c>
      <c r="F176" s="21" t="s">
        <v>14</v>
      </c>
      <c r="G176" s="21" t="s">
        <v>13</v>
      </c>
      <c r="H176" s="24">
        <v>6250</v>
      </c>
      <c r="I176" s="29">
        <f t="shared" si="9"/>
        <v>900000</v>
      </c>
      <c r="J176" s="22"/>
      <c r="R176" t="s">
        <v>91</v>
      </c>
      <c r="S176">
        <v>144</v>
      </c>
      <c r="T176" t="s">
        <v>14</v>
      </c>
      <c r="U176" t="s">
        <v>13</v>
      </c>
      <c r="V176">
        <v>6250</v>
      </c>
      <c r="W176">
        <v>900000</v>
      </c>
    </row>
    <row r="177" spans="1:24" hidden="1" x14ac:dyDescent="0.35">
      <c r="A177" s="22"/>
      <c r="B177" s="21"/>
      <c r="C177" s="22"/>
      <c r="D177" s="22" t="s">
        <v>92</v>
      </c>
      <c r="E177" s="21">
        <v>10</v>
      </c>
      <c r="F177" s="21" t="s">
        <v>20</v>
      </c>
      <c r="G177" s="21" t="s">
        <v>13</v>
      </c>
      <c r="H177" s="24">
        <v>99500</v>
      </c>
      <c r="I177" s="29">
        <f t="shared" si="9"/>
        <v>995000</v>
      </c>
      <c r="J177" s="22"/>
      <c r="R177" t="s">
        <v>92</v>
      </c>
      <c r="S177">
        <v>10</v>
      </c>
      <c r="T177" t="s">
        <v>20</v>
      </c>
      <c r="U177" t="s">
        <v>13</v>
      </c>
      <c r="V177">
        <v>99500</v>
      </c>
      <c r="W177">
        <v>995000</v>
      </c>
    </row>
    <row r="178" spans="1:24" hidden="1" x14ac:dyDescent="0.35">
      <c r="A178" s="22"/>
      <c r="B178" s="21"/>
      <c r="C178" s="22"/>
      <c r="D178" s="22" t="s">
        <v>93</v>
      </c>
      <c r="E178" s="21">
        <v>144</v>
      </c>
      <c r="F178" s="21" t="s">
        <v>14</v>
      </c>
      <c r="G178" s="21" t="s">
        <v>13</v>
      </c>
      <c r="H178" s="24">
        <v>3500</v>
      </c>
      <c r="I178" s="29">
        <f t="shared" si="9"/>
        <v>504000</v>
      </c>
      <c r="J178" s="22"/>
      <c r="R178" t="s">
        <v>93</v>
      </c>
      <c r="S178">
        <v>144</v>
      </c>
      <c r="T178" t="s">
        <v>14</v>
      </c>
      <c r="U178" t="s">
        <v>13</v>
      </c>
      <c r="V178">
        <v>3500</v>
      </c>
      <c r="W178">
        <v>504000</v>
      </c>
    </row>
    <row r="179" spans="1:24" x14ac:dyDescent="0.35">
      <c r="A179" s="22"/>
      <c r="B179" s="21"/>
      <c r="C179" s="22"/>
      <c r="D179" s="22"/>
      <c r="E179" s="21"/>
      <c r="F179" s="21"/>
      <c r="G179" s="21"/>
      <c r="H179" s="24"/>
      <c r="I179" s="50"/>
      <c r="J179" s="44" t="s">
        <v>188</v>
      </c>
      <c r="W179">
        <v>13177354.559999999</v>
      </c>
      <c r="X179" t="s">
        <v>188</v>
      </c>
    </row>
    <row r="180" spans="1:24" x14ac:dyDescent="0.35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 spans="1:24" x14ac:dyDescent="0.35">
      <c r="A181" s="43">
        <v>44897</v>
      </c>
      <c r="B181" s="21">
        <v>410</v>
      </c>
      <c r="C181" s="22" t="s">
        <v>11</v>
      </c>
      <c r="D181" s="22" t="s">
        <v>26</v>
      </c>
      <c r="E181" s="21">
        <v>280</v>
      </c>
      <c r="F181" s="21" t="s">
        <v>20</v>
      </c>
      <c r="G181" s="21" t="s">
        <v>13</v>
      </c>
      <c r="H181" s="24">
        <v>50500</v>
      </c>
      <c r="I181" s="26">
        <v>14140000</v>
      </c>
      <c r="J181" s="22"/>
      <c r="O181">
        <v>44897</v>
      </c>
      <c r="P181">
        <v>410</v>
      </c>
      <c r="Q181" t="s">
        <v>11</v>
      </c>
      <c r="R181" t="s">
        <v>26</v>
      </c>
      <c r="S181">
        <v>280</v>
      </c>
      <c r="T181" t="s">
        <v>20</v>
      </c>
      <c r="U181" t="s">
        <v>13</v>
      </c>
      <c r="V181">
        <v>50500</v>
      </c>
      <c r="W181">
        <v>14140000</v>
      </c>
    </row>
    <row r="182" spans="1:24" x14ac:dyDescent="0.35">
      <c r="A182" s="22"/>
      <c r="B182" s="21"/>
      <c r="C182" s="22"/>
      <c r="D182" s="22"/>
      <c r="E182" s="21"/>
      <c r="F182" s="21"/>
      <c r="G182" s="21"/>
      <c r="H182" s="24"/>
      <c r="I182" s="50"/>
      <c r="J182" s="44" t="s">
        <v>188</v>
      </c>
      <c r="W182">
        <v>14140000</v>
      </c>
      <c r="X182" t="s">
        <v>188</v>
      </c>
    </row>
    <row r="183" spans="1:24" x14ac:dyDescent="0.35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 spans="1:24" x14ac:dyDescent="0.35">
      <c r="A184" s="43">
        <v>44901</v>
      </c>
      <c r="B184" s="21">
        <v>412</v>
      </c>
      <c r="C184" s="22" t="s">
        <v>11</v>
      </c>
      <c r="D184" s="22" t="s">
        <v>72</v>
      </c>
      <c r="E184" s="21">
        <v>12</v>
      </c>
      <c r="F184" s="21" t="s">
        <v>14</v>
      </c>
      <c r="G184" s="21" t="s">
        <v>13</v>
      </c>
      <c r="H184" s="24">
        <v>100000</v>
      </c>
      <c r="I184" s="26">
        <v>4021000</v>
      </c>
      <c r="J184" s="22"/>
      <c r="O184">
        <v>44901</v>
      </c>
      <c r="P184">
        <v>412</v>
      </c>
      <c r="Q184" t="s">
        <v>11</v>
      </c>
      <c r="R184" t="s">
        <v>72</v>
      </c>
      <c r="S184">
        <v>12</v>
      </c>
      <c r="T184" t="s">
        <v>14</v>
      </c>
      <c r="U184" t="s">
        <v>13</v>
      </c>
      <c r="V184">
        <v>100000</v>
      </c>
      <c r="W184">
        <v>1200000</v>
      </c>
    </row>
    <row r="185" spans="1:24" hidden="1" x14ac:dyDescent="0.35">
      <c r="A185" s="22"/>
      <c r="B185" s="21"/>
      <c r="C185" s="22"/>
      <c r="D185" s="22" t="s">
        <v>73</v>
      </c>
      <c r="E185" s="21">
        <v>12</v>
      </c>
      <c r="F185" s="21" t="s">
        <v>14</v>
      </c>
      <c r="G185" s="21" t="s">
        <v>13</v>
      </c>
      <c r="H185" s="24">
        <v>94000</v>
      </c>
      <c r="I185" s="29">
        <f t="shared" ref="I185:I189" si="10">H185*E185</f>
        <v>1128000</v>
      </c>
      <c r="J185" s="22"/>
      <c r="R185" t="s">
        <v>73</v>
      </c>
      <c r="S185">
        <v>12</v>
      </c>
      <c r="T185" t="s">
        <v>14</v>
      </c>
      <c r="U185" t="s">
        <v>13</v>
      </c>
      <c r="V185">
        <v>94000</v>
      </c>
      <c r="W185">
        <v>1128000</v>
      </c>
    </row>
    <row r="186" spans="1:24" hidden="1" x14ac:dyDescent="0.35">
      <c r="A186" s="22"/>
      <c r="B186" s="21"/>
      <c r="C186" s="22"/>
      <c r="D186" s="22" t="s">
        <v>74</v>
      </c>
      <c r="E186" s="21">
        <v>60</v>
      </c>
      <c r="F186" s="21" t="s">
        <v>14</v>
      </c>
      <c r="G186" s="21" t="s">
        <v>13</v>
      </c>
      <c r="H186" s="24">
        <v>22500</v>
      </c>
      <c r="I186" s="29">
        <f t="shared" si="10"/>
        <v>1350000</v>
      </c>
      <c r="J186" s="22"/>
      <c r="R186" t="s">
        <v>74</v>
      </c>
      <c r="S186">
        <v>60</v>
      </c>
      <c r="T186" t="s">
        <v>14</v>
      </c>
      <c r="U186" t="s">
        <v>13</v>
      </c>
      <c r="V186">
        <v>22500</v>
      </c>
      <c r="W186">
        <v>1350000</v>
      </c>
    </row>
    <row r="187" spans="1:24" hidden="1" x14ac:dyDescent="0.35">
      <c r="A187" s="22"/>
      <c r="B187" s="21"/>
      <c r="C187" s="22"/>
      <c r="D187" s="22" t="s">
        <v>75</v>
      </c>
      <c r="E187" s="21">
        <v>1</v>
      </c>
      <c r="F187" s="21" t="s">
        <v>14</v>
      </c>
      <c r="G187" s="21" t="s">
        <v>76</v>
      </c>
      <c r="H187" s="24">
        <v>108000</v>
      </c>
      <c r="I187" s="29">
        <f t="shared" si="10"/>
        <v>108000</v>
      </c>
      <c r="J187" s="22"/>
      <c r="R187" t="s">
        <v>75</v>
      </c>
      <c r="S187">
        <v>1</v>
      </c>
      <c r="T187" t="s">
        <v>14</v>
      </c>
      <c r="U187" t="s">
        <v>76</v>
      </c>
      <c r="V187">
        <v>108000</v>
      </c>
      <c r="W187">
        <v>108000</v>
      </c>
    </row>
    <row r="188" spans="1:24" hidden="1" x14ac:dyDescent="0.35">
      <c r="A188" s="22"/>
      <c r="B188" s="21"/>
      <c r="C188" s="22"/>
      <c r="D188" s="22" t="s">
        <v>77</v>
      </c>
      <c r="E188" s="21">
        <v>24</v>
      </c>
      <c r="F188" s="21" t="s">
        <v>14</v>
      </c>
      <c r="G188" s="21" t="s">
        <v>13</v>
      </c>
      <c r="H188" s="24">
        <v>2500</v>
      </c>
      <c r="I188" s="29">
        <f t="shared" si="10"/>
        <v>60000</v>
      </c>
      <c r="J188" s="22"/>
      <c r="R188" t="s">
        <v>77</v>
      </c>
      <c r="S188">
        <v>24</v>
      </c>
      <c r="T188" t="s">
        <v>14</v>
      </c>
      <c r="U188" t="s">
        <v>13</v>
      </c>
      <c r="V188">
        <v>2500</v>
      </c>
      <c r="W188">
        <v>60000</v>
      </c>
    </row>
    <row r="189" spans="1:24" hidden="1" x14ac:dyDescent="0.35">
      <c r="A189" s="22"/>
      <c r="B189" s="21"/>
      <c r="C189" s="22"/>
      <c r="D189" s="22" t="s">
        <v>78</v>
      </c>
      <c r="E189" s="21">
        <v>10</v>
      </c>
      <c r="F189" s="21" t="s">
        <v>21</v>
      </c>
      <c r="G189" s="21" t="s">
        <v>13</v>
      </c>
      <c r="H189" s="24">
        <v>17500</v>
      </c>
      <c r="I189" s="29">
        <f t="shared" si="10"/>
        <v>175000</v>
      </c>
      <c r="J189" s="22"/>
      <c r="R189" t="s">
        <v>78</v>
      </c>
      <c r="S189">
        <v>10</v>
      </c>
      <c r="T189" t="s">
        <v>21</v>
      </c>
      <c r="U189" t="s">
        <v>13</v>
      </c>
      <c r="V189">
        <v>17500</v>
      </c>
      <c r="W189">
        <v>175000</v>
      </c>
    </row>
    <row r="190" spans="1:24" x14ac:dyDescent="0.35">
      <c r="A190" s="22"/>
      <c r="B190" s="21"/>
      <c r="C190" s="22"/>
      <c r="D190" s="22"/>
      <c r="E190" s="21"/>
      <c r="F190" s="21"/>
      <c r="G190" s="21"/>
      <c r="H190" s="24"/>
      <c r="I190" s="50"/>
      <c r="J190" s="44" t="s">
        <v>188</v>
      </c>
      <c r="W190">
        <v>4021000</v>
      </c>
      <c r="X190" t="s">
        <v>188</v>
      </c>
    </row>
    <row r="191" spans="1:24" x14ac:dyDescent="0.35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 spans="1:24" x14ac:dyDescent="0.35">
      <c r="A192" s="43">
        <v>44903</v>
      </c>
      <c r="B192" s="21">
        <v>416</v>
      </c>
      <c r="C192" s="22" t="s">
        <v>11</v>
      </c>
      <c r="D192" s="22" t="s">
        <v>23</v>
      </c>
      <c r="E192" s="21">
        <v>10</v>
      </c>
      <c r="F192" s="21" t="s">
        <v>20</v>
      </c>
      <c r="G192" s="21" t="s">
        <v>24</v>
      </c>
      <c r="H192" s="24">
        <v>55000</v>
      </c>
      <c r="I192" s="26">
        <v>8716000</v>
      </c>
      <c r="J192" s="22"/>
      <c r="O192">
        <v>44903</v>
      </c>
      <c r="P192">
        <v>416</v>
      </c>
      <c r="Q192" t="s">
        <v>11</v>
      </c>
      <c r="R192" t="s">
        <v>23</v>
      </c>
      <c r="S192">
        <v>10</v>
      </c>
      <c r="T192" t="s">
        <v>20</v>
      </c>
      <c r="U192" t="s">
        <v>24</v>
      </c>
      <c r="V192">
        <v>55000</v>
      </c>
      <c r="W192">
        <v>550000</v>
      </c>
    </row>
    <row r="193" spans="1:24" hidden="1" x14ac:dyDescent="0.35">
      <c r="A193" s="22"/>
      <c r="B193" s="21"/>
      <c r="C193" s="22"/>
      <c r="D193" s="22" t="s">
        <v>27</v>
      </c>
      <c r="E193" s="21">
        <v>10</v>
      </c>
      <c r="F193" s="21" t="s">
        <v>20</v>
      </c>
      <c r="G193" s="21" t="s">
        <v>24</v>
      </c>
      <c r="H193" s="24">
        <v>55000</v>
      </c>
      <c r="I193" s="29">
        <f t="shared" ref="I193:I204" si="11">H193*E193</f>
        <v>550000</v>
      </c>
      <c r="J193" s="22"/>
      <c r="R193" t="s">
        <v>27</v>
      </c>
      <c r="S193">
        <v>10</v>
      </c>
      <c r="T193" t="s">
        <v>20</v>
      </c>
      <c r="U193" t="s">
        <v>24</v>
      </c>
      <c r="V193">
        <v>55000</v>
      </c>
      <c r="W193">
        <v>550000</v>
      </c>
    </row>
    <row r="194" spans="1:24" hidden="1" x14ac:dyDescent="0.35">
      <c r="A194" s="22"/>
      <c r="B194" s="21"/>
      <c r="C194" s="22"/>
      <c r="D194" s="22" t="s">
        <v>62</v>
      </c>
      <c r="E194" s="21">
        <v>10</v>
      </c>
      <c r="F194" s="21" t="s">
        <v>20</v>
      </c>
      <c r="G194" s="21" t="s">
        <v>24</v>
      </c>
      <c r="H194" s="24">
        <v>51500</v>
      </c>
      <c r="I194" s="29">
        <f t="shared" si="11"/>
        <v>515000</v>
      </c>
      <c r="J194" s="22"/>
      <c r="R194" t="s">
        <v>62</v>
      </c>
      <c r="S194">
        <v>10</v>
      </c>
      <c r="T194" t="s">
        <v>20</v>
      </c>
      <c r="U194" t="s">
        <v>24</v>
      </c>
      <c r="V194">
        <v>51500</v>
      </c>
      <c r="W194">
        <v>515000</v>
      </c>
    </row>
    <row r="195" spans="1:24" hidden="1" x14ac:dyDescent="0.35">
      <c r="A195" s="22"/>
      <c r="B195" s="21"/>
      <c r="C195" s="22"/>
      <c r="D195" s="22" t="s">
        <v>63</v>
      </c>
      <c r="E195" s="21">
        <v>20</v>
      </c>
      <c r="F195" s="21" t="s">
        <v>20</v>
      </c>
      <c r="G195" s="21" t="s">
        <v>13</v>
      </c>
      <c r="H195" s="24">
        <v>65750</v>
      </c>
      <c r="I195" s="29">
        <f t="shared" si="11"/>
        <v>1315000</v>
      </c>
      <c r="J195" s="22"/>
      <c r="R195" t="s">
        <v>63</v>
      </c>
      <c r="S195">
        <v>20</v>
      </c>
      <c r="T195" t="s">
        <v>20</v>
      </c>
      <c r="U195" t="s">
        <v>13</v>
      </c>
      <c r="V195">
        <v>65750</v>
      </c>
      <c r="W195">
        <v>1315000</v>
      </c>
    </row>
    <row r="196" spans="1:24" hidden="1" x14ac:dyDescent="0.35">
      <c r="A196" s="22"/>
      <c r="B196" s="21"/>
      <c r="C196" s="22"/>
      <c r="D196" s="22" t="s">
        <v>64</v>
      </c>
      <c r="E196" s="21">
        <v>10</v>
      </c>
      <c r="F196" s="21" t="s">
        <v>20</v>
      </c>
      <c r="G196" s="21" t="s">
        <v>13</v>
      </c>
      <c r="H196" s="24">
        <v>65750</v>
      </c>
      <c r="I196" s="29">
        <f t="shared" si="11"/>
        <v>657500</v>
      </c>
      <c r="J196" s="22"/>
      <c r="R196" t="s">
        <v>64</v>
      </c>
      <c r="S196">
        <v>10</v>
      </c>
      <c r="T196" t="s">
        <v>20</v>
      </c>
      <c r="U196" t="s">
        <v>13</v>
      </c>
      <c r="V196">
        <v>65750</v>
      </c>
      <c r="W196">
        <v>657500</v>
      </c>
    </row>
    <row r="197" spans="1:24" hidden="1" x14ac:dyDescent="0.35">
      <c r="A197" s="22"/>
      <c r="B197" s="21"/>
      <c r="C197" s="22"/>
      <c r="D197" s="22" t="s">
        <v>65</v>
      </c>
      <c r="E197" s="21">
        <v>10</v>
      </c>
      <c r="F197" s="21" t="s">
        <v>20</v>
      </c>
      <c r="G197" s="21" t="s">
        <v>13</v>
      </c>
      <c r="H197" s="24">
        <v>65750</v>
      </c>
      <c r="I197" s="29">
        <f t="shared" si="11"/>
        <v>657500</v>
      </c>
      <c r="J197" s="22"/>
      <c r="R197" t="s">
        <v>65</v>
      </c>
      <c r="S197">
        <v>10</v>
      </c>
      <c r="T197" t="s">
        <v>20</v>
      </c>
      <c r="U197" t="s">
        <v>13</v>
      </c>
      <c r="V197">
        <v>65750</v>
      </c>
      <c r="W197">
        <v>657500</v>
      </c>
    </row>
    <row r="198" spans="1:24" hidden="1" x14ac:dyDescent="0.35">
      <c r="A198" s="22"/>
      <c r="B198" s="21"/>
      <c r="C198" s="22"/>
      <c r="D198" s="22" t="s">
        <v>66</v>
      </c>
      <c r="E198" s="21">
        <v>10</v>
      </c>
      <c r="F198" s="21" t="s">
        <v>20</v>
      </c>
      <c r="G198" s="21" t="s">
        <v>13</v>
      </c>
      <c r="H198" s="24">
        <v>65750</v>
      </c>
      <c r="I198" s="29">
        <f t="shared" si="11"/>
        <v>657500</v>
      </c>
      <c r="J198" s="22"/>
      <c r="R198" t="s">
        <v>66</v>
      </c>
      <c r="S198">
        <v>10</v>
      </c>
      <c r="T198" t="s">
        <v>20</v>
      </c>
      <c r="U198" t="s">
        <v>13</v>
      </c>
      <c r="V198">
        <v>65750</v>
      </c>
      <c r="W198">
        <v>657500</v>
      </c>
    </row>
    <row r="199" spans="1:24" hidden="1" x14ac:dyDescent="0.35">
      <c r="A199" s="22"/>
      <c r="B199" s="21"/>
      <c r="C199" s="22"/>
      <c r="D199" s="22" t="s">
        <v>67</v>
      </c>
      <c r="E199" s="21">
        <v>6</v>
      </c>
      <c r="F199" s="21" t="s">
        <v>17</v>
      </c>
      <c r="G199" s="21" t="s">
        <v>13</v>
      </c>
      <c r="H199" s="24">
        <f>6229.17*12</f>
        <v>74750.040000000008</v>
      </c>
      <c r="I199" s="29">
        <f t="shared" si="11"/>
        <v>448500.24000000005</v>
      </c>
      <c r="J199" s="22"/>
      <c r="R199" t="s">
        <v>67</v>
      </c>
      <c r="S199">
        <v>6</v>
      </c>
      <c r="T199" t="s">
        <v>17</v>
      </c>
      <c r="U199" t="s">
        <v>13</v>
      </c>
      <c r="V199">
        <v>74750.040000000008</v>
      </c>
      <c r="W199">
        <v>448500.24000000005</v>
      </c>
    </row>
    <row r="200" spans="1:24" hidden="1" x14ac:dyDescent="0.35">
      <c r="A200" s="22"/>
      <c r="B200" s="21"/>
      <c r="C200" s="22"/>
      <c r="D200" s="22" t="s">
        <v>68</v>
      </c>
      <c r="E200" s="21">
        <v>6</v>
      </c>
      <c r="F200" s="21" t="s">
        <v>17</v>
      </c>
      <c r="G200" s="21" t="s">
        <v>13</v>
      </c>
      <c r="H200" s="24">
        <f>7291.67*12</f>
        <v>87500.040000000008</v>
      </c>
      <c r="I200" s="29">
        <f t="shared" si="11"/>
        <v>525000.24</v>
      </c>
      <c r="J200" s="22"/>
      <c r="R200" t="s">
        <v>68</v>
      </c>
      <c r="S200">
        <v>6</v>
      </c>
      <c r="T200" t="s">
        <v>17</v>
      </c>
      <c r="U200" t="s">
        <v>13</v>
      </c>
      <c r="V200">
        <v>87500.040000000008</v>
      </c>
      <c r="W200">
        <v>525000.24</v>
      </c>
    </row>
    <row r="201" spans="1:24" hidden="1" x14ac:dyDescent="0.35">
      <c r="A201" s="22"/>
      <c r="B201" s="21"/>
      <c r="C201" s="22"/>
      <c r="D201" s="22" t="s">
        <v>69</v>
      </c>
      <c r="E201" s="21">
        <v>10</v>
      </c>
      <c r="F201" s="21" t="s">
        <v>15</v>
      </c>
      <c r="G201" s="21" t="s">
        <v>13</v>
      </c>
      <c r="H201" s="24">
        <v>11500</v>
      </c>
      <c r="I201" s="29">
        <f t="shared" si="11"/>
        <v>115000</v>
      </c>
      <c r="J201" s="22"/>
      <c r="R201" t="s">
        <v>69</v>
      </c>
      <c r="S201">
        <v>10</v>
      </c>
      <c r="T201" t="s">
        <v>15</v>
      </c>
      <c r="U201" t="s">
        <v>13</v>
      </c>
      <c r="V201">
        <v>11500</v>
      </c>
      <c r="W201">
        <v>115000</v>
      </c>
    </row>
    <row r="202" spans="1:24" hidden="1" x14ac:dyDescent="0.35">
      <c r="A202" s="22"/>
      <c r="B202" s="21"/>
      <c r="C202" s="22"/>
      <c r="D202" s="22" t="s">
        <v>70</v>
      </c>
      <c r="E202" s="21">
        <v>10</v>
      </c>
      <c r="F202" s="21" t="s">
        <v>25</v>
      </c>
      <c r="G202" s="21" t="s">
        <v>13</v>
      </c>
      <c r="H202" s="24">
        <v>21000</v>
      </c>
      <c r="I202" s="29">
        <f t="shared" si="11"/>
        <v>210000</v>
      </c>
      <c r="J202" s="22"/>
      <c r="R202" t="s">
        <v>70</v>
      </c>
      <c r="S202">
        <v>10</v>
      </c>
      <c r="T202" t="s">
        <v>25</v>
      </c>
      <c r="U202" t="s">
        <v>13</v>
      </c>
      <c r="V202">
        <v>21000</v>
      </c>
      <c r="W202">
        <v>210000</v>
      </c>
    </row>
    <row r="203" spans="1:24" hidden="1" x14ac:dyDescent="0.35">
      <c r="A203" s="22"/>
      <c r="B203" s="21"/>
      <c r="C203" s="22"/>
      <c r="D203" s="22" t="s">
        <v>71</v>
      </c>
      <c r="E203" s="21">
        <v>12</v>
      </c>
      <c r="F203" s="21" t="s">
        <v>14</v>
      </c>
      <c r="G203" s="21" t="s">
        <v>13</v>
      </c>
      <c r="H203" s="24">
        <v>7500</v>
      </c>
      <c r="I203" s="29">
        <f t="shared" si="11"/>
        <v>90000</v>
      </c>
      <c r="J203" s="22"/>
      <c r="R203" t="s">
        <v>71</v>
      </c>
      <c r="S203">
        <v>12</v>
      </c>
      <c r="T203" t="s">
        <v>14</v>
      </c>
      <c r="U203" t="s">
        <v>13</v>
      </c>
      <c r="V203">
        <v>7500</v>
      </c>
      <c r="W203">
        <v>90000</v>
      </c>
    </row>
    <row r="204" spans="1:24" hidden="1" x14ac:dyDescent="0.35">
      <c r="A204" s="22"/>
      <c r="B204" s="21"/>
      <c r="C204" s="22"/>
      <c r="D204" s="22" t="s">
        <v>22</v>
      </c>
      <c r="E204" s="21">
        <v>50</v>
      </c>
      <c r="F204" s="21" t="s">
        <v>20</v>
      </c>
      <c r="G204" s="21" t="s">
        <v>13</v>
      </c>
      <c r="H204" s="24">
        <v>48500</v>
      </c>
      <c r="I204" s="29">
        <f t="shared" si="11"/>
        <v>2425000</v>
      </c>
      <c r="J204" s="22"/>
      <c r="R204" t="s">
        <v>22</v>
      </c>
      <c r="S204">
        <v>50</v>
      </c>
      <c r="T204" t="s">
        <v>20</v>
      </c>
      <c r="U204" t="s">
        <v>13</v>
      </c>
      <c r="V204">
        <v>48500</v>
      </c>
      <c r="W204">
        <v>2425000</v>
      </c>
    </row>
    <row r="205" spans="1:24" x14ac:dyDescent="0.35">
      <c r="A205" s="22"/>
      <c r="B205" s="21"/>
      <c r="C205" s="22"/>
      <c r="D205" s="22"/>
      <c r="E205" s="21"/>
      <c r="F205" s="21"/>
      <c r="G205" s="21"/>
      <c r="H205" s="24"/>
      <c r="I205" s="50"/>
      <c r="J205" s="44" t="s">
        <v>188</v>
      </c>
      <c r="W205">
        <v>8716000.4800000004</v>
      </c>
      <c r="X205" t="s">
        <v>188</v>
      </c>
    </row>
    <row r="206" spans="1:24" x14ac:dyDescent="0.35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 spans="1:24" x14ac:dyDescent="0.35">
      <c r="A207" s="43">
        <v>44907</v>
      </c>
      <c r="B207" s="21">
        <v>418</v>
      </c>
      <c r="C207" s="22" t="s">
        <v>11</v>
      </c>
      <c r="D207" s="22" t="s">
        <v>61</v>
      </c>
      <c r="E207" s="21">
        <v>20</v>
      </c>
      <c r="F207" s="21" t="s">
        <v>20</v>
      </c>
      <c r="G207" s="21" t="s">
        <v>13</v>
      </c>
      <c r="H207" s="24">
        <v>44500</v>
      </c>
      <c r="I207" s="26">
        <v>890000</v>
      </c>
      <c r="J207" s="22"/>
      <c r="O207">
        <v>44907</v>
      </c>
      <c r="P207">
        <v>418</v>
      </c>
      <c r="Q207" t="s">
        <v>11</v>
      </c>
      <c r="R207" t="s">
        <v>61</v>
      </c>
      <c r="S207">
        <v>20</v>
      </c>
      <c r="T207" t="s">
        <v>20</v>
      </c>
      <c r="U207" t="s">
        <v>13</v>
      </c>
      <c r="V207">
        <v>44500</v>
      </c>
      <c r="W207">
        <v>890000</v>
      </c>
    </row>
    <row r="208" spans="1:24" x14ac:dyDescent="0.35">
      <c r="A208" s="22"/>
      <c r="B208" s="21"/>
      <c r="C208" s="22"/>
      <c r="D208" s="22"/>
      <c r="E208" s="21"/>
      <c r="F208" s="21"/>
      <c r="G208" s="21"/>
      <c r="H208" s="24"/>
      <c r="I208" s="50"/>
      <c r="J208" s="44" t="s">
        <v>188</v>
      </c>
      <c r="W208">
        <v>890000</v>
      </c>
      <c r="X208" t="s">
        <v>188</v>
      </c>
    </row>
    <row r="209" spans="1:24" x14ac:dyDescent="0.35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 spans="1:24" x14ac:dyDescent="0.35">
      <c r="A210" s="43">
        <v>44910</v>
      </c>
      <c r="B210" s="21">
        <v>426</v>
      </c>
      <c r="C210" s="47" t="s">
        <v>56</v>
      </c>
      <c r="D210" s="22" t="s">
        <v>22</v>
      </c>
      <c r="E210" s="49">
        <v>100</v>
      </c>
      <c r="F210" s="21" t="s">
        <v>20</v>
      </c>
      <c r="G210" s="21" t="s">
        <v>13</v>
      </c>
      <c r="H210" s="46">
        <v>46700</v>
      </c>
      <c r="I210" s="12">
        <v>6958900</v>
      </c>
      <c r="J210" s="22"/>
      <c r="O210">
        <v>44910</v>
      </c>
      <c r="P210">
        <v>426</v>
      </c>
      <c r="Q210" t="s">
        <v>56</v>
      </c>
      <c r="R210" t="s">
        <v>22</v>
      </c>
      <c r="S210">
        <v>100</v>
      </c>
      <c r="T210" t="s">
        <v>20</v>
      </c>
      <c r="U210" t="s">
        <v>13</v>
      </c>
      <c r="V210">
        <v>46700</v>
      </c>
      <c r="W210">
        <v>4670000</v>
      </c>
    </row>
    <row r="211" spans="1:24" hidden="1" x14ac:dyDescent="0.35">
      <c r="A211" s="22"/>
      <c r="B211" s="21"/>
      <c r="C211" s="47"/>
      <c r="D211" s="22" t="s">
        <v>19</v>
      </c>
      <c r="E211" s="49">
        <v>50</v>
      </c>
      <c r="F211" s="21" t="s">
        <v>20</v>
      </c>
      <c r="G211" s="21" t="s">
        <v>13</v>
      </c>
      <c r="H211" s="46">
        <v>41000</v>
      </c>
      <c r="I211" s="46">
        <f t="shared" ref="I211:I215" si="12">H211*E211</f>
        <v>2050000</v>
      </c>
      <c r="J211" s="22"/>
      <c r="R211" t="s">
        <v>19</v>
      </c>
      <c r="S211">
        <v>50</v>
      </c>
      <c r="T211" t="s">
        <v>20</v>
      </c>
      <c r="U211" t="s">
        <v>13</v>
      </c>
      <c r="V211">
        <v>41000</v>
      </c>
      <c r="W211">
        <v>2050000</v>
      </c>
    </row>
    <row r="212" spans="1:24" hidden="1" x14ac:dyDescent="0.35">
      <c r="A212" s="43"/>
      <c r="B212" s="21"/>
      <c r="C212" s="22"/>
      <c r="D212" s="22" t="s">
        <v>57</v>
      </c>
      <c r="E212" s="21">
        <v>50</v>
      </c>
      <c r="F212" s="21" t="s">
        <v>52</v>
      </c>
      <c r="G212" s="21" t="s">
        <v>13</v>
      </c>
      <c r="H212" s="24">
        <v>480</v>
      </c>
      <c r="I212" s="24">
        <f t="shared" si="12"/>
        <v>24000</v>
      </c>
      <c r="J212" s="22"/>
      <c r="R212" t="s">
        <v>57</v>
      </c>
      <c r="S212">
        <v>50</v>
      </c>
      <c r="T212" t="s">
        <v>52</v>
      </c>
      <c r="U212" t="s">
        <v>13</v>
      </c>
      <c r="V212">
        <v>480</v>
      </c>
      <c r="W212">
        <v>24000</v>
      </c>
    </row>
    <row r="213" spans="1:24" hidden="1" x14ac:dyDescent="0.35">
      <c r="A213" s="43"/>
      <c r="B213" s="21"/>
      <c r="C213" s="47"/>
      <c r="D213" s="22" t="s">
        <v>58</v>
      </c>
      <c r="E213" s="49">
        <v>12</v>
      </c>
      <c r="F213" s="21" t="s">
        <v>17</v>
      </c>
      <c r="G213" s="21" t="s">
        <v>13</v>
      </c>
      <c r="H213" s="46">
        <v>4950</v>
      </c>
      <c r="I213" s="46">
        <f t="shared" si="12"/>
        <v>59400</v>
      </c>
      <c r="J213" s="22"/>
      <c r="R213" t="s">
        <v>58</v>
      </c>
      <c r="S213">
        <v>12</v>
      </c>
      <c r="T213" t="s">
        <v>17</v>
      </c>
      <c r="U213" t="s">
        <v>13</v>
      </c>
      <c r="V213">
        <v>4950</v>
      </c>
      <c r="W213">
        <v>59400</v>
      </c>
    </row>
    <row r="214" spans="1:24" hidden="1" x14ac:dyDescent="0.35">
      <c r="A214" s="22"/>
      <c r="B214" s="21"/>
      <c r="C214" s="22"/>
      <c r="D214" s="22" t="s">
        <v>59</v>
      </c>
      <c r="E214" s="21">
        <v>12</v>
      </c>
      <c r="F214" s="21" t="s">
        <v>14</v>
      </c>
      <c r="G214" s="22" t="s">
        <v>13</v>
      </c>
      <c r="H214" s="22">
        <v>3166.67</v>
      </c>
      <c r="I214" s="46">
        <f t="shared" si="12"/>
        <v>38000.04</v>
      </c>
      <c r="J214" s="22"/>
      <c r="R214" t="s">
        <v>59</v>
      </c>
      <c r="S214">
        <v>12</v>
      </c>
      <c r="T214" t="s">
        <v>14</v>
      </c>
      <c r="U214" t="s">
        <v>13</v>
      </c>
      <c r="V214">
        <v>3166.67</v>
      </c>
      <c r="W214">
        <v>38000.04</v>
      </c>
    </row>
    <row r="215" spans="1:24" hidden="1" x14ac:dyDescent="0.35">
      <c r="A215" s="22"/>
      <c r="B215" s="21"/>
      <c r="C215" s="22"/>
      <c r="D215" s="22" t="s">
        <v>60</v>
      </c>
      <c r="E215" s="21">
        <v>5</v>
      </c>
      <c r="F215" s="21" t="s">
        <v>14</v>
      </c>
      <c r="G215" s="21" t="s">
        <v>13</v>
      </c>
      <c r="H215" s="24">
        <v>23500</v>
      </c>
      <c r="I215" s="29">
        <f t="shared" si="12"/>
        <v>117500</v>
      </c>
      <c r="J215" s="22"/>
      <c r="R215" t="s">
        <v>60</v>
      </c>
      <c r="S215">
        <v>5</v>
      </c>
      <c r="T215" t="s">
        <v>14</v>
      </c>
      <c r="U215" t="s">
        <v>13</v>
      </c>
      <c r="V215">
        <v>23500</v>
      </c>
      <c r="W215">
        <v>117500</v>
      </c>
    </row>
    <row r="216" spans="1:24" x14ac:dyDescent="0.35">
      <c r="A216" s="43"/>
      <c r="B216" s="21"/>
      <c r="C216" s="22"/>
      <c r="D216" s="22"/>
      <c r="E216" s="21"/>
      <c r="F216" s="21"/>
      <c r="G216" s="21"/>
      <c r="H216" s="24"/>
      <c r="I216" s="50"/>
      <c r="J216" s="44" t="s">
        <v>188</v>
      </c>
      <c r="W216">
        <v>6958900.04</v>
      </c>
      <c r="X216" t="s">
        <v>188</v>
      </c>
    </row>
    <row r="217" spans="1:24" x14ac:dyDescent="0.35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 spans="1:24" x14ac:dyDescent="0.35">
      <c r="A218" s="43">
        <v>44910</v>
      </c>
      <c r="B218" s="21">
        <v>427</v>
      </c>
      <c r="C218" s="22" t="s">
        <v>11</v>
      </c>
      <c r="D218" s="22" t="s">
        <v>55</v>
      </c>
      <c r="E218" s="21">
        <v>100</v>
      </c>
      <c r="F218" s="21" t="s">
        <v>28</v>
      </c>
      <c r="G218" s="21" t="s">
        <v>13</v>
      </c>
      <c r="H218" s="24">
        <v>5800</v>
      </c>
      <c r="I218" s="26">
        <v>580000</v>
      </c>
      <c r="J218" s="22"/>
      <c r="O218">
        <v>44910</v>
      </c>
      <c r="P218">
        <v>427</v>
      </c>
      <c r="Q218" t="s">
        <v>11</v>
      </c>
      <c r="R218" t="s">
        <v>55</v>
      </c>
      <c r="S218">
        <v>100</v>
      </c>
      <c r="T218" t="s">
        <v>28</v>
      </c>
      <c r="U218" t="s">
        <v>13</v>
      </c>
      <c r="V218">
        <v>5800</v>
      </c>
      <c r="W218">
        <v>580000</v>
      </c>
    </row>
    <row r="219" spans="1:24" x14ac:dyDescent="0.35">
      <c r="A219" s="43"/>
      <c r="B219" s="21"/>
      <c r="C219" s="22"/>
      <c r="D219" s="22"/>
      <c r="E219" s="21"/>
      <c r="F219" s="21"/>
      <c r="G219" s="21"/>
      <c r="H219" s="24"/>
      <c r="I219" s="50"/>
      <c r="J219" s="44" t="s">
        <v>188</v>
      </c>
      <c r="W219">
        <v>580000</v>
      </c>
      <c r="X219" t="s">
        <v>188</v>
      </c>
    </row>
    <row r="220" spans="1:24" x14ac:dyDescent="0.35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 spans="1:24" x14ac:dyDescent="0.35">
      <c r="A221" s="43">
        <v>44911</v>
      </c>
      <c r="B221" s="21">
        <v>430</v>
      </c>
      <c r="C221" s="22" t="s">
        <v>11</v>
      </c>
      <c r="D221" s="22" t="s">
        <v>53</v>
      </c>
      <c r="E221" s="21">
        <v>2</v>
      </c>
      <c r="F221" s="21" t="s">
        <v>18</v>
      </c>
      <c r="G221" s="21" t="s">
        <v>13</v>
      </c>
      <c r="H221" s="24">
        <v>483000</v>
      </c>
      <c r="I221" s="26">
        <v>1167000</v>
      </c>
      <c r="J221" s="22"/>
      <c r="O221">
        <v>44911</v>
      </c>
      <c r="P221">
        <v>430</v>
      </c>
      <c r="Q221" t="s">
        <v>11</v>
      </c>
      <c r="R221" t="s">
        <v>53</v>
      </c>
      <c r="S221">
        <v>2</v>
      </c>
      <c r="T221" t="s">
        <v>18</v>
      </c>
      <c r="U221" t="s">
        <v>13</v>
      </c>
      <c r="V221">
        <v>483000</v>
      </c>
      <c r="W221">
        <v>966000</v>
      </c>
    </row>
    <row r="222" spans="1:24" hidden="1" x14ac:dyDescent="0.35">
      <c r="A222" s="22"/>
      <c r="B222" s="21"/>
      <c r="C222" s="22"/>
      <c r="D222" s="22" t="s">
        <v>54</v>
      </c>
      <c r="E222" s="21">
        <v>1</v>
      </c>
      <c r="F222" s="21" t="s">
        <v>18</v>
      </c>
      <c r="G222" s="21" t="s">
        <v>13</v>
      </c>
      <c r="H222" s="24">
        <v>201000</v>
      </c>
      <c r="I222" s="29">
        <f>H222*E222</f>
        <v>201000</v>
      </c>
      <c r="J222" s="22"/>
      <c r="R222" t="s">
        <v>54</v>
      </c>
      <c r="S222">
        <v>1</v>
      </c>
      <c r="T222" t="s">
        <v>18</v>
      </c>
      <c r="U222" t="s">
        <v>13</v>
      </c>
      <c r="V222">
        <v>201000</v>
      </c>
      <c r="W222">
        <v>201000</v>
      </c>
    </row>
    <row r="223" spans="1:24" x14ac:dyDescent="0.35">
      <c r="A223" s="22"/>
      <c r="B223" s="21"/>
      <c r="C223" s="22"/>
      <c r="D223" s="22"/>
      <c r="E223" s="21"/>
      <c r="F223" s="21"/>
      <c r="G223" s="21"/>
      <c r="H223" s="24"/>
      <c r="I223" s="50"/>
      <c r="J223" s="44" t="s">
        <v>188</v>
      </c>
      <c r="W223">
        <v>1167000</v>
      </c>
      <c r="X223" t="s">
        <v>188</v>
      </c>
    </row>
    <row r="224" spans="1:24" x14ac:dyDescent="0.35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spans="1:24" x14ac:dyDescent="0.35">
      <c r="A225" s="43">
        <v>44915</v>
      </c>
      <c r="B225" s="21">
        <v>433</v>
      </c>
      <c r="C225" s="22" t="s">
        <v>42</v>
      </c>
      <c r="D225" s="22" t="s">
        <v>43</v>
      </c>
      <c r="E225" s="23">
        <v>600</v>
      </c>
      <c r="F225" s="21" t="s">
        <v>41</v>
      </c>
      <c r="G225" s="21" t="s">
        <v>40</v>
      </c>
      <c r="H225" s="24">
        <v>19554.444444444445</v>
      </c>
      <c r="I225" s="29">
        <f>H225*E225</f>
        <v>11732666.666666668</v>
      </c>
      <c r="J225" s="22"/>
      <c r="O225">
        <v>44915</v>
      </c>
      <c r="P225">
        <v>433</v>
      </c>
      <c r="Q225" t="s">
        <v>42</v>
      </c>
      <c r="R225" t="s">
        <v>43</v>
      </c>
      <c r="S225">
        <v>600</v>
      </c>
      <c r="T225" t="s">
        <v>41</v>
      </c>
      <c r="U225" t="s">
        <v>40</v>
      </c>
      <c r="V225">
        <v>19554.444444444445</v>
      </c>
      <c r="W225">
        <v>11732666.666666668</v>
      </c>
    </row>
    <row r="226" spans="1:24" x14ac:dyDescent="0.35">
      <c r="A226" s="22"/>
      <c r="B226" s="21"/>
      <c r="C226" s="22" t="s">
        <v>42</v>
      </c>
      <c r="D226" s="22" t="s">
        <v>44</v>
      </c>
      <c r="E226" s="23">
        <v>400</v>
      </c>
      <c r="F226" s="21" t="s">
        <v>45</v>
      </c>
      <c r="G226" s="21" t="s">
        <v>40</v>
      </c>
      <c r="H226" s="24">
        <v>5804</v>
      </c>
      <c r="I226" s="29">
        <f>H226*E226</f>
        <v>2321600</v>
      </c>
      <c r="J226" s="22"/>
      <c r="Q226" t="s">
        <v>42</v>
      </c>
      <c r="R226" t="s">
        <v>44</v>
      </c>
      <c r="S226">
        <v>400</v>
      </c>
      <c r="T226" t="s">
        <v>45</v>
      </c>
      <c r="U226" t="s">
        <v>40</v>
      </c>
      <c r="V226">
        <v>5804</v>
      </c>
      <c r="W226">
        <v>2321600</v>
      </c>
    </row>
    <row r="227" spans="1:24" x14ac:dyDescent="0.35">
      <c r="A227" s="22"/>
      <c r="B227" s="21"/>
      <c r="C227" s="22" t="s">
        <v>46</v>
      </c>
      <c r="D227" s="22" t="s">
        <v>47</v>
      </c>
      <c r="E227" s="23">
        <f>900-516</f>
        <v>384</v>
      </c>
      <c r="F227" s="21" t="s">
        <v>48</v>
      </c>
      <c r="G227" s="21" t="s">
        <v>40</v>
      </c>
      <c r="H227" s="24">
        <f>45500/12</f>
        <v>3791.6666666666665</v>
      </c>
      <c r="I227" s="29">
        <f>H227*E227</f>
        <v>1456000</v>
      </c>
      <c r="J227" s="22"/>
      <c r="Q227" t="s">
        <v>46</v>
      </c>
      <c r="R227" t="s">
        <v>47</v>
      </c>
      <c r="S227">
        <v>384</v>
      </c>
      <c r="T227" t="s">
        <v>48</v>
      </c>
      <c r="U227" t="s">
        <v>40</v>
      </c>
      <c r="V227">
        <v>3791.6666666666665</v>
      </c>
      <c r="W227">
        <v>1456000</v>
      </c>
    </row>
    <row r="228" spans="1:24" x14ac:dyDescent="0.35">
      <c r="A228" s="22"/>
      <c r="B228" s="21"/>
      <c r="C228" s="22" t="s">
        <v>49</v>
      </c>
      <c r="D228" s="22" t="s">
        <v>50</v>
      </c>
      <c r="E228" s="23">
        <v>150</v>
      </c>
      <c r="F228" s="21" t="s">
        <v>25</v>
      </c>
      <c r="G228" s="21" t="s">
        <v>40</v>
      </c>
      <c r="H228" s="24">
        <v>12000</v>
      </c>
      <c r="I228" s="29">
        <f>H228*E228</f>
        <v>1800000</v>
      </c>
      <c r="J228" s="22"/>
      <c r="Q228" t="s">
        <v>49</v>
      </c>
      <c r="R228" t="s">
        <v>50</v>
      </c>
      <c r="S228">
        <v>150</v>
      </c>
      <c r="T228" t="s">
        <v>25</v>
      </c>
      <c r="U228" t="s">
        <v>40</v>
      </c>
      <c r="V228">
        <v>12000</v>
      </c>
      <c r="W228">
        <v>1800000</v>
      </c>
    </row>
    <row r="229" spans="1:24" x14ac:dyDescent="0.35">
      <c r="A229" s="43"/>
      <c r="B229" s="21"/>
      <c r="C229" s="22"/>
      <c r="D229" s="22"/>
      <c r="E229" s="23"/>
      <c r="F229" s="21"/>
      <c r="G229" s="21"/>
      <c r="H229" s="24"/>
      <c r="I229" s="28">
        <f>SUM(I225:I228)</f>
        <v>17310266.666666668</v>
      </c>
      <c r="J229" s="44" t="s">
        <v>189</v>
      </c>
      <c r="W229">
        <v>17310266.666666668</v>
      </c>
      <c r="X229" t="s">
        <v>189</v>
      </c>
    </row>
    <row r="230" spans="1:24" x14ac:dyDescent="0.35">
      <c r="A230" s="43"/>
      <c r="B230" s="21"/>
      <c r="C230" s="22"/>
      <c r="D230" s="22"/>
      <c r="E230" s="23"/>
      <c r="F230" s="21"/>
      <c r="G230" s="21"/>
      <c r="H230" s="24"/>
      <c r="I230" s="50"/>
      <c r="J230" s="22"/>
    </row>
    <row r="231" spans="1:24" x14ac:dyDescent="0.35">
      <c r="A231" s="43">
        <v>44917</v>
      </c>
      <c r="B231" s="21">
        <v>434</v>
      </c>
      <c r="C231" s="22" t="s">
        <v>11</v>
      </c>
      <c r="D231" s="22" t="s">
        <v>51</v>
      </c>
      <c r="E231" s="23">
        <v>100</v>
      </c>
      <c r="F231" s="21" t="s">
        <v>52</v>
      </c>
      <c r="G231" s="21" t="s">
        <v>24</v>
      </c>
      <c r="H231" s="24">
        <v>5500</v>
      </c>
      <c r="I231" s="26">
        <v>701200</v>
      </c>
      <c r="J231" s="22"/>
      <c r="O231">
        <v>44917</v>
      </c>
      <c r="P231">
        <v>434</v>
      </c>
      <c r="Q231" t="s">
        <v>11</v>
      </c>
      <c r="R231" t="s">
        <v>51</v>
      </c>
      <c r="S231">
        <v>100</v>
      </c>
      <c r="T231" t="s">
        <v>52</v>
      </c>
      <c r="U231" t="s">
        <v>24</v>
      </c>
      <c r="V231">
        <v>5500</v>
      </c>
      <c r="W231">
        <v>550000</v>
      </c>
    </row>
    <row r="232" spans="1:24" x14ac:dyDescent="0.35">
      <c r="A232" s="22"/>
      <c r="B232" s="21"/>
      <c r="C232" s="22"/>
      <c r="D232" s="22"/>
      <c r="E232" s="23"/>
      <c r="F232" s="21"/>
      <c r="G232" s="21"/>
      <c r="H232" s="24"/>
      <c r="I232" s="50"/>
      <c r="J232" s="44" t="s">
        <v>24</v>
      </c>
      <c r="W232">
        <v>550000</v>
      </c>
      <c r="X232" t="s">
        <v>24</v>
      </c>
    </row>
    <row r="233" spans="1:24" x14ac:dyDescent="0.35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spans="1:24" x14ac:dyDescent="0.35">
      <c r="A234" s="43">
        <v>44925</v>
      </c>
      <c r="B234" s="21">
        <v>450</v>
      </c>
      <c r="C234" s="22" t="s">
        <v>37</v>
      </c>
      <c r="D234" s="22" t="s">
        <v>38</v>
      </c>
      <c r="E234" s="23">
        <v>4</v>
      </c>
      <c r="F234" s="21" t="s">
        <v>14</v>
      </c>
      <c r="G234" s="21" t="s">
        <v>13</v>
      </c>
      <c r="H234" s="24">
        <v>270000</v>
      </c>
      <c r="I234" s="18">
        <v>1960000</v>
      </c>
      <c r="J234" s="22"/>
      <c r="O234">
        <v>44925</v>
      </c>
      <c r="P234">
        <v>450</v>
      </c>
      <c r="Q234" t="s">
        <v>37</v>
      </c>
      <c r="R234" t="s">
        <v>38</v>
      </c>
      <c r="S234">
        <v>4</v>
      </c>
      <c r="T234" t="s">
        <v>14</v>
      </c>
      <c r="U234" t="s">
        <v>13</v>
      </c>
      <c r="V234">
        <v>270000</v>
      </c>
      <c r="W234">
        <v>1080000</v>
      </c>
    </row>
    <row r="235" spans="1:24" hidden="1" x14ac:dyDescent="0.35">
      <c r="A235" s="22"/>
      <c r="B235" s="21"/>
      <c r="C235" s="22"/>
      <c r="D235" s="22" t="s">
        <v>39</v>
      </c>
      <c r="E235" s="23">
        <v>4</v>
      </c>
      <c r="F235" s="21" t="s">
        <v>14</v>
      </c>
      <c r="G235" s="21" t="s">
        <v>13</v>
      </c>
      <c r="H235" s="24">
        <v>220000</v>
      </c>
      <c r="I235" s="24">
        <f>H235*E235</f>
        <v>880000</v>
      </c>
      <c r="J235" s="22"/>
      <c r="R235" t="s">
        <v>39</v>
      </c>
      <c r="S235">
        <v>4</v>
      </c>
      <c r="T235" t="s">
        <v>14</v>
      </c>
      <c r="U235" t="s">
        <v>13</v>
      </c>
      <c r="V235">
        <v>220000</v>
      </c>
      <c r="W235">
        <v>880000</v>
      </c>
    </row>
    <row r="236" spans="1:24" x14ac:dyDescent="0.35">
      <c r="A236" s="22"/>
      <c r="B236" s="21"/>
      <c r="C236" s="22"/>
      <c r="D236" s="22"/>
      <c r="E236" s="23"/>
      <c r="F236" s="21"/>
      <c r="G236" s="21"/>
      <c r="H236" s="24"/>
      <c r="I236" s="45"/>
      <c r="J236" s="44" t="s">
        <v>188</v>
      </c>
      <c r="W236">
        <v>1960000</v>
      </c>
      <c r="X236" t="s">
        <v>188</v>
      </c>
    </row>
    <row r="237" spans="1:24" x14ac:dyDescent="0.35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spans="1:24" x14ac:dyDescent="0.35">
      <c r="A238" s="43">
        <v>44925</v>
      </c>
      <c r="B238" s="21">
        <v>451</v>
      </c>
      <c r="C238" s="22" t="s">
        <v>32</v>
      </c>
      <c r="D238" s="22" t="s">
        <v>33</v>
      </c>
      <c r="E238" s="21">
        <v>5</v>
      </c>
      <c r="F238" s="21" t="s">
        <v>14</v>
      </c>
      <c r="G238" s="21" t="s">
        <v>13</v>
      </c>
      <c r="H238" s="24">
        <v>87000</v>
      </c>
      <c r="I238" s="24">
        <f>H238*E238</f>
        <v>435000</v>
      </c>
      <c r="J238" s="22"/>
      <c r="O238">
        <v>44925</v>
      </c>
      <c r="P238">
        <v>451</v>
      </c>
      <c r="Q238" t="s">
        <v>32</v>
      </c>
      <c r="R238" t="s">
        <v>33</v>
      </c>
      <c r="S238">
        <v>5</v>
      </c>
      <c r="T238" t="s">
        <v>14</v>
      </c>
      <c r="U238" t="s">
        <v>13</v>
      </c>
      <c r="V238">
        <v>87000</v>
      </c>
      <c r="W238">
        <v>435000</v>
      </c>
    </row>
    <row r="239" spans="1:24" x14ac:dyDescent="0.35">
      <c r="A239" s="22"/>
      <c r="B239" s="21"/>
      <c r="C239" s="22" t="s">
        <v>34</v>
      </c>
      <c r="D239" s="22" t="s">
        <v>33</v>
      </c>
      <c r="E239" s="21">
        <v>1</v>
      </c>
      <c r="F239" s="21" t="s">
        <v>14</v>
      </c>
      <c r="G239" s="21" t="s">
        <v>13</v>
      </c>
      <c r="H239" s="24">
        <v>88500</v>
      </c>
      <c r="I239" s="24">
        <f>H239*E239</f>
        <v>88500</v>
      </c>
      <c r="J239" s="22"/>
      <c r="Q239" t="s">
        <v>34</v>
      </c>
      <c r="R239" t="s">
        <v>33</v>
      </c>
      <c r="S239">
        <v>1</v>
      </c>
      <c r="T239" t="s">
        <v>14</v>
      </c>
      <c r="U239" t="s">
        <v>13</v>
      </c>
      <c r="V239">
        <v>88500</v>
      </c>
      <c r="W239">
        <v>88500</v>
      </c>
    </row>
    <row r="240" spans="1:24" x14ac:dyDescent="0.35">
      <c r="A240" s="22"/>
      <c r="B240" s="21"/>
      <c r="C240" s="22" t="s">
        <v>34</v>
      </c>
      <c r="D240" s="22" t="s">
        <v>35</v>
      </c>
      <c r="E240" s="21">
        <v>12</v>
      </c>
      <c r="F240" s="21" t="s">
        <v>36</v>
      </c>
      <c r="G240" s="21" t="s">
        <v>13</v>
      </c>
      <c r="H240" s="24">
        <v>8650</v>
      </c>
      <c r="I240" s="24">
        <f>H240*E240</f>
        <v>103800</v>
      </c>
      <c r="J240" s="22"/>
      <c r="Q240" t="s">
        <v>34</v>
      </c>
      <c r="R240" t="s">
        <v>35</v>
      </c>
      <c r="S240">
        <v>12</v>
      </c>
      <c r="T240" t="s">
        <v>36</v>
      </c>
      <c r="U240" t="s">
        <v>13</v>
      </c>
      <c r="V240">
        <v>8650</v>
      </c>
      <c r="W240">
        <v>103800</v>
      </c>
    </row>
    <row r="241" spans="1:24" x14ac:dyDescent="0.35">
      <c r="A241" s="22"/>
      <c r="B241" s="21"/>
      <c r="C241" s="22"/>
      <c r="D241" s="22"/>
      <c r="E241" s="23"/>
      <c r="F241" s="21"/>
      <c r="G241" s="21"/>
      <c r="H241" s="24"/>
      <c r="I241" s="20">
        <f>SUM(I238:I240)</f>
        <v>627300</v>
      </c>
      <c r="J241" s="44" t="s">
        <v>188</v>
      </c>
      <c r="W241">
        <v>627300</v>
      </c>
      <c r="X241" t="s">
        <v>188</v>
      </c>
    </row>
    <row r="242" spans="1:24" x14ac:dyDescent="0.35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 spans="1:24" x14ac:dyDescent="0.35">
      <c r="A243" s="43"/>
      <c r="B243" s="21"/>
      <c r="C243" s="22"/>
      <c r="D243" s="22"/>
      <c r="E243" s="23"/>
      <c r="F243" s="21"/>
      <c r="G243" s="21"/>
      <c r="H243" s="24"/>
      <c r="I243" s="24"/>
      <c r="J243" s="44"/>
      <c r="O243">
        <v>44925</v>
      </c>
      <c r="P243">
        <v>452</v>
      </c>
      <c r="Q243" t="s">
        <v>190</v>
      </c>
      <c r="R243" t="s">
        <v>191</v>
      </c>
      <c r="S243">
        <v>500</v>
      </c>
      <c r="T243" t="s">
        <v>12</v>
      </c>
      <c r="U243" t="s">
        <v>24</v>
      </c>
      <c r="V243">
        <v>85500</v>
      </c>
      <c r="W243">
        <v>42750000</v>
      </c>
    </row>
    <row r="244" spans="1:24" hidden="1" x14ac:dyDescent="0.35">
      <c r="A244" s="22"/>
      <c r="B244" s="21"/>
      <c r="C244" s="22"/>
      <c r="D244" s="22"/>
      <c r="E244" s="23"/>
      <c r="F244" s="21"/>
      <c r="G244" s="21"/>
      <c r="H244" s="24"/>
      <c r="I244" s="24"/>
      <c r="J244" s="44"/>
      <c r="R244" t="s">
        <v>192</v>
      </c>
      <c r="S244">
        <v>500</v>
      </c>
      <c r="T244" t="s">
        <v>14</v>
      </c>
      <c r="U244" t="s">
        <v>24</v>
      </c>
      <c r="V244">
        <v>30000</v>
      </c>
      <c r="W244">
        <v>15000000</v>
      </c>
    </row>
    <row r="245" spans="1:24" hidden="1" x14ac:dyDescent="0.35">
      <c r="A245" s="22"/>
      <c r="B245" s="21"/>
      <c r="C245" s="22"/>
      <c r="D245" s="22"/>
      <c r="E245" s="23"/>
      <c r="F245" s="21"/>
      <c r="G245" s="21"/>
      <c r="H245" s="24"/>
      <c r="I245" s="24"/>
      <c r="J245" s="44"/>
      <c r="R245" t="s">
        <v>193</v>
      </c>
      <c r="S245">
        <v>355</v>
      </c>
      <c r="T245" t="s">
        <v>14</v>
      </c>
      <c r="U245" t="s">
        <v>24</v>
      </c>
      <c r="V245">
        <v>28000</v>
      </c>
      <c r="W245">
        <v>9940000</v>
      </c>
    </row>
    <row r="246" spans="1:24" x14ac:dyDescent="0.35">
      <c r="A246" s="22"/>
      <c r="B246" s="21"/>
      <c r="C246" s="22"/>
      <c r="D246" s="22"/>
      <c r="E246" s="23"/>
      <c r="F246" s="21"/>
      <c r="G246" s="21"/>
      <c r="H246" s="24"/>
      <c r="I246" s="45"/>
      <c r="J246" s="44"/>
      <c r="W246">
        <v>67690000</v>
      </c>
      <c r="X246" t="s">
        <v>24</v>
      </c>
    </row>
    <row r="247" spans="1:24" x14ac:dyDescent="0.35">
      <c r="A247" s="37"/>
      <c r="B247" s="38"/>
      <c r="C247" s="37"/>
      <c r="D247" s="37"/>
      <c r="E247" s="39"/>
      <c r="F247" s="38"/>
      <c r="G247" s="40"/>
      <c r="H247" s="41"/>
      <c r="I247" s="20"/>
      <c r="J247" s="42"/>
    </row>
    <row r="248" spans="1:24" x14ac:dyDescent="0.35">
      <c r="G248" s="151"/>
      <c r="H248" s="152"/>
      <c r="I248" s="35">
        <f>I4+I7+I37+I44+I48+I61+I70+I74+I77+I80+I84+I101+I113+I122+I126+I133+I142+I146+I149+I154+I161+I181+I184+I192+I207+I210+I218+I221+I229+I231+I234+I241+I243</f>
        <v>119766399.66666667</v>
      </c>
      <c r="W248">
        <v>187305200.10666668</v>
      </c>
    </row>
    <row r="249" spans="1:24" x14ac:dyDescent="0.35">
      <c r="I249">
        <v>162147680</v>
      </c>
      <c r="J249" s="36">
        <f>I248-I249</f>
        <v>-42381280.333333328</v>
      </c>
    </row>
  </sheetData>
  <mergeCells count="4">
    <mergeCell ref="L72:M72"/>
    <mergeCell ref="L73:M73"/>
    <mergeCell ref="L74:M74"/>
    <mergeCell ref="G248:H248"/>
  </mergeCells>
  <pageMargins left="0.37" right="0.70866141732283472" top="0.12" bottom="0.11811023622047245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Suplier</vt:lpstr>
      <vt:lpstr>PU+Cetak</vt:lpstr>
      <vt:lpstr>Cetak</vt:lpstr>
      <vt:lpstr>Blum Urut</vt:lpstr>
      <vt:lpstr>Rekap Utang Usaha 2023</vt:lpstr>
      <vt:lpstr>Rekap Utang Usaha 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2024-04-19T10:46:08Z</cp:lastPrinted>
  <dcterms:created xsi:type="dcterms:W3CDTF">2022-01-03T04:18:41Z</dcterms:created>
  <dcterms:modified xsi:type="dcterms:W3CDTF">2024-06-13T03:35:15Z</dcterms:modified>
</cp:coreProperties>
</file>