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portfolio" sheetId="1" r:id="rId4"/>
    <sheet state="visible" name="Scheduling" sheetId="2" r:id="rId5"/>
    <sheet state="visible" name="Scheduling2" sheetId="3" r:id="rId6"/>
    <sheet state="visible" name="Automotive" sheetId="4" r:id="rId7"/>
    <sheet state="visible" name="Airplane" sheetId="5" r:id="rId8"/>
    <sheet state="visible" name="Sheet5" sheetId="6" r:id="rId9"/>
    <sheet state="visible" name="Agriculture" sheetId="7" r:id="rId10"/>
    <sheet state="visible" name="Energy" sheetId="8" r:id="rId11"/>
    <sheet state="visible" name="New product" sheetId="9" r:id="rId12"/>
    <sheet state="visible" name="Order pattern" sheetId="10" r:id="rId13"/>
    <sheet state="visible" name="Sheet6" sheetId="11" r:id="rId14"/>
    <sheet state="visible" name="Machine Information" sheetId="12" r:id="rId15"/>
    <sheet state="visible" name="Maintenance" sheetId="13" r:id="rId16"/>
    <sheet state="visible" name="Quality" sheetId="14" r:id="rId17"/>
  </sheets>
  <definedNames/>
  <calcPr/>
  <extLst>
    <ext uri="GoogleSheetsCustomDataVersion1">
      <go:sheetsCustomData xmlns:go="http://customooxmlschemas.google.com/" r:id="rId18" roundtripDataSignature="AMtx7miBMUNQq9cXKS+JCY/qIlRQNZyw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======
ID#AAAAWyAPEFE
Kogel-Polak, W. de (ET)    (2022-03-29 10:28:14)
This is per part made.</t>
      </text>
    </comment>
    <comment authorId="0" ref="M1">
      <text>
        <t xml:space="preserve">======
ID#AAAAWx4DRok
Kogel-Polak, W. de (ET)    (2022-03-29 10:28:14)
Idle time is the same for the same type of machine regardless of the part processed.</t>
      </text>
    </comment>
    <comment authorId="0" ref="K1">
      <text>
        <t xml:space="preserve">======
ID#AAAAWx4DRog
Kogel-Polak, W. de (ET)    (2022-03-29 10:28:14)
Set up time is only necessary if there is a change between products on the machine.</t>
      </text>
    </comment>
  </commentList>
  <extLst>
    <ext uri="GoogleSheetsCustomDataVersion1">
      <go:sheetsCustomData xmlns:go="http://customooxmlschemas.google.com/" r:id="rId1" roundtripDataSignature="AMtx7mhGjSEhwu0uVET5nxQhU3lGuglUJw=="/>
    </ext>
  </extLst>
</comments>
</file>

<file path=xl/sharedStrings.xml><?xml version="1.0" encoding="utf-8"?>
<sst xmlns="http://schemas.openxmlformats.org/spreadsheetml/2006/main" count="1439" uniqueCount="279">
  <si>
    <t>Part number</t>
  </si>
  <si>
    <t>total setup time</t>
  </si>
  <si>
    <t>total production time</t>
  </si>
  <si>
    <t>Total idle time</t>
  </si>
  <si>
    <t>Serial number operation</t>
  </si>
  <si>
    <t>Machine routing</t>
  </si>
  <si>
    <t>Sub assy number</t>
  </si>
  <si>
    <t>Number of sub assy's</t>
  </si>
  <si>
    <t xml:space="preserve">Max transport batch size (pieces) </t>
  </si>
  <si>
    <t>Setup time (h)</t>
  </si>
  <si>
    <t>Process time (h)</t>
  </si>
  <si>
    <t>Idle time (h)</t>
  </si>
  <si>
    <t>Price per part (€) (only hours)</t>
  </si>
  <si>
    <t>Size (indicative)</t>
  </si>
  <si>
    <t>AU-001-01</t>
  </si>
  <si>
    <t>SM</t>
  </si>
  <si>
    <t>Small</t>
  </si>
  <si>
    <t>AGR-006-01</t>
  </si>
  <si>
    <t>TM</t>
  </si>
  <si>
    <t>AU</t>
  </si>
  <si>
    <t>automotive</t>
  </si>
  <si>
    <t>MM</t>
  </si>
  <si>
    <t>AI</t>
  </si>
  <si>
    <t>airplane</t>
  </si>
  <si>
    <t>GM</t>
  </si>
  <si>
    <t>EN</t>
  </si>
  <si>
    <t>energy</t>
  </si>
  <si>
    <t>CMM</t>
  </si>
  <si>
    <t>AGR</t>
  </si>
  <si>
    <t>agriculture</t>
  </si>
  <si>
    <t>A</t>
  </si>
  <si>
    <t>Purch. items</t>
  </si>
  <si>
    <t>CON</t>
  </si>
  <si>
    <t>construction</t>
  </si>
  <si>
    <t>AU-002-01</t>
  </si>
  <si>
    <t>Medium</t>
  </si>
  <si>
    <t>006</t>
  </si>
  <si>
    <t>part number</t>
  </si>
  <si>
    <t>01</t>
  </si>
  <si>
    <t>main assembly</t>
  </si>
  <si>
    <t>02</t>
  </si>
  <si>
    <t>sub assembly</t>
  </si>
  <si>
    <t>AU-032-02</t>
  </si>
  <si>
    <t>Sizes</t>
  </si>
  <si>
    <t xml:space="preserve">Product fits approx. in </t>
  </si>
  <si>
    <t>Max weight (kg)</t>
  </si>
  <si>
    <t>Raw materials</t>
  </si>
  <si>
    <t>AU-037-02</t>
  </si>
  <si>
    <t>50x50x50 mm</t>
  </si>
  <si>
    <t>https://www.twentsestaalhandel.nl/stafijzer.html</t>
  </si>
  <si>
    <t>EN-003-01</t>
  </si>
  <si>
    <t>150x150x150 mm</t>
  </si>
  <si>
    <t>Large</t>
  </si>
  <si>
    <t>250x250x250 mm</t>
  </si>
  <si>
    <t>https://www.twentsestaalhandel.nl/platen.html</t>
  </si>
  <si>
    <t>Large ++</t>
  </si>
  <si>
    <t>see FEM description</t>
  </si>
  <si>
    <t>&gt; 100</t>
  </si>
  <si>
    <t>https://www.twentsestaalhandel.nl/balkstaal.html</t>
  </si>
  <si>
    <t>AU-004-01</t>
  </si>
  <si>
    <t>AI-005-01</t>
  </si>
  <si>
    <t>AI-031-02</t>
  </si>
  <si>
    <t>AI-052-02</t>
  </si>
  <si>
    <t>AU-006-01</t>
  </si>
  <si>
    <t>EN-007-01</t>
  </si>
  <si>
    <t>EN-008-01</t>
  </si>
  <si>
    <t>EN-040-02</t>
  </si>
  <si>
    <t>AU-009-01</t>
  </si>
  <si>
    <t>AU-010-01</t>
  </si>
  <si>
    <t>AU-035-02</t>
  </si>
  <si>
    <t>AGR-011-01</t>
  </si>
  <si>
    <t>AI-012-01</t>
  </si>
  <si>
    <t>AI-034-02</t>
  </si>
  <si>
    <t>AI-036-02</t>
  </si>
  <si>
    <t>AU-013-01</t>
  </si>
  <si>
    <t>AU-014-01</t>
  </si>
  <si>
    <t>EN-015-01</t>
  </si>
  <si>
    <t>AU-016-01</t>
  </si>
  <si>
    <t>AU-043-02</t>
  </si>
  <si>
    <t>AU-017-01</t>
  </si>
  <si>
    <t>AGR-018-01</t>
  </si>
  <si>
    <t>AGR-042-02</t>
  </si>
  <si>
    <t>AI-019-01</t>
  </si>
  <si>
    <t>AI-020-01</t>
  </si>
  <si>
    <t>AGR-021-01</t>
  </si>
  <si>
    <t>MC</t>
  </si>
  <si>
    <t>EN-022-01</t>
  </si>
  <si>
    <t>AU-023-01</t>
  </si>
  <si>
    <t>AU-024-01</t>
  </si>
  <si>
    <t>EN-025-01</t>
  </si>
  <si>
    <t>AI-026-01</t>
  </si>
  <si>
    <t>AI-051-02</t>
  </si>
  <si>
    <t>AU-027-01</t>
  </si>
  <si>
    <t>AU-038-02</t>
  </si>
  <si>
    <t>AU-028-01</t>
  </si>
  <si>
    <t>AU-029-01</t>
  </si>
  <si>
    <t>AU-030-01</t>
  </si>
  <si>
    <t>DM</t>
  </si>
  <si>
    <t>AGR-033-01</t>
  </si>
  <si>
    <t>EN-039-01</t>
  </si>
  <si>
    <t>AGR-041-01</t>
  </si>
  <si>
    <t>AU-044-01</t>
  </si>
  <si>
    <t>AU-045-01</t>
  </si>
  <si>
    <t>EN-046-01</t>
  </si>
  <si>
    <t>AU-047-01</t>
  </si>
  <si>
    <t>AGR-048-01</t>
  </si>
  <si>
    <t>AU-049-01</t>
  </si>
  <si>
    <t>AI-050-01</t>
  </si>
  <si>
    <t>LINE 1</t>
  </si>
  <si>
    <t>TOTAL PRODUCTION TIME IN H FOR ALL ORDERS PER MACHINE</t>
  </si>
  <si>
    <t>TOTAL IDLE TIME IN H FOR ALL ORDERS PER MACHINE</t>
  </si>
  <si>
    <t>TOTAL SETUP TIME IN H FOR ALL ORDERS PER MACHINE</t>
  </si>
  <si>
    <t>LINE 2</t>
  </si>
  <si>
    <t>Production line 6</t>
  </si>
  <si>
    <t>nr of machines</t>
  </si>
  <si>
    <t>Products</t>
  </si>
  <si>
    <t>Nr of parts</t>
  </si>
  <si>
    <t>Due date</t>
  </si>
  <si>
    <t xml:space="preserve">Production line 5 </t>
  </si>
  <si>
    <t>Nr of machines</t>
  </si>
  <si>
    <t>nr of parts</t>
  </si>
  <si>
    <t>due date</t>
  </si>
  <si>
    <t>Production line 4</t>
  </si>
  <si>
    <t>1,5,6</t>
  </si>
  <si>
    <t>Line 1</t>
  </si>
  <si>
    <t>AU-006-1</t>
  </si>
  <si>
    <t>d</t>
  </si>
  <si>
    <t>1' d</t>
  </si>
  <si>
    <t>1'd</t>
  </si>
  <si>
    <t>3'</t>
  </si>
  <si>
    <t>1'</t>
  </si>
  <si>
    <t>Line 5</t>
  </si>
  <si>
    <t>line 6</t>
  </si>
  <si>
    <t>line 3</t>
  </si>
  <si>
    <t xml:space="preserve"> </t>
  </si>
  <si>
    <t>nr of part</t>
  </si>
  <si>
    <t>sept7</t>
  </si>
  <si>
    <t>Automotive Industry</t>
  </si>
  <si>
    <t xml:space="preserve">The parts types </t>
  </si>
  <si>
    <t xml:space="preserve">Number of parts </t>
  </si>
  <si>
    <t xml:space="preserve">Order of Process for Automotive industry </t>
  </si>
  <si>
    <t>Process time</t>
  </si>
  <si>
    <t>Setup time</t>
  </si>
  <si>
    <t>For total machines-PROCESSTIME-hrs</t>
  </si>
  <si>
    <t>total setup times -hrs</t>
  </si>
  <si>
    <t>Total  processing time for each machine-hrs</t>
  </si>
  <si>
    <t>for 1 machine</t>
  </si>
  <si>
    <t>sum</t>
  </si>
  <si>
    <t>Total setup times for each machine-hrs</t>
  </si>
  <si>
    <t>NOT IN DEMAND</t>
  </si>
  <si>
    <t>SETUP</t>
  </si>
  <si>
    <t>PROCESS</t>
  </si>
  <si>
    <t>TOT SETUP</t>
  </si>
  <si>
    <t>TOT PROCESS</t>
  </si>
  <si>
    <t xml:space="preserve">Airplane industry </t>
  </si>
  <si>
    <t>from the product portfolio</t>
  </si>
  <si>
    <t>Not in demand</t>
  </si>
  <si>
    <t>AI-032-02</t>
  </si>
  <si>
    <t>Set up times</t>
  </si>
  <si>
    <t>Process times</t>
  </si>
  <si>
    <t>For the total parts setup time</t>
  </si>
  <si>
    <t xml:space="preserve">For total parts process </t>
  </si>
  <si>
    <t xml:space="preserve">total setup time </t>
  </si>
  <si>
    <t xml:space="preserve">for each machine </t>
  </si>
  <si>
    <t>total process times</t>
  </si>
  <si>
    <t xml:space="preserve">contruction </t>
  </si>
  <si>
    <t>Agriculture</t>
  </si>
  <si>
    <t>set-up time</t>
  </si>
  <si>
    <t>total set-up times hrs</t>
  </si>
  <si>
    <t>total process-time hrs</t>
  </si>
  <si>
    <t>tot:setup in hrs</t>
  </si>
  <si>
    <t>Tot:process time-hrs</t>
  </si>
  <si>
    <t>energy-sector</t>
  </si>
  <si>
    <t>Set-up time-hrs</t>
  </si>
  <si>
    <t>Process-time-hrs</t>
  </si>
  <si>
    <t>Total -setup time hrs</t>
  </si>
  <si>
    <t>total-process time</t>
  </si>
  <si>
    <t>Total set times for all the machines in total</t>
  </si>
  <si>
    <t>for 1 machine:</t>
  </si>
  <si>
    <t>Total process times for all the machines</t>
  </si>
  <si>
    <r>
      <rPr>
        <rFont val="Calibri"/>
        <color theme="1"/>
        <sz val="11.0"/>
      </rPr>
      <t>Price per part (</t>
    </r>
    <r>
      <rPr>
        <rFont val="Calibri"/>
        <color theme="1"/>
        <sz val="11.0"/>
      </rPr>
      <t>€) (only hours)</t>
    </r>
  </si>
  <si>
    <t>total set up time</t>
  </si>
  <si>
    <t>CON-053-01</t>
  </si>
  <si>
    <t>CON-053-02</t>
  </si>
  <si>
    <t>All parts made out of standard hot rolled H beams, with 2 different cross sections (see FEM description)</t>
  </si>
  <si>
    <t>Forecast: 25 container ship-to-shore (STS) cranes per month</t>
  </si>
  <si>
    <t>Transport from machine A to B of the large ++ parts takes longer than for any other part</t>
  </si>
  <si>
    <t>Raw material: https://www.twentsestaalhandel.nl/balkstaal.html</t>
  </si>
  <si>
    <t>CON-053-03</t>
  </si>
  <si>
    <t>Total set up time</t>
  </si>
  <si>
    <t>CON-053-04</t>
  </si>
  <si>
    <t xml:space="preserve">Total process time </t>
  </si>
  <si>
    <t xml:space="preserve">SM </t>
  </si>
  <si>
    <t>CON-053-05</t>
  </si>
  <si>
    <t>CON-053-06</t>
  </si>
  <si>
    <t>CON-053-07</t>
  </si>
  <si>
    <t>CON-053-08</t>
  </si>
  <si>
    <t>CON-053-09</t>
  </si>
  <si>
    <t>CON-053-10</t>
  </si>
  <si>
    <t>CON-053-11</t>
  </si>
  <si>
    <t>CON-053-12</t>
  </si>
  <si>
    <t>CON-053-13</t>
  </si>
  <si>
    <t>Order number</t>
  </si>
  <si>
    <t>Number of parts</t>
  </si>
  <si>
    <t>Delivery date</t>
  </si>
  <si>
    <t>Quality</t>
  </si>
  <si>
    <t>Machine code</t>
  </si>
  <si>
    <t>Machine</t>
  </si>
  <si>
    <t>Operations</t>
  </si>
  <si>
    <t>Number of machines available</t>
  </si>
  <si>
    <t>Average scrap (%)</t>
  </si>
  <si>
    <t>Average rework (%)</t>
  </si>
  <si>
    <t>Startup defects (%)</t>
  </si>
  <si>
    <r>
      <rPr>
        <rFont val="Calibri"/>
        <color theme="1"/>
        <sz val="11.0"/>
      </rPr>
      <t>Surface (LxWxH mm</t>
    </r>
    <r>
      <rPr>
        <rFont val="Calibri"/>
        <color theme="1"/>
        <sz val="11.0"/>
        <vertAlign val="superscript"/>
      </rPr>
      <t>3</t>
    </r>
    <r>
      <rPr>
        <rFont val="Calibri"/>
        <color theme="1"/>
        <sz val="11.0"/>
      </rPr>
      <t>), without space for stock etc.</t>
    </r>
  </si>
  <si>
    <r>
      <rPr>
        <rFont val="Calibri"/>
        <color theme="1"/>
        <sz val="11.0"/>
      </rPr>
      <t>Purchase costs (</t>
    </r>
    <r>
      <rPr>
        <rFont val="Calibri"/>
        <color theme="1"/>
        <sz val="11.0"/>
      </rPr>
      <t>€) (if</t>
    </r>
    <r>
      <rPr>
        <rFont val="Calibri"/>
        <color theme="1"/>
        <sz val="11.0"/>
      </rPr>
      <t xml:space="preserve"> new)</t>
    </r>
  </si>
  <si>
    <t>Remarks</t>
  </si>
  <si>
    <t>Sawing machine</t>
  </si>
  <si>
    <t>Sawing</t>
  </si>
  <si>
    <t>1600x700x1700</t>
  </si>
  <si>
    <t>Machines from different suppliers, data are averages</t>
  </si>
  <si>
    <t xml:space="preserve">NC turning lathe </t>
  </si>
  <si>
    <t>Turning, drilling, reaming</t>
  </si>
  <si>
    <t xml:space="preserve">5300 x 3400 x 2500 </t>
  </si>
  <si>
    <t>NC milling machine</t>
  </si>
  <si>
    <t>Milling</t>
  </si>
  <si>
    <t>1600 x 2300 x 2300</t>
  </si>
  <si>
    <t>Machining center</t>
  </si>
  <si>
    <t>Turning, milling, drilling</t>
  </si>
  <si>
    <t>1900 x 2100 x 2500</t>
  </si>
  <si>
    <t>Drilling machine</t>
  </si>
  <si>
    <t>Drilling, reaming</t>
  </si>
  <si>
    <t>600x1000x2200</t>
  </si>
  <si>
    <t>Grinding machine</t>
  </si>
  <si>
    <t>Grinding</t>
  </si>
  <si>
    <t>2100×2400×2500</t>
  </si>
  <si>
    <t>Coordinate measuring machine</t>
  </si>
  <si>
    <t>Measuring</t>
  </si>
  <si>
    <t>1100x900x2300</t>
  </si>
  <si>
    <t>Assembly station</t>
  </si>
  <si>
    <t>Assembly (manual)</t>
  </si>
  <si>
    <t>1000x700x800</t>
  </si>
  <si>
    <t>W</t>
  </si>
  <si>
    <t>Warehouse/expedition</t>
  </si>
  <si>
    <t>For every part; as raw material and as finished good</t>
  </si>
  <si>
    <t>P</t>
  </si>
  <si>
    <t>Table(s) near assembly</t>
  </si>
  <si>
    <t>Packaging</t>
  </si>
  <si>
    <t>For every part</t>
  </si>
  <si>
    <t>ET</t>
  </si>
  <si>
    <t>External treatment</t>
  </si>
  <si>
    <t>XX</t>
  </si>
  <si>
    <t>Aisles</t>
  </si>
  <si>
    <t>Transport</t>
  </si>
  <si>
    <t>W: 1200-1500</t>
  </si>
  <si>
    <t>Depending on the type of transport</t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</si>
  <si>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a,b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</si>
  <si>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c,d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</si>
  <si>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C&amp;IT</t>
    </r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per shift (h)</t>
    </r>
  </si>
  <si>
    <r>
      <rPr>
        <rFont val="Calibri"/>
        <color theme="1"/>
        <sz val="11.0"/>
        <vertAlign val="superscript"/>
      </rPr>
      <t>a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</si>
  <si>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 xml:space="preserve">b </t>
    </r>
    <r>
      <rPr>
        <rFont val="Calibri"/>
        <color theme="1"/>
        <sz val="11.0"/>
      </rPr>
      <t>Minor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</si>
  <si>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</si>
  <si>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c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</si>
  <si>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>d</t>
    </r>
    <r>
      <rPr>
        <rFont val="Calibri"/>
        <color theme="1"/>
        <sz val="11.0"/>
      </rPr>
      <t xml:space="preserve"> Major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</si>
  <si>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</si>
  <si>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Cleaning and Inspection Time (C&amp;IT):</t>
    </r>
  </si>
  <si>
    <t>every day at the beginning (inspection) and end (cleaning) of each shift</t>
  </si>
  <si>
    <t>* machine operating hours = product process time</t>
  </si>
  <si>
    <t>One of the products made in your factory is an axis for an agriculture customer. This axis is made on 3 of your lathes (TM).</t>
  </si>
  <si>
    <t>There seems to be a chronic problem with the lenghts of these axis. The assembly department has a lot of ill-fitting assemblies. This results in a lot of rework and scrap.</t>
  </si>
  <si>
    <t>A quality engineer at your factory had the task to monitor the length of these axis for a period of time to say something about the stability of the process and the possible causes (and of course solutions).</t>
  </si>
  <si>
    <t>The engineer measures five axis from each machine during each shift (in the period of measuring there were 3 shifts a day)</t>
  </si>
  <si>
    <t>The specification of the length of theses axis is 600 +/- 2 mm.</t>
  </si>
  <si>
    <t>Machine 1, 2, 3</t>
  </si>
  <si>
    <t>The length of the axis in mm from Machine 1, 2 or 3</t>
  </si>
  <si>
    <t>Subgroup ID</t>
  </si>
  <si>
    <t>The subgroup identification number</t>
  </si>
  <si>
    <t>Machine 1</t>
  </si>
  <si>
    <t>Machine 2</t>
  </si>
  <si>
    <t>Machine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</si>
</sst>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dmmm"/>
    <numFmt numFmtId="167" formatCode="m-d"/>
    <numFmt numFmtId="168" formatCode="d-mmm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rgb="FFFF00FF"/>
      <name val="Calibri"/>
      <scheme val="minor"/>
    </font>
    <font>
      <sz val="11.0"/>
      <color rgb="FFFF00FF"/>
      <name val="Calibri"/>
    </font>
    <font>
      <b/>
      <color theme="1"/>
      <name val="Calibri"/>
      <scheme val="minor"/>
    </font>
    <font>
      <sz val="11.0"/>
      <color rgb="FF000000"/>
      <name val="Inconsolata"/>
    </font>
    <font>
      <sz val="11.0"/>
      <color rgb="FFFF0000"/>
      <name val="Calibri"/>
    </font>
    <font>
      <sz val="11.0"/>
      <color theme="5"/>
      <name val="Calibri"/>
    </font>
    <font>
      <sz val="11.0"/>
      <color rgb="FF000000"/>
      <name val="Calibri"/>
    </font>
    <font/>
    <font>
      <sz val="9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A5A5A5"/>
        <bgColor rgb="FFA5A5A5"/>
      </patternFill>
    </fill>
  </fills>
  <borders count="12">
    <border/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1" fillId="2" fontId="1" numFmtId="2" xfId="0" applyAlignment="1" applyBorder="1" applyFont="1" applyNumberForma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2" xfId="0" applyFont="1" applyNumberFormat="1"/>
    <xf borderId="1" fillId="2" fontId="1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/>
    </xf>
    <xf borderId="0" fillId="3" fontId="2" numFmtId="0" xfId="0" applyFill="1" applyFont="1"/>
    <xf borderId="0" fillId="3" fontId="1" numFmtId="164" xfId="0" applyFont="1" applyNumberFormat="1"/>
    <xf borderId="0" fillId="3" fontId="1" numFmtId="0" xfId="0" applyFont="1"/>
    <xf borderId="0" fillId="0" fontId="3" numFmtId="0" xfId="0" applyFont="1"/>
    <xf borderId="0" fillId="0" fontId="4" numFmtId="164" xfId="0" applyFont="1" applyNumberFormat="1"/>
    <xf borderId="0" fillId="0" fontId="4" numFmtId="0" xfId="0" applyFont="1"/>
    <xf borderId="0" fillId="0" fontId="5" numFmtId="0" xfId="0" applyAlignment="1" applyFont="1">
      <alignment readingOrder="0"/>
    </xf>
    <xf borderId="0" fillId="4" fontId="6" numFmtId="0" xfId="0" applyFill="1" applyFont="1"/>
    <xf borderId="0" fillId="0" fontId="1" numFmtId="0" xfId="0" applyAlignment="1" applyFont="1">
      <alignment readingOrder="0"/>
    </xf>
    <xf borderId="0" fillId="0" fontId="7" numFmtId="0" xfId="0" applyFont="1"/>
    <xf borderId="0" fillId="0" fontId="1" numFmtId="16" xfId="0" applyFont="1" applyNumberFormat="1"/>
    <xf borderId="0" fillId="0" fontId="7" numFmtId="0" xfId="0" applyAlignment="1" applyFont="1">
      <alignment horizontal="right"/>
    </xf>
    <xf borderId="2" fillId="0" fontId="1" numFmtId="0" xfId="0" applyBorder="1" applyFont="1"/>
    <xf borderId="3" fillId="0" fontId="1" numFmtId="16" xfId="0" applyAlignment="1" applyBorder="1" applyFont="1" applyNumberFormat="1">
      <alignment horizontal="left"/>
    </xf>
    <xf borderId="3" fillId="0" fontId="1" numFmtId="0" xfId="0" applyBorder="1" applyFont="1"/>
    <xf borderId="0" fillId="0" fontId="1" numFmtId="16" xfId="0" applyAlignment="1" applyFont="1" applyNumberFormat="1">
      <alignment horizontal="center"/>
    </xf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1" fillId="3" fontId="1" numFmtId="0" xfId="0" applyBorder="1" applyFont="1"/>
    <xf borderId="1" fillId="8" fontId="1" numFmtId="0" xfId="0" applyBorder="1" applyFill="1" applyFont="1"/>
    <xf borderId="4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1" numFmtId="16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6" fillId="0" fontId="1" numFmtId="0" xfId="0" applyAlignment="1" applyBorder="1" applyFont="1">
      <alignment shrinkToFit="0" wrapText="1"/>
    </xf>
    <xf borderId="7" fillId="0" fontId="1" numFmtId="0" xfId="0" applyBorder="1" applyFont="1"/>
    <xf borderId="3" fillId="0" fontId="1" numFmtId="0" xfId="0" applyAlignment="1" applyBorder="1" applyFont="1">
      <alignment shrinkToFit="0" wrapText="1"/>
    </xf>
    <xf borderId="0" fillId="0" fontId="1" numFmtId="16" xfId="0" applyAlignment="1" applyFont="1" applyNumberFormat="1">
      <alignment horizontal="left"/>
    </xf>
    <xf borderId="1" fillId="9" fontId="1" numFmtId="0" xfId="0" applyBorder="1" applyFill="1" applyFont="1"/>
    <xf borderId="1" fillId="10" fontId="1" numFmtId="0" xfId="0" applyBorder="1" applyFill="1" applyFont="1"/>
    <xf borderId="1" fillId="11" fontId="1" numFmtId="0" xfId="0" applyBorder="1" applyFill="1" applyFont="1"/>
    <xf borderId="0" fillId="0" fontId="8" numFmtId="0" xfId="0" applyFont="1"/>
    <xf borderId="1" fillId="12" fontId="1" numFmtId="0" xfId="0" applyBorder="1" applyFill="1" applyFont="1"/>
    <xf borderId="1" fillId="13" fontId="1" numFmtId="0" xfId="0" applyBorder="1" applyFill="1" applyFont="1"/>
    <xf borderId="1" fillId="14" fontId="1" numFmtId="0" xfId="0" applyBorder="1" applyFill="1" applyFont="1"/>
    <xf borderId="8" fillId="0" fontId="1" numFmtId="0" xfId="0" applyBorder="1" applyFont="1"/>
    <xf borderId="2" fillId="0" fontId="1" numFmtId="16" xfId="0" applyAlignment="1" applyBorder="1" applyFont="1" applyNumberFormat="1">
      <alignment horizontal="left"/>
    </xf>
    <xf borderId="0" fillId="0" fontId="9" numFmtId="0" xfId="0" applyAlignment="1" applyFont="1">
      <alignment readingOrder="0" shrinkToFit="0" vertical="bottom" wrapText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1" numFmtId="14" xfId="0" applyFont="1" applyNumberFormat="1"/>
    <xf borderId="1" fillId="2" fontId="1" numFmtId="49" xfId="0" applyAlignment="1" applyBorder="1" applyFont="1" applyNumberFormat="1">
      <alignment shrinkToFit="0" vertical="top" wrapText="1"/>
    </xf>
    <xf borderId="0" fillId="0" fontId="1" numFmtId="2" xfId="0" applyAlignment="1" applyFont="1" applyNumberFormat="1">
      <alignment shrinkToFit="0" vertical="top" wrapText="1"/>
    </xf>
    <xf borderId="1" fillId="2" fontId="1" numFmtId="0" xfId="0" applyAlignment="1" applyBorder="1" applyFont="1">
      <alignment shrinkToFit="0" wrapText="1"/>
    </xf>
    <xf borderId="1" fillId="2" fontId="1" numFmtId="1" xfId="0" applyBorder="1" applyFont="1" applyNumberFormat="1"/>
    <xf borderId="9" fillId="2" fontId="1" numFmtId="0" xfId="0" applyAlignment="1" applyBorder="1" applyFont="1">
      <alignment horizontal="center"/>
    </xf>
    <xf borderId="10" fillId="0" fontId="10" numFmtId="0" xfId="0" applyBorder="1" applyFont="1"/>
    <xf borderId="11" fillId="0" fontId="10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borderId="0" fillId="0" fontId="9" numFmtId="0" xfId="0" applyAlignment="1" applyFont="1">
      <alignment horizontal="center" vertical="center"/>
    </xf>
    <xf borderId="0" fillId="0" fontId="9" numFmtId="0" xfId="0" applyFont="1"/>
    <xf borderId="0" fillId="0" fontId="1" numFmtId="0" xfId="0" applyAlignment="1" applyFont="1">
      <alignment horizontal="center" vertical="center"/>
    </xf>
    <xf borderId="0" fillId="0" fontId="1" numFmtId="1" xfId="0" applyFont="1" applyNumberFormat="1"/>
    <xf borderId="0" fillId="0" fontId="1" numFmtId="1" xfId="0" applyAlignment="1" applyFont="1" applyNumberFormat="1">
      <alignment horizontal="left" vertical="center"/>
    </xf>
    <xf borderId="0" fillId="0" fontId="1" numFmtId="1" xfId="0" applyAlignment="1" applyFont="1" applyNumberFormat="1">
      <alignment horizontal="center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/>
    </xf>
    <xf borderId="0" fillId="0" fontId="11" numFmtId="0" xfId="0" applyFont="1"/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18</xdr:row>
      <xdr:rowOff>0</xdr:rowOff>
    </xdr:from>
    <xdr:ext cx="133350" cy="190500"/>
    <xdr:sp>
      <xdr:nvSpPr>
        <xdr:cNvPr id="3" name="Shape 3"/>
        <xdr:cNvSpPr/>
      </xdr:nvSpPr>
      <xdr:spPr>
        <a:xfrm>
          <a:off x="5284088" y="3684750"/>
          <a:ext cx="123825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285750</xdr:colOff>
      <xdr:row>11</xdr:row>
      <xdr:rowOff>180975</xdr:rowOff>
    </xdr:from>
    <xdr:ext cx="38100" cy="1333500"/>
    <xdr:grpSp>
      <xdr:nvGrpSpPr>
        <xdr:cNvPr id="2" name="Shape 2"/>
        <xdr:cNvGrpSpPr/>
      </xdr:nvGrpSpPr>
      <xdr:grpSpPr>
        <a:xfrm>
          <a:off x="5346000" y="3113250"/>
          <a:ext cx="0" cy="1333500"/>
          <a:chOff x="5346000" y="3113250"/>
          <a:chExt cx="0" cy="1333500"/>
        </a:xfrm>
      </xdr:grpSpPr>
      <xdr:cxnSp>
        <xdr:nvCxnSpPr>
          <xdr:cNvPr id="4" name="Shape 4"/>
          <xdr:cNvCxnSpPr/>
        </xdr:nvCxnSpPr>
        <xdr:spPr>
          <a:xfrm>
            <a:off x="5346000" y="3113250"/>
            <a:ext cx="0" cy="1333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390525</xdr:colOff>
      <xdr:row>11</xdr:row>
      <xdr:rowOff>161925</xdr:rowOff>
    </xdr:from>
    <xdr:ext cx="38100" cy="1333500"/>
    <xdr:grpSp>
      <xdr:nvGrpSpPr>
        <xdr:cNvPr id="2" name="Shape 2"/>
        <xdr:cNvGrpSpPr/>
      </xdr:nvGrpSpPr>
      <xdr:grpSpPr>
        <a:xfrm>
          <a:off x="5346000" y="3113250"/>
          <a:ext cx="0" cy="1333500"/>
          <a:chOff x="5346000" y="3113250"/>
          <a:chExt cx="0" cy="1333500"/>
        </a:xfrm>
      </xdr:grpSpPr>
      <xdr:cxnSp>
        <xdr:nvCxnSpPr>
          <xdr:cNvPr id="4" name="Shape 4"/>
          <xdr:cNvCxnSpPr/>
        </xdr:nvCxnSpPr>
        <xdr:spPr>
          <a:xfrm>
            <a:off x="5346000" y="3113250"/>
            <a:ext cx="0" cy="1333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657225</xdr:colOff>
      <xdr:row>16</xdr:row>
      <xdr:rowOff>180975</xdr:rowOff>
    </xdr:from>
    <xdr:ext cx="638175" cy="219075"/>
    <xdr:sp>
      <xdr:nvSpPr>
        <xdr:cNvPr id="5" name="Shape 5"/>
        <xdr:cNvSpPr/>
      </xdr:nvSpPr>
      <xdr:spPr>
        <a:xfrm>
          <a:off x="5031675" y="3675225"/>
          <a:ext cx="628650" cy="2095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619125</xdr:colOff>
      <xdr:row>15</xdr:row>
      <xdr:rowOff>171450</xdr:rowOff>
    </xdr:from>
    <xdr:ext cx="95250" cy="209550"/>
    <xdr:sp>
      <xdr:nvSpPr>
        <xdr:cNvPr id="6" name="Shape 6"/>
        <xdr:cNvSpPr/>
      </xdr:nvSpPr>
      <xdr:spPr>
        <a:xfrm>
          <a:off x="5303138" y="3679988"/>
          <a:ext cx="85725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15</xdr:row>
      <xdr:rowOff>0</xdr:rowOff>
    </xdr:from>
    <xdr:ext cx="619125" cy="209550"/>
    <xdr:sp>
      <xdr:nvSpPr>
        <xdr:cNvPr id="7" name="Shape 7"/>
        <xdr:cNvSpPr/>
      </xdr:nvSpPr>
      <xdr:spPr>
        <a:xfrm>
          <a:off x="5041200" y="3679988"/>
          <a:ext cx="609600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66675</xdr:colOff>
      <xdr:row>14</xdr:row>
      <xdr:rowOff>0</xdr:rowOff>
    </xdr:from>
    <xdr:ext cx="85725" cy="190500"/>
    <xdr:sp>
      <xdr:nvSpPr>
        <xdr:cNvPr id="8" name="Shape 8"/>
        <xdr:cNvSpPr/>
      </xdr:nvSpPr>
      <xdr:spPr>
        <a:xfrm>
          <a:off x="5307900" y="3684750"/>
          <a:ext cx="7620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9525</xdr:colOff>
      <xdr:row>13</xdr:row>
      <xdr:rowOff>0</xdr:rowOff>
    </xdr:from>
    <xdr:ext cx="133350" cy="190500"/>
    <xdr:sp>
      <xdr:nvSpPr>
        <xdr:cNvPr id="3" name="Shape 3"/>
        <xdr:cNvSpPr/>
      </xdr:nvSpPr>
      <xdr:spPr>
        <a:xfrm>
          <a:off x="5284088" y="3684750"/>
          <a:ext cx="123825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466725</xdr:colOff>
      <xdr:row>11</xdr:row>
      <xdr:rowOff>180975</xdr:rowOff>
    </xdr:from>
    <xdr:ext cx="638175" cy="219075"/>
    <xdr:sp>
      <xdr:nvSpPr>
        <xdr:cNvPr id="5" name="Shape 5"/>
        <xdr:cNvSpPr/>
      </xdr:nvSpPr>
      <xdr:spPr>
        <a:xfrm>
          <a:off x="5031675" y="3675225"/>
          <a:ext cx="628650" cy="2095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447675</xdr:colOff>
      <xdr:row>12</xdr:row>
      <xdr:rowOff>0</xdr:rowOff>
    </xdr:from>
    <xdr:ext cx="38100" cy="1323975"/>
    <xdr:grpSp>
      <xdr:nvGrpSpPr>
        <xdr:cNvPr id="2" name="Shape 2"/>
        <xdr:cNvGrpSpPr/>
      </xdr:nvGrpSpPr>
      <xdr:grpSpPr>
        <a:xfrm>
          <a:off x="5346000" y="3118013"/>
          <a:ext cx="0" cy="1323975"/>
          <a:chOff x="5346000" y="3118013"/>
          <a:chExt cx="0" cy="1323975"/>
        </a:xfrm>
      </xdr:grpSpPr>
      <xdr:cxnSp>
        <xdr:nvCxnSpPr>
          <xdr:cNvPr id="9" name="Shape 9"/>
          <xdr:cNvCxnSpPr/>
        </xdr:nvCxnSpPr>
        <xdr:spPr>
          <a:xfrm>
            <a:off x="5346000" y="3118013"/>
            <a:ext cx="0" cy="13239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15</xdr:col>
      <xdr:colOff>342900</xdr:colOff>
      <xdr:row>11</xdr:row>
      <xdr:rowOff>180975</xdr:rowOff>
    </xdr:from>
    <xdr:ext cx="38100" cy="1333500"/>
    <xdr:grpSp>
      <xdr:nvGrpSpPr>
        <xdr:cNvPr id="2" name="Shape 2"/>
        <xdr:cNvGrpSpPr/>
      </xdr:nvGrpSpPr>
      <xdr:grpSpPr>
        <a:xfrm>
          <a:off x="5346000" y="3113250"/>
          <a:ext cx="0" cy="1333500"/>
          <a:chOff x="5346000" y="3113250"/>
          <a:chExt cx="0" cy="1333500"/>
        </a:xfrm>
      </xdr:grpSpPr>
      <xdr:cxnSp>
        <xdr:nvCxnSpPr>
          <xdr:cNvPr id="4" name="Shape 4"/>
          <xdr:cNvCxnSpPr/>
        </xdr:nvCxnSpPr>
        <xdr:spPr>
          <a:xfrm>
            <a:off x="5346000" y="3113250"/>
            <a:ext cx="0" cy="1333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15</xdr:col>
      <xdr:colOff>228600</xdr:colOff>
      <xdr:row>18</xdr:row>
      <xdr:rowOff>0</xdr:rowOff>
    </xdr:from>
    <xdr:ext cx="133350" cy="190500"/>
    <xdr:sp>
      <xdr:nvSpPr>
        <xdr:cNvPr id="10" name="Shape 10"/>
        <xdr:cNvSpPr/>
      </xdr:nvSpPr>
      <xdr:spPr>
        <a:xfrm>
          <a:off x="5284088" y="3684750"/>
          <a:ext cx="123825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619125</xdr:colOff>
      <xdr:row>16</xdr:row>
      <xdr:rowOff>180975</xdr:rowOff>
    </xdr:from>
    <xdr:ext cx="581025" cy="209550"/>
    <xdr:sp>
      <xdr:nvSpPr>
        <xdr:cNvPr id="11" name="Shape 11"/>
        <xdr:cNvSpPr/>
      </xdr:nvSpPr>
      <xdr:spPr>
        <a:xfrm>
          <a:off x="5060250" y="3679988"/>
          <a:ext cx="571500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600075</xdr:colOff>
      <xdr:row>16</xdr:row>
      <xdr:rowOff>0</xdr:rowOff>
    </xdr:from>
    <xdr:ext cx="104775" cy="200025"/>
    <xdr:sp>
      <xdr:nvSpPr>
        <xdr:cNvPr id="12" name="Shape 12"/>
        <xdr:cNvSpPr/>
      </xdr:nvSpPr>
      <xdr:spPr>
        <a:xfrm>
          <a:off x="5298375" y="3684750"/>
          <a:ext cx="9525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95250</xdr:colOff>
      <xdr:row>14</xdr:row>
      <xdr:rowOff>180975</xdr:rowOff>
    </xdr:from>
    <xdr:ext cx="600075" cy="209550"/>
    <xdr:sp>
      <xdr:nvSpPr>
        <xdr:cNvPr id="13" name="Shape 13"/>
        <xdr:cNvSpPr/>
      </xdr:nvSpPr>
      <xdr:spPr>
        <a:xfrm>
          <a:off x="5050725" y="3679988"/>
          <a:ext cx="590550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47625</xdr:colOff>
      <xdr:row>14</xdr:row>
      <xdr:rowOff>0</xdr:rowOff>
    </xdr:from>
    <xdr:ext cx="142875" cy="209550"/>
    <xdr:sp>
      <xdr:nvSpPr>
        <xdr:cNvPr id="14" name="Shape 14"/>
        <xdr:cNvSpPr/>
      </xdr:nvSpPr>
      <xdr:spPr>
        <a:xfrm>
          <a:off x="5279325" y="3679988"/>
          <a:ext cx="133350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13</xdr:row>
      <xdr:rowOff>0</xdr:rowOff>
    </xdr:from>
    <xdr:ext cx="133350" cy="190500"/>
    <xdr:sp>
      <xdr:nvSpPr>
        <xdr:cNvPr id="10" name="Shape 10"/>
        <xdr:cNvSpPr/>
      </xdr:nvSpPr>
      <xdr:spPr>
        <a:xfrm>
          <a:off x="5284088" y="3684750"/>
          <a:ext cx="123825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285750</xdr:colOff>
      <xdr:row>12</xdr:row>
      <xdr:rowOff>0</xdr:rowOff>
    </xdr:from>
    <xdr:ext cx="819150" cy="190500"/>
    <xdr:sp>
      <xdr:nvSpPr>
        <xdr:cNvPr id="15" name="Shape 15"/>
        <xdr:cNvSpPr/>
      </xdr:nvSpPr>
      <xdr:spPr>
        <a:xfrm>
          <a:off x="4941188" y="3684750"/>
          <a:ext cx="809625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-9525</xdr:colOff>
      <xdr:row>36</xdr:row>
      <xdr:rowOff>0</xdr:rowOff>
    </xdr:from>
    <xdr:ext cx="38100" cy="1524000"/>
    <xdr:grpSp>
      <xdr:nvGrpSpPr>
        <xdr:cNvPr id="2" name="Shape 2"/>
        <xdr:cNvGrpSpPr/>
      </xdr:nvGrpSpPr>
      <xdr:grpSpPr>
        <a:xfrm>
          <a:off x="5346000" y="3018000"/>
          <a:ext cx="0" cy="1524000"/>
          <a:chOff x="5346000" y="3018000"/>
          <a:chExt cx="0" cy="1524000"/>
        </a:xfrm>
      </xdr:grpSpPr>
      <xdr:cxnSp>
        <xdr:nvCxnSpPr>
          <xdr:cNvPr id="16" name="Shape 16"/>
          <xdr:cNvCxnSpPr/>
        </xdr:nvCxnSpPr>
        <xdr:spPr>
          <a:xfrm>
            <a:off x="5346000" y="3018000"/>
            <a:ext cx="0" cy="1524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323850</xdr:colOff>
      <xdr:row>42</xdr:row>
      <xdr:rowOff>180975</xdr:rowOff>
    </xdr:from>
    <xdr:ext cx="657225" cy="209550"/>
    <xdr:sp>
      <xdr:nvSpPr>
        <xdr:cNvPr id="17" name="Shape 17"/>
        <xdr:cNvSpPr/>
      </xdr:nvSpPr>
      <xdr:spPr>
        <a:xfrm>
          <a:off x="5022150" y="3679988"/>
          <a:ext cx="647700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266700</xdr:colOff>
      <xdr:row>42</xdr:row>
      <xdr:rowOff>0</xdr:rowOff>
    </xdr:from>
    <xdr:ext cx="581025" cy="190500"/>
    <xdr:sp>
      <xdr:nvSpPr>
        <xdr:cNvPr id="18" name="Shape 18"/>
        <xdr:cNvSpPr/>
      </xdr:nvSpPr>
      <xdr:spPr>
        <a:xfrm>
          <a:off x="5060250" y="3684750"/>
          <a:ext cx="57150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114300</xdr:colOff>
      <xdr:row>39</xdr:row>
      <xdr:rowOff>171450</xdr:rowOff>
    </xdr:from>
    <xdr:ext cx="676275" cy="200025"/>
    <xdr:sp>
      <xdr:nvSpPr>
        <xdr:cNvPr id="19" name="Shape 19"/>
        <xdr:cNvSpPr/>
      </xdr:nvSpPr>
      <xdr:spPr>
        <a:xfrm>
          <a:off x="5012625" y="3684750"/>
          <a:ext cx="66675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781050</xdr:colOff>
      <xdr:row>39</xdr:row>
      <xdr:rowOff>0</xdr:rowOff>
    </xdr:from>
    <xdr:ext cx="962025" cy="190500"/>
    <xdr:sp>
      <xdr:nvSpPr>
        <xdr:cNvPr id="20" name="Shape 20"/>
        <xdr:cNvSpPr/>
      </xdr:nvSpPr>
      <xdr:spPr>
        <a:xfrm>
          <a:off x="4864988" y="3684750"/>
          <a:ext cx="962025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752475</xdr:colOff>
      <xdr:row>37</xdr:row>
      <xdr:rowOff>180975</xdr:rowOff>
    </xdr:from>
    <xdr:ext cx="561975" cy="190500"/>
    <xdr:sp>
      <xdr:nvSpPr>
        <xdr:cNvPr id="21" name="Shape 21"/>
        <xdr:cNvSpPr/>
      </xdr:nvSpPr>
      <xdr:spPr>
        <a:xfrm>
          <a:off x="5069775" y="3684750"/>
          <a:ext cx="55245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733425</xdr:colOff>
      <xdr:row>37</xdr:row>
      <xdr:rowOff>0</xdr:rowOff>
    </xdr:from>
    <xdr:ext cx="476250" cy="190500"/>
    <xdr:sp>
      <xdr:nvSpPr>
        <xdr:cNvPr id="22" name="Shape 22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190500</xdr:colOff>
      <xdr:row>40</xdr:row>
      <xdr:rowOff>180975</xdr:rowOff>
    </xdr:from>
    <xdr:ext cx="619125" cy="190500"/>
    <xdr:sp>
      <xdr:nvSpPr>
        <xdr:cNvPr id="23" name="Shape 23"/>
        <xdr:cNvSpPr/>
      </xdr:nvSpPr>
      <xdr:spPr>
        <a:xfrm>
          <a:off x="5041200" y="3684750"/>
          <a:ext cx="60960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581025</xdr:colOff>
      <xdr:row>35</xdr:row>
      <xdr:rowOff>180975</xdr:rowOff>
    </xdr:from>
    <xdr:ext cx="600075" cy="190500"/>
    <xdr:sp>
      <xdr:nvSpPr>
        <xdr:cNvPr id="24" name="Shape 24"/>
        <xdr:cNvSpPr/>
      </xdr:nvSpPr>
      <xdr:spPr>
        <a:xfrm>
          <a:off x="5050725" y="3684750"/>
          <a:ext cx="59055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-9525</xdr:colOff>
      <xdr:row>36</xdr:row>
      <xdr:rowOff>0</xdr:rowOff>
    </xdr:from>
    <xdr:ext cx="38100" cy="1524000"/>
    <xdr:grpSp>
      <xdr:nvGrpSpPr>
        <xdr:cNvPr id="2" name="Shape 2"/>
        <xdr:cNvGrpSpPr/>
      </xdr:nvGrpSpPr>
      <xdr:grpSpPr>
        <a:xfrm>
          <a:off x="5346000" y="3018000"/>
          <a:ext cx="0" cy="1524000"/>
          <a:chOff x="5346000" y="3018000"/>
          <a:chExt cx="0" cy="1524000"/>
        </a:xfrm>
      </xdr:grpSpPr>
      <xdr:cxnSp>
        <xdr:nvCxnSpPr>
          <xdr:cNvPr id="16" name="Shape 16"/>
          <xdr:cNvCxnSpPr/>
        </xdr:nvCxnSpPr>
        <xdr:spPr>
          <a:xfrm>
            <a:off x="5346000" y="3018000"/>
            <a:ext cx="0" cy="1524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561975</xdr:colOff>
      <xdr:row>36</xdr:row>
      <xdr:rowOff>0</xdr:rowOff>
    </xdr:from>
    <xdr:ext cx="38100" cy="1524000"/>
    <xdr:grpSp>
      <xdr:nvGrpSpPr>
        <xdr:cNvPr id="2" name="Shape 2"/>
        <xdr:cNvGrpSpPr/>
      </xdr:nvGrpSpPr>
      <xdr:grpSpPr>
        <a:xfrm>
          <a:off x="5346000" y="3018000"/>
          <a:ext cx="0" cy="1524000"/>
          <a:chOff x="5346000" y="3018000"/>
          <a:chExt cx="0" cy="1524000"/>
        </a:xfrm>
      </xdr:grpSpPr>
      <xdr:cxnSp>
        <xdr:nvCxnSpPr>
          <xdr:cNvPr id="25" name="Shape 25"/>
          <xdr:cNvCxnSpPr/>
        </xdr:nvCxnSpPr>
        <xdr:spPr>
          <a:xfrm>
            <a:off x="5346000" y="3018000"/>
            <a:ext cx="0" cy="1524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15</xdr:col>
      <xdr:colOff>409575</xdr:colOff>
      <xdr:row>35</xdr:row>
      <xdr:rowOff>180975</xdr:rowOff>
    </xdr:from>
    <xdr:ext cx="38100" cy="1543050"/>
    <xdr:grpSp>
      <xdr:nvGrpSpPr>
        <xdr:cNvPr id="2" name="Shape 2"/>
        <xdr:cNvGrpSpPr/>
      </xdr:nvGrpSpPr>
      <xdr:grpSpPr>
        <a:xfrm>
          <a:off x="5346000" y="3008475"/>
          <a:ext cx="0" cy="1543050"/>
          <a:chOff x="5346000" y="3008475"/>
          <a:chExt cx="0" cy="1543050"/>
        </a:xfrm>
      </xdr:grpSpPr>
      <xdr:cxnSp>
        <xdr:nvCxnSpPr>
          <xdr:cNvPr id="26" name="Shape 26"/>
          <xdr:cNvCxnSpPr/>
        </xdr:nvCxnSpPr>
        <xdr:spPr>
          <a:xfrm>
            <a:off x="5346000" y="3008475"/>
            <a:ext cx="0" cy="15430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15</xdr:col>
      <xdr:colOff>133350</xdr:colOff>
      <xdr:row>42</xdr:row>
      <xdr:rowOff>180975</xdr:rowOff>
    </xdr:from>
    <xdr:ext cx="314325" cy="209550"/>
    <xdr:sp>
      <xdr:nvSpPr>
        <xdr:cNvPr id="27" name="Shape 27"/>
        <xdr:cNvSpPr/>
      </xdr:nvSpPr>
      <xdr:spPr>
        <a:xfrm>
          <a:off x="5193600" y="3679988"/>
          <a:ext cx="304800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114300</xdr:colOff>
      <xdr:row>41</xdr:row>
      <xdr:rowOff>171450</xdr:rowOff>
    </xdr:from>
    <xdr:ext cx="142875" cy="209550"/>
    <xdr:sp>
      <xdr:nvSpPr>
        <xdr:cNvPr id="14" name="Shape 14"/>
        <xdr:cNvSpPr/>
      </xdr:nvSpPr>
      <xdr:spPr>
        <a:xfrm>
          <a:off x="5279325" y="3679988"/>
          <a:ext cx="133350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914400</xdr:colOff>
      <xdr:row>40</xdr:row>
      <xdr:rowOff>171450</xdr:rowOff>
    </xdr:from>
    <xdr:ext cx="285750" cy="209550"/>
    <xdr:sp>
      <xdr:nvSpPr>
        <xdr:cNvPr id="28" name="Shape 28"/>
        <xdr:cNvSpPr/>
      </xdr:nvSpPr>
      <xdr:spPr>
        <a:xfrm>
          <a:off x="5207888" y="3679988"/>
          <a:ext cx="276225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885825</xdr:colOff>
      <xdr:row>39</xdr:row>
      <xdr:rowOff>180975</xdr:rowOff>
    </xdr:from>
    <xdr:ext cx="285750" cy="209550"/>
    <xdr:sp>
      <xdr:nvSpPr>
        <xdr:cNvPr id="28" name="Shape 28"/>
        <xdr:cNvSpPr/>
      </xdr:nvSpPr>
      <xdr:spPr>
        <a:xfrm>
          <a:off x="5207888" y="3679988"/>
          <a:ext cx="276225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752475</xdr:colOff>
      <xdr:row>39</xdr:row>
      <xdr:rowOff>180975</xdr:rowOff>
    </xdr:from>
    <xdr:ext cx="142875" cy="209550"/>
    <xdr:sp>
      <xdr:nvSpPr>
        <xdr:cNvPr id="29" name="Shape 29"/>
        <xdr:cNvSpPr/>
      </xdr:nvSpPr>
      <xdr:spPr>
        <a:xfrm>
          <a:off x="5279325" y="3679988"/>
          <a:ext cx="133350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714375</xdr:colOff>
      <xdr:row>39</xdr:row>
      <xdr:rowOff>0</xdr:rowOff>
    </xdr:from>
    <xdr:ext cx="285750" cy="200025"/>
    <xdr:sp>
      <xdr:nvSpPr>
        <xdr:cNvPr id="30" name="Shape 30"/>
        <xdr:cNvSpPr/>
      </xdr:nvSpPr>
      <xdr:spPr>
        <a:xfrm>
          <a:off x="5207888" y="3684750"/>
          <a:ext cx="276225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676275</xdr:colOff>
      <xdr:row>37</xdr:row>
      <xdr:rowOff>171450</xdr:rowOff>
    </xdr:from>
    <xdr:ext cx="314325" cy="228600"/>
    <xdr:sp>
      <xdr:nvSpPr>
        <xdr:cNvPr id="31" name="Shape 31"/>
        <xdr:cNvSpPr/>
      </xdr:nvSpPr>
      <xdr:spPr>
        <a:xfrm>
          <a:off x="5193600" y="3670463"/>
          <a:ext cx="304800" cy="2190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657225</xdr:colOff>
      <xdr:row>36</xdr:row>
      <xdr:rowOff>171450</xdr:rowOff>
    </xdr:from>
    <xdr:ext cx="85725" cy="209550"/>
    <xdr:sp>
      <xdr:nvSpPr>
        <xdr:cNvPr id="32" name="Shape 32"/>
        <xdr:cNvSpPr/>
      </xdr:nvSpPr>
      <xdr:spPr>
        <a:xfrm>
          <a:off x="5307900" y="3679988"/>
          <a:ext cx="76200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419100</xdr:colOff>
      <xdr:row>35</xdr:row>
      <xdr:rowOff>171450</xdr:rowOff>
    </xdr:from>
    <xdr:ext cx="314325" cy="209550"/>
    <xdr:sp>
      <xdr:nvSpPr>
        <xdr:cNvPr id="33" name="Shape 33"/>
        <xdr:cNvSpPr/>
      </xdr:nvSpPr>
      <xdr:spPr>
        <a:xfrm>
          <a:off x="5193600" y="3679988"/>
          <a:ext cx="304800" cy="2000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400050</xdr:colOff>
      <xdr:row>35</xdr:row>
      <xdr:rowOff>180975</xdr:rowOff>
    </xdr:from>
    <xdr:ext cx="38100" cy="1543050"/>
    <xdr:grpSp>
      <xdr:nvGrpSpPr>
        <xdr:cNvPr id="2" name="Shape 2"/>
        <xdr:cNvGrpSpPr/>
      </xdr:nvGrpSpPr>
      <xdr:grpSpPr>
        <a:xfrm>
          <a:off x="5346000" y="3008475"/>
          <a:ext cx="0" cy="1543050"/>
          <a:chOff x="5346000" y="3008475"/>
          <a:chExt cx="0" cy="1543050"/>
        </a:xfrm>
      </xdr:grpSpPr>
      <xdr:cxnSp>
        <xdr:nvCxnSpPr>
          <xdr:cNvPr id="34" name="Shape 34"/>
          <xdr:cNvCxnSpPr/>
        </xdr:nvCxnSpPr>
        <xdr:spPr>
          <a:xfrm>
            <a:off x="5346000" y="3008475"/>
            <a:ext cx="0" cy="15430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361950</xdr:colOff>
      <xdr:row>36</xdr:row>
      <xdr:rowOff>0</xdr:rowOff>
    </xdr:from>
    <xdr:ext cx="38100" cy="1524000"/>
    <xdr:grpSp>
      <xdr:nvGrpSpPr>
        <xdr:cNvPr id="2" name="Shape 2"/>
        <xdr:cNvGrpSpPr/>
      </xdr:nvGrpSpPr>
      <xdr:grpSpPr>
        <a:xfrm>
          <a:off x="5346000" y="3018000"/>
          <a:ext cx="0" cy="1524000"/>
          <a:chOff x="5346000" y="3018000"/>
          <a:chExt cx="0" cy="1524000"/>
        </a:xfrm>
      </xdr:grpSpPr>
      <xdr:cxnSp>
        <xdr:nvCxnSpPr>
          <xdr:cNvPr id="16" name="Shape 16"/>
          <xdr:cNvCxnSpPr/>
        </xdr:nvCxnSpPr>
        <xdr:spPr>
          <a:xfrm>
            <a:off x="5346000" y="3018000"/>
            <a:ext cx="0" cy="1524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704850</xdr:colOff>
      <xdr:row>42</xdr:row>
      <xdr:rowOff>180975</xdr:rowOff>
    </xdr:from>
    <xdr:ext cx="657225" cy="209550"/>
    <xdr:sp>
      <xdr:nvSpPr>
        <xdr:cNvPr id="35" name="Shape 35"/>
        <xdr:cNvSpPr/>
      </xdr:nvSpPr>
      <xdr:spPr>
        <a:xfrm>
          <a:off x="5022150" y="3679988"/>
          <a:ext cx="647700" cy="200025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676275</xdr:colOff>
      <xdr:row>41</xdr:row>
      <xdr:rowOff>180975</xdr:rowOff>
    </xdr:from>
    <xdr:ext cx="95250" cy="200025"/>
    <xdr:sp>
      <xdr:nvSpPr>
        <xdr:cNvPr id="36" name="Shape 36"/>
        <xdr:cNvSpPr/>
      </xdr:nvSpPr>
      <xdr:spPr>
        <a:xfrm>
          <a:off x="5303138" y="3684750"/>
          <a:ext cx="85725" cy="19050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914400</xdr:colOff>
      <xdr:row>36</xdr:row>
      <xdr:rowOff>0</xdr:rowOff>
    </xdr:from>
    <xdr:ext cx="342900" cy="200025"/>
    <xdr:sp>
      <xdr:nvSpPr>
        <xdr:cNvPr id="37" name="Shape 37"/>
        <xdr:cNvSpPr/>
      </xdr:nvSpPr>
      <xdr:spPr>
        <a:xfrm>
          <a:off x="5179313" y="3684750"/>
          <a:ext cx="333375" cy="19050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447675</xdr:colOff>
      <xdr:row>41</xdr:row>
      <xdr:rowOff>0</xdr:rowOff>
    </xdr:from>
    <xdr:ext cx="314325" cy="200025"/>
    <xdr:sp>
      <xdr:nvSpPr>
        <xdr:cNvPr id="38" name="Shape 38"/>
        <xdr:cNvSpPr/>
      </xdr:nvSpPr>
      <xdr:spPr>
        <a:xfrm>
          <a:off x="5193600" y="3684750"/>
          <a:ext cx="304800" cy="19050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438150</xdr:colOff>
      <xdr:row>39</xdr:row>
      <xdr:rowOff>180975</xdr:rowOff>
    </xdr:from>
    <xdr:ext cx="314325" cy="200025"/>
    <xdr:sp>
      <xdr:nvSpPr>
        <xdr:cNvPr id="38" name="Shape 38"/>
        <xdr:cNvSpPr/>
      </xdr:nvSpPr>
      <xdr:spPr>
        <a:xfrm>
          <a:off x="5193600" y="3684750"/>
          <a:ext cx="304800" cy="19050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285750</xdr:colOff>
      <xdr:row>38</xdr:row>
      <xdr:rowOff>171450</xdr:rowOff>
    </xdr:from>
    <xdr:ext cx="447675" cy="219075"/>
    <xdr:sp>
      <xdr:nvSpPr>
        <xdr:cNvPr id="39" name="Shape 39"/>
        <xdr:cNvSpPr/>
      </xdr:nvSpPr>
      <xdr:spPr>
        <a:xfrm>
          <a:off x="5126925" y="3675225"/>
          <a:ext cx="438150" cy="20955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257175</xdr:colOff>
      <xdr:row>38</xdr:row>
      <xdr:rowOff>0</xdr:rowOff>
    </xdr:from>
    <xdr:ext cx="314325" cy="200025"/>
    <xdr:sp>
      <xdr:nvSpPr>
        <xdr:cNvPr id="38" name="Shape 38"/>
        <xdr:cNvSpPr/>
      </xdr:nvSpPr>
      <xdr:spPr>
        <a:xfrm>
          <a:off x="5193600" y="3684750"/>
          <a:ext cx="304800" cy="19050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238125</xdr:colOff>
      <xdr:row>37</xdr:row>
      <xdr:rowOff>0</xdr:rowOff>
    </xdr:from>
    <xdr:ext cx="66675" cy="190500"/>
    <xdr:sp>
      <xdr:nvSpPr>
        <xdr:cNvPr id="40" name="Shape 40"/>
        <xdr:cNvSpPr/>
      </xdr:nvSpPr>
      <xdr:spPr>
        <a:xfrm>
          <a:off x="5317425" y="3684750"/>
          <a:ext cx="57150" cy="19050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895350</xdr:colOff>
      <xdr:row>35</xdr:row>
      <xdr:rowOff>180975</xdr:rowOff>
    </xdr:from>
    <xdr:ext cx="38100" cy="1533525"/>
    <xdr:grpSp>
      <xdr:nvGrpSpPr>
        <xdr:cNvPr id="2" name="Shape 2"/>
        <xdr:cNvGrpSpPr/>
      </xdr:nvGrpSpPr>
      <xdr:grpSpPr>
        <a:xfrm>
          <a:off x="5346000" y="3013238"/>
          <a:ext cx="0" cy="1533525"/>
          <a:chOff x="5346000" y="3013238"/>
          <a:chExt cx="0" cy="1533525"/>
        </a:xfrm>
      </xdr:grpSpPr>
      <xdr:cxnSp>
        <xdr:nvCxnSpPr>
          <xdr:cNvPr id="41" name="Shape 41"/>
          <xdr:cNvCxnSpPr/>
        </xdr:nvCxnSpPr>
        <xdr:spPr>
          <a:xfrm>
            <a:off x="5346000" y="3013238"/>
            <a:ext cx="0" cy="15335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514350</xdr:colOff>
      <xdr:row>36</xdr:row>
      <xdr:rowOff>0</xdr:rowOff>
    </xdr:from>
    <xdr:ext cx="38100" cy="1524000"/>
    <xdr:grpSp>
      <xdr:nvGrpSpPr>
        <xdr:cNvPr id="2" name="Shape 2"/>
        <xdr:cNvGrpSpPr/>
      </xdr:nvGrpSpPr>
      <xdr:grpSpPr>
        <a:xfrm>
          <a:off x="5346000" y="3018000"/>
          <a:ext cx="0" cy="1524000"/>
          <a:chOff x="5346000" y="3018000"/>
          <a:chExt cx="0" cy="1524000"/>
        </a:xfrm>
      </xdr:grpSpPr>
      <xdr:cxnSp>
        <xdr:nvCxnSpPr>
          <xdr:cNvPr id="16" name="Shape 16"/>
          <xdr:cNvCxnSpPr/>
        </xdr:nvCxnSpPr>
        <xdr:spPr>
          <a:xfrm>
            <a:off x="5346000" y="3018000"/>
            <a:ext cx="0" cy="1524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66675</xdr:colOff>
      <xdr:row>42</xdr:row>
      <xdr:rowOff>180975</xdr:rowOff>
    </xdr:from>
    <xdr:ext cx="476250" cy="209550"/>
    <xdr:sp>
      <xdr:nvSpPr>
        <xdr:cNvPr id="42" name="Shape 42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47625</xdr:colOff>
      <xdr:row>42</xdr:row>
      <xdr:rowOff>0</xdr:rowOff>
    </xdr:from>
    <xdr:ext cx="476250" cy="190500"/>
    <xdr:sp>
      <xdr:nvSpPr>
        <xdr:cNvPr id="43" name="Shape 43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19050</xdr:colOff>
      <xdr:row>41</xdr:row>
      <xdr:rowOff>0</xdr:rowOff>
    </xdr:from>
    <xdr:ext cx="476250" cy="190500"/>
    <xdr:sp>
      <xdr:nvSpPr>
        <xdr:cNvPr id="44" name="Shape 44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838200</xdr:colOff>
      <xdr:row>39</xdr:row>
      <xdr:rowOff>180975</xdr:rowOff>
    </xdr:from>
    <xdr:ext cx="609600" cy="209550"/>
    <xdr:sp>
      <xdr:nvSpPr>
        <xdr:cNvPr id="45" name="Shape 45"/>
        <xdr:cNvSpPr/>
      </xdr:nvSpPr>
      <xdr:spPr>
        <a:xfrm>
          <a:off x="5045963" y="3679988"/>
          <a:ext cx="600075" cy="200025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819150</xdr:colOff>
      <xdr:row>38</xdr:row>
      <xdr:rowOff>171450</xdr:rowOff>
    </xdr:from>
    <xdr:ext cx="609600" cy="209550"/>
    <xdr:sp>
      <xdr:nvSpPr>
        <xdr:cNvPr id="46" name="Shape 46"/>
        <xdr:cNvSpPr/>
      </xdr:nvSpPr>
      <xdr:spPr>
        <a:xfrm>
          <a:off x="5045963" y="3679988"/>
          <a:ext cx="600075" cy="200025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781050</xdr:colOff>
      <xdr:row>37</xdr:row>
      <xdr:rowOff>180975</xdr:rowOff>
    </xdr:from>
    <xdr:ext cx="390525" cy="200025"/>
    <xdr:sp>
      <xdr:nvSpPr>
        <xdr:cNvPr id="47" name="Shape 47"/>
        <xdr:cNvSpPr/>
      </xdr:nvSpPr>
      <xdr:spPr>
        <a:xfrm>
          <a:off x="5155500" y="3684750"/>
          <a:ext cx="381000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542925</xdr:colOff>
      <xdr:row>36</xdr:row>
      <xdr:rowOff>0</xdr:rowOff>
    </xdr:from>
    <xdr:ext cx="609600" cy="200025"/>
    <xdr:sp>
      <xdr:nvSpPr>
        <xdr:cNvPr id="48" name="Shape 48"/>
        <xdr:cNvSpPr/>
      </xdr:nvSpPr>
      <xdr:spPr>
        <a:xfrm>
          <a:off x="5045963" y="3684750"/>
          <a:ext cx="600075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714375</xdr:colOff>
      <xdr:row>37</xdr:row>
      <xdr:rowOff>0</xdr:rowOff>
    </xdr:from>
    <xdr:ext cx="447675" cy="200025"/>
    <xdr:sp>
      <xdr:nvSpPr>
        <xdr:cNvPr id="49" name="Shape 49"/>
        <xdr:cNvSpPr/>
      </xdr:nvSpPr>
      <xdr:spPr>
        <a:xfrm>
          <a:off x="5126925" y="3684750"/>
          <a:ext cx="438150" cy="19050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514350</xdr:colOff>
      <xdr:row>35</xdr:row>
      <xdr:rowOff>180975</xdr:rowOff>
    </xdr:from>
    <xdr:ext cx="38100" cy="1533525"/>
    <xdr:grpSp>
      <xdr:nvGrpSpPr>
        <xdr:cNvPr id="2" name="Shape 2"/>
        <xdr:cNvGrpSpPr/>
      </xdr:nvGrpSpPr>
      <xdr:grpSpPr>
        <a:xfrm>
          <a:off x="5346000" y="3013238"/>
          <a:ext cx="0" cy="1533525"/>
          <a:chOff x="5346000" y="3013238"/>
          <a:chExt cx="0" cy="1533525"/>
        </a:xfrm>
      </xdr:grpSpPr>
      <xdr:cxnSp>
        <xdr:nvCxnSpPr>
          <xdr:cNvPr id="41" name="Shape 41"/>
          <xdr:cNvCxnSpPr/>
        </xdr:nvCxnSpPr>
        <xdr:spPr>
          <a:xfrm>
            <a:off x="5346000" y="3013238"/>
            <a:ext cx="0" cy="15335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</xdr:col>
      <xdr:colOff>457200</xdr:colOff>
      <xdr:row>43</xdr:row>
      <xdr:rowOff>0</xdr:rowOff>
    </xdr:from>
    <xdr:ext cx="85725" cy="190500"/>
    <xdr:sp>
      <xdr:nvSpPr>
        <xdr:cNvPr id="50" name="Shape 50"/>
        <xdr:cNvSpPr/>
      </xdr:nvSpPr>
      <xdr:spPr>
        <a:xfrm>
          <a:off x="5307900" y="3684750"/>
          <a:ext cx="76200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428625</xdr:colOff>
      <xdr:row>42</xdr:row>
      <xdr:rowOff>0</xdr:rowOff>
    </xdr:from>
    <xdr:ext cx="95250" cy="190500"/>
    <xdr:sp>
      <xdr:nvSpPr>
        <xdr:cNvPr id="51" name="Shape 51"/>
        <xdr:cNvSpPr/>
      </xdr:nvSpPr>
      <xdr:spPr>
        <a:xfrm>
          <a:off x="5303138" y="3684750"/>
          <a:ext cx="85725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409575</xdr:colOff>
      <xdr:row>41</xdr:row>
      <xdr:rowOff>0</xdr:rowOff>
    </xdr:from>
    <xdr:ext cx="66675" cy="190500"/>
    <xdr:sp>
      <xdr:nvSpPr>
        <xdr:cNvPr id="52" name="Shape 52"/>
        <xdr:cNvSpPr/>
      </xdr:nvSpPr>
      <xdr:spPr>
        <a:xfrm>
          <a:off x="5317425" y="3684750"/>
          <a:ext cx="57150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323850</xdr:colOff>
      <xdr:row>40</xdr:row>
      <xdr:rowOff>0</xdr:rowOff>
    </xdr:from>
    <xdr:ext cx="152400" cy="190500"/>
    <xdr:sp>
      <xdr:nvSpPr>
        <xdr:cNvPr id="53" name="Shape 53"/>
        <xdr:cNvSpPr/>
      </xdr:nvSpPr>
      <xdr:spPr>
        <a:xfrm>
          <a:off x="5274563" y="3689513"/>
          <a:ext cx="142875" cy="180975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228600</xdr:colOff>
      <xdr:row>39</xdr:row>
      <xdr:rowOff>0</xdr:rowOff>
    </xdr:from>
    <xdr:ext cx="238125" cy="190500"/>
    <xdr:sp>
      <xdr:nvSpPr>
        <xdr:cNvPr id="54" name="Shape 54"/>
        <xdr:cNvSpPr/>
      </xdr:nvSpPr>
      <xdr:spPr>
        <a:xfrm>
          <a:off x="5231700" y="3684750"/>
          <a:ext cx="228600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200025</xdr:colOff>
      <xdr:row>38</xdr:row>
      <xdr:rowOff>0</xdr:rowOff>
    </xdr:from>
    <xdr:ext cx="142875" cy="190500"/>
    <xdr:sp>
      <xdr:nvSpPr>
        <xdr:cNvPr id="55" name="Shape 55"/>
        <xdr:cNvSpPr/>
      </xdr:nvSpPr>
      <xdr:spPr>
        <a:xfrm>
          <a:off x="5279325" y="3689513"/>
          <a:ext cx="133350" cy="180975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190500</xdr:colOff>
      <xdr:row>37</xdr:row>
      <xdr:rowOff>0</xdr:rowOff>
    </xdr:from>
    <xdr:ext cx="47625" cy="190500"/>
    <xdr:sp>
      <xdr:nvSpPr>
        <xdr:cNvPr id="56" name="Shape 56"/>
        <xdr:cNvSpPr/>
      </xdr:nvSpPr>
      <xdr:spPr>
        <a:xfrm>
          <a:off x="5326950" y="3684750"/>
          <a:ext cx="38100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152400</xdr:colOff>
      <xdr:row>36</xdr:row>
      <xdr:rowOff>0</xdr:rowOff>
    </xdr:from>
    <xdr:ext cx="85725" cy="190500"/>
    <xdr:sp>
      <xdr:nvSpPr>
        <xdr:cNvPr id="57" name="Shape 57"/>
        <xdr:cNvSpPr/>
      </xdr:nvSpPr>
      <xdr:spPr>
        <a:xfrm>
          <a:off x="5307900" y="3684750"/>
          <a:ext cx="76200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142875</xdr:colOff>
      <xdr:row>36</xdr:row>
      <xdr:rowOff>0</xdr:rowOff>
    </xdr:from>
    <xdr:ext cx="38100" cy="1524000"/>
    <xdr:grpSp>
      <xdr:nvGrpSpPr>
        <xdr:cNvPr id="2" name="Shape 2"/>
        <xdr:cNvGrpSpPr/>
      </xdr:nvGrpSpPr>
      <xdr:grpSpPr>
        <a:xfrm>
          <a:off x="5346000" y="3018000"/>
          <a:ext cx="0" cy="1524000"/>
          <a:chOff x="5346000" y="3018000"/>
          <a:chExt cx="0" cy="1524000"/>
        </a:xfrm>
      </xdr:grpSpPr>
      <xdr:cxnSp>
        <xdr:nvCxnSpPr>
          <xdr:cNvPr id="58" name="Shape 58"/>
          <xdr:cNvCxnSpPr/>
        </xdr:nvCxnSpPr>
        <xdr:spPr>
          <a:xfrm>
            <a:off x="5346000" y="3018000"/>
            <a:ext cx="0" cy="1524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285750</xdr:colOff>
      <xdr:row>36</xdr:row>
      <xdr:rowOff>0</xdr:rowOff>
    </xdr:from>
    <xdr:ext cx="38100" cy="1524000"/>
    <xdr:grpSp>
      <xdr:nvGrpSpPr>
        <xdr:cNvPr id="2" name="Shape 2"/>
        <xdr:cNvGrpSpPr/>
      </xdr:nvGrpSpPr>
      <xdr:grpSpPr>
        <a:xfrm>
          <a:off x="5346000" y="3018000"/>
          <a:ext cx="0" cy="1524000"/>
          <a:chOff x="5346000" y="3018000"/>
          <a:chExt cx="0" cy="1524000"/>
        </a:xfrm>
      </xdr:grpSpPr>
      <xdr:cxnSp>
        <xdr:nvCxnSpPr>
          <xdr:cNvPr id="59" name="Shape 59"/>
          <xdr:cNvCxnSpPr/>
        </xdr:nvCxnSpPr>
        <xdr:spPr>
          <a:xfrm>
            <a:off x="5346000" y="3018000"/>
            <a:ext cx="0" cy="1524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152400</xdr:colOff>
      <xdr:row>43</xdr:row>
      <xdr:rowOff>0</xdr:rowOff>
    </xdr:from>
    <xdr:ext cx="152400" cy="190500"/>
    <xdr:sp>
      <xdr:nvSpPr>
        <xdr:cNvPr id="60" name="Shape 60"/>
        <xdr:cNvSpPr/>
      </xdr:nvSpPr>
      <xdr:spPr>
        <a:xfrm>
          <a:off x="5274563" y="3689513"/>
          <a:ext cx="142875" cy="180975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123825</xdr:colOff>
      <xdr:row>42</xdr:row>
      <xdr:rowOff>0</xdr:rowOff>
    </xdr:from>
    <xdr:ext cx="161925" cy="190500"/>
    <xdr:sp>
      <xdr:nvSpPr>
        <xdr:cNvPr id="61" name="Shape 61"/>
        <xdr:cNvSpPr/>
      </xdr:nvSpPr>
      <xdr:spPr>
        <a:xfrm>
          <a:off x="5269800" y="3689513"/>
          <a:ext cx="152400" cy="180975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114300</xdr:colOff>
      <xdr:row>41</xdr:row>
      <xdr:rowOff>0</xdr:rowOff>
    </xdr:from>
    <xdr:ext cx="104775" cy="190500"/>
    <xdr:sp>
      <xdr:nvSpPr>
        <xdr:cNvPr id="62" name="Shape 62"/>
        <xdr:cNvSpPr/>
      </xdr:nvSpPr>
      <xdr:spPr>
        <a:xfrm>
          <a:off x="5298375" y="3684750"/>
          <a:ext cx="95250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866775</xdr:colOff>
      <xdr:row>40</xdr:row>
      <xdr:rowOff>0</xdr:rowOff>
    </xdr:from>
    <xdr:ext cx="314325" cy="200025"/>
    <xdr:sp>
      <xdr:nvSpPr>
        <xdr:cNvPr id="63" name="Shape 63"/>
        <xdr:cNvSpPr/>
      </xdr:nvSpPr>
      <xdr:spPr>
        <a:xfrm flipH="1">
          <a:off x="5193600" y="3684750"/>
          <a:ext cx="304800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542925</xdr:colOff>
      <xdr:row>39</xdr:row>
      <xdr:rowOff>0</xdr:rowOff>
    </xdr:from>
    <xdr:ext cx="619125" cy="190500"/>
    <xdr:sp>
      <xdr:nvSpPr>
        <xdr:cNvPr id="64" name="Shape 64"/>
        <xdr:cNvSpPr/>
      </xdr:nvSpPr>
      <xdr:spPr>
        <a:xfrm flipH="1">
          <a:off x="5041200" y="3689513"/>
          <a:ext cx="609600" cy="180975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514350</xdr:colOff>
      <xdr:row>38</xdr:row>
      <xdr:rowOff>0</xdr:rowOff>
    </xdr:from>
    <xdr:ext cx="333375" cy="200025"/>
    <xdr:sp>
      <xdr:nvSpPr>
        <xdr:cNvPr id="65" name="Shape 65"/>
        <xdr:cNvSpPr/>
      </xdr:nvSpPr>
      <xdr:spPr>
        <a:xfrm flipH="1">
          <a:off x="5184075" y="3684750"/>
          <a:ext cx="323850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495300</xdr:colOff>
      <xdr:row>37</xdr:row>
      <xdr:rowOff>0</xdr:rowOff>
    </xdr:from>
    <xdr:ext cx="76200" cy="200025"/>
    <xdr:sp>
      <xdr:nvSpPr>
        <xdr:cNvPr id="66" name="Shape 66"/>
        <xdr:cNvSpPr/>
      </xdr:nvSpPr>
      <xdr:spPr>
        <a:xfrm flipH="1">
          <a:off x="5312663" y="3684750"/>
          <a:ext cx="66675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400050</xdr:colOff>
      <xdr:row>36</xdr:row>
      <xdr:rowOff>0</xdr:rowOff>
    </xdr:from>
    <xdr:ext cx="161925" cy="190500"/>
    <xdr:sp>
      <xdr:nvSpPr>
        <xdr:cNvPr id="67" name="Shape 67"/>
        <xdr:cNvSpPr/>
      </xdr:nvSpPr>
      <xdr:spPr>
        <a:xfrm>
          <a:off x="5269800" y="3684750"/>
          <a:ext cx="152400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685800</xdr:colOff>
      <xdr:row>35</xdr:row>
      <xdr:rowOff>190500</xdr:rowOff>
    </xdr:from>
    <xdr:ext cx="38100" cy="1543050"/>
    <xdr:grpSp>
      <xdr:nvGrpSpPr>
        <xdr:cNvPr id="2" name="Shape 2"/>
        <xdr:cNvGrpSpPr/>
      </xdr:nvGrpSpPr>
      <xdr:grpSpPr>
        <a:xfrm>
          <a:off x="5346000" y="3008475"/>
          <a:ext cx="0" cy="1543050"/>
          <a:chOff x="5346000" y="3008475"/>
          <a:chExt cx="0" cy="1543050"/>
        </a:xfrm>
      </xdr:grpSpPr>
      <xdr:cxnSp>
        <xdr:nvCxnSpPr>
          <xdr:cNvPr id="68" name="Shape 68"/>
          <xdr:cNvCxnSpPr/>
        </xdr:nvCxnSpPr>
        <xdr:spPr>
          <a:xfrm>
            <a:off x="5346000" y="3008475"/>
            <a:ext cx="0" cy="15430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15</xdr:col>
      <xdr:colOff>638175</xdr:colOff>
      <xdr:row>42</xdr:row>
      <xdr:rowOff>180975</xdr:rowOff>
    </xdr:from>
    <xdr:ext cx="76200" cy="209550"/>
    <xdr:sp>
      <xdr:nvSpPr>
        <xdr:cNvPr id="69" name="Shape 69"/>
        <xdr:cNvSpPr/>
      </xdr:nvSpPr>
      <xdr:spPr>
        <a:xfrm flipH="1">
          <a:off x="5312663" y="3679988"/>
          <a:ext cx="66675" cy="200025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609600</xdr:colOff>
      <xdr:row>41</xdr:row>
      <xdr:rowOff>180975</xdr:rowOff>
    </xdr:from>
    <xdr:ext cx="76200" cy="200025"/>
    <xdr:sp>
      <xdr:nvSpPr>
        <xdr:cNvPr id="70" name="Shape 70"/>
        <xdr:cNvSpPr/>
      </xdr:nvSpPr>
      <xdr:spPr>
        <a:xfrm flipH="1">
          <a:off x="5312663" y="3684750"/>
          <a:ext cx="66675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590550</xdr:colOff>
      <xdr:row>41</xdr:row>
      <xdr:rowOff>0</xdr:rowOff>
    </xdr:from>
    <xdr:ext cx="57150" cy="200025"/>
    <xdr:sp>
      <xdr:nvSpPr>
        <xdr:cNvPr id="71" name="Shape 71"/>
        <xdr:cNvSpPr/>
      </xdr:nvSpPr>
      <xdr:spPr>
        <a:xfrm flipH="1">
          <a:off x="5322188" y="3684750"/>
          <a:ext cx="47625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495300</xdr:colOff>
      <xdr:row>40</xdr:row>
      <xdr:rowOff>0</xdr:rowOff>
    </xdr:from>
    <xdr:ext cx="152400" cy="190500"/>
    <xdr:sp>
      <xdr:nvSpPr>
        <xdr:cNvPr id="72" name="Shape 72"/>
        <xdr:cNvSpPr/>
      </xdr:nvSpPr>
      <xdr:spPr>
        <a:xfrm>
          <a:off x="5274563" y="3689513"/>
          <a:ext cx="142875" cy="180975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361950</xdr:colOff>
      <xdr:row>38</xdr:row>
      <xdr:rowOff>180975</xdr:rowOff>
    </xdr:from>
    <xdr:ext cx="266700" cy="200025"/>
    <xdr:sp>
      <xdr:nvSpPr>
        <xdr:cNvPr id="73" name="Shape 73"/>
        <xdr:cNvSpPr/>
      </xdr:nvSpPr>
      <xdr:spPr>
        <a:xfrm flipH="1">
          <a:off x="5217413" y="3684750"/>
          <a:ext cx="257175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342900</xdr:colOff>
      <xdr:row>38</xdr:row>
      <xdr:rowOff>0</xdr:rowOff>
    </xdr:from>
    <xdr:ext cx="161925" cy="190500"/>
    <xdr:sp>
      <xdr:nvSpPr>
        <xdr:cNvPr id="74" name="Shape 74"/>
        <xdr:cNvSpPr/>
      </xdr:nvSpPr>
      <xdr:spPr>
        <a:xfrm>
          <a:off x="5269800" y="3689513"/>
          <a:ext cx="152400" cy="180975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323850</xdr:colOff>
      <xdr:row>37</xdr:row>
      <xdr:rowOff>0</xdr:rowOff>
    </xdr:from>
    <xdr:ext cx="47625" cy="200025"/>
    <xdr:sp>
      <xdr:nvSpPr>
        <xdr:cNvPr id="75" name="Shape 75"/>
        <xdr:cNvSpPr/>
      </xdr:nvSpPr>
      <xdr:spPr>
        <a:xfrm flipH="1">
          <a:off x="5326950" y="3684750"/>
          <a:ext cx="38100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266700</xdr:colOff>
      <xdr:row>36</xdr:row>
      <xdr:rowOff>0</xdr:rowOff>
    </xdr:from>
    <xdr:ext cx="104775" cy="190500"/>
    <xdr:sp>
      <xdr:nvSpPr>
        <xdr:cNvPr id="76" name="Shape 76"/>
        <xdr:cNvSpPr/>
      </xdr:nvSpPr>
      <xdr:spPr>
        <a:xfrm>
          <a:off x="5298375" y="3684750"/>
          <a:ext cx="95250" cy="190500"/>
        </a:xfrm>
        <a:prstGeom prst="rect">
          <a:avLst/>
        </a:prstGeom>
        <a:solidFill>
          <a:srgbClr val="54813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276225</xdr:colOff>
      <xdr:row>43</xdr:row>
      <xdr:rowOff>0</xdr:rowOff>
    </xdr:from>
    <xdr:ext cx="171450" cy="190500"/>
    <xdr:sp>
      <xdr:nvSpPr>
        <xdr:cNvPr id="77" name="Shape 77"/>
        <xdr:cNvSpPr/>
      </xdr:nvSpPr>
      <xdr:spPr>
        <a:xfrm flipH="1">
          <a:off x="5265038" y="3684750"/>
          <a:ext cx="161925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419100</xdr:colOff>
      <xdr:row>35</xdr:row>
      <xdr:rowOff>180975</xdr:rowOff>
    </xdr:from>
    <xdr:ext cx="38100" cy="1543050"/>
    <xdr:grpSp>
      <xdr:nvGrpSpPr>
        <xdr:cNvPr id="2" name="Shape 2"/>
        <xdr:cNvGrpSpPr/>
      </xdr:nvGrpSpPr>
      <xdr:grpSpPr>
        <a:xfrm>
          <a:off x="5346000" y="3008475"/>
          <a:ext cx="0" cy="1543050"/>
          <a:chOff x="5346000" y="3008475"/>
          <a:chExt cx="0" cy="1543050"/>
        </a:xfrm>
      </xdr:grpSpPr>
      <xdr:cxnSp>
        <xdr:nvCxnSpPr>
          <xdr:cNvPr id="78" name="Shape 78"/>
          <xdr:cNvCxnSpPr/>
        </xdr:nvCxnSpPr>
        <xdr:spPr>
          <a:xfrm>
            <a:off x="5346000" y="3008475"/>
            <a:ext cx="0" cy="15430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247650</xdr:colOff>
      <xdr:row>42</xdr:row>
      <xdr:rowOff>0</xdr:rowOff>
    </xdr:from>
    <xdr:ext cx="190500" cy="190500"/>
    <xdr:sp>
      <xdr:nvSpPr>
        <xdr:cNvPr id="79" name="Shape 79"/>
        <xdr:cNvSpPr/>
      </xdr:nvSpPr>
      <xdr:spPr>
        <a:xfrm flipH="1">
          <a:off x="5255513" y="3684750"/>
          <a:ext cx="180975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114300</xdr:colOff>
      <xdr:row>40</xdr:row>
      <xdr:rowOff>180975</xdr:rowOff>
    </xdr:from>
    <xdr:ext cx="314325" cy="190500"/>
    <xdr:sp>
      <xdr:nvSpPr>
        <xdr:cNvPr id="80" name="Shape 80"/>
        <xdr:cNvSpPr/>
      </xdr:nvSpPr>
      <xdr:spPr>
        <a:xfrm flipH="1">
          <a:off x="5193600" y="3684750"/>
          <a:ext cx="304800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95250</xdr:colOff>
      <xdr:row>39</xdr:row>
      <xdr:rowOff>180975</xdr:rowOff>
    </xdr:from>
    <xdr:ext cx="314325" cy="190500"/>
    <xdr:sp>
      <xdr:nvSpPr>
        <xdr:cNvPr id="81" name="Shape 81"/>
        <xdr:cNvSpPr/>
      </xdr:nvSpPr>
      <xdr:spPr>
        <a:xfrm flipH="1">
          <a:off x="5193600" y="3684750"/>
          <a:ext cx="304800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66675</xdr:colOff>
      <xdr:row>39</xdr:row>
      <xdr:rowOff>0</xdr:rowOff>
    </xdr:from>
    <xdr:ext cx="314325" cy="190500"/>
    <xdr:sp>
      <xdr:nvSpPr>
        <xdr:cNvPr id="82" name="Shape 82"/>
        <xdr:cNvSpPr/>
      </xdr:nvSpPr>
      <xdr:spPr>
        <a:xfrm flipH="1">
          <a:off x="5193600" y="3684750"/>
          <a:ext cx="304800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38100</xdr:colOff>
      <xdr:row>38</xdr:row>
      <xdr:rowOff>0</xdr:rowOff>
    </xdr:from>
    <xdr:ext cx="190500" cy="190500"/>
    <xdr:sp>
      <xdr:nvSpPr>
        <xdr:cNvPr id="83" name="Shape 83"/>
        <xdr:cNvSpPr/>
      </xdr:nvSpPr>
      <xdr:spPr>
        <a:xfrm flipH="1">
          <a:off x="5255513" y="3689513"/>
          <a:ext cx="180975" cy="180975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895350</xdr:colOff>
      <xdr:row>37</xdr:row>
      <xdr:rowOff>0</xdr:rowOff>
    </xdr:from>
    <xdr:ext cx="285750" cy="200025"/>
    <xdr:sp>
      <xdr:nvSpPr>
        <xdr:cNvPr id="84" name="Shape 84"/>
        <xdr:cNvSpPr/>
      </xdr:nvSpPr>
      <xdr:spPr>
        <a:xfrm flipH="1">
          <a:off x="5207888" y="3684750"/>
          <a:ext cx="276225" cy="19050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885825</xdr:colOff>
      <xdr:row>35</xdr:row>
      <xdr:rowOff>180975</xdr:rowOff>
    </xdr:from>
    <xdr:ext cx="47625" cy="209550"/>
    <xdr:sp>
      <xdr:nvSpPr>
        <xdr:cNvPr id="85" name="Shape 85"/>
        <xdr:cNvSpPr/>
      </xdr:nvSpPr>
      <xdr:spPr>
        <a:xfrm flipH="1">
          <a:off x="5326950" y="3679988"/>
          <a:ext cx="38100" cy="200025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533400</xdr:colOff>
      <xdr:row>55</xdr:row>
      <xdr:rowOff>0</xdr:rowOff>
    </xdr:from>
    <xdr:ext cx="38100" cy="942975"/>
    <xdr:grpSp>
      <xdr:nvGrpSpPr>
        <xdr:cNvPr id="2" name="Shape 2"/>
        <xdr:cNvGrpSpPr/>
      </xdr:nvGrpSpPr>
      <xdr:grpSpPr>
        <a:xfrm>
          <a:off x="5346000" y="3308513"/>
          <a:ext cx="0" cy="942975"/>
          <a:chOff x="5346000" y="3308513"/>
          <a:chExt cx="0" cy="942975"/>
        </a:xfrm>
      </xdr:grpSpPr>
      <xdr:cxnSp>
        <xdr:nvCxnSpPr>
          <xdr:cNvPr id="86" name="Shape 86"/>
          <xdr:cNvCxnSpPr/>
        </xdr:nvCxnSpPr>
        <xdr:spPr>
          <a:xfrm>
            <a:off x="5346000" y="3308513"/>
            <a:ext cx="0" cy="9429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238125</xdr:colOff>
      <xdr:row>59</xdr:row>
      <xdr:rowOff>0</xdr:rowOff>
    </xdr:from>
    <xdr:ext cx="314325" cy="200025"/>
    <xdr:sp>
      <xdr:nvSpPr>
        <xdr:cNvPr id="87" name="Shape 87"/>
        <xdr:cNvSpPr/>
      </xdr:nvSpPr>
      <xdr:spPr>
        <a:xfrm>
          <a:off x="5193600" y="3684750"/>
          <a:ext cx="30480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209550</xdr:colOff>
      <xdr:row>58</xdr:row>
      <xdr:rowOff>0</xdr:rowOff>
    </xdr:from>
    <xdr:ext cx="238125" cy="190500"/>
    <xdr:sp>
      <xdr:nvSpPr>
        <xdr:cNvPr id="88" name="Shape 88"/>
        <xdr:cNvSpPr/>
      </xdr:nvSpPr>
      <xdr:spPr>
        <a:xfrm>
          <a:off x="5231700" y="3684750"/>
          <a:ext cx="22860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200025</xdr:colOff>
      <xdr:row>57</xdr:row>
      <xdr:rowOff>0</xdr:rowOff>
    </xdr:from>
    <xdr:ext cx="38100" cy="190500"/>
    <xdr:grpSp>
      <xdr:nvGrpSpPr>
        <xdr:cNvPr id="2" name="Shape 2"/>
        <xdr:cNvGrpSpPr/>
      </xdr:nvGrpSpPr>
      <xdr:grpSpPr>
        <a:xfrm>
          <a:off x="5346000" y="3684750"/>
          <a:ext cx="0" cy="190500"/>
          <a:chOff x="5346000" y="3684750"/>
          <a:chExt cx="0" cy="190500"/>
        </a:xfrm>
      </xdr:grpSpPr>
      <xdr:cxnSp>
        <xdr:nvCxnSpPr>
          <xdr:cNvPr id="89" name="Shape 89"/>
          <xdr:cNvCxnSpPr/>
        </xdr:nvCxnSpPr>
        <xdr:spPr>
          <a:xfrm rot="10800000">
            <a:off x="5346000" y="3684750"/>
            <a:ext cx="0" cy="190500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914400</xdr:colOff>
      <xdr:row>55</xdr:row>
      <xdr:rowOff>0</xdr:rowOff>
    </xdr:from>
    <xdr:ext cx="219075" cy="190500"/>
    <xdr:sp>
      <xdr:nvSpPr>
        <xdr:cNvPr id="90" name="Shape 90"/>
        <xdr:cNvSpPr/>
      </xdr:nvSpPr>
      <xdr:spPr>
        <a:xfrm>
          <a:off x="5241225" y="3684750"/>
          <a:ext cx="20955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942975</xdr:colOff>
      <xdr:row>56</xdr:row>
      <xdr:rowOff>0</xdr:rowOff>
    </xdr:from>
    <xdr:ext cx="257175" cy="190500"/>
    <xdr:sp>
      <xdr:nvSpPr>
        <xdr:cNvPr id="91" name="Shape 91"/>
        <xdr:cNvSpPr/>
      </xdr:nvSpPr>
      <xdr:spPr>
        <a:xfrm>
          <a:off x="5222175" y="3684750"/>
          <a:ext cx="247650" cy="1905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895350</xdr:colOff>
      <xdr:row>55</xdr:row>
      <xdr:rowOff>0</xdr:rowOff>
    </xdr:from>
    <xdr:ext cx="38100" cy="942975"/>
    <xdr:grpSp>
      <xdr:nvGrpSpPr>
        <xdr:cNvPr id="2" name="Shape 2"/>
        <xdr:cNvGrpSpPr/>
      </xdr:nvGrpSpPr>
      <xdr:grpSpPr>
        <a:xfrm>
          <a:off x="5346000" y="3308513"/>
          <a:ext cx="0" cy="942975"/>
          <a:chOff x="5346000" y="3308513"/>
          <a:chExt cx="0" cy="942975"/>
        </a:xfrm>
      </xdr:grpSpPr>
      <xdr:cxnSp>
        <xdr:nvCxnSpPr>
          <xdr:cNvPr id="92" name="Shape 92"/>
          <xdr:cNvCxnSpPr/>
        </xdr:nvCxnSpPr>
        <xdr:spPr>
          <a:xfrm>
            <a:off x="5346000" y="3308513"/>
            <a:ext cx="0" cy="9429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200025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15</xdr:col>
      <xdr:colOff>257175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4" name="Shape 94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342900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5" name="Shape 95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219075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5" name="Shape 95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66675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200025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190500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66675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5" name="Shape 95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171450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390525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5" name="Shape 95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18</xdr:col>
      <xdr:colOff>85725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419100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409575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171450</xdr:colOff>
      <xdr:row>16</xdr:row>
      <xdr:rowOff>180975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19</xdr:col>
      <xdr:colOff>257175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6" name="Shape 96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257175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4" name="Shape 94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85725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7" name="Shape 97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</xdr:col>
      <xdr:colOff>390525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266700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4" name="Shape 94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18</xdr:col>
      <xdr:colOff>200025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323850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161925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8" name="Shape 98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18</xdr:col>
      <xdr:colOff>447675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5" name="Shape 95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457200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14</xdr:col>
      <xdr:colOff>266700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5" name="Shape 95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447675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5" name="Shape 95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</xdr:col>
      <xdr:colOff>266700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5" name="Shape 95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438150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314325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47625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190500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7" name="Shape 97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457200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5" name="Shape 95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133350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247650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5" name="Shape 95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14</xdr:col>
      <xdr:colOff>352425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8" name="Shape 98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</xdr:col>
      <xdr:colOff>142875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5" name="Shape 95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161925</xdr:colOff>
      <xdr:row>17</xdr:row>
      <xdr:rowOff>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3" name="Shape 93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19</xdr:col>
      <xdr:colOff>142875</xdr:colOff>
      <xdr:row>16</xdr:row>
      <xdr:rowOff>171450</xdr:rowOff>
    </xdr:from>
    <xdr:ext cx="38100" cy="1266825"/>
    <xdr:grpSp>
      <xdr:nvGrpSpPr>
        <xdr:cNvPr id="2" name="Shape 2"/>
        <xdr:cNvGrpSpPr/>
      </xdr:nvGrpSpPr>
      <xdr:grpSpPr>
        <a:xfrm>
          <a:off x="5346000" y="3146588"/>
          <a:ext cx="0" cy="1266825"/>
          <a:chOff x="5346000" y="3146588"/>
          <a:chExt cx="0" cy="1266825"/>
        </a:xfrm>
      </xdr:grpSpPr>
      <xdr:cxnSp>
        <xdr:nvCxnSpPr>
          <xdr:cNvPr id="96" name="Shape 96"/>
          <xdr:cNvCxnSpPr/>
        </xdr:nvCxnSpPr>
        <xdr:spPr>
          <a:xfrm>
            <a:off x="5346000" y="3146588"/>
            <a:ext cx="0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76200</xdr:colOff>
      <xdr:row>23</xdr:row>
      <xdr:rowOff>0</xdr:rowOff>
    </xdr:from>
    <xdr:ext cx="152400" cy="180975"/>
    <xdr:sp>
      <xdr:nvSpPr>
        <xdr:cNvPr id="99" name="Shape 99"/>
        <xdr:cNvSpPr/>
      </xdr:nvSpPr>
      <xdr:spPr>
        <a:xfrm>
          <a:off x="5274563" y="3694275"/>
          <a:ext cx="142875" cy="1714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66675</xdr:colOff>
      <xdr:row>24</xdr:row>
      <xdr:rowOff>171450</xdr:rowOff>
    </xdr:from>
    <xdr:ext cx="38100" cy="200025"/>
    <xdr:grpSp>
      <xdr:nvGrpSpPr>
        <xdr:cNvPr id="2" name="Shape 2"/>
        <xdr:cNvGrpSpPr/>
      </xdr:nvGrpSpPr>
      <xdr:grpSpPr>
        <a:xfrm>
          <a:off x="5346000" y="3679988"/>
          <a:ext cx="0" cy="200025"/>
          <a:chOff x="5346000" y="3679988"/>
          <a:chExt cx="0" cy="200025"/>
        </a:xfrm>
      </xdr:grpSpPr>
      <xdr:cxnSp>
        <xdr:nvCxnSpPr>
          <xdr:cNvPr id="100" name="Shape 100"/>
          <xdr:cNvCxnSpPr/>
        </xdr:nvCxnSpPr>
        <xdr:spPr>
          <a:xfrm>
            <a:off x="5346000" y="3679988"/>
            <a:ext cx="0" cy="2000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152400</xdr:colOff>
      <xdr:row>24</xdr:row>
      <xdr:rowOff>171450</xdr:rowOff>
    </xdr:from>
    <xdr:ext cx="38100" cy="200025"/>
    <xdr:grpSp>
      <xdr:nvGrpSpPr>
        <xdr:cNvPr id="2" name="Shape 2"/>
        <xdr:cNvGrpSpPr/>
      </xdr:nvGrpSpPr>
      <xdr:grpSpPr>
        <a:xfrm>
          <a:off x="5346000" y="3679988"/>
          <a:ext cx="0" cy="200025"/>
          <a:chOff x="5346000" y="3679988"/>
          <a:chExt cx="0" cy="200025"/>
        </a:xfrm>
      </xdr:grpSpPr>
      <xdr:cxnSp>
        <xdr:nvCxnSpPr>
          <xdr:cNvPr id="101" name="Shape 101"/>
          <xdr:cNvCxnSpPr/>
        </xdr:nvCxnSpPr>
        <xdr:spPr>
          <a:xfrm>
            <a:off x="5346000" y="3679988"/>
            <a:ext cx="0" cy="2000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228600</xdr:colOff>
      <xdr:row>24</xdr:row>
      <xdr:rowOff>171450</xdr:rowOff>
    </xdr:from>
    <xdr:ext cx="38100" cy="190500"/>
    <xdr:grpSp>
      <xdr:nvGrpSpPr>
        <xdr:cNvPr id="2" name="Shape 2"/>
        <xdr:cNvGrpSpPr/>
      </xdr:nvGrpSpPr>
      <xdr:grpSpPr>
        <a:xfrm>
          <a:off x="5346000" y="3684750"/>
          <a:ext cx="0" cy="190500"/>
          <a:chOff x="5346000" y="3684750"/>
          <a:chExt cx="0" cy="190500"/>
        </a:xfrm>
      </xdr:grpSpPr>
      <xdr:cxnSp>
        <xdr:nvCxnSpPr>
          <xdr:cNvPr id="102" name="Shape 102"/>
          <xdr:cNvCxnSpPr/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314325</xdr:colOff>
      <xdr:row>24</xdr:row>
      <xdr:rowOff>171450</xdr:rowOff>
    </xdr:from>
    <xdr:ext cx="38100" cy="190500"/>
    <xdr:grpSp>
      <xdr:nvGrpSpPr>
        <xdr:cNvPr id="2" name="Shape 2"/>
        <xdr:cNvGrpSpPr/>
      </xdr:nvGrpSpPr>
      <xdr:grpSpPr>
        <a:xfrm>
          <a:off x="5346000" y="3684750"/>
          <a:ext cx="0" cy="190500"/>
          <a:chOff x="5346000" y="3684750"/>
          <a:chExt cx="0" cy="190500"/>
        </a:xfrm>
      </xdr:grpSpPr>
      <xdr:cxnSp>
        <xdr:nvCxnSpPr>
          <xdr:cNvPr id="103" name="Shape 103"/>
          <xdr:cNvCxnSpPr/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409575</xdr:colOff>
      <xdr:row>25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04" name="Shape 104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485775</xdr:colOff>
      <xdr:row>25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04" name="Shape 104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66675</xdr:colOff>
      <xdr:row>22</xdr:row>
      <xdr:rowOff>0</xdr:rowOff>
    </xdr:from>
    <xdr:ext cx="57150" cy="180975"/>
    <xdr:sp>
      <xdr:nvSpPr>
        <xdr:cNvPr id="105" name="Shape 105"/>
        <xdr:cNvSpPr/>
      </xdr:nvSpPr>
      <xdr:spPr>
        <a:xfrm>
          <a:off x="5322188" y="3694275"/>
          <a:ext cx="47625" cy="1714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47625</xdr:colOff>
      <xdr:row>21</xdr:row>
      <xdr:rowOff>0</xdr:rowOff>
    </xdr:from>
    <xdr:ext cx="66675" cy="180975"/>
    <xdr:sp>
      <xdr:nvSpPr>
        <xdr:cNvPr id="106" name="Shape 106"/>
        <xdr:cNvSpPr/>
      </xdr:nvSpPr>
      <xdr:spPr>
        <a:xfrm>
          <a:off x="5317425" y="3694275"/>
          <a:ext cx="57150" cy="1714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19050</xdr:colOff>
      <xdr:row>19</xdr:row>
      <xdr:rowOff>0</xdr:rowOff>
    </xdr:from>
    <xdr:ext cx="85725" cy="180975"/>
    <xdr:sp>
      <xdr:nvSpPr>
        <xdr:cNvPr id="107" name="Shape 107"/>
        <xdr:cNvSpPr/>
      </xdr:nvSpPr>
      <xdr:spPr>
        <a:xfrm>
          <a:off x="5307900" y="3694275"/>
          <a:ext cx="76200" cy="1714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571500</xdr:colOff>
      <xdr:row>18</xdr:row>
      <xdr:rowOff>0</xdr:rowOff>
    </xdr:from>
    <xdr:ext cx="114300" cy="180975"/>
    <xdr:sp>
      <xdr:nvSpPr>
        <xdr:cNvPr id="108" name="Shape 108"/>
        <xdr:cNvSpPr/>
      </xdr:nvSpPr>
      <xdr:spPr>
        <a:xfrm>
          <a:off x="5293613" y="3694275"/>
          <a:ext cx="104775" cy="1714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561975</xdr:colOff>
      <xdr:row>17</xdr:row>
      <xdr:rowOff>0</xdr:rowOff>
    </xdr:from>
    <xdr:ext cx="38100" cy="171450"/>
    <xdr:sp>
      <xdr:nvSpPr>
        <xdr:cNvPr id="109" name="Shape 109"/>
        <xdr:cNvSpPr/>
      </xdr:nvSpPr>
      <xdr:spPr>
        <a:xfrm>
          <a:off x="5336475" y="3694275"/>
          <a:ext cx="19050" cy="1714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28575</xdr:colOff>
      <xdr:row>23</xdr:row>
      <xdr:rowOff>0</xdr:rowOff>
    </xdr:from>
    <xdr:ext cx="47625" cy="180975"/>
    <xdr:sp>
      <xdr:nvSpPr>
        <xdr:cNvPr id="110" name="Shape 110"/>
        <xdr:cNvSpPr/>
      </xdr:nvSpPr>
      <xdr:spPr>
        <a:xfrm>
          <a:off x="5326950" y="3694275"/>
          <a:ext cx="38100" cy="17145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19050</xdr:colOff>
      <xdr:row>22</xdr:row>
      <xdr:rowOff>0</xdr:rowOff>
    </xdr:from>
    <xdr:ext cx="47625" cy="180975"/>
    <xdr:sp>
      <xdr:nvSpPr>
        <xdr:cNvPr id="110" name="Shape 110"/>
        <xdr:cNvSpPr/>
      </xdr:nvSpPr>
      <xdr:spPr>
        <a:xfrm>
          <a:off x="5326950" y="3694275"/>
          <a:ext cx="38100" cy="17145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590550</xdr:colOff>
      <xdr:row>21</xdr:row>
      <xdr:rowOff>0</xdr:rowOff>
    </xdr:from>
    <xdr:ext cx="57150" cy="180975"/>
    <xdr:sp>
      <xdr:nvSpPr>
        <xdr:cNvPr id="111" name="Shape 111"/>
        <xdr:cNvSpPr/>
      </xdr:nvSpPr>
      <xdr:spPr>
        <a:xfrm>
          <a:off x="5322188" y="3694275"/>
          <a:ext cx="47625" cy="17145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428625</xdr:colOff>
      <xdr:row>19</xdr:row>
      <xdr:rowOff>0</xdr:rowOff>
    </xdr:from>
    <xdr:ext cx="190500" cy="180975"/>
    <xdr:sp>
      <xdr:nvSpPr>
        <xdr:cNvPr id="112" name="Shape 112"/>
        <xdr:cNvSpPr/>
      </xdr:nvSpPr>
      <xdr:spPr>
        <a:xfrm>
          <a:off x="5255513" y="3694275"/>
          <a:ext cx="180975" cy="17145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409575</xdr:colOff>
      <xdr:row>18</xdr:row>
      <xdr:rowOff>0</xdr:rowOff>
    </xdr:from>
    <xdr:ext cx="66675" cy="180975"/>
    <xdr:sp>
      <xdr:nvSpPr>
        <xdr:cNvPr id="113" name="Shape 113"/>
        <xdr:cNvSpPr/>
      </xdr:nvSpPr>
      <xdr:spPr>
        <a:xfrm>
          <a:off x="5317425" y="3694275"/>
          <a:ext cx="57150" cy="17145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333375</xdr:colOff>
      <xdr:row>17</xdr:row>
      <xdr:rowOff>0</xdr:rowOff>
    </xdr:from>
    <xdr:ext cx="133350" cy="180975"/>
    <xdr:sp>
      <xdr:nvSpPr>
        <xdr:cNvPr id="114" name="Shape 114"/>
        <xdr:cNvSpPr/>
      </xdr:nvSpPr>
      <xdr:spPr>
        <a:xfrm>
          <a:off x="5284088" y="3694275"/>
          <a:ext cx="123825" cy="17145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571500</xdr:colOff>
      <xdr:row>23</xdr:row>
      <xdr:rowOff>0</xdr:rowOff>
    </xdr:from>
    <xdr:ext cx="57150" cy="180975"/>
    <xdr:sp>
      <xdr:nvSpPr>
        <xdr:cNvPr id="115" name="Shape 115"/>
        <xdr:cNvSpPr/>
      </xdr:nvSpPr>
      <xdr:spPr>
        <a:xfrm>
          <a:off x="5322188" y="3694275"/>
          <a:ext cx="47625" cy="17145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561975</xdr:colOff>
      <xdr:row>22</xdr:row>
      <xdr:rowOff>0</xdr:rowOff>
    </xdr:from>
    <xdr:ext cx="38100" cy="171450"/>
    <xdr:sp>
      <xdr:nvSpPr>
        <xdr:cNvPr id="116" name="Shape 116"/>
        <xdr:cNvSpPr/>
      </xdr:nvSpPr>
      <xdr:spPr>
        <a:xfrm>
          <a:off x="5336475" y="3694275"/>
          <a:ext cx="19050" cy="17145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542925</xdr:colOff>
      <xdr:row>21</xdr:row>
      <xdr:rowOff>0</xdr:rowOff>
    </xdr:from>
    <xdr:ext cx="47625" cy="180975"/>
    <xdr:sp>
      <xdr:nvSpPr>
        <xdr:cNvPr id="117" name="Shape 117"/>
        <xdr:cNvSpPr/>
      </xdr:nvSpPr>
      <xdr:spPr>
        <a:xfrm>
          <a:off x="5326950" y="3694275"/>
          <a:ext cx="38100" cy="17145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352425</xdr:colOff>
      <xdr:row>19</xdr:row>
      <xdr:rowOff>0</xdr:rowOff>
    </xdr:from>
    <xdr:ext cx="66675" cy="180975"/>
    <xdr:sp>
      <xdr:nvSpPr>
        <xdr:cNvPr id="118" name="Shape 118"/>
        <xdr:cNvSpPr/>
      </xdr:nvSpPr>
      <xdr:spPr>
        <a:xfrm>
          <a:off x="5317425" y="3694275"/>
          <a:ext cx="57150" cy="171450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304800</xdr:colOff>
      <xdr:row>17</xdr:row>
      <xdr:rowOff>0</xdr:rowOff>
    </xdr:from>
    <xdr:ext cx="38100" cy="171450"/>
    <xdr:grpSp>
      <xdr:nvGrpSpPr>
        <xdr:cNvPr id="2" name="Shape 2"/>
        <xdr:cNvGrpSpPr/>
      </xdr:nvGrpSpPr>
      <xdr:grpSpPr>
        <a:xfrm>
          <a:off x="5346000" y="3694275"/>
          <a:ext cx="0" cy="171450"/>
          <a:chOff x="5346000" y="3694275"/>
          <a:chExt cx="0" cy="171450"/>
        </a:xfrm>
      </xdr:grpSpPr>
      <xdr:cxnSp>
        <xdr:nvCxnSpPr>
          <xdr:cNvPr id="119" name="Shape 119"/>
          <xdr:cNvCxnSpPr/>
        </xdr:nvCxnSpPr>
        <xdr:spPr>
          <a:xfrm>
            <a:off x="5346000" y="3694275"/>
            <a:ext cx="0" cy="171450"/>
          </a:xfrm>
          <a:prstGeom prst="straightConnector1">
            <a:avLst/>
          </a:prstGeom>
          <a:noFill/>
          <a:ln cap="flat" cmpd="sng" w="22225">
            <a:solidFill>
              <a:srgbClr val="92D05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123825</xdr:colOff>
      <xdr:row>17</xdr:row>
      <xdr:rowOff>0</xdr:rowOff>
    </xdr:from>
    <xdr:ext cx="57150" cy="180975"/>
    <xdr:sp>
      <xdr:nvSpPr>
        <xdr:cNvPr id="120" name="Shape 120"/>
        <xdr:cNvSpPr/>
      </xdr:nvSpPr>
      <xdr:spPr>
        <a:xfrm>
          <a:off x="5322188" y="3694275"/>
          <a:ext cx="47625" cy="17145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333375</xdr:colOff>
      <xdr:row>18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21" name="Shape 121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22225">
            <a:solidFill>
              <a:srgbClr val="92D05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514350</xdr:colOff>
      <xdr:row>23</xdr:row>
      <xdr:rowOff>0</xdr:rowOff>
    </xdr:from>
    <xdr:ext cx="47625" cy="180975"/>
    <xdr:sp>
      <xdr:nvSpPr>
        <xdr:cNvPr id="122" name="Shape 122"/>
        <xdr:cNvSpPr/>
      </xdr:nvSpPr>
      <xdr:spPr>
        <a:xfrm>
          <a:off x="5326950" y="3694275"/>
          <a:ext cx="38100" cy="17145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504825</xdr:colOff>
      <xdr:row>22</xdr:row>
      <xdr:rowOff>0</xdr:rowOff>
    </xdr:from>
    <xdr:ext cx="47625" cy="180975"/>
    <xdr:sp>
      <xdr:nvSpPr>
        <xdr:cNvPr id="122" name="Shape 122"/>
        <xdr:cNvSpPr/>
      </xdr:nvSpPr>
      <xdr:spPr>
        <a:xfrm>
          <a:off x="5326950" y="3694275"/>
          <a:ext cx="38100" cy="17145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466725</xdr:colOff>
      <xdr:row>21</xdr:row>
      <xdr:rowOff>0</xdr:rowOff>
    </xdr:from>
    <xdr:ext cx="76200" cy="180975"/>
    <xdr:sp>
      <xdr:nvSpPr>
        <xdr:cNvPr id="123" name="Shape 123"/>
        <xdr:cNvSpPr/>
      </xdr:nvSpPr>
      <xdr:spPr>
        <a:xfrm>
          <a:off x="5312663" y="3694275"/>
          <a:ext cx="66675" cy="17145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276225</xdr:colOff>
      <xdr:row>19</xdr:row>
      <xdr:rowOff>0</xdr:rowOff>
    </xdr:from>
    <xdr:ext cx="66675" cy="180975"/>
    <xdr:sp>
      <xdr:nvSpPr>
        <xdr:cNvPr id="124" name="Shape 124"/>
        <xdr:cNvSpPr/>
      </xdr:nvSpPr>
      <xdr:spPr>
        <a:xfrm>
          <a:off x="5317425" y="3694275"/>
          <a:ext cx="57150" cy="171450"/>
        </a:xfrm>
        <a:prstGeom prst="rect">
          <a:avLst/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276225</xdr:colOff>
      <xdr:row>18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25" name="Shape 125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276225</xdr:colOff>
      <xdr:row>17</xdr:row>
      <xdr:rowOff>0</xdr:rowOff>
    </xdr:from>
    <xdr:ext cx="38100" cy="171450"/>
    <xdr:grpSp>
      <xdr:nvGrpSpPr>
        <xdr:cNvPr id="2" name="Shape 2"/>
        <xdr:cNvGrpSpPr/>
      </xdr:nvGrpSpPr>
      <xdr:grpSpPr>
        <a:xfrm>
          <a:off x="5346000" y="3694275"/>
          <a:ext cx="0" cy="171450"/>
          <a:chOff x="5346000" y="3694275"/>
          <a:chExt cx="0" cy="171450"/>
        </a:xfrm>
      </xdr:grpSpPr>
      <xdr:cxnSp>
        <xdr:nvCxnSpPr>
          <xdr:cNvPr id="126" name="Shape 126"/>
          <xdr:cNvCxnSpPr/>
        </xdr:nvCxnSpPr>
        <xdr:spPr>
          <a:xfrm>
            <a:off x="5346000" y="3694275"/>
            <a:ext cx="0" cy="171450"/>
          </a:xfrm>
          <a:prstGeom prst="straightConnector1">
            <a:avLst/>
          </a:prstGeom>
          <a:noFill/>
          <a:ln cap="flat" cmpd="sng" w="22225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447675</xdr:colOff>
      <xdr:row>23</xdr:row>
      <xdr:rowOff>0</xdr:rowOff>
    </xdr:from>
    <xdr:ext cx="76200" cy="180975"/>
    <xdr:sp>
      <xdr:nvSpPr>
        <xdr:cNvPr id="127" name="Shape 127"/>
        <xdr:cNvSpPr/>
      </xdr:nvSpPr>
      <xdr:spPr>
        <a:xfrm>
          <a:off x="5312663" y="3694275"/>
          <a:ext cx="6667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419100</xdr:colOff>
      <xdr:row>22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28" name="Shape 128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22225">
            <a:solidFill>
              <a:srgbClr val="00B0F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400050</xdr:colOff>
      <xdr:row>23</xdr:row>
      <xdr:rowOff>0</xdr:rowOff>
    </xdr:from>
    <xdr:ext cx="47625" cy="180975"/>
    <xdr:sp>
      <xdr:nvSpPr>
        <xdr:cNvPr id="129" name="Shape 129"/>
        <xdr:cNvSpPr/>
      </xdr:nvSpPr>
      <xdr:spPr>
        <a:xfrm>
          <a:off x="5326950" y="3694275"/>
          <a:ext cx="38100" cy="17145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371475</xdr:colOff>
      <xdr:row>21</xdr:row>
      <xdr:rowOff>0</xdr:rowOff>
    </xdr:from>
    <xdr:ext cx="76200" cy="180975"/>
    <xdr:sp>
      <xdr:nvSpPr>
        <xdr:cNvPr id="130" name="Shape 130"/>
        <xdr:cNvSpPr/>
      </xdr:nvSpPr>
      <xdr:spPr>
        <a:xfrm>
          <a:off x="5312663" y="3694275"/>
          <a:ext cx="6667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200025</xdr:colOff>
      <xdr:row>19</xdr:row>
      <xdr:rowOff>0</xdr:rowOff>
    </xdr:from>
    <xdr:ext cx="76200" cy="180975"/>
    <xdr:sp>
      <xdr:nvSpPr>
        <xdr:cNvPr id="130" name="Shape 130"/>
        <xdr:cNvSpPr/>
      </xdr:nvSpPr>
      <xdr:spPr>
        <a:xfrm>
          <a:off x="5312663" y="3694275"/>
          <a:ext cx="6667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200025</xdr:colOff>
      <xdr:row>18</xdr:row>
      <xdr:rowOff>0</xdr:rowOff>
    </xdr:from>
    <xdr:ext cx="66675" cy="180975"/>
    <xdr:sp>
      <xdr:nvSpPr>
        <xdr:cNvPr id="131" name="Shape 131"/>
        <xdr:cNvSpPr/>
      </xdr:nvSpPr>
      <xdr:spPr>
        <a:xfrm>
          <a:off x="5317425" y="3694275"/>
          <a:ext cx="57150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180975</xdr:colOff>
      <xdr:row>17</xdr:row>
      <xdr:rowOff>0</xdr:rowOff>
    </xdr:from>
    <xdr:ext cx="38100" cy="171450"/>
    <xdr:grpSp>
      <xdr:nvGrpSpPr>
        <xdr:cNvPr id="2" name="Shape 2"/>
        <xdr:cNvGrpSpPr/>
      </xdr:nvGrpSpPr>
      <xdr:grpSpPr>
        <a:xfrm>
          <a:off x="5346000" y="3694275"/>
          <a:ext cx="0" cy="171450"/>
          <a:chOff x="5346000" y="3694275"/>
          <a:chExt cx="0" cy="171450"/>
        </a:xfrm>
      </xdr:grpSpPr>
      <xdr:cxnSp>
        <xdr:nvCxnSpPr>
          <xdr:cNvPr id="132" name="Shape 132"/>
          <xdr:cNvCxnSpPr/>
        </xdr:nvCxnSpPr>
        <xdr:spPr>
          <a:xfrm>
            <a:off x="5346000" y="3694275"/>
            <a:ext cx="0" cy="171450"/>
          </a:xfrm>
          <a:prstGeom prst="straightConnector1">
            <a:avLst/>
          </a:prstGeom>
          <a:noFill/>
          <a:ln cap="flat" cmpd="sng" w="15875">
            <a:solidFill>
              <a:srgbClr val="00B0F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371475</xdr:colOff>
      <xdr:row>22</xdr:row>
      <xdr:rowOff>0</xdr:rowOff>
    </xdr:from>
    <xdr:ext cx="38100" cy="171450"/>
    <xdr:grpSp>
      <xdr:nvGrpSpPr>
        <xdr:cNvPr id="2" name="Shape 2"/>
        <xdr:cNvGrpSpPr/>
      </xdr:nvGrpSpPr>
      <xdr:grpSpPr>
        <a:xfrm>
          <a:off x="5346000" y="3694275"/>
          <a:ext cx="0" cy="171450"/>
          <a:chOff x="5346000" y="3694275"/>
          <a:chExt cx="0" cy="171450"/>
        </a:xfrm>
      </xdr:grpSpPr>
      <xdr:cxnSp>
        <xdr:nvCxnSpPr>
          <xdr:cNvPr id="133" name="Shape 133"/>
          <xdr:cNvCxnSpPr/>
        </xdr:nvCxnSpPr>
        <xdr:spPr>
          <a:xfrm>
            <a:off x="5346000" y="3694275"/>
            <a:ext cx="0" cy="171450"/>
          </a:xfrm>
          <a:prstGeom prst="straightConnector1">
            <a:avLst/>
          </a:prstGeom>
          <a:noFill/>
          <a:ln cap="flat" cmpd="sng" w="15875">
            <a:solidFill>
              <a:srgbClr val="7030A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323850</xdr:colOff>
      <xdr:row>21</xdr:row>
      <xdr:rowOff>0</xdr:rowOff>
    </xdr:from>
    <xdr:ext cx="47625" cy="180975"/>
    <xdr:sp>
      <xdr:nvSpPr>
        <xdr:cNvPr id="129" name="Shape 129"/>
        <xdr:cNvSpPr/>
      </xdr:nvSpPr>
      <xdr:spPr>
        <a:xfrm>
          <a:off x="5326950" y="3694275"/>
          <a:ext cx="38100" cy="171450"/>
        </a:xfrm>
        <a:prstGeom prst="rect">
          <a:avLst/>
        </a:prstGeom>
        <a:solidFill>
          <a:srgbClr val="7030A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171450</xdr:colOff>
      <xdr:row>19</xdr:row>
      <xdr:rowOff>0</xdr:rowOff>
    </xdr:from>
    <xdr:ext cx="38100" cy="171450"/>
    <xdr:grpSp>
      <xdr:nvGrpSpPr>
        <xdr:cNvPr id="2" name="Shape 2"/>
        <xdr:cNvGrpSpPr/>
      </xdr:nvGrpSpPr>
      <xdr:grpSpPr>
        <a:xfrm>
          <a:off x="5346000" y="3694275"/>
          <a:ext cx="0" cy="171450"/>
          <a:chOff x="5346000" y="3694275"/>
          <a:chExt cx="0" cy="171450"/>
        </a:xfrm>
      </xdr:grpSpPr>
      <xdr:cxnSp>
        <xdr:nvCxnSpPr>
          <xdr:cNvPr id="134" name="Shape 134"/>
          <xdr:cNvCxnSpPr/>
        </xdr:nvCxnSpPr>
        <xdr:spPr>
          <a:xfrm>
            <a:off x="5346000" y="3694275"/>
            <a:ext cx="0" cy="171450"/>
          </a:xfrm>
          <a:prstGeom prst="straightConnector1">
            <a:avLst/>
          </a:prstGeom>
          <a:noFill/>
          <a:ln cap="flat" cmpd="sng" w="22225">
            <a:solidFill>
              <a:srgbClr val="7030A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161925</xdr:colOff>
      <xdr:row>18</xdr:row>
      <xdr:rowOff>0</xdr:rowOff>
    </xdr:from>
    <xdr:ext cx="38100" cy="171450"/>
    <xdr:grpSp>
      <xdr:nvGrpSpPr>
        <xdr:cNvPr id="2" name="Shape 2"/>
        <xdr:cNvGrpSpPr/>
      </xdr:nvGrpSpPr>
      <xdr:grpSpPr>
        <a:xfrm>
          <a:off x="5346000" y="3694275"/>
          <a:ext cx="0" cy="171450"/>
          <a:chOff x="5346000" y="3694275"/>
          <a:chExt cx="0" cy="171450"/>
        </a:xfrm>
      </xdr:grpSpPr>
      <xdr:cxnSp>
        <xdr:nvCxnSpPr>
          <xdr:cNvPr id="133" name="Shape 133"/>
          <xdr:cNvCxnSpPr/>
        </xdr:nvCxnSpPr>
        <xdr:spPr>
          <a:xfrm>
            <a:off x="5346000" y="3694275"/>
            <a:ext cx="0" cy="171450"/>
          </a:xfrm>
          <a:prstGeom prst="straightConnector1">
            <a:avLst/>
          </a:prstGeom>
          <a:noFill/>
          <a:ln cap="flat" cmpd="sng" w="15875">
            <a:solidFill>
              <a:srgbClr val="7030A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152400</xdr:colOff>
      <xdr:row>23</xdr:row>
      <xdr:rowOff>0</xdr:rowOff>
    </xdr:from>
    <xdr:ext cx="76200" cy="180975"/>
    <xdr:sp>
      <xdr:nvSpPr>
        <xdr:cNvPr id="135" name="Shape 135"/>
        <xdr:cNvSpPr/>
      </xdr:nvSpPr>
      <xdr:spPr>
        <a:xfrm>
          <a:off x="5312663" y="3694275"/>
          <a:ext cx="66675" cy="171450"/>
        </a:xfrm>
        <a:prstGeom prst="rect">
          <a:avLst/>
        </a:prstGeom>
        <a:solidFill>
          <a:srgbClr val="0070C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142875</xdr:colOff>
      <xdr:row>21</xdr:row>
      <xdr:rowOff>180975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36" name="Shape 136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22225">
            <a:solidFill>
              <a:srgbClr val="0070C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133350</xdr:colOff>
      <xdr:row>21</xdr:row>
      <xdr:rowOff>0</xdr:rowOff>
    </xdr:from>
    <xdr:ext cx="38100" cy="171450"/>
    <xdr:grpSp>
      <xdr:nvGrpSpPr>
        <xdr:cNvPr id="2" name="Shape 2"/>
        <xdr:cNvGrpSpPr/>
      </xdr:nvGrpSpPr>
      <xdr:grpSpPr>
        <a:xfrm>
          <a:off x="5346000" y="3694275"/>
          <a:ext cx="0" cy="171450"/>
          <a:chOff x="5346000" y="3694275"/>
          <a:chExt cx="0" cy="171450"/>
        </a:xfrm>
      </xdr:grpSpPr>
      <xdr:cxnSp>
        <xdr:nvCxnSpPr>
          <xdr:cNvPr id="137" name="Shape 137"/>
          <xdr:cNvCxnSpPr/>
        </xdr:nvCxnSpPr>
        <xdr:spPr>
          <a:xfrm>
            <a:off x="5346000" y="3694275"/>
            <a:ext cx="0" cy="171450"/>
          </a:xfrm>
          <a:prstGeom prst="straightConnector1">
            <a:avLst/>
          </a:prstGeom>
          <a:noFill/>
          <a:ln cap="flat" cmpd="sng" w="22225">
            <a:solidFill>
              <a:srgbClr val="0070C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76200</xdr:colOff>
      <xdr:row>19</xdr:row>
      <xdr:rowOff>0</xdr:rowOff>
    </xdr:from>
    <xdr:ext cx="66675" cy="180975"/>
    <xdr:sp>
      <xdr:nvSpPr>
        <xdr:cNvPr id="138" name="Shape 138"/>
        <xdr:cNvSpPr/>
      </xdr:nvSpPr>
      <xdr:spPr>
        <a:xfrm>
          <a:off x="5317425" y="3694275"/>
          <a:ext cx="57150" cy="171450"/>
        </a:xfrm>
        <a:prstGeom prst="rect">
          <a:avLst/>
        </a:prstGeom>
        <a:solidFill>
          <a:srgbClr val="0070C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66675</xdr:colOff>
      <xdr:row>17</xdr:row>
      <xdr:rowOff>171450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39" name="Shape 139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2700">
            <a:solidFill>
              <a:srgbClr val="0070C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19050</xdr:colOff>
      <xdr:row>17</xdr:row>
      <xdr:rowOff>0</xdr:rowOff>
    </xdr:from>
    <xdr:ext cx="66675" cy="180975"/>
    <xdr:sp>
      <xdr:nvSpPr>
        <xdr:cNvPr id="138" name="Shape 138"/>
        <xdr:cNvSpPr/>
      </xdr:nvSpPr>
      <xdr:spPr>
        <a:xfrm>
          <a:off x="5317425" y="3694275"/>
          <a:ext cx="57150" cy="171450"/>
        </a:xfrm>
        <a:prstGeom prst="rect">
          <a:avLst/>
        </a:prstGeom>
        <a:solidFill>
          <a:srgbClr val="0070C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66675</xdr:colOff>
      <xdr:row>24</xdr:row>
      <xdr:rowOff>171450</xdr:rowOff>
    </xdr:from>
    <xdr:ext cx="38100" cy="200025"/>
    <xdr:grpSp>
      <xdr:nvGrpSpPr>
        <xdr:cNvPr id="2" name="Shape 2"/>
        <xdr:cNvGrpSpPr/>
      </xdr:nvGrpSpPr>
      <xdr:grpSpPr>
        <a:xfrm>
          <a:off x="5346000" y="3679988"/>
          <a:ext cx="0" cy="200025"/>
          <a:chOff x="5346000" y="3679988"/>
          <a:chExt cx="0" cy="200025"/>
        </a:xfrm>
      </xdr:grpSpPr>
      <xdr:cxnSp>
        <xdr:nvCxnSpPr>
          <xdr:cNvPr id="100" name="Shape 100"/>
          <xdr:cNvCxnSpPr/>
        </xdr:nvCxnSpPr>
        <xdr:spPr>
          <a:xfrm>
            <a:off x="5346000" y="3679988"/>
            <a:ext cx="0" cy="2000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152400</xdr:colOff>
      <xdr:row>24</xdr:row>
      <xdr:rowOff>171450</xdr:rowOff>
    </xdr:from>
    <xdr:ext cx="38100" cy="200025"/>
    <xdr:grpSp>
      <xdr:nvGrpSpPr>
        <xdr:cNvPr id="2" name="Shape 2"/>
        <xdr:cNvGrpSpPr/>
      </xdr:nvGrpSpPr>
      <xdr:grpSpPr>
        <a:xfrm>
          <a:off x="5346000" y="3679988"/>
          <a:ext cx="0" cy="200025"/>
          <a:chOff x="5346000" y="3679988"/>
          <a:chExt cx="0" cy="200025"/>
        </a:xfrm>
      </xdr:grpSpPr>
      <xdr:cxnSp>
        <xdr:nvCxnSpPr>
          <xdr:cNvPr id="101" name="Shape 101"/>
          <xdr:cNvCxnSpPr/>
        </xdr:nvCxnSpPr>
        <xdr:spPr>
          <a:xfrm>
            <a:off x="5346000" y="3679988"/>
            <a:ext cx="0" cy="2000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228600</xdr:colOff>
      <xdr:row>24</xdr:row>
      <xdr:rowOff>171450</xdr:rowOff>
    </xdr:from>
    <xdr:ext cx="38100" cy="190500"/>
    <xdr:grpSp>
      <xdr:nvGrpSpPr>
        <xdr:cNvPr id="2" name="Shape 2"/>
        <xdr:cNvGrpSpPr/>
      </xdr:nvGrpSpPr>
      <xdr:grpSpPr>
        <a:xfrm>
          <a:off x="5346000" y="3684750"/>
          <a:ext cx="0" cy="190500"/>
          <a:chOff x="5346000" y="3684750"/>
          <a:chExt cx="0" cy="190500"/>
        </a:xfrm>
      </xdr:grpSpPr>
      <xdr:cxnSp>
        <xdr:nvCxnSpPr>
          <xdr:cNvPr id="102" name="Shape 102"/>
          <xdr:cNvCxnSpPr/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314325</xdr:colOff>
      <xdr:row>24</xdr:row>
      <xdr:rowOff>171450</xdr:rowOff>
    </xdr:from>
    <xdr:ext cx="38100" cy="190500"/>
    <xdr:grpSp>
      <xdr:nvGrpSpPr>
        <xdr:cNvPr id="2" name="Shape 2"/>
        <xdr:cNvGrpSpPr/>
      </xdr:nvGrpSpPr>
      <xdr:grpSpPr>
        <a:xfrm>
          <a:off x="5346000" y="3684750"/>
          <a:ext cx="0" cy="190500"/>
          <a:chOff x="5346000" y="3684750"/>
          <a:chExt cx="0" cy="190500"/>
        </a:xfrm>
      </xdr:grpSpPr>
      <xdr:cxnSp>
        <xdr:nvCxnSpPr>
          <xdr:cNvPr id="103" name="Shape 103"/>
          <xdr:cNvCxnSpPr/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409575</xdr:colOff>
      <xdr:row>25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04" name="Shape 104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485775</xdr:colOff>
      <xdr:row>25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04" name="Shape 104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66675</xdr:colOff>
      <xdr:row>24</xdr:row>
      <xdr:rowOff>171450</xdr:rowOff>
    </xdr:from>
    <xdr:ext cx="38100" cy="200025"/>
    <xdr:grpSp>
      <xdr:nvGrpSpPr>
        <xdr:cNvPr id="2" name="Shape 2"/>
        <xdr:cNvGrpSpPr/>
      </xdr:nvGrpSpPr>
      <xdr:grpSpPr>
        <a:xfrm>
          <a:off x="5346000" y="3679988"/>
          <a:ext cx="0" cy="200025"/>
          <a:chOff x="5346000" y="3679988"/>
          <a:chExt cx="0" cy="200025"/>
        </a:xfrm>
      </xdr:grpSpPr>
      <xdr:cxnSp>
        <xdr:nvCxnSpPr>
          <xdr:cNvPr id="100" name="Shape 100"/>
          <xdr:cNvCxnSpPr/>
        </xdr:nvCxnSpPr>
        <xdr:spPr>
          <a:xfrm>
            <a:off x="5346000" y="3679988"/>
            <a:ext cx="0" cy="2000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152400</xdr:colOff>
      <xdr:row>24</xdr:row>
      <xdr:rowOff>171450</xdr:rowOff>
    </xdr:from>
    <xdr:ext cx="38100" cy="200025"/>
    <xdr:grpSp>
      <xdr:nvGrpSpPr>
        <xdr:cNvPr id="2" name="Shape 2"/>
        <xdr:cNvGrpSpPr/>
      </xdr:nvGrpSpPr>
      <xdr:grpSpPr>
        <a:xfrm>
          <a:off x="5346000" y="3679988"/>
          <a:ext cx="0" cy="200025"/>
          <a:chOff x="5346000" y="3679988"/>
          <a:chExt cx="0" cy="200025"/>
        </a:xfrm>
      </xdr:grpSpPr>
      <xdr:cxnSp>
        <xdr:nvCxnSpPr>
          <xdr:cNvPr id="101" name="Shape 101"/>
          <xdr:cNvCxnSpPr/>
        </xdr:nvCxnSpPr>
        <xdr:spPr>
          <a:xfrm>
            <a:off x="5346000" y="3679988"/>
            <a:ext cx="0" cy="2000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228600</xdr:colOff>
      <xdr:row>24</xdr:row>
      <xdr:rowOff>171450</xdr:rowOff>
    </xdr:from>
    <xdr:ext cx="38100" cy="190500"/>
    <xdr:grpSp>
      <xdr:nvGrpSpPr>
        <xdr:cNvPr id="2" name="Shape 2"/>
        <xdr:cNvGrpSpPr/>
      </xdr:nvGrpSpPr>
      <xdr:grpSpPr>
        <a:xfrm>
          <a:off x="5346000" y="3684750"/>
          <a:ext cx="0" cy="190500"/>
          <a:chOff x="5346000" y="3684750"/>
          <a:chExt cx="0" cy="190500"/>
        </a:xfrm>
      </xdr:grpSpPr>
      <xdr:cxnSp>
        <xdr:nvCxnSpPr>
          <xdr:cNvPr id="102" name="Shape 102"/>
          <xdr:cNvCxnSpPr/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314325</xdr:colOff>
      <xdr:row>24</xdr:row>
      <xdr:rowOff>171450</xdr:rowOff>
    </xdr:from>
    <xdr:ext cx="38100" cy="190500"/>
    <xdr:grpSp>
      <xdr:nvGrpSpPr>
        <xdr:cNvPr id="2" name="Shape 2"/>
        <xdr:cNvGrpSpPr/>
      </xdr:nvGrpSpPr>
      <xdr:grpSpPr>
        <a:xfrm>
          <a:off x="5346000" y="3684750"/>
          <a:ext cx="0" cy="190500"/>
          <a:chOff x="5346000" y="3684750"/>
          <a:chExt cx="0" cy="190500"/>
        </a:xfrm>
      </xdr:grpSpPr>
      <xdr:cxnSp>
        <xdr:nvCxnSpPr>
          <xdr:cNvPr id="103" name="Shape 103"/>
          <xdr:cNvCxnSpPr/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409575</xdr:colOff>
      <xdr:row>25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04" name="Shape 104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17</xdr:col>
      <xdr:colOff>485775</xdr:colOff>
      <xdr:row>25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04" name="Shape 104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123825</xdr:colOff>
      <xdr:row>19</xdr:row>
      <xdr:rowOff>0</xdr:rowOff>
    </xdr:from>
    <xdr:ext cx="76200" cy="180975"/>
    <xdr:sp>
      <xdr:nvSpPr>
        <xdr:cNvPr id="140" name="Shape 140"/>
        <xdr:cNvSpPr/>
      </xdr:nvSpPr>
      <xdr:spPr>
        <a:xfrm>
          <a:off x="5312663" y="3694275"/>
          <a:ext cx="66675" cy="17145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228600</xdr:colOff>
      <xdr:row>17</xdr:row>
      <xdr:rowOff>180975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41" name="Shape 141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0070C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15</xdr:col>
      <xdr:colOff>219075</xdr:colOff>
      <xdr:row>16</xdr:row>
      <xdr:rowOff>171450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42" name="Shape 142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2700">
            <a:solidFill>
              <a:srgbClr val="0070C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15</xdr:col>
      <xdr:colOff>238125</xdr:colOff>
      <xdr:row>21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43" name="Shape 143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0070C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15</xdr:col>
      <xdr:colOff>238125</xdr:colOff>
      <xdr:row>22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44" name="Shape 144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0070C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15</xdr:col>
      <xdr:colOff>247650</xdr:colOff>
      <xdr:row>23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45" name="Shape 145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2700">
            <a:solidFill>
              <a:srgbClr val="0070C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15</xdr:col>
      <xdr:colOff>228600</xdr:colOff>
      <xdr:row>18</xdr:row>
      <xdr:rowOff>171450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46" name="Shape 146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2700">
            <a:solidFill>
              <a:srgbClr val="0070C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285750</xdr:colOff>
      <xdr:row>23</xdr:row>
      <xdr:rowOff>0</xdr:rowOff>
    </xdr:from>
    <xdr:ext cx="76200" cy="180975"/>
    <xdr:sp>
      <xdr:nvSpPr>
        <xdr:cNvPr id="130" name="Shape 130"/>
        <xdr:cNvSpPr/>
      </xdr:nvSpPr>
      <xdr:spPr>
        <a:xfrm>
          <a:off x="5312663" y="3694275"/>
          <a:ext cx="6667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266700</xdr:colOff>
      <xdr:row>22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28" name="Shape 128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22225">
            <a:solidFill>
              <a:srgbClr val="00B0F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228600</xdr:colOff>
      <xdr:row>21</xdr:row>
      <xdr:rowOff>0</xdr:rowOff>
    </xdr:from>
    <xdr:ext cx="76200" cy="180975"/>
    <xdr:sp>
      <xdr:nvSpPr>
        <xdr:cNvPr id="127" name="Shape 127"/>
        <xdr:cNvSpPr/>
      </xdr:nvSpPr>
      <xdr:spPr>
        <a:xfrm>
          <a:off x="5312663" y="3694275"/>
          <a:ext cx="6667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219075</xdr:colOff>
      <xdr:row>19</xdr:row>
      <xdr:rowOff>0</xdr:rowOff>
    </xdr:from>
    <xdr:ext cx="76200" cy="180975"/>
    <xdr:sp>
      <xdr:nvSpPr>
        <xdr:cNvPr id="130" name="Shape 130"/>
        <xdr:cNvSpPr/>
      </xdr:nvSpPr>
      <xdr:spPr>
        <a:xfrm>
          <a:off x="5312663" y="3694275"/>
          <a:ext cx="6667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209550</xdr:colOff>
      <xdr:row>18</xdr:row>
      <xdr:rowOff>0</xdr:rowOff>
    </xdr:from>
    <xdr:ext cx="66675" cy="180975"/>
    <xdr:sp>
      <xdr:nvSpPr>
        <xdr:cNvPr id="131" name="Shape 131"/>
        <xdr:cNvSpPr/>
      </xdr:nvSpPr>
      <xdr:spPr>
        <a:xfrm>
          <a:off x="5317425" y="3694275"/>
          <a:ext cx="57150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200025</xdr:colOff>
      <xdr:row>17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47" name="Shape 147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5875">
            <a:solidFill>
              <a:srgbClr val="00B0F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561975</xdr:colOff>
      <xdr:row>23</xdr:row>
      <xdr:rowOff>0</xdr:rowOff>
    </xdr:from>
    <xdr:ext cx="104775" cy="180975"/>
    <xdr:sp>
      <xdr:nvSpPr>
        <xdr:cNvPr id="148" name="Shape 148"/>
        <xdr:cNvSpPr/>
      </xdr:nvSpPr>
      <xdr:spPr>
        <a:xfrm>
          <a:off x="5298375" y="3694275"/>
          <a:ext cx="95250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552450</xdr:colOff>
      <xdr:row>22</xdr:row>
      <xdr:rowOff>0</xdr:rowOff>
    </xdr:from>
    <xdr:ext cx="38100" cy="171450"/>
    <xdr:sp>
      <xdr:nvSpPr>
        <xdr:cNvPr id="149" name="Shape 149"/>
        <xdr:cNvSpPr/>
      </xdr:nvSpPr>
      <xdr:spPr>
        <a:xfrm>
          <a:off x="5331713" y="3694275"/>
          <a:ext cx="2857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466725</xdr:colOff>
      <xdr:row>21</xdr:row>
      <xdr:rowOff>0</xdr:rowOff>
    </xdr:from>
    <xdr:ext cx="133350" cy="180975"/>
    <xdr:sp>
      <xdr:nvSpPr>
        <xdr:cNvPr id="150" name="Shape 150"/>
        <xdr:cNvSpPr/>
      </xdr:nvSpPr>
      <xdr:spPr>
        <a:xfrm>
          <a:off x="5284088" y="3694275"/>
          <a:ext cx="12382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447675</xdr:colOff>
      <xdr:row>19</xdr:row>
      <xdr:rowOff>0</xdr:rowOff>
    </xdr:from>
    <xdr:ext cx="133350" cy="180975"/>
    <xdr:sp>
      <xdr:nvSpPr>
        <xdr:cNvPr id="151" name="Shape 151"/>
        <xdr:cNvSpPr/>
      </xdr:nvSpPr>
      <xdr:spPr>
        <a:xfrm>
          <a:off x="5284088" y="3694275"/>
          <a:ext cx="12382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428625</xdr:colOff>
      <xdr:row>18</xdr:row>
      <xdr:rowOff>0</xdr:rowOff>
    </xdr:from>
    <xdr:ext cx="133350" cy="180975"/>
    <xdr:sp>
      <xdr:nvSpPr>
        <xdr:cNvPr id="151" name="Shape 151"/>
        <xdr:cNvSpPr/>
      </xdr:nvSpPr>
      <xdr:spPr>
        <a:xfrm>
          <a:off x="5284088" y="3694275"/>
          <a:ext cx="12382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419100</xdr:colOff>
      <xdr:row>17</xdr:row>
      <xdr:rowOff>0</xdr:rowOff>
    </xdr:from>
    <xdr:ext cx="47625" cy="180975"/>
    <xdr:sp>
      <xdr:nvSpPr>
        <xdr:cNvPr id="152" name="Shape 152"/>
        <xdr:cNvSpPr/>
      </xdr:nvSpPr>
      <xdr:spPr>
        <a:xfrm>
          <a:off x="5326950" y="3694275"/>
          <a:ext cx="38100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600075</xdr:colOff>
      <xdr:row>23</xdr:row>
      <xdr:rowOff>0</xdr:rowOff>
    </xdr:from>
    <xdr:ext cx="209550" cy="180975"/>
    <xdr:sp>
      <xdr:nvSpPr>
        <xdr:cNvPr id="153" name="Shape 153"/>
        <xdr:cNvSpPr/>
      </xdr:nvSpPr>
      <xdr:spPr>
        <a:xfrm>
          <a:off x="5245988" y="3694275"/>
          <a:ext cx="20002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590550</xdr:colOff>
      <xdr:row>22</xdr:row>
      <xdr:rowOff>0</xdr:rowOff>
    </xdr:from>
    <xdr:ext cx="85725" cy="180975"/>
    <xdr:sp>
      <xdr:nvSpPr>
        <xdr:cNvPr id="154" name="Shape 154"/>
        <xdr:cNvSpPr/>
      </xdr:nvSpPr>
      <xdr:spPr>
        <a:xfrm>
          <a:off x="5307900" y="3694275"/>
          <a:ext cx="76200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438150</xdr:colOff>
      <xdr:row>19</xdr:row>
      <xdr:rowOff>0</xdr:rowOff>
    </xdr:from>
    <xdr:ext cx="219075" cy="180975"/>
    <xdr:sp>
      <xdr:nvSpPr>
        <xdr:cNvPr id="155" name="Shape 155"/>
        <xdr:cNvSpPr/>
      </xdr:nvSpPr>
      <xdr:spPr>
        <a:xfrm>
          <a:off x="5241225" y="3694275"/>
          <a:ext cx="209550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419100</xdr:colOff>
      <xdr:row>17</xdr:row>
      <xdr:rowOff>0</xdr:rowOff>
    </xdr:from>
    <xdr:ext cx="57150" cy="180975"/>
    <xdr:sp>
      <xdr:nvSpPr>
        <xdr:cNvPr id="156" name="Shape 156"/>
        <xdr:cNvSpPr/>
      </xdr:nvSpPr>
      <xdr:spPr>
        <a:xfrm>
          <a:off x="5322188" y="3694275"/>
          <a:ext cx="4762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457200</xdr:colOff>
      <xdr:row>21</xdr:row>
      <xdr:rowOff>0</xdr:rowOff>
    </xdr:from>
    <xdr:ext cx="209550" cy="180975"/>
    <xdr:sp>
      <xdr:nvSpPr>
        <xdr:cNvPr id="157" name="Shape 157"/>
        <xdr:cNvSpPr/>
      </xdr:nvSpPr>
      <xdr:spPr>
        <a:xfrm>
          <a:off x="5245988" y="3694275"/>
          <a:ext cx="20002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428625</xdr:colOff>
      <xdr:row>18</xdr:row>
      <xdr:rowOff>0</xdr:rowOff>
    </xdr:from>
    <xdr:ext cx="209550" cy="180975"/>
    <xdr:sp>
      <xdr:nvSpPr>
        <xdr:cNvPr id="153" name="Shape 153"/>
        <xdr:cNvSpPr/>
      </xdr:nvSpPr>
      <xdr:spPr>
        <a:xfrm>
          <a:off x="5245988" y="3694275"/>
          <a:ext cx="200025" cy="17145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390525</xdr:colOff>
      <xdr:row>19</xdr:row>
      <xdr:rowOff>0</xdr:rowOff>
    </xdr:from>
    <xdr:ext cx="57150" cy="180975"/>
    <xdr:sp>
      <xdr:nvSpPr>
        <xdr:cNvPr id="158" name="Shape 158"/>
        <xdr:cNvSpPr/>
      </xdr:nvSpPr>
      <xdr:spPr>
        <a:xfrm>
          <a:off x="5322188" y="3694275"/>
          <a:ext cx="47625" cy="17145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571500</xdr:colOff>
      <xdr:row>23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59" name="Shape 159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5875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561975</xdr:colOff>
      <xdr:row>22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0" name="Shape 160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2700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428625</xdr:colOff>
      <xdr:row>20</xdr:row>
      <xdr:rowOff>171450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1" name="Shape 161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381000</xdr:colOff>
      <xdr:row>17</xdr:row>
      <xdr:rowOff>180975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1" name="Shape 161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361950</xdr:colOff>
      <xdr:row>16</xdr:row>
      <xdr:rowOff>171450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2" name="Shape 162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38100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371475</xdr:colOff>
      <xdr:row>23</xdr:row>
      <xdr:rowOff>9525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3" name="Shape 163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361950</xdr:colOff>
      <xdr:row>22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4" name="Shape 164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295275</xdr:colOff>
      <xdr:row>21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5" name="Shape 165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9050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152400</xdr:colOff>
      <xdr:row>18</xdr:row>
      <xdr:rowOff>171450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6" name="Shape 166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2700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142875</xdr:colOff>
      <xdr:row>18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7" name="Shape 167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2700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95250</xdr:colOff>
      <xdr:row>16</xdr:row>
      <xdr:rowOff>171450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7" name="Shape 167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2700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561975</xdr:colOff>
      <xdr:row>23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8" name="Shape 168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552450</xdr:colOff>
      <xdr:row>22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3" name="Shape 163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409575</xdr:colOff>
      <xdr:row>20</xdr:row>
      <xdr:rowOff>171450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8" name="Shape 168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371475</xdr:colOff>
      <xdr:row>18</xdr:row>
      <xdr:rowOff>171450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9" name="Shape 169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361950</xdr:colOff>
      <xdr:row>18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4" name="Shape 164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16</xdr:col>
      <xdr:colOff>333375</xdr:colOff>
      <xdr:row>17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68" name="Shape 168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9525">
            <a:solidFill>
              <a:srgbClr val="A8D08C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180975</xdr:colOff>
      <xdr:row>23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70" name="Shape 170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-19050</xdr:colOff>
      <xdr:row>25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46" name="Shape 146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2700">
            <a:solidFill>
              <a:srgbClr val="0070C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171450</xdr:colOff>
      <xdr:row>22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71" name="Shape 171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161925</xdr:colOff>
      <xdr:row>20</xdr:row>
      <xdr:rowOff>171450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72" name="Shape 172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22225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104775</xdr:colOff>
      <xdr:row>18</xdr:row>
      <xdr:rowOff>0</xdr:rowOff>
    </xdr:from>
    <xdr:ext cx="38100" cy="180975"/>
    <xdr:grpSp>
      <xdr:nvGrpSpPr>
        <xdr:cNvPr id="2" name="Shape 2"/>
        <xdr:cNvGrpSpPr/>
      </xdr:nvGrpSpPr>
      <xdr:grpSpPr>
        <a:xfrm>
          <a:off x="5346000" y="3689513"/>
          <a:ext cx="0" cy="180975"/>
          <a:chOff x="5346000" y="3689513"/>
          <a:chExt cx="0" cy="180975"/>
        </a:xfrm>
      </xdr:grpSpPr>
      <xdr:cxnSp>
        <xdr:nvCxnSpPr>
          <xdr:cNvPr id="173" name="Shape 173"/>
          <xdr:cNvCxnSpPr/>
        </xdr:nvCxnSpPr>
        <xdr:spPr>
          <a:xfrm>
            <a:off x="5346000" y="3689513"/>
            <a:ext cx="0" cy="180975"/>
          </a:xfrm>
          <a:prstGeom prst="straightConnector1">
            <a:avLst/>
          </a:prstGeom>
          <a:noFill/>
          <a:ln cap="flat" cmpd="sng" w="22225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57150</xdr:colOff>
      <xdr:row>17</xdr:row>
      <xdr:rowOff>0</xdr:rowOff>
    </xdr:from>
    <xdr:ext cx="76200" cy="180975"/>
    <xdr:sp>
      <xdr:nvSpPr>
        <xdr:cNvPr id="140" name="Shape 140"/>
        <xdr:cNvSpPr/>
      </xdr:nvSpPr>
      <xdr:spPr>
        <a:xfrm>
          <a:off x="5312663" y="3694275"/>
          <a:ext cx="66675" cy="17145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571500</xdr:colOff>
      <xdr:row>23</xdr:row>
      <xdr:rowOff>0</xdr:rowOff>
    </xdr:from>
    <xdr:ext cx="209550" cy="180975"/>
    <xdr:sp>
      <xdr:nvSpPr>
        <xdr:cNvPr id="174" name="Shape 174"/>
        <xdr:cNvSpPr/>
      </xdr:nvSpPr>
      <xdr:spPr>
        <a:xfrm>
          <a:off x="5245988" y="3694275"/>
          <a:ext cx="200025" cy="171450"/>
        </a:xfrm>
        <a:prstGeom prst="rect">
          <a:avLst/>
        </a:prstGeom>
        <a:solidFill>
          <a:srgbClr val="A5A5A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552450</xdr:colOff>
      <xdr:row>22</xdr:row>
      <xdr:rowOff>0</xdr:rowOff>
    </xdr:from>
    <xdr:ext cx="76200" cy="180975"/>
    <xdr:sp>
      <xdr:nvSpPr>
        <xdr:cNvPr id="175" name="Shape 175"/>
        <xdr:cNvSpPr/>
      </xdr:nvSpPr>
      <xdr:spPr>
        <a:xfrm>
          <a:off x="5312663" y="3694275"/>
          <a:ext cx="66675" cy="171450"/>
        </a:xfrm>
        <a:prstGeom prst="rect">
          <a:avLst/>
        </a:prstGeom>
        <a:solidFill>
          <a:srgbClr val="A5A5A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495300</xdr:colOff>
      <xdr:row>21</xdr:row>
      <xdr:rowOff>0</xdr:rowOff>
    </xdr:from>
    <xdr:ext cx="123825" cy="180975"/>
    <xdr:sp>
      <xdr:nvSpPr>
        <xdr:cNvPr id="176" name="Shape 176"/>
        <xdr:cNvSpPr/>
      </xdr:nvSpPr>
      <xdr:spPr>
        <a:xfrm>
          <a:off x="5288850" y="3694275"/>
          <a:ext cx="114300" cy="171450"/>
        </a:xfrm>
        <a:prstGeom prst="rect">
          <a:avLst/>
        </a:prstGeom>
        <a:solidFill>
          <a:srgbClr val="A5A5A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409575</xdr:colOff>
      <xdr:row>19</xdr:row>
      <xdr:rowOff>0</xdr:rowOff>
    </xdr:from>
    <xdr:ext cx="200025" cy="180975"/>
    <xdr:sp>
      <xdr:nvSpPr>
        <xdr:cNvPr id="177" name="Shape 177"/>
        <xdr:cNvSpPr/>
      </xdr:nvSpPr>
      <xdr:spPr>
        <a:xfrm>
          <a:off x="5250750" y="3694275"/>
          <a:ext cx="190500" cy="171450"/>
        </a:xfrm>
        <a:prstGeom prst="rect">
          <a:avLst/>
        </a:prstGeom>
        <a:solidFill>
          <a:srgbClr val="A5A5A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381000</xdr:colOff>
      <xdr:row>18</xdr:row>
      <xdr:rowOff>0</xdr:rowOff>
    </xdr:from>
    <xdr:ext cx="152400" cy="180975"/>
    <xdr:sp>
      <xdr:nvSpPr>
        <xdr:cNvPr id="178" name="Shape 178"/>
        <xdr:cNvSpPr/>
      </xdr:nvSpPr>
      <xdr:spPr>
        <a:xfrm>
          <a:off x="5274563" y="3694275"/>
          <a:ext cx="142875" cy="171450"/>
        </a:xfrm>
        <a:prstGeom prst="rect">
          <a:avLst/>
        </a:prstGeom>
        <a:solidFill>
          <a:srgbClr val="A5A5A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352425</xdr:colOff>
      <xdr:row>17</xdr:row>
      <xdr:rowOff>0</xdr:rowOff>
    </xdr:from>
    <xdr:ext cx="152400" cy="180975"/>
    <xdr:sp>
      <xdr:nvSpPr>
        <xdr:cNvPr id="179" name="Shape 179"/>
        <xdr:cNvSpPr/>
      </xdr:nvSpPr>
      <xdr:spPr>
        <a:xfrm>
          <a:off x="5274563" y="3694275"/>
          <a:ext cx="142875" cy="171450"/>
        </a:xfrm>
        <a:prstGeom prst="rect">
          <a:avLst/>
        </a:prstGeom>
        <a:solidFill>
          <a:srgbClr val="A5A5A5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400050</xdr:colOff>
      <xdr:row>23</xdr:row>
      <xdr:rowOff>0</xdr:rowOff>
    </xdr:from>
    <xdr:ext cx="180975" cy="180975"/>
    <xdr:sp>
      <xdr:nvSpPr>
        <xdr:cNvPr id="180" name="Shape 180"/>
        <xdr:cNvSpPr/>
      </xdr:nvSpPr>
      <xdr:spPr>
        <a:xfrm>
          <a:off x="5260275" y="3694275"/>
          <a:ext cx="171450" cy="171450"/>
        </a:xfrm>
        <a:prstGeom prst="rect">
          <a:avLst/>
        </a:prstGeom>
        <a:solidFill>
          <a:srgbClr val="F4B08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495300</xdr:colOff>
      <xdr:row>25</xdr:row>
      <xdr:rowOff>0</xdr:rowOff>
    </xdr:from>
    <xdr:ext cx="95250" cy="180975"/>
    <xdr:sp>
      <xdr:nvSpPr>
        <xdr:cNvPr id="181" name="Shape 181"/>
        <xdr:cNvSpPr/>
      </xdr:nvSpPr>
      <xdr:spPr>
        <a:xfrm>
          <a:off x="5303138" y="3689513"/>
          <a:ext cx="85725" cy="180975"/>
        </a:xfrm>
        <a:prstGeom prst="rect">
          <a:avLst/>
        </a:prstGeom>
        <a:solidFill>
          <a:srgbClr val="F4B08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161925</xdr:colOff>
      <xdr:row>25</xdr:row>
      <xdr:rowOff>0</xdr:rowOff>
    </xdr:from>
    <xdr:ext cx="190500" cy="180975"/>
    <xdr:sp>
      <xdr:nvSpPr>
        <xdr:cNvPr id="182" name="Shape 182"/>
        <xdr:cNvSpPr/>
      </xdr:nvSpPr>
      <xdr:spPr>
        <a:xfrm>
          <a:off x="5255513" y="3694275"/>
          <a:ext cx="180975" cy="171450"/>
        </a:xfrm>
        <a:prstGeom prst="rect">
          <a:avLst/>
        </a:prstGeom>
        <a:solidFill>
          <a:srgbClr val="F4B08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6" width="10.86"/>
    <col customWidth="1" min="7" max="7" width="10.14"/>
    <col customWidth="1" min="8" max="8" width="12.0"/>
    <col customWidth="1" min="9" max="9" width="8.29"/>
    <col customWidth="1" min="10" max="10" width="10.14"/>
    <col customWidth="1" min="11" max="12" width="9.14"/>
    <col customWidth="1" min="13" max="13" width="7.43"/>
    <col customWidth="1" min="14" max="14" width="11.71"/>
    <col customWidth="1" min="15" max="15" width="12.0"/>
    <col customWidth="1" min="16" max="17" width="8.71"/>
    <col customWidth="1" min="18" max="18" width="14.57"/>
    <col customWidth="1" min="19" max="19" width="21.14"/>
    <col customWidth="1" min="20" max="20" width="15.29"/>
    <col customWidth="1" min="21" max="21" width="47.71"/>
    <col customWidth="1" min="22" max="31" width="8.71"/>
  </cols>
  <sheetData>
    <row r="1" ht="62.25" customHeight="1">
      <c r="A1" s="1" t="s">
        <v>0</v>
      </c>
      <c r="B1" s="2" t="s">
        <v>1</v>
      </c>
      <c r="C1" s="2" t="s">
        <v>2</v>
      </c>
      <c r="D1" s="2" t="s">
        <v>3</v>
      </c>
      <c r="E1" s="2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1" t="s">
        <v>11</v>
      </c>
      <c r="N1" s="4" t="s">
        <v>12</v>
      </c>
      <c r="O1" s="1" t="s">
        <v>13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14.25" customHeight="1">
      <c r="A2" s="6" t="s">
        <v>14</v>
      </c>
      <c r="B2" s="7">
        <v>0.0</v>
      </c>
      <c r="C2" s="6">
        <f t="shared" ref="C2:D2" si="1">$A$3*L2</f>
        <v>34.11198354</v>
      </c>
      <c r="D2" s="6">
        <f t="shared" si="1"/>
        <v>7.012935828</v>
      </c>
      <c r="E2" s="6"/>
      <c r="F2" s="6">
        <v>10.0</v>
      </c>
      <c r="G2" s="6" t="s">
        <v>15</v>
      </c>
      <c r="J2" s="6">
        <v>20.0</v>
      </c>
      <c r="K2" s="7">
        <v>0.0</v>
      </c>
      <c r="L2" s="7">
        <v>0.41599979921119845</v>
      </c>
      <c r="M2" s="8">
        <v>0.085523607660505</v>
      </c>
      <c r="N2" s="9">
        <v>61.71460331422424</v>
      </c>
      <c r="O2" s="6" t="s">
        <v>16</v>
      </c>
      <c r="R2" s="10" t="s">
        <v>17</v>
      </c>
    </row>
    <row r="3" ht="14.25" customHeight="1">
      <c r="A3" s="11">
        <v>82.0</v>
      </c>
      <c r="B3" s="7">
        <v>1.126493885641907</v>
      </c>
      <c r="C3" s="6">
        <f t="shared" ref="C3:D3" si="2">$A$3*L3</f>
        <v>10.57330087</v>
      </c>
      <c r="D3" s="6">
        <f t="shared" si="2"/>
        <v>9.13659172</v>
      </c>
      <c r="E3" s="6"/>
      <c r="F3" s="6">
        <v>20.0</v>
      </c>
      <c r="G3" s="6" t="s">
        <v>18</v>
      </c>
      <c r="J3" s="6">
        <v>20.0</v>
      </c>
      <c r="K3" s="7">
        <v>1.126493885641907</v>
      </c>
      <c r="L3" s="7">
        <v>0.12894269349985998</v>
      </c>
      <c r="M3" s="8">
        <v>0.111421850244242</v>
      </c>
      <c r="N3" s="9"/>
      <c r="R3" s="6" t="s">
        <v>19</v>
      </c>
      <c r="S3" s="6" t="s">
        <v>20</v>
      </c>
    </row>
    <row r="4" ht="14.25" customHeight="1">
      <c r="B4" s="7">
        <v>0.47589854172011603</v>
      </c>
      <c r="C4" s="6">
        <f t="shared" ref="C4:D4" si="3">$A$3*L4</f>
        <v>41.10964203</v>
      </c>
      <c r="D4" s="6">
        <f t="shared" si="3"/>
        <v>4.143755929</v>
      </c>
      <c r="E4" s="6"/>
      <c r="F4" s="6">
        <v>30.0</v>
      </c>
      <c r="G4" s="6" t="s">
        <v>21</v>
      </c>
      <c r="J4" s="6">
        <v>20.0</v>
      </c>
      <c r="K4" s="7">
        <v>0.47589854172011603</v>
      </c>
      <c r="L4" s="7">
        <v>0.5013370979610822</v>
      </c>
      <c r="M4" s="8">
        <v>0.0505336088938152</v>
      </c>
      <c r="N4" s="9"/>
      <c r="R4" s="6" t="s">
        <v>22</v>
      </c>
      <c r="S4" s="6" t="s">
        <v>23</v>
      </c>
    </row>
    <row r="5" ht="14.25" customHeight="1">
      <c r="B5" s="7">
        <v>0.0</v>
      </c>
      <c r="C5" s="6">
        <f t="shared" ref="C5:D5" si="4">$A$3*L5</f>
        <v>24.59875462</v>
      </c>
      <c r="D5" s="6">
        <f t="shared" si="4"/>
        <v>3.554216505</v>
      </c>
      <c r="E5" s="6"/>
      <c r="F5" s="6">
        <v>40.0</v>
      </c>
      <c r="G5" s="6" t="s">
        <v>24</v>
      </c>
      <c r="J5" s="6">
        <v>20.0</v>
      </c>
      <c r="K5" s="7">
        <v>0.0</v>
      </c>
      <c r="L5" s="7">
        <v>0.2999848124101848</v>
      </c>
      <c r="M5" s="8">
        <v>0.0433441037149536</v>
      </c>
      <c r="N5" s="9"/>
      <c r="R5" s="6" t="s">
        <v>25</v>
      </c>
      <c r="S5" s="6" t="s">
        <v>26</v>
      </c>
    </row>
    <row r="6" ht="14.25" customHeight="1">
      <c r="B6" s="7">
        <v>1.5370484240376798</v>
      </c>
      <c r="C6" s="6">
        <f t="shared" ref="C6:D6" si="5">$A$3*L6</f>
        <v>11.05965669</v>
      </c>
      <c r="D6" s="6">
        <f t="shared" si="5"/>
        <v>4.851169206</v>
      </c>
      <c r="E6" s="6"/>
      <c r="F6" s="6">
        <v>50.0</v>
      </c>
      <c r="G6" s="6" t="s">
        <v>27</v>
      </c>
      <c r="J6" s="6">
        <v>20.0</v>
      </c>
      <c r="K6" s="7">
        <v>1.5370484240376798</v>
      </c>
      <c r="L6" s="7">
        <v>0.13487386208912222</v>
      </c>
      <c r="M6" s="8">
        <v>0.0591606000707926</v>
      </c>
      <c r="N6" s="9"/>
      <c r="R6" s="6" t="s">
        <v>28</v>
      </c>
      <c r="S6" s="6" t="s">
        <v>29</v>
      </c>
    </row>
    <row r="7" ht="14.25" customHeight="1">
      <c r="B7" s="7">
        <v>0.0</v>
      </c>
      <c r="C7" s="6">
        <f t="shared" ref="C7:D7" si="6">$A$3*L7</f>
        <v>42.08456165</v>
      </c>
      <c r="D7" s="6">
        <f t="shared" si="6"/>
        <v>11.06524394</v>
      </c>
      <c r="E7" s="6"/>
      <c r="F7" s="6">
        <v>60.0</v>
      </c>
      <c r="G7" s="6" t="s">
        <v>30</v>
      </c>
      <c r="H7" s="6" t="s">
        <v>31</v>
      </c>
      <c r="J7" s="6">
        <v>40.0</v>
      </c>
      <c r="K7" s="7">
        <v>0.0</v>
      </c>
      <c r="L7" s="7">
        <v>0.5132263616080333</v>
      </c>
      <c r="M7" s="8">
        <v>0.134941999254343</v>
      </c>
      <c r="N7" s="9"/>
      <c r="R7" s="6" t="s">
        <v>32</v>
      </c>
      <c r="S7" s="6" t="s">
        <v>33</v>
      </c>
    </row>
    <row r="8" ht="14.25" customHeight="1">
      <c r="A8" s="6" t="s">
        <v>34</v>
      </c>
      <c r="B8" s="7">
        <v>1.3400903399286308</v>
      </c>
      <c r="C8" s="6">
        <f t="shared" ref="C8:D8" si="7">$A$9*L8</f>
        <v>68.56427381</v>
      </c>
      <c r="D8" s="6">
        <f t="shared" si="7"/>
        <v>30.53192793</v>
      </c>
      <c r="E8" s="6"/>
      <c r="F8" s="6">
        <v>10.0</v>
      </c>
      <c r="G8" s="6" t="s">
        <v>15</v>
      </c>
      <c r="J8" s="6">
        <v>20.0</v>
      </c>
      <c r="K8" s="7">
        <v>1.3400903399286308</v>
      </c>
      <c r="L8" s="7">
        <v>0.19205678939122783</v>
      </c>
      <c r="M8" s="8">
        <v>0.085523607660505</v>
      </c>
      <c r="N8" s="9">
        <v>298.99182601996716</v>
      </c>
      <c r="O8" s="6" t="s">
        <v>35</v>
      </c>
      <c r="R8" s="6" t="s">
        <v>36</v>
      </c>
      <c r="S8" s="6" t="s">
        <v>37</v>
      </c>
    </row>
    <row r="9" ht="14.25" customHeight="1">
      <c r="A9" s="12">
        <f>52+53+95+157</f>
        <v>357</v>
      </c>
      <c r="B9" s="7">
        <v>1.2404850126084865</v>
      </c>
      <c r="C9" s="6">
        <f t="shared" ref="C9:D9" si="8">$A$9*L9</f>
        <v>350.6350589</v>
      </c>
      <c r="D9" s="6">
        <f t="shared" si="8"/>
        <v>39.77760054</v>
      </c>
      <c r="E9" s="6"/>
      <c r="F9" s="6">
        <v>20.0</v>
      </c>
      <c r="G9" s="6" t="s">
        <v>18</v>
      </c>
      <c r="J9" s="6">
        <v>20.0</v>
      </c>
      <c r="K9" s="7">
        <v>1.2404850126084865</v>
      </c>
      <c r="L9" s="7">
        <v>0.9821710333551325</v>
      </c>
      <c r="M9" s="8">
        <v>0.111421850244242</v>
      </c>
      <c r="N9" s="9"/>
      <c r="R9" s="6" t="s">
        <v>38</v>
      </c>
      <c r="S9" s="6" t="s">
        <v>39</v>
      </c>
    </row>
    <row r="10" ht="14.25" customHeight="1">
      <c r="B10" s="7">
        <v>1.4021484442301118</v>
      </c>
      <c r="C10" s="6">
        <f t="shared" ref="C10:D10" si="9">$A$9*L10</f>
        <v>304.1229975</v>
      </c>
      <c r="D10" s="6">
        <f t="shared" si="9"/>
        <v>18.04049838</v>
      </c>
      <c r="E10" s="6"/>
      <c r="F10" s="6">
        <v>30.0</v>
      </c>
      <c r="G10" s="6" t="s">
        <v>21</v>
      </c>
      <c r="J10" s="6">
        <v>20.0</v>
      </c>
      <c r="K10" s="7">
        <v>1.4021484442301118</v>
      </c>
      <c r="L10" s="7">
        <v>0.8518851471971361</v>
      </c>
      <c r="M10" s="8">
        <v>0.0505336088938152</v>
      </c>
      <c r="N10" s="9"/>
      <c r="R10" s="6" t="s">
        <v>40</v>
      </c>
      <c r="S10" s="6" t="s">
        <v>41</v>
      </c>
    </row>
    <row r="11" ht="14.25" customHeight="1">
      <c r="B11" s="7">
        <v>0.6016397956161395</v>
      </c>
      <c r="C11" s="6">
        <f t="shared" ref="C11:D11" si="10">$A$9*L11</f>
        <v>374.85</v>
      </c>
      <c r="D11" s="6">
        <f t="shared" si="10"/>
        <v>15.47384503</v>
      </c>
      <c r="E11" s="6"/>
      <c r="F11" s="6">
        <v>40.0</v>
      </c>
      <c r="G11" s="6" t="s">
        <v>24</v>
      </c>
      <c r="J11" s="6">
        <v>20.0</v>
      </c>
      <c r="K11" s="7">
        <v>0.6016397956161395</v>
      </c>
      <c r="L11" s="7">
        <v>1.05</v>
      </c>
      <c r="M11" s="8">
        <v>0.0433441037149536</v>
      </c>
      <c r="N11" s="9"/>
    </row>
    <row r="12" ht="14.25" customHeight="1">
      <c r="B12" s="7">
        <v>1.4306367789004921</v>
      </c>
      <c r="C12" s="6">
        <f t="shared" ref="C12:D12" si="11">$A$9*L12</f>
        <v>71.4</v>
      </c>
      <c r="D12" s="6">
        <f t="shared" si="11"/>
        <v>21.12033423</v>
      </c>
      <c r="E12" s="6"/>
      <c r="F12" s="6">
        <v>50.0</v>
      </c>
      <c r="G12" s="6" t="s">
        <v>27</v>
      </c>
      <c r="J12" s="6">
        <v>20.0</v>
      </c>
      <c r="K12" s="7">
        <v>1.4306367789004921</v>
      </c>
      <c r="L12" s="7">
        <v>0.2</v>
      </c>
      <c r="M12" s="8">
        <v>0.0591606000707926</v>
      </c>
      <c r="N12" s="9"/>
    </row>
    <row r="13" ht="14.25" customHeight="1">
      <c r="B13" s="7">
        <v>0.2</v>
      </c>
      <c r="C13" s="6">
        <f t="shared" ref="C13:D13" si="12">$A$9*L13</f>
        <v>276.7530794</v>
      </c>
      <c r="D13" s="6">
        <f t="shared" si="12"/>
        <v>48.17429373</v>
      </c>
      <c r="E13" s="6"/>
      <c r="F13" s="6">
        <v>60.0</v>
      </c>
      <c r="G13" s="6" t="s">
        <v>30</v>
      </c>
      <c r="H13" s="6" t="s">
        <v>42</v>
      </c>
      <c r="I13" s="6">
        <v>1.0</v>
      </c>
      <c r="J13" s="6">
        <v>40.0</v>
      </c>
      <c r="K13" s="7">
        <v>0.2</v>
      </c>
      <c r="L13" s="7">
        <v>0.7752187096720042</v>
      </c>
      <c r="M13" s="8">
        <v>0.134941999254343</v>
      </c>
      <c r="N13" s="9"/>
      <c r="R13" s="10" t="s">
        <v>43</v>
      </c>
      <c r="S13" s="10" t="s">
        <v>44</v>
      </c>
      <c r="T13" s="10" t="s">
        <v>45</v>
      </c>
      <c r="U13" s="10" t="s">
        <v>46</v>
      </c>
    </row>
    <row r="14" ht="14.25" customHeight="1">
      <c r="B14" s="7"/>
      <c r="C14" s="6">
        <f t="shared" ref="C14:D14" si="13">$A$9*L14</f>
        <v>0</v>
      </c>
      <c r="D14" s="6">
        <f t="shared" si="13"/>
        <v>0</v>
      </c>
      <c r="H14" s="6" t="s">
        <v>47</v>
      </c>
      <c r="I14" s="6">
        <v>2.0</v>
      </c>
      <c r="K14" s="7"/>
      <c r="L14" s="7"/>
      <c r="M14" s="8"/>
      <c r="N14" s="9"/>
      <c r="R14" s="6" t="s">
        <v>16</v>
      </c>
      <c r="S14" s="6" t="s">
        <v>48</v>
      </c>
      <c r="T14" s="7">
        <v>1.0</v>
      </c>
      <c r="U14" s="6" t="s">
        <v>49</v>
      </c>
    </row>
    <row r="15" ht="14.25" customHeight="1">
      <c r="A15" s="6" t="s">
        <v>50</v>
      </c>
      <c r="B15" s="7">
        <v>0.0</v>
      </c>
      <c r="C15" s="6">
        <f t="shared" ref="C15:D15" si="14">$A$16*L15</f>
        <v>6.275101032</v>
      </c>
      <c r="D15" s="6">
        <f t="shared" si="14"/>
        <v>1.1118069</v>
      </c>
      <c r="E15" s="6"/>
      <c r="F15" s="6">
        <v>10.0</v>
      </c>
      <c r="G15" s="6" t="s">
        <v>15</v>
      </c>
      <c r="J15" s="6">
        <v>20.0</v>
      </c>
      <c r="K15" s="7">
        <v>0.0</v>
      </c>
      <c r="L15" s="7">
        <v>0.482700079404386</v>
      </c>
      <c r="M15" s="8">
        <v>0.085523607660505</v>
      </c>
      <c r="N15" s="9">
        <v>121.75013824168092</v>
      </c>
      <c r="O15" s="6" t="s">
        <v>16</v>
      </c>
      <c r="R15" s="6" t="s">
        <v>35</v>
      </c>
      <c r="S15" s="6" t="s">
        <v>51</v>
      </c>
      <c r="T15" s="6">
        <v>2.6</v>
      </c>
      <c r="U15" s="6" t="s">
        <v>49</v>
      </c>
    </row>
    <row r="16" ht="14.25" customHeight="1">
      <c r="A16" s="11">
        <v>13.0</v>
      </c>
      <c r="B16" s="7">
        <v>0.03897732072574511</v>
      </c>
      <c r="C16" s="6">
        <f t="shared" ref="C16:D16" si="15">$A$16*L16</f>
        <v>11.17438016</v>
      </c>
      <c r="D16" s="6">
        <f t="shared" si="15"/>
        <v>1.448484053</v>
      </c>
      <c r="E16" s="6"/>
      <c r="F16" s="6">
        <v>20.0</v>
      </c>
      <c r="G16" s="6" t="s">
        <v>18</v>
      </c>
      <c r="J16" s="6">
        <v>20.0</v>
      </c>
      <c r="K16" s="7">
        <v>0.03897732072574511</v>
      </c>
      <c r="L16" s="7">
        <v>0.8595677043918314</v>
      </c>
      <c r="M16" s="8">
        <v>0.111421850244242</v>
      </c>
      <c r="N16" s="9"/>
      <c r="R16" s="6" t="s">
        <v>52</v>
      </c>
      <c r="S16" s="6" t="s">
        <v>53</v>
      </c>
      <c r="T16" s="6">
        <v>12.2</v>
      </c>
      <c r="U16" s="6" t="s">
        <v>54</v>
      </c>
    </row>
    <row r="17" ht="14.25" customHeight="1">
      <c r="B17" s="7">
        <v>0.41849678201267904</v>
      </c>
      <c r="C17" s="6">
        <f t="shared" ref="C17:D17" si="16">$A$16*L17</f>
        <v>6.210530091</v>
      </c>
      <c r="D17" s="6">
        <f t="shared" si="16"/>
        <v>0.6569369156</v>
      </c>
      <c r="E17" s="6"/>
      <c r="F17" s="6">
        <v>30.0</v>
      </c>
      <c r="G17" s="6" t="s">
        <v>21</v>
      </c>
      <c r="J17" s="6">
        <v>20.0</v>
      </c>
      <c r="K17" s="7">
        <v>0.41849678201267904</v>
      </c>
      <c r="L17" s="7">
        <v>0.47773308393334424</v>
      </c>
      <c r="M17" s="8">
        <v>0.0505336088938152</v>
      </c>
      <c r="N17" s="9"/>
      <c r="R17" s="6" t="s">
        <v>55</v>
      </c>
      <c r="S17" s="6" t="s">
        <v>56</v>
      </c>
      <c r="T17" s="13" t="s">
        <v>57</v>
      </c>
      <c r="U17" s="6" t="s">
        <v>58</v>
      </c>
    </row>
    <row r="18" ht="14.25" customHeight="1">
      <c r="B18" s="7">
        <v>1.9053669301556477</v>
      </c>
      <c r="C18" s="6">
        <f t="shared" ref="C18:D18" si="17">$A$16*L18</f>
        <v>15.6</v>
      </c>
      <c r="D18" s="6">
        <f t="shared" si="17"/>
        <v>0.5634733483</v>
      </c>
      <c r="E18" s="6"/>
      <c r="F18" s="6">
        <v>40.0</v>
      </c>
      <c r="G18" s="6" t="s">
        <v>24</v>
      </c>
      <c r="J18" s="6">
        <v>20.0</v>
      </c>
      <c r="K18" s="7">
        <v>1.9053669301556477</v>
      </c>
      <c r="L18" s="7">
        <v>1.2</v>
      </c>
      <c r="M18" s="8">
        <v>0.0433441037149536</v>
      </c>
      <c r="N18" s="9"/>
    </row>
    <row r="19" ht="14.25" customHeight="1">
      <c r="B19" s="7">
        <v>0.1539535411727071</v>
      </c>
      <c r="C19" s="6">
        <f t="shared" ref="C19:D19" si="18">$A$16*L19</f>
        <v>2.6</v>
      </c>
      <c r="D19" s="6">
        <f t="shared" si="18"/>
        <v>0.7690878009</v>
      </c>
      <c r="E19" s="6"/>
      <c r="F19" s="6">
        <v>50.0</v>
      </c>
      <c r="G19" s="6" t="s">
        <v>27</v>
      </c>
      <c r="J19" s="6">
        <v>20.0</v>
      </c>
      <c r="K19" s="7">
        <v>0.1539535411727071</v>
      </c>
      <c r="L19" s="7">
        <v>0.2</v>
      </c>
      <c r="M19" s="8">
        <v>0.0591606000707926</v>
      </c>
      <c r="N19" s="9"/>
    </row>
    <row r="20" ht="14.25" customHeight="1">
      <c r="B20" s="7">
        <v>0.0</v>
      </c>
      <c r="C20" s="6">
        <f t="shared" ref="C20:D20" si="19">$A$16*L20</f>
        <v>1.523877108</v>
      </c>
      <c r="D20" s="6">
        <f t="shared" si="19"/>
        <v>1.75424599</v>
      </c>
      <c r="E20" s="6"/>
      <c r="F20" s="6">
        <v>60.0</v>
      </c>
      <c r="G20" s="6" t="s">
        <v>30</v>
      </c>
      <c r="H20" s="6" t="s">
        <v>31</v>
      </c>
      <c r="J20" s="6">
        <v>40.0</v>
      </c>
      <c r="K20" s="7">
        <v>0.0</v>
      </c>
      <c r="L20" s="7">
        <v>0.11722131599705055</v>
      </c>
      <c r="M20" s="8">
        <v>0.134941999254343</v>
      </c>
      <c r="N20" s="9"/>
    </row>
    <row r="21" ht="14.25" customHeight="1">
      <c r="A21" s="6" t="s">
        <v>59</v>
      </c>
      <c r="B21" s="7">
        <v>1.3787093748153834</v>
      </c>
      <c r="C21" s="6">
        <f t="shared" ref="C21:D21" si="20">$A$22*L21</f>
        <v>113.5567822</v>
      </c>
      <c r="D21" s="6">
        <f t="shared" si="20"/>
        <v>14.11139526</v>
      </c>
      <c r="E21" s="6"/>
      <c r="F21" s="6">
        <v>10.0</v>
      </c>
      <c r="G21" s="6" t="s">
        <v>15</v>
      </c>
      <c r="J21" s="6">
        <v>20.0</v>
      </c>
      <c r="K21" s="7">
        <v>1.3787093748153834</v>
      </c>
      <c r="L21" s="7">
        <v>0.6882229226606025</v>
      </c>
      <c r="M21" s="8">
        <v>0.085523607660505</v>
      </c>
      <c r="N21" s="9">
        <v>90.34439470680726</v>
      </c>
      <c r="O21" s="6" t="s">
        <v>16</v>
      </c>
      <c r="Q21" s="12">
        <v>3.0</v>
      </c>
      <c r="R21" s="12">
        <f t="shared" ref="R21:R26" si="22">PRODUCT(104,L21,1/15.5)</f>
        <v>4.617753804</v>
      </c>
      <c r="S21" s="12">
        <f t="shared" ref="S21:S26" si="23">PRODUCT(R21,1/Q21)</f>
        <v>1.539251268</v>
      </c>
    </row>
    <row r="22" ht="14.25" customHeight="1">
      <c r="A22" s="12">
        <f>104+35+26</f>
        <v>165</v>
      </c>
      <c r="B22" s="7">
        <v>0.18045000112733622</v>
      </c>
      <c r="C22" s="6">
        <f t="shared" ref="C22:D22" si="21">$A$22*L22</f>
        <v>82.54758669</v>
      </c>
      <c r="D22" s="6">
        <f t="shared" si="21"/>
        <v>18.38460529</v>
      </c>
      <c r="E22" s="6"/>
      <c r="F22" s="6">
        <v>20.0</v>
      </c>
      <c r="G22" s="6" t="s">
        <v>18</v>
      </c>
      <c r="J22" s="6">
        <v>20.0</v>
      </c>
      <c r="K22" s="7">
        <v>0.18045000112733622</v>
      </c>
      <c r="L22" s="7">
        <v>0.5002884041978214</v>
      </c>
      <c r="M22" s="8">
        <v>0.111421850244242</v>
      </c>
      <c r="N22" s="9"/>
      <c r="Q22" s="12">
        <v>4.0</v>
      </c>
      <c r="R22" s="6">
        <f t="shared" si="22"/>
        <v>3.356773809</v>
      </c>
      <c r="S22" s="6">
        <f t="shared" si="23"/>
        <v>0.8391934522</v>
      </c>
    </row>
    <row r="23" ht="14.25" customHeight="1">
      <c r="B23" s="7">
        <v>1.84038317049738</v>
      </c>
      <c r="C23" s="6">
        <f t="shared" ref="C23:D23" si="24">$A$22*L23</f>
        <v>154.961812</v>
      </c>
      <c r="D23" s="6">
        <f t="shared" si="24"/>
        <v>8.338045467</v>
      </c>
      <c r="E23" s="6"/>
      <c r="F23" s="6">
        <v>30.0</v>
      </c>
      <c r="G23" s="6" t="s">
        <v>21</v>
      </c>
      <c r="J23" s="6">
        <v>20.0</v>
      </c>
      <c r="K23" s="7">
        <v>1.84038317049738</v>
      </c>
      <c r="L23" s="7">
        <v>0.9391624967975973</v>
      </c>
      <c r="M23" s="8">
        <v>0.0505336088938152</v>
      </c>
      <c r="N23" s="9"/>
      <c r="Q23" s="12">
        <v>3.0</v>
      </c>
      <c r="R23" s="6">
        <f t="shared" si="22"/>
        <v>6.301477398</v>
      </c>
      <c r="S23" s="6">
        <f t="shared" si="23"/>
        <v>2.100492466</v>
      </c>
    </row>
    <row r="24" ht="14.25" customHeight="1">
      <c r="B24" s="7">
        <v>0.3596990176943955</v>
      </c>
      <c r="C24" s="6">
        <f t="shared" ref="C24:D24" si="25">$A$22*L24</f>
        <v>83.29346602</v>
      </c>
      <c r="D24" s="6">
        <f t="shared" si="25"/>
        <v>7.151777113</v>
      </c>
      <c r="E24" s="6"/>
      <c r="F24" s="6">
        <v>40.0</v>
      </c>
      <c r="G24" s="6" t="s">
        <v>24</v>
      </c>
      <c r="J24" s="6">
        <v>20.0</v>
      </c>
      <c r="K24" s="7">
        <v>0.3596990176943955</v>
      </c>
      <c r="L24" s="7">
        <v>0.5048088849528533</v>
      </c>
      <c r="M24" s="8">
        <v>0.0433441037149536</v>
      </c>
      <c r="N24" s="9"/>
      <c r="Q24" s="12">
        <v>4.0</v>
      </c>
      <c r="R24" s="6">
        <f t="shared" si="22"/>
        <v>3.387104776</v>
      </c>
      <c r="S24" s="6">
        <f t="shared" si="23"/>
        <v>0.8467761941</v>
      </c>
    </row>
    <row r="25" ht="14.25" customHeight="1">
      <c r="B25" s="7">
        <v>1.4468875174714964</v>
      </c>
      <c r="C25" s="6">
        <f t="shared" ref="C25:D25" si="26">$A$22*L25</f>
        <v>21.24297998</v>
      </c>
      <c r="D25" s="6">
        <f t="shared" si="26"/>
        <v>9.761499012</v>
      </c>
      <c r="E25" s="6"/>
      <c r="F25" s="6">
        <v>50.0</v>
      </c>
      <c r="G25" s="6" t="s">
        <v>27</v>
      </c>
      <c r="J25" s="6">
        <v>20.0</v>
      </c>
      <c r="K25" s="7">
        <v>1.4468875174714964</v>
      </c>
      <c r="L25" s="7">
        <v>0.128745333192478</v>
      </c>
      <c r="M25" s="8">
        <v>0.0591606000707926</v>
      </c>
      <c r="N25" s="9"/>
      <c r="Q25" s="12">
        <v>2.0</v>
      </c>
      <c r="R25" s="6">
        <f t="shared" si="22"/>
        <v>0.863839655</v>
      </c>
      <c r="S25" s="6">
        <f t="shared" si="23"/>
        <v>0.4319198275</v>
      </c>
    </row>
    <row r="26" ht="14.25" customHeight="1">
      <c r="B26" s="7">
        <v>0.1</v>
      </c>
      <c r="C26" s="6">
        <f t="shared" ref="C26:D26" si="27">$A$22*L26</f>
        <v>42.9</v>
      </c>
      <c r="D26" s="6">
        <f t="shared" si="27"/>
        <v>22.26542988</v>
      </c>
      <c r="E26" s="6"/>
      <c r="F26" s="6">
        <v>60.0</v>
      </c>
      <c r="G26" s="6" t="s">
        <v>30</v>
      </c>
      <c r="H26" s="6" t="s">
        <v>31</v>
      </c>
      <c r="J26" s="6">
        <v>40.0</v>
      </c>
      <c r="K26" s="7">
        <v>0.1</v>
      </c>
      <c r="L26" s="7">
        <v>0.26</v>
      </c>
      <c r="M26" s="8">
        <v>0.134941999254343</v>
      </c>
      <c r="N26" s="9"/>
      <c r="Q26" s="12">
        <v>3.0</v>
      </c>
      <c r="R26" s="6">
        <f t="shared" si="22"/>
        <v>1.744516129</v>
      </c>
      <c r="S26" s="6">
        <f t="shared" si="23"/>
        <v>0.5815053763</v>
      </c>
    </row>
    <row r="27" ht="14.25" customHeight="1">
      <c r="A27" s="6" t="s">
        <v>60</v>
      </c>
      <c r="B27" s="7">
        <v>0.3755853587926</v>
      </c>
      <c r="C27" s="6">
        <f t="shared" ref="C27:D27" si="28">$A$28*L27</f>
        <v>80.58866439</v>
      </c>
      <c r="D27" s="6">
        <f t="shared" si="28"/>
        <v>33.35420699</v>
      </c>
      <c r="E27" s="6"/>
      <c r="F27" s="6">
        <v>10.0</v>
      </c>
      <c r="G27" s="6" t="s">
        <v>15</v>
      </c>
      <c r="J27" s="6">
        <v>10.0</v>
      </c>
      <c r="K27" s="7">
        <v>0.3755853587926</v>
      </c>
      <c r="L27" s="7">
        <v>0.20663760100984363</v>
      </c>
      <c r="M27" s="8">
        <v>0.085523607660505</v>
      </c>
      <c r="N27" s="9">
        <v>287.42855000351244</v>
      </c>
      <c r="O27" s="6" t="s">
        <v>35</v>
      </c>
    </row>
    <row r="28" ht="14.25" customHeight="1">
      <c r="A28" s="12">
        <f>76+156+158</f>
        <v>390</v>
      </c>
      <c r="B28" s="7">
        <v>0.3978672543653887</v>
      </c>
      <c r="C28" s="6">
        <f t="shared" ref="C28:D28" si="29">$A$28*L28</f>
        <v>379.312835</v>
      </c>
      <c r="D28" s="6">
        <f t="shared" si="29"/>
        <v>43.4545216</v>
      </c>
      <c r="E28" s="6"/>
      <c r="F28" s="6">
        <v>20.0</v>
      </c>
      <c r="G28" s="6" t="s">
        <v>18</v>
      </c>
      <c r="J28" s="6">
        <v>10.0</v>
      </c>
      <c r="K28" s="7">
        <v>0.3978672543653887</v>
      </c>
      <c r="L28" s="7">
        <v>0.9725970129344687</v>
      </c>
      <c r="M28" s="8">
        <v>0.111421850244242</v>
      </c>
      <c r="N28" s="9"/>
    </row>
    <row r="29" ht="14.25" customHeight="1">
      <c r="B29" s="7">
        <v>0.901132908787543</v>
      </c>
      <c r="C29" s="6">
        <f t="shared" ref="C29:D29" si="30">$A$28*L29</f>
        <v>175.6761016</v>
      </c>
      <c r="D29" s="6">
        <f t="shared" si="30"/>
        <v>19.70810747</v>
      </c>
      <c r="E29" s="6"/>
      <c r="F29" s="6">
        <v>30.0</v>
      </c>
      <c r="G29" s="6" t="s">
        <v>21</v>
      </c>
      <c r="J29" s="6">
        <v>10.0</v>
      </c>
      <c r="K29" s="7">
        <v>0.901132908787543</v>
      </c>
      <c r="L29" s="7">
        <v>0.45045154262905795</v>
      </c>
      <c r="M29" s="8">
        <v>0.0505336088938152</v>
      </c>
      <c r="N29" s="9"/>
    </row>
    <row r="30" ht="14.25" customHeight="1">
      <c r="B30" s="7">
        <v>1.6924099950854041</v>
      </c>
      <c r="C30" s="6">
        <f t="shared" ref="C30:D30" si="31">$A$28*L30</f>
        <v>468</v>
      </c>
      <c r="D30" s="6">
        <f t="shared" si="31"/>
        <v>16.90420045</v>
      </c>
      <c r="E30" s="6"/>
      <c r="F30" s="6">
        <v>40.0</v>
      </c>
      <c r="G30" s="6" t="s">
        <v>24</v>
      </c>
      <c r="J30" s="6">
        <v>10.0</v>
      </c>
      <c r="K30" s="7">
        <v>1.6924099950854041</v>
      </c>
      <c r="L30" s="7">
        <v>1.2</v>
      </c>
      <c r="M30" s="8">
        <v>0.0433441037149536</v>
      </c>
      <c r="N30" s="9"/>
    </row>
    <row r="31" ht="14.25" customHeight="1">
      <c r="B31" s="7">
        <v>1.604477667265844</v>
      </c>
      <c r="C31" s="6">
        <f t="shared" ref="C31:D31" si="32">$A$28*L31</f>
        <v>128.7</v>
      </c>
      <c r="D31" s="6">
        <f t="shared" si="32"/>
        <v>23.07263403</v>
      </c>
      <c r="E31" s="6"/>
      <c r="F31" s="6">
        <v>50.0</v>
      </c>
      <c r="G31" s="6" t="s">
        <v>27</v>
      </c>
      <c r="J31" s="6">
        <v>10.0</v>
      </c>
      <c r="K31" s="7">
        <v>1.604477667265844</v>
      </c>
      <c r="L31" s="7">
        <v>0.33</v>
      </c>
      <c r="M31" s="8">
        <v>0.0591606000707926</v>
      </c>
      <c r="N31" s="9"/>
    </row>
    <row r="32" ht="14.25" customHeight="1">
      <c r="B32" s="7">
        <v>0.4</v>
      </c>
      <c r="C32" s="6">
        <f t="shared" ref="C32:D32" si="33">$A$28*L32</f>
        <v>234</v>
      </c>
      <c r="D32" s="6">
        <f t="shared" si="33"/>
        <v>52.62737971</v>
      </c>
      <c r="E32" s="6"/>
      <c r="F32" s="6">
        <v>60.0</v>
      </c>
      <c r="G32" s="6" t="s">
        <v>30</v>
      </c>
      <c r="H32" s="6" t="s">
        <v>61</v>
      </c>
      <c r="I32" s="6">
        <v>1.0</v>
      </c>
      <c r="J32" s="6">
        <v>20.0</v>
      </c>
      <c r="K32" s="7">
        <v>0.4</v>
      </c>
      <c r="L32" s="7">
        <v>0.6</v>
      </c>
      <c r="M32" s="8">
        <v>0.134941999254343</v>
      </c>
      <c r="N32" s="9"/>
    </row>
    <row r="33" ht="14.25" customHeight="1">
      <c r="B33" s="7"/>
      <c r="C33" s="6">
        <f t="shared" ref="C33:D33" si="34">$A$3*L33</f>
        <v>0</v>
      </c>
      <c r="D33" s="6">
        <f t="shared" si="34"/>
        <v>0</v>
      </c>
      <c r="H33" s="6" t="s">
        <v>62</v>
      </c>
      <c r="I33" s="6">
        <v>1.0</v>
      </c>
      <c r="K33" s="7"/>
      <c r="L33" s="7"/>
      <c r="M33" s="8"/>
      <c r="N33" s="9"/>
    </row>
    <row r="34" ht="14.25" customHeight="1">
      <c r="A34" s="6" t="s">
        <v>63</v>
      </c>
      <c r="B34" s="7">
        <v>0.3</v>
      </c>
      <c r="C34" s="6">
        <f t="shared" ref="C34:D34" si="35">$A$35*L34</f>
        <v>46.64393051</v>
      </c>
      <c r="D34" s="6">
        <f t="shared" si="35"/>
        <v>13.25615919</v>
      </c>
      <c r="E34" s="6"/>
      <c r="F34" s="6">
        <v>10.0</v>
      </c>
      <c r="G34" s="6" t="s">
        <v>15</v>
      </c>
      <c r="J34" s="6">
        <v>20.0</v>
      </c>
      <c r="K34" s="7">
        <v>0.3</v>
      </c>
      <c r="L34" s="7">
        <v>0.3009285839222724</v>
      </c>
      <c r="M34" s="8">
        <v>0.085523607660505</v>
      </c>
      <c r="N34" s="9">
        <v>98.99637951568916</v>
      </c>
      <c r="O34" s="6" t="s">
        <v>16</v>
      </c>
    </row>
    <row r="35" ht="14.25" customHeight="1">
      <c r="A35" s="12">
        <f>96+59</f>
        <v>155</v>
      </c>
      <c r="B35" s="7">
        <v>0.15844662409822474</v>
      </c>
      <c r="C35" s="6">
        <f t="shared" ref="C35:D35" si="36">$A$35*L35</f>
        <v>58.24987008</v>
      </c>
      <c r="D35" s="6">
        <f t="shared" si="36"/>
        <v>17.27038679</v>
      </c>
      <c r="E35" s="6"/>
      <c r="F35" s="6">
        <v>20.0</v>
      </c>
      <c r="G35" s="6" t="s">
        <v>18</v>
      </c>
      <c r="J35" s="6">
        <v>20.0</v>
      </c>
      <c r="K35" s="7">
        <v>0.15844662409822474</v>
      </c>
      <c r="L35" s="7">
        <v>0.3758056134400556</v>
      </c>
      <c r="M35" s="8">
        <v>0.111421850244242</v>
      </c>
      <c r="N35" s="9"/>
    </row>
    <row r="36" ht="14.25" customHeight="1">
      <c r="B36" s="7">
        <v>0.13392081388946475</v>
      </c>
      <c r="C36" s="6">
        <f t="shared" ref="C36:D36" si="37">$A$35*L36</f>
        <v>21.63052334</v>
      </c>
      <c r="D36" s="6">
        <f t="shared" si="37"/>
        <v>7.832709379</v>
      </c>
      <c r="E36" s="6"/>
      <c r="F36" s="6">
        <v>30.0</v>
      </c>
      <c r="G36" s="6" t="s">
        <v>21</v>
      </c>
      <c r="J36" s="6">
        <v>20.0</v>
      </c>
      <c r="K36" s="7">
        <v>0.13392081388946475</v>
      </c>
      <c r="L36" s="7">
        <v>0.1395517635116107</v>
      </c>
      <c r="M36" s="8">
        <v>0.0505336088938152</v>
      </c>
      <c r="N36" s="9"/>
    </row>
    <row r="37" ht="14.25" customHeight="1">
      <c r="B37" s="7">
        <v>0.7991707862935498</v>
      </c>
      <c r="C37" s="6">
        <f t="shared" ref="C37:D37" si="38">$A$35*L37</f>
        <v>162.75</v>
      </c>
      <c r="D37" s="6">
        <f t="shared" si="38"/>
        <v>6.718336076</v>
      </c>
      <c r="E37" s="6"/>
      <c r="F37" s="6">
        <v>40.0</v>
      </c>
      <c r="G37" s="6" t="s">
        <v>24</v>
      </c>
      <c r="J37" s="6">
        <v>20.0</v>
      </c>
      <c r="K37" s="7">
        <v>0.7991707862935498</v>
      </c>
      <c r="L37" s="7">
        <v>1.05</v>
      </c>
      <c r="M37" s="8">
        <v>0.0433441037149536</v>
      </c>
      <c r="N37" s="9"/>
    </row>
    <row r="38" ht="14.25" customHeight="1">
      <c r="B38" s="7">
        <v>1.007769287472744</v>
      </c>
      <c r="C38" s="6">
        <f t="shared" ref="C38:D38" si="39">$A$35*L38</f>
        <v>31</v>
      </c>
      <c r="D38" s="6">
        <f t="shared" si="39"/>
        <v>9.169893011</v>
      </c>
      <c r="E38" s="6"/>
      <c r="F38" s="6">
        <v>50.0</v>
      </c>
      <c r="G38" s="6" t="s">
        <v>27</v>
      </c>
      <c r="J38" s="6">
        <v>20.0</v>
      </c>
      <c r="K38" s="7">
        <v>1.007769287472744</v>
      </c>
      <c r="L38" s="7">
        <v>0.2</v>
      </c>
      <c r="M38" s="8">
        <v>0.0591606000707926</v>
      </c>
      <c r="N38" s="9"/>
    </row>
    <row r="39" ht="14.25" customHeight="1">
      <c r="B39" s="7">
        <v>0.0</v>
      </c>
      <c r="C39" s="6">
        <f t="shared" ref="C39:D39" si="40">$A$35*L39</f>
        <v>72.93829086</v>
      </c>
      <c r="D39" s="6">
        <f t="shared" si="40"/>
        <v>20.91600988</v>
      </c>
      <c r="E39" s="6"/>
      <c r="F39" s="6">
        <v>60.0</v>
      </c>
      <c r="G39" s="6" t="s">
        <v>30</v>
      </c>
      <c r="H39" s="6" t="s">
        <v>31</v>
      </c>
      <c r="J39" s="6">
        <v>40.0</v>
      </c>
      <c r="K39" s="7">
        <v>0.0</v>
      </c>
      <c r="L39" s="7">
        <v>0.47056961844120615</v>
      </c>
      <c r="M39" s="8">
        <v>0.134941999254343</v>
      </c>
      <c r="N39" s="9"/>
    </row>
    <row r="40" ht="14.25" customHeight="1">
      <c r="A40" s="6" t="s">
        <v>64</v>
      </c>
      <c r="B40" s="7">
        <v>0.1</v>
      </c>
      <c r="C40" s="6">
        <f t="shared" ref="C40:D40" si="41">$A$41*L40</f>
        <v>24.37635208</v>
      </c>
      <c r="D40" s="6">
        <f t="shared" si="41"/>
        <v>10.17730931</v>
      </c>
      <c r="E40" s="6"/>
      <c r="F40" s="6">
        <v>10.0</v>
      </c>
      <c r="G40" s="6" t="s">
        <v>15</v>
      </c>
      <c r="J40" s="6">
        <v>20.0</v>
      </c>
      <c r="K40" s="7">
        <v>0.1</v>
      </c>
      <c r="L40" s="7">
        <v>0.2048432948112</v>
      </c>
      <c r="M40" s="8">
        <v>0.085523607660505</v>
      </c>
      <c r="N40" s="9">
        <v>86.11561867642607</v>
      </c>
      <c r="O40" s="6" t="s">
        <v>16</v>
      </c>
    </row>
    <row r="41" ht="14.25" customHeight="1">
      <c r="A41" s="11">
        <v>119.0</v>
      </c>
      <c r="B41" s="7">
        <v>0.6111788153437163</v>
      </c>
      <c r="C41" s="6">
        <f t="shared" ref="C41:D41" si="42">$A$41*L41</f>
        <v>11.78682673</v>
      </c>
      <c r="D41" s="6">
        <f t="shared" si="42"/>
        <v>13.25920018</v>
      </c>
      <c r="E41" s="6"/>
      <c r="F41" s="6">
        <v>20.0</v>
      </c>
      <c r="G41" s="6" t="s">
        <v>18</v>
      </c>
      <c r="J41" s="6">
        <v>20.0</v>
      </c>
      <c r="K41" s="7">
        <v>0.6111788153437163</v>
      </c>
      <c r="L41" s="7">
        <v>0.09904896409199226</v>
      </c>
      <c r="M41" s="8">
        <v>0.111421850244242</v>
      </c>
      <c r="N41" s="9"/>
    </row>
    <row r="42" ht="14.25" customHeight="1">
      <c r="B42" s="7">
        <v>1.852089357755046</v>
      </c>
      <c r="C42" s="6">
        <f t="shared" ref="C42:D42" si="43">$A$41*L42</f>
        <v>82.94919186</v>
      </c>
      <c r="D42" s="6">
        <f t="shared" si="43"/>
        <v>6.013499458</v>
      </c>
      <c r="E42" s="6"/>
      <c r="F42" s="6">
        <v>30.0</v>
      </c>
      <c r="G42" s="6" t="s">
        <v>21</v>
      </c>
      <c r="J42" s="6">
        <v>20.0</v>
      </c>
      <c r="K42" s="7">
        <v>1.852089357755046</v>
      </c>
      <c r="L42" s="7">
        <v>0.6970520324220479</v>
      </c>
      <c r="M42" s="8">
        <v>0.0505336088938152</v>
      </c>
      <c r="N42" s="9"/>
    </row>
    <row r="43" ht="14.25" customHeight="1">
      <c r="B43" s="7">
        <v>1.3354267395537436</v>
      </c>
      <c r="C43" s="6">
        <f t="shared" ref="C43:D43" si="44">$A$41*L43</f>
        <v>113.05</v>
      </c>
      <c r="D43" s="6">
        <f t="shared" si="44"/>
        <v>5.157948342</v>
      </c>
      <c r="E43" s="6"/>
      <c r="F43" s="6">
        <v>40.0</v>
      </c>
      <c r="G43" s="6" t="s">
        <v>24</v>
      </c>
      <c r="J43" s="6">
        <v>20.0</v>
      </c>
      <c r="K43" s="7">
        <v>1.3354267395537436</v>
      </c>
      <c r="L43" s="7">
        <v>0.95</v>
      </c>
      <c r="M43" s="8">
        <v>0.0433441037149536</v>
      </c>
      <c r="N43" s="9"/>
    </row>
    <row r="44" ht="14.25" customHeight="1">
      <c r="B44" s="7">
        <v>0.8420567611127228</v>
      </c>
      <c r="C44" s="6">
        <f t="shared" ref="C44:D44" si="45">$A$41*L44</f>
        <v>38.08</v>
      </c>
      <c r="D44" s="6">
        <f t="shared" si="45"/>
        <v>7.040111408</v>
      </c>
      <c r="E44" s="6"/>
      <c r="F44" s="6">
        <v>50.0</v>
      </c>
      <c r="G44" s="6" t="s">
        <v>27</v>
      </c>
      <c r="J44" s="6">
        <v>20.0</v>
      </c>
      <c r="K44" s="7">
        <v>0.8420567611127228</v>
      </c>
      <c r="L44" s="7">
        <v>0.32</v>
      </c>
      <c r="M44" s="8">
        <v>0.0591606000707926</v>
      </c>
      <c r="N44" s="9"/>
    </row>
    <row r="45" ht="14.25" customHeight="1">
      <c r="B45" s="7">
        <v>0.3</v>
      </c>
      <c r="C45" s="6">
        <f t="shared" ref="C45:D45" si="46">$A$41*L45</f>
        <v>59.91329379</v>
      </c>
      <c r="D45" s="6">
        <f t="shared" si="46"/>
        <v>16.05809791</v>
      </c>
      <c r="E45" s="6"/>
      <c r="F45" s="6">
        <v>60.0</v>
      </c>
      <c r="G45" s="6" t="s">
        <v>30</v>
      </c>
      <c r="H45" s="6" t="s">
        <v>31</v>
      </c>
      <c r="J45" s="6">
        <v>40.0</v>
      </c>
      <c r="K45" s="7">
        <v>0.3</v>
      </c>
      <c r="L45" s="7">
        <v>0.5034730570389397</v>
      </c>
      <c r="M45" s="8">
        <v>0.134941999254343</v>
      </c>
      <c r="N45" s="9"/>
    </row>
    <row r="46" ht="14.25" customHeight="1">
      <c r="A46" s="6" t="s">
        <v>65</v>
      </c>
      <c r="B46" s="7">
        <v>0.0</v>
      </c>
      <c r="C46" s="6">
        <f t="shared" ref="C46:D46" si="47">$A$47*L46</f>
        <v>104.4247272</v>
      </c>
      <c r="D46" s="6">
        <f t="shared" si="47"/>
        <v>15.05215495</v>
      </c>
      <c r="E46" s="6"/>
      <c r="F46" s="6">
        <v>10.0</v>
      </c>
      <c r="G46" s="6" t="s">
        <v>15</v>
      </c>
      <c r="J46" s="6">
        <v>20.0</v>
      </c>
      <c r="K46" s="7">
        <v>0.0</v>
      </c>
      <c r="L46" s="7">
        <v>0.59332231387173</v>
      </c>
      <c r="M46" s="8">
        <v>0.085523607660505</v>
      </c>
      <c r="N46" s="9">
        <v>297.4486600786337</v>
      </c>
      <c r="O46" s="6" t="s">
        <v>35</v>
      </c>
    </row>
    <row r="47" ht="14.25" customHeight="1">
      <c r="A47" s="12">
        <f>106+45+25</f>
        <v>176</v>
      </c>
      <c r="B47" s="7">
        <v>0.14415463027171604</v>
      </c>
      <c r="C47" s="6">
        <f t="shared" ref="C47:D47" si="48">$A$47*L47</f>
        <v>118.6258886</v>
      </c>
      <c r="D47" s="6">
        <f t="shared" si="48"/>
        <v>19.61024564</v>
      </c>
      <c r="E47" s="6"/>
      <c r="F47" s="6">
        <v>20.0</v>
      </c>
      <c r="G47" s="6" t="s">
        <v>18</v>
      </c>
      <c r="J47" s="6">
        <v>20.0</v>
      </c>
      <c r="K47" s="7">
        <v>0.14415463027171604</v>
      </c>
      <c r="L47" s="7">
        <v>0.6740107307454632</v>
      </c>
      <c r="M47" s="8">
        <v>0.111421850244242</v>
      </c>
      <c r="N47" s="9"/>
    </row>
    <row r="48" ht="14.25" customHeight="1">
      <c r="B48" s="7">
        <v>0.7994991943384024</v>
      </c>
      <c r="C48" s="6">
        <f t="shared" ref="C48:D48" si="49">$A$47*L48</f>
        <v>130.6945928</v>
      </c>
      <c r="D48" s="6">
        <f t="shared" si="49"/>
        <v>8.893915165</v>
      </c>
      <c r="E48" s="6"/>
      <c r="F48" s="6">
        <v>30.0</v>
      </c>
      <c r="G48" s="6" t="s">
        <v>21</v>
      </c>
      <c r="J48" s="6">
        <v>20.0</v>
      </c>
      <c r="K48" s="7">
        <v>0.7994991943384024</v>
      </c>
      <c r="L48" s="7">
        <v>0.7425829136213746</v>
      </c>
      <c r="M48" s="8">
        <v>0.0505336088938152</v>
      </c>
      <c r="N48" s="9"/>
    </row>
    <row r="49" ht="14.25" customHeight="1">
      <c r="B49" s="7">
        <v>0.5698179152451344</v>
      </c>
      <c r="C49" s="6">
        <f t="shared" ref="C49:D49" si="50">$A$47*L49</f>
        <v>159.6240745</v>
      </c>
      <c r="D49" s="6">
        <f t="shared" si="50"/>
        <v>7.628562254</v>
      </c>
      <c r="E49" s="6"/>
      <c r="F49" s="6">
        <v>40.0</v>
      </c>
      <c r="G49" s="6" t="s">
        <v>24</v>
      </c>
      <c r="J49" s="6">
        <v>20.0</v>
      </c>
      <c r="K49" s="7">
        <v>0.5698179152451344</v>
      </c>
      <c r="L49" s="7">
        <v>0.9069549685201758</v>
      </c>
      <c r="M49" s="8">
        <v>0.0433441037149536</v>
      </c>
      <c r="N49" s="9"/>
    </row>
    <row r="50" ht="14.25" customHeight="1">
      <c r="B50" s="7">
        <v>1.9102973659931222</v>
      </c>
      <c r="C50" s="6">
        <f t="shared" ref="C50:D50" si="51">$A$47*L50</f>
        <v>26.4</v>
      </c>
      <c r="D50" s="6">
        <f t="shared" si="51"/>
        <v>10.41226561</v>
      </c>
      <c r="E50" s="6"/>
      <c r="F50" s="6">
        <v>50.0</v>
      </c>
      <c r="G50" s="6" t="s">
        <v>27</v>
      </c>
      <c r="J50" s="6">
        <v>20.0</v>
      </c>
      <c r="K50" s="7">
        <v>1.9102973659931222</v>
      </c>
      <c r="L50" s="7">
        <v>0.15</v>
      </c>
      <c r="M50" s="8">
        <v>0.0591606000707926</v>
      </c>
      <c r="N50" s="9"/>
    </row>
    <row r="51" ht="14.25" customHeight="1">
      <c r="B51" s="7">
        <v>0.2386226402557461</v>
      </c>
      <c r="C51" s="6">
        <f t="shared" ref="C51:D51" si="52">$A$47*L51</f>
        <v>148.7521698</v>
      </c>
      <c r="D51" s="6">
        <f t="shared" si="52"/>
        <v>23.74979187</v>
      </c>
      <c r="E51" s="6"/>
      <c r="F51" s="6">
        <v>60.0</v>
      </c>
      <c r="G51" s="6" t="s">
        <v>30</v>
      </c>
      <c r="H51" s="6" t="s">
        <v>66</v>
      </c>
      <c r="I51" s="6">
        <v>2.0</v>
      </c>
      <c r="J51" s="6">
        <v>40.0</v>
      </c>
      <c r="K51" s="7">
        <v>0.2386226402557461</v>
      </c>
      <c r="L51" s="7">
        <v>0.8451827831154274</v>
      </c>
      <c r="M51" s="8">
        <v>0.134941999254343</v>
      </c>
      <c r="N51" s="9"/>
    </row>
    <row r="52" ht="14.25" customHeight="1">
      <c r="A52" s="6" t="s">
        <v>67</v>
      </c>
      <c r="B52" s="7">
        <v>0.29794003721757134</v>
      </c>
      <c r="C52" s="6">
        <f t="shared" ref="C52:D52" si="53">$A$53*L52</f>
        <v>205.8040835</v>
      </c>
      <c r="D52" s="6">
        <f t="shared" si="53"/>
        <v>23.17689768</v>
      </c>
      <c r="E52" s="6"/>
      <c r="F52" s="6">
        <v>10.0</v>
      </c>
      <c r="G52" s="6" t="s">
        <v>15</v>
      </c>
      <c r="J52" s="6">
        <v>20.0</v>
      </c>
      <c r="K52" s="7">
        <v>0.29794003721757134</v>
      </c>
      <c r="L52" s="7">
        <v>0.7594246623528254</v>
      </c>
      <c r="M52" s="8">
        <v>0.085523607660505</v>
      </c>
      <c r="N52" s="9">
        <v>101.70598278591694</v>
      </c>
      <c r="O52" s="6" t="s">
        <v>16</v>
      </c>
    </row>
    <row r="53" ht="14.25" customHeight="1">
      <c r="A53" s="12">
        <f>30+227+14</f>
        <v>271</v>
      </c>
      <c r="B53" s="7">
        <v>1.1013820130252998</v>
      </c>
      <c r="C53" s="6">
        <f t="shared" ref="C53:D53" si="54">$A$53*L53</f>
        <v>62.60986616</v>
      </c>
      <c r="D53" s="6">
        <f t="shared" si="54"/>
        <v>30.19532142</v>
      </c>
      <c r="E53" s="6"/>
      <c r="F53" s="6">
        <v>20.0</v>
      </c>
      <c r="G53" s="6" t="s">
        <v>18</v>
      </c>
      <c r="J53" s="6">
        <v>20.0</v>
      </c>
      <c r="K53" s="7">
        <v>1.1013820130252998</v>
      </c>
      <c r="L53" s="7">
        <v>0.23103271645833479</v>
      </c>
      <c r="M53" s="8">
        <v>0.111421850244242</v>
      </c>
      <c r="N53" s="9"/>
    </row>
    <row r="54" ht="14.25" customHeight="1">
      <c r="B54" s="7">
        <v>0.39259356376501464</v>
      </c>
      <c r="C54" s="6">
        <f t="shared" ref="C54:D54" si="55">$A$53*L54</f>
        <v>231.8489022</v>
      </c>
      <c r="D54" s="6">
        <f t="shared" si="55"/>
        <v>13.69460801</v>
      </c>
      <c r="E54" s="6"/>
      <c r="F54" s="6">
        <v>30.0</v>
      </c>
      <c r="G54" s="6" t="s">
        <v>21</v>
      </c>
      <c r="J54" s="6">
        <v>20.0</v>
      </c>
      <c r="K54" s="7">
        <v>0.39259356376501464</v>
      </c>
      <c r="L54" s="7">
        <v>0.8555310043963242</v>
      </c>
      <c r="M54" s="8">
        <v>0.0505336088938152</v>
      </c>
      <c r="N54" s="9"/>
    </row>
    <row r="55" ht="14.25" customHeight="1">
      <c r="B55" s="7">
        <v>0.323749515933599</v>
      </c>
      <c r="C55" s="6">
        <f t="shared" ref="C55:D55" si="56">$A$53*L55</f>
        <v>97.80308954</v>
      </c>
      <c r="D55" s="6">
        <f t="shared" si="56"/>
        <v>11.74625211</v>
      </c>
      <c r="E55" s="6"/>
      <c r="F55" s="6">
        <v>40.0</v>
      </c>
      <c r="G55" s="6" t="s">
        <v>24</v>
      </c>
      <c r="J55" s="6">
        <v>20.0</v>
      </c>
      <c r="K55" s="7">
        <v>0.323749515933599</v>
      </c>
      <c r="L55" s="7">
        <v>0.36089700937422453</v>
      </c>
      <c r="M55" s="8">
        <v>0.0433441037149536</v>
      </c>
      <c r="N55" s="9"/>
    </row>
    <row r="56" ht="14.25" customHeight="1">
      <c r="B56" s="7">
        <v>0.6006851205808679</v>
      </c>
      <c r="C56" s="6">
        <f t="shared" ref="C56:D56" si="57">$A$53*L56</f>
        <v>54.2</v>
      </c>
      <c r="D56" s="6">
        <f t="shared" si="57"/>
        <v>16.03252262</v>
      </c>
      <c r="E56" s="6"/>
      <c r="F56" s="6">
        <v>50.0</v>
      </c>
      <c r="G56" s="6" t="s">
        <v>27</v>
      </c>
      <c r="J56" s="6">
        <v>20.0</v>
      </c>
      <c r="K56" s="7">
        <v>0.6006851205808679</v>
      </c>
      <c r="L56" s="7">
        <v>0.2</v>
      </c>
      <c r="M56" s="8">
        <v>0.0591606000707926</v>
      </c>
      <c r="N56" s="9"/>
    </row>
    <row r="57" ht="14.25" customHeight="1">
      <c r="B57" s="7">
        <v>1.7425663853601288</v>
      </c>
      <c r="C57" s="6">
        <f t="shared" ref="C57:D57" si="58">$A$53*L57</f>
        <v>39.40370531</v>
      </c>
      <c r="D57" s="6">
        <f t="shared" si="58"/>
        <v>36.5692818</v>
      </c>
      <c r="E57" s="6"/>
      <c r="F57" s="6">
        <v>60.0</v>
      </c>
      <c r="G57" s="6" t="s">
        <v>30</v>
      </c>
      <c r="H57" s="6" t="s">
        <v>31</v>
      </c>
      <c r="J57" s="6">
        <v>40.0</v>
      </c>
      <c r="K57" s="7">
        <v>1.7425663853601288</v>
      </c>
      <c r="L57" s="7">
        <v>0.14540112661396098</v>
      </c>
      <c r="M57" s="8">
        <v>0.134941999254343</v>
      </c>
      <c r="N57" s="9"/>
    </row>
    <row r="58" ht="14.25" customHeight="1">
      <c r="A58" s="6" t="s">
        <v>68</v>
      </c>
      <c r="B58" s="7">
        <v>1.0375645603295347</v>
      </c>
      <c r="C58" s="6">
        <f t="shared" ref="C58:D58" si="59">$A$59*L58</f>
        <v>83.74001435</v>
      </c>
      <c r="D58" s="6">
        <f t="shared" si="59"/>
        <v>32.4134473</v>
      </c>
      <c r="E58" s="6"/>
      <c r="F58" s="6">
        <v>10.0</v>
      </c>
      <c r="G58" s="6" t="s">
        <v>15</v>
      </c>
      <c r="J58" s="6">
        <v>20.0</v>
      </c>
      <c r="K58" s="7">
        <v>1.0375645603295347</v>
      </c>
      <c r="L58" s="7">
        <v>0.22094990592839714</v>
      </c>
      <c r="M58" s="8">
        <v>0.085523607660505</v>
      </c>
      <c r="N58" s="9">
        <v>112.40947265051366</v>
      </c>
      <c r="O58" s="6" t="s">
        <v>16</v>
      </c>
    </row>
    <row r="59" ht="14.25" customHeight="1">
      <c r="A59" s="12">
        <f>75+25+114+165</f>
        <v>379</v>
      </c>
      <c r="B59" s="7">
        <v>1.8371399523116025</v>
      </c>
      <c r="C59" s="6">
        <f t="shared" ref="C59:D59" si="60">$A$59*L59</f>
        <v>99.55751995</v>
      </c>
      <c r="D59" s="6">
        <f t="shared" si="60"/>
        <v>42.22888124</v>
      </c>
      <c r="E59" s="6"/>
      <c r="F59" s="6">
        <v>20.0</v>
      </c>
      <c r="G59" s="6" t="s">
        <v>18</v>
      </c>
      <c r="J59" s="6">
        <v>20.0</v>
      </c>
      <c r="K59" s="7">
        <v>1.8371399523116025</v>
      </c>
      <c r="L59" s="7">
        <v>0.2626847492034481</v>
      </c>
      <c r="M59" s="8">
        <v>0.111421850244242</v>
      </c>
      <c r="N59" s="9"/>
    </row>
    <row r="60" ht="14.25" customHeight="1">
      <c r="B60" s="7">
        <v>0.28595328406446563</v>
      </c>
      <c r="C60" s="6">
        <f t="shared" ref="C60:D60" si="61">$A$59*L60</f>
        <v>183.1388255</v>
      </c>
      <c r="D60" s="6">
        <f t="shared" si="61"/>
        <v>19.15223777</v>
      </c>
      <c r="E60" s="6"/>
      <c r="F60" s="6">
        <v>30.0</v>
      </c>
      <c r="G60" s="6" t="s">
        <v>21</v>
      </c>
      <c r="J60" s="6">
        <v>20.0</v>
      </c>
      <c r="K60" s="7">
        <v>0.28595328406446563</v>
      </c>
      <c r="L60" s="7">
        <v>0.483215898461011</v>
      </c>
      <c r="M60" s="8">
        <v>0.0505336088938152</v>
      </c>
      <c r="N60" s="9"/>
    </row>
    <row r="61" ht="14.25" customHeight="1">
      <c r="B61" s="7">
        <v>1.330678573920686</v>
      </c>
      <c r="C61" s="6">
        <f t="shared" ref="C61:D61" si="62">$A$59*L61</f>
        <v>200.0458871</v>
      </c>
      <c r="D61" s="6">
        <f t="shared" si="62"/>
        <v>16.42741531</v>
      </c>
      <c r="E61" s="6"/>
      <c r="F61" s="6">
        <v>40.0</v>
      </c>
      <c r="G61" s="6" t="s">
        <v>24</v>
      </c>
      <c r="J61" s="6">
        <v>20.0</v>
      </c>
      <c r="K61" s="7">
        <v>1.330678573920686</v>
      </c>
      <c r="L61" s="7">
        <v>0.5278255595693038</v>
      </c>
      <c r="M61" s="8">
        <v>0.0433441037149536</v>
      </c>
      <c r="N61" s="9"/>
    </row>
    <row r="62" ht="14.25" customHeight="1">
      <c r="B62" s="7">
        <v>1.9209419666168617</v>
      </c>
      <c r="C62" s="6">
        <f t="shared" ref="C62:D62" si="63">$A$59*L62</f>
        <v>94.75</v>
      </c>
      <c r="D62" s="6">
        <f t="shared" si="63"/>
        <v>22.42186743</v>
      </c>
      <c r="E62" s="6"/>
      <c r="F62" s="6">
        <v>50.0</v>
      </c>
      <c r="G62" s="6" t="s">
        <v>27</v>
      </c>
      <c r="J62" s="6">
        <v>20.0</v>
      </c>
      <c r="K62" s="7">
        <v>1.9209419666168617</v>
      </c>
      <c r="L62" s="7">
        <v>0.25</v>
      </c>
      <c r="M62" s="8">
        <v>0.0591606000707926</v>
      </c>
      <c r="N62" s="9"/>
    </row>
    <row r="63" ht="14.25" customHeight="1">
      <c r="B63" s="7">
        <v>0.5597133003130754</v>
      </c>
      <c r="C63" s="6">
        <f t="shared" ref="C63:D63" si="64">$A$59*L63</f>
        <v>214.5190351</v>
      </c>
      <c r="D63" s="6">
        <f t="shared" si="64"/>
        <v>51.14301772</v>
      </c>
      <c r="E63" s="6"/>
      <c r="F63" s="6">
        <v>60.0</v>
      </c>
      <c r="G63" s="6" t="s">
        <v>30</v>
      </c>
      <c r="H63" s="6" t="s">
        <v>69</v>
      </c>
      <c r="I63" s="6">
        <v>1.0</v>
      </c>
      <c r="J63" s="6">
        <v>40.0</v>
      </c>
      <c r="K63" s="7">
        <v>0.5597133003130754</v>
      </c>
      <c r="L63" s="7">
        <v>0.5660132853157734</v>
      </c>
      <c r="M63" s="8">
        <v>0.134941999254343</v>
      </c>
      <c r="N63" s="9"/>
    </row>
    <row r="64" ht="14.25" customHeight="1">
      <c r="A64" s="6" t="s">
        <v>70</v>
      </c>
      <c r="B64" s="7">
        <v>0.2</v>
      </c>
      <c r="C64" s="6">
        <f t="shared" ref="C64:D64" si="65">$A$65*L64</f>
        <v>239.0189748</v>
      </c>
      <c r="D64" s="6">
        <f t="shared" si="65"/>
        <v>36.8606749</v>
      </c>
      <c r="E64" s="6"/>
      <c r="F64" s="6">
        <v>10.0</v>
      </c>
      <c r="G64" s="6" t="s">
        <v>15</v>
      </c>
      <c r="J64" s="6">
        <v>20.0</v>
      </c>
      <c r="K64" s="7">
        <v>0.2</v>
      </c>
      <c r="L64" s="7">
        <v>0.5545683869949777</v>
      </c>
      <c r="M64" s="8">
        <v>0.085523607660505</v>
      </c>
      <c r="N64" s="9">
        <v>97.01421176243001</v>
      </c>
      <c r="O64" s="6" t="s">
        <v>16</v>
      </c>
    </row>
    <row r="65" ht="14.25" customHeight="1">
      <c r="A65" s="12">
        <f>21+130+280</f>
        <v>431</v>
      </c>
      <c r="B65" s="7">
        <v>1.2250008927761717</v>
      </c>
      <c r="C65" s="6">
        <f t="shared" ref="C65:D65" si="66">$A$65*L65</f>
        <v>75.00893139</v>
      </c>
      <c r="D65" s="6">
        <f t="shared" si="66"/>
        <v>48.02281746</v>
      </c>
      <c r="E65" s="6"/>
      <c r="F65" s="6">
        <v>20.0</v>
      </c>
      <c r="G65" s="6" t="s">
        <v>18</v>
      </c>
      <c r="J65" s="6">
        <v>20.0</v>
      </c>
      <c r="K65" s="7">
        <v>1.2250008927761717</v>
      </c>
      <c r="L65" s="7">
        <v>0.17403464360061882</v>
      </c>
      <c r="M65" s="8">
        <v>0.111421850244242</v>
      </c>
      <c r="N65" s="9"/>
    </row>
    <row r="66" ht="14.25" customHeight="1">
      <c r="B66" s="7">
        <v>1.183199783284325</v>
      </c>
      <c r="C66" s="6">
        <f t="shared" ref="C66:D66" si="67">$A$65*L66</f>
        <v>274.645104</v>
      </c>
      <c r="D66" s="6">
        <f t="shared" si="67"/>
        <v>21.77998543</v>
      </c>
      <c r="E66" s="6"/>
      <c r="F66" s="6">
        <v>30.0</v>
      </c>
      <c r="G66" s="6" t="s">
        <v>21</v>
      </c>
      <c r="J66" s="6">
        <v>20.0</v>
      </c>
      <c r="K66" s="7">
        <v>1.183199783284325</v>
      </c>
      <c r="L66" s="7">
        <v>0.6372276194529727</v>
      </c>
      <c r="M66" s="8">
        <v>0.0505336088938152</v>
      </c>
      <c r="N66" s="9"/>
    </row>
    <row r="67" ht="14.25" customHeight="1">
      <c r="B67" s="7">
        <v>1.8937190215813244</v>
      </c>
      <c r="C67" s="6">
        <f t="shared" ref="C67:D67" si="68">$A$65*L67</f>
        <v>286.5273184</v>
      </c>
      <c r="D67" s="6">
        <f t="shared" si="68"/>
        <v>18.6813087</v>
      </c>
      <c r="E67" s="6"/>
      <c r="F67" s="6">
        <v>40.0</v>
      </c>
      <c r="G67" s="6" t="s">
        <v>24</v>
      </c>
      <c r="J67" s="6">
        <v>20.0</v>
      </c>
      <c r="K67" s="7">
        <v>1.8937190215813244</v>
      </c>
      <c r="L67" s="7">
        <v>0.6647965623367157</v>
      </c>
      <c r="M67" s="8">
        <v>0.0433441037149536</v>
      </c>
      <c r="N67" s="9"/>
    </row>
    <row r="68" ht="14.25" customHeight="1">
      <c r="B68" s="7">
        <v>1.210922196193843</v>
      </c>
      <c r="C68" s="6">
        <f t="shared" ref="C68:D68" si="69">$A$65*L68</f>
        <v>86.2</v>
      </c>
      <c r="D68" s="6">
        <f t="shared" si="69"/>
        <v>25.49821863</v>
      </c>
      <c r="E68" s="6"/>
      <c r="F68" s="6">
        <v>50.0</v>
      </c>
      <c r="G68" s="6" t="s">
        <v>27</v>
      </c>
      <c r="J68" s="6">
        <v>20.0</v>
      </c>
      <c r="K68" s="7">
        <v>1.210922196193843</v>
      </c>
      <c r="L68" s="7">
        <v>0.2</v>
      </c>
      <c r="M68" s="8">
        <v>0.0591606000707926</v>
      </c>
      <c r="N68" s="9"/>
    </row>
    <row r="69" ht="14.25" customHeight="1">
      <c r="B69" s="7">
        <v>0.2</v>
      </c>
      <c r="C69" s="6">
        <f t="shared" ref="C69:D69" si="70">$A$65*L69</f>
        <v>262.6249723</v>
      </c>
      <c r="D69" s="6">
        <f t="shared" si="70"/>
        <v>58.16000168</v>
      </c>
      <c r="E69" s="6"/>
      <c r="F69" s="6">
        <v>60.0</v>
      </c>
      <c r="G69" s="6" t="s">
        <v>30</v>
      </c>
      <c r="H69" s="6" t="s">
        <v>31</v>
      </c>
      <c r="J69" s="6">
        <v>40.0</v>
      </c>
      <c r="K69" s="7">
        <v>0.2</v>
      </c>
      <c r="L69" s="7">
        <v>0.6093386827465633</v>
      </c>
      <c r="M69" s="8">
        <v>0.134941999254343</v>
      </c>
      <c r="N69" s="9"/>
    </row>
    <row r="70" ht="14.25" customHeight="1">
      <c r="A70" s="6" t="s">
        <v>71</v>
      </c>
      <c r="B70" s="7">
        <v>0.4</v>
      </c>
      <c r="C70" s="6">
        <f t="shared" ref="C70:D70" si="71">$A$71*L70</f>
        <v>126.622314</v>
      </c>
      <c r="D70" s="6">
        <f t="shared" si="71"/>
        <v>19.15728812</v>
      </c>
      <c r="E70" s="6"/>
      <c r="F70" s="6">
        <v>10.0</v>
      </c>
      <c r="G70" s="6" t="s">
        <v>15</v>
      </c>
      <c r="J70" s="6">
        <v>10.0</v>
      </c>
      <c r="K70" s="7">
        <v>0.4</v>
      </c>
      <c r="L70" s="7">
        <v>0.5652781876130898</v>
      </c>
      <c r="M70" s="8">
        <v>0.085523607660505</v>
      </c>
      <c r="N70" s="9">
        <v>372.01477930802616</v>
      </c>
      <c r="O70" s="6" t="s">
        <v>52</v>
      </c>
    </row>
    <row r="71" ht="14.25" customHeight="1">
      <c r="A71" s="12">
        <f>38+143+43</f>
        <v>224</v>
      </c>
      <c r="B71" s="7">
        <v>1.8520464858981653</v>
      </c>
      <c r="C71" s="6">
        <f t="shared" ref="C71:D71" si="72">$A$71*L71</f>
        <v>117.4819893</v>
      </c>
      <c r="D71" s="6">
        <f t="shared" si="72"/>
        <v>24.95849445</v>
      </c>
      <c r="E71" s="6"/>
      <c r="F71" s="6">
        <v>20.0</v>
      </c>
      <c r="G71" s="6" t="s">
        <v>18</v>
      </c>
      <c r="J71" s="6">
        <v>10.0</v>
      </c>
      <c r="K71" s="7">
        <v>1.8520464858981653</v>
      </c>
      <c r="L71" s="7">
        <v>0.5244731665112448</v>
      </c>
      <c r="M71" s="8">
        <v>0.111421850244242</v>
      </c>
      <c r="N71" s="9"/>
    </row>
    <row r="72" ht="14.25" customHeight="1">
      <c r="B72" s="7">
        <v>0.9716161436564845</v>
      </c>
      <c r="C72" s="6">
        <f t="shared" ref="C72:D72" si="73">$A$71*L72</f>
        <v>71.06586009</v>
      </c>
      <c r="D72" s="6">
        <f t="shared" si="73"/>
        <v>11.31952839</v>
      </c>
      <c r="E72" s="6"/>
      <c r="F72" s="6">
        <v>30.0</v>
      </c>
      <c r="G72" s="6" t="s">
        <v>21</v>
      </c>
      <c r="J72" s="6">
        <v>10.0</v>
      </c>
      <c r="K72" s="7">
        <v>0.9716161436564845</v>
      </c>
      <c r="L72" s="7">
        <v>0.3172583039511693</v>
      </c>
      <c r="M72" s="8">
        <v>0.0505336088938152</v>
      </c>
      <c r="N72" s="9"/>
    </row>
    <row r="73" ht="14.25" customHeight="1">
      <c r="B73" s="7">
        <v>0.06954358125781512</v>
      </c>
      <c r="C73" s="6">
        <f t="shared" ref="C73:D73" si="74">$A$71*L73</f>
        <v>284.48</v>
      </c>
      <c r="D73" s="6">
        <f t="shared" si="74"/>
        <v>9.709079232</v>
      </c>
      <c r="E73" s="6"/>
      <c r="F73" s="6">
        <v>40.0</v>
      </c>
      <c r="G73" s="6" t="s">
        <v>24</v>
      </c>
      <c r="J73" s="6">
        <v>10.0</v>
      </c>
      <c r="K73" s="7">
        <v>0.06954358125781512</v>
      </c>
      <c r="L73" s="7">
        <v>1.27</v>
      </c>
      <c r="M73" s="8">
        <v>0.0433441037149536</v>
      </c>
      <c r="N73" s="9"/>
    </row>
    <row r="74" ht="14.25" customHeight="1">
      <c r="B74" s="7">
        <v>1.662416700013144</v>
      </c>
      <c r="C74" s="6">
        <f t="shared" ref="C74:D74" si="75">$A$71*L74</f>
        <v>33.6</v>
      </c>
      <c r="D74" s="6">
        <f t="shared" si="75"/>
        <v>13.25197442</v>
      </c>
      <c r="E74" s="6"/>
      <c r="F74" s="6">
        <v>50.0</v>
      </c>
      <c r="G74" s="6" t="s">
        <v>27</v>
      </c>
      <c r="J74" s="6">
        <v>10.0</v>
      </c>
      <c r="K74" s="7">
        <v>1.662416700013144</v>
      </c>
      <c r="L74" s="7">
        <v>0.15</v>
      </c>
      <c r="M74" s="8">
        <v>0.0591606000707926</v>
      </c>
      <c r="N74" s="9"/>
    </row>
    <row r="75" ht="14.25" customHeight="1">
      <c r="B75" s="7">
        <v>0.48287254533116086</v>
      </c>
      <c r="C75" s="6">
        <f t="shared" ref="C75:D75" si="76">$A$71*L75</f>
        <v>182.2931171</v>
      </c>
      <c r="D75" s="6">
        <f t="shared" si="76"/>
        <v>30.22700783</v>
      </c>
      <c r="E75" s="6"/>
      <c r="F75" s="6">
        <v>60.0</v>
      </c>
      <c r="G75" s="6" t="s">
        <v>30</v>
      </c>
      <c r="H75" s="6" t="s">
        <v>72</v>
      </c>
      <c r="I75" s="6">
        <v>2.0</v>
      </c>
      <c r="J75" s="6">
        <v>20.0</v>
      </c>
      <c r="K75" s="7">
        <v>0.48287254533116086</v>
      </c>
      <c r="L75" s="7">
        <v>0.8138085586923526</v>
      </c>
      <c r="M75" s="8">
        <v>0.134941999254343</v>
      </c>
      <c r="N75" s="9"/>
    </row>
    <row r="76" ht="14.25" customHeight="1">
      <c r="B76" s="7"/>
      <c r="C76" s="6">
        <f t="shared" ref="C76:D76" si="77">$A$71*L76</f>
        <v>0</v>
      </c>
      <c r="D76" s="6">
        <f t="shared" si="77"/>
        <v>0</v>
      </c>
      <c r="H76" s="6" t="s">
        <v>73</v>
      </c>
      <c r="I76" s="6">
        <v>2.0</v>
      </c>
      <c r="K76" s="7"/>
      <c r="L76" s="7"/>
      <c r="M76" s="8"/>
      <c r="N76" s="9"/>
    </row>
    <row r="77" ht="14.25" customHeight="1">
      <c r="A77" s="6" t="s">
        <v>74</v>
      </c>
      <c r="B77" s="7">
        <v>0.49964462596401016</v>
      </c>
      <c r="C77" s="6">
        <f t="shared" ref="C77:D77" si="78">$A$78*L77</f>
        <v>194.4127471</v>
      </c>
      <c r="D77" s="6">
        <f t="shared" si="78"/>
        <v>22.57823242</v>
      </c>
      <c r="E77" s="6"/>
      <c r="F77" s="6">
        <v>10.0</v>
      </c>
      <c r="G77" s="6" t="s">
        <v>15</v>
      </c>
      <c r="J77" s="6">
        <v>20.0</v>
      </c>
      <c r="K77" s="7">
        <v>0.49964462596401016</v>
      </c>
      <c r="L77" s="7">
        <v>0.7364119207840953</v>
      </c>
      <c r="M77" s="8">
        <v>0.085523607660505</v>
      </c>
      <c r="N77" s="9">
        <v>141.47513637030664</v>
      </c>
      <c r="O77" s="6" t="s">
        <v>35</v>
      </c>
    </row>
    <row r="78" ht="14.25" customHeight="1">
      <c r="A78" s="12">
        <f>71+77+116</f>
        <v>264</v>
      </c>
      <c r="B78" s="7">
        <v>0.03835798776646393</v>
      </c>
      <c r="C78" s="6">
        <f t="shared" ref="C78:D78" si="79">$A$78*L78</f>
        <v>141.5675681</v>
      </c>
      <c r="D78" s="6">
        <f t="shared" si="79"/>
        <v>29.41536846</v>
      </c>
      <c r="E78" s="6"/>
      <c r="F78" s="6">
        <v>20.0</v>
      </c>
      <c r="G78" s="6" t="s">
        <v>18</v>
      </c>
      <c r="J78" s="6">
        <v>20.0</v>
      </c>
      <c r="K78" s="7">
        <v>0.03835798776646393</v>
      </c>
      <c r="L78" s="7">
        <v>0.5362407882156427</v>
      </c>
      <c r="M78" s="8">
        <v>0.111421850244242</v>
      </c>
      <c r="N78" s="9"/>
    </row>
    <row r="79" ht="14.25" customHeight="1">
      <c r="B79" s="7">
        <v>1.4872293456057835</v>
      </c>
      <c r="C79" s="6">
        <f t="shared" ref="C79:D79" si="80">$A$78*L79</f>
        <v>120.938834</v>
      </c>
      <c r="D79" s="6">
        <f t="shared" si="80"/>
        <v>13.34087275</v>
      </c>
      <c r="E79" s="6"/>
      <c r="F79" s="6">
        <v>30.0</v>
      </c>
      <c r="G79" s="6" t="s">
        <v>21</v>
      </c>
      <c r="J79" s="6">
        <v>20.0</v>
      </c>
      <c r="K79" s="7">
        <v>1.4872293456057835</v>
      </c>
      <c r="L79" s="7">
        <v>0.45810164397099107</v>
      </c>
      <c r="M79" s="8">
        <v>0.0505336088938152</v>
      </c>
      <c r="N79" s="9"/>
    </row>
    <row r="80" ht="14.25" customHeight="1">
      <c r="B80" s="7">
        <v>0.19949974104580392</v>
      </c>
      <c r="C80" s="6">
        <f t="shared" ref="C80:D80" si="81">$A$78*L80</f>
        <v>285.12</v>
      </c>
      <c r="D80" s="6">
        <f t="shared" si="81"/>
        <v>11.44284338</v>
      </c>
      <c r="E80" s="6"/>
      <c r="F80" s="6">
        <v>40.0</v>
      </c>
      <c r="G80" s="6" t="s">
        <v>24</v>
      </c>
      <c r="J80" s="6">
        <v>20.0</v>
      </c>
      <c r="K80" s="7">
        <v>0.19949974104580392</v>
      </c>
      <c r="L80" s="7">
        <v>1.08</v>
      </c>
      <c r="M80" s="8">
        <v>0.0433441037149536</v>
      </c>
      <c r="N80" s="9"/>
    </row>
    <row r="81" ht="14.25" customHeight="1">
      <c r="B81" s="7">
        <v>0.7036891145200421</v>
      </c>
      <c r="C81" s="6">
        <f t="shared" ref="C81:D81" si="82">$A$78*L81</f>
        <v>52.8</v>
      </c>
      <c r="D81" s="6">
        <f t="shared" si="82"/>
        <v>15.61839842</v>
      </c>
      <c r="E81" s="6"/>
      <c r="F81" s="6">
        <v>50.0</v>
      </c>
      <c r="G81" s="6" t="s">
        <v>27</v>
      </c>
      <c r="J81" s="6">
        <v>20.0</v>
      </c>
      <c r="K81" s="7">
        <v>0.7036891145200421</v>
      </c>
      <c r="L81" s="7">
        <v>0.2</v>
      </c>
      <c r="M81" s="8">
        <v>0.0591606000707926</v>
      </c>
      <c r="N81" s="9"/>
    </row>
    <row r="82" ht="14.25" customHeight="1">
      <c r="B82" s="7">
        <v>0.15978755971069702</v>
      </c>
      <c r="C82" s="6">
        <f t="shared" ref="C82:D82" si="83">$A$78*L82</f>
        <v>242.6298684</v>
      </c>
      <c r="D82" s="6">
        <f t="shared" si="83"/>
        <v>35.6246878</v>
      </c>
      <c r="E82" s="6"/>
      <c r="F82" s="6">
        <v>60.0</v>
      </c>
      <c r="G82" s="6" t="s">
        <v>30</v>
      </c>
      <c r="H82" s="6" t="s">
        <v>31</v>
      </c>
      <c r="J82" s="6">
        <v>40.0</v>
      </c>
      <c r="K82" s="7">
        <v>0.15978755971069702</v>
      </c>
      <c r="L82" s="7">
        <v>0.9190525318431018</v>
      </c>
      <c r="M82" s="8">
        <v>0.134941999254343</v>
      </c>
      <c r="N82" s="9"/>
    </row>
    <row r="83" ht="14.25" customHeight="1">
      <c r="A83" s="6" t="s">
        <v>75</v>
      </c>
      <c r="B83" s="7">
        <v>0.4</v>
      </c>
      <c r="C83" s="6">
        <f t="shared" ref="C83:D83" si="84">$A$84*L83</f>
        <v>145.5679896</v>
      </c>
      <c r="D83" s="6">
        <f t="shared" si="84"/>
        <v>12.74301754</v>
      </c>
      <c r="E83" s="6"/>
      <c r="F83" s="6">
        <v>10.0</v>
      </c>
      <c r="G83" s="6" t="s">
        <v>15</v>
      </c>
      <c r="J83" s="6">
        <v>20.0</v>
      </c>
      <c r="K83" s="7">
        <v>0.4</v>
      </c>
      <c r="L83" s="7">
        <v>0.9769663732447329</v>
      </c>
      <c r="M83" s="8">
        <v>0.085523607660505</v>
      </c>
      <c r="N83" s="9">
        <v>140.07761809133754</v>
      </c>
      <c r="O83" s="6" t="s">
        <v>35</v>
      </c>
    </row>
    <row r="84" ht="14.25" customHeight="1">
      <c r="A84" s="12">
        <f>33+116</f>
        <v>149</v>
      </c>
      <c r="B84" s="7">
        <v>0.4016900593769568</v>
      </c>
      <c r="C84" s="6">
        <f t="shared" ref="C84:D84" si="85">$A$84*L84</f>
        <v>113.052045</v>
      </c>
      <c r="D84" s="6">
        <f t="shared" si="85"/>
        <v>16.60185569</v>
      </c>
      <c r="E84" s="6"/>
      <c r="F84" s="6">
        <v>20.0</v>
      </c>
      <c r="G84" s="6" t="s">
        <v>18</v>
      </c>
      <c r="J84" s="6">
        <v>20.0</v>
      </c>
      <c r="K84" s="7">
        <v>0.4016900593769568</v>
      </c>
      <c r="L84" s="7">
        <v>0.7587385568445294</v>
      </c>
      <c r="M84" s="8">
        <v>0.111421850244242</v>
      </c>
      <c r="N84" s="9"/>
    </row>
    <row r="85" ht="14.25" customHeight="1">
      <c r="B85" s="7">
        <v>1.2172174296564762</v>
      </c>
      <c r="C85" s="6">
        <f t="shared" ref="C85:D85" si="86">$A$84*L85</f>
        <v>67.71613918</v>
      </c>
      <c r="D85" s="6">
        <f t="shared" si="86"/>
        <v>7.529507725</v>
      </c>
      <c r="E85" s="6"/>
      <c r="F85" s="6">
        <v>30.0</v>
      </c>
      <c r="G85" s="6" t="s">
        <v>21</v>
      </c>
      <c r="J85" s="6">
        <v>20.0</v>
      </c>
      <c r="K85" s="7">
        <v>1.2172174296564762</v>
      </c>
      <c r="L85" s="7">
        <v>0.45447073273187444</v>
      </c>
      <c r="M85" s="8">
        <v>0.0505336088938152</v>
      </c>
      <c r="N85" s="9"/>
    </row>
    <row r="86" ht="14.25" customHeight="1">
      <c r="B86" s="7">
        <v>0.26089735483909404</v>
      </c>
      <c r="C86" s="6">
        <f t="shared" ref="C86:D86" si="87">$A$84*L86</f>
        <v>124.5308925</v>
      </c>
      <c r="D86" s="6">
        <f t="shared" si="87"/>
        <v>6.458271454</v>
      </c>
      <c r="E86" s="6"/>
      <c r="F86" s="6">
        <v>40.0</v>
      </c>
      <c r="G86" s="6" t="s">
        <v>24</v>
      </c>
      <c r="J86" s="6">
        <v>20.0</v>
      </c>
      <c r="K86" s="7">
        <v>0.26089735483909404</v>
      </c>
      <c r="L86" s="7">
        <v>0.8357778018518573</v>
      </c>
      <c r="M86" s="8">
        <v>0.0433441037149536</v>
      </c>
      <c r="N86" s="9"/>
    </row>
    <row r="87" ht="14.25" customHeight="1">
      <c r="B87" s="7">
        <v>1.1812689860085959</v>
      </c>
      <c r="C87" s="6">
        <f t="shared" ref="C87:D87" si="88">$A$84*L87</f>
        <v>34.27</v>
      </c>
      <c r="D87" s="6">
        <f t="shared" si="88"/>
        <v>8.814929411</v>
      </c>
      <c r="E87" s="6"/>
      <c r="F87" s="6">
        <v>50.0</v>
      </c>
      <c r="G87" s="6" t="s">
        <v>27</v>
      </c>
      <c r="J87" s="6">
        <v>20.0</v>
      </c>
      <c r="K87" s="7">
        <v>1.1812689860085959</v>
      </c>
      <c r="L87" s="7">
        <v>0.23</v>
      </c>
      <c r="M87" s="8">
        <v>0.0591606000707926</v>
      </c>
      <c r="N87" s="9"/>
    </row>
    <row r="88" ht="14.25" customHeight="1">
      <c r="B88" s="7">
        <v>0.3</v>
      </c>
      <c r="C88" s="6">
        <f t="shared" ref="C88:D88" si="89">$A$84*L88</f>
        <v>87.03228813</v>
      </c>
      <c r="D88" s="6">
        <f t="shared" si="89"/>
        <v>20.10635789</v>
      </c>
      <c r="E88" s="6"/>
      <c r="F88" s="6">
        <v>60.0</v>
      </c>
      <c r="G88" s="6" t="s">
        <v>30</v>
      </c>
      <c r="H88" s="6" t="s">
        <v>31</v>
      </c>
      <c r="J88" s="6">
        <v>40.0</v>
      </c>
      <c r="K88" s="7">
        <v>0.3</v>
      </c>
      <c r="L88" s="7">
        <v>0.5841093162922272</v>
      </c>
      <c r="M88" s="8">
        <v>0.134941999254343</v>
      </c>
      <c r="N88" s="9"/>
    </row>
    <row r="89" ht="14.25" customHeight="1">
      <c r="A89" s="6" t="s">
        <v>76</v>
      </c>
      <c r="B89" s="7">
        <v>0.3</v>
      </c>
      <c r="C89" s="6">
        <f t="shared" ref="C89:D89" si="90">$A$90*L89</f>
        <v>294.9563123</v>
      </c>
      <c r="D89" s="6">
        <f t="shared" si="90"/>
        <v>30.78849876</v>
      </c>
      <c r="E89" s="6"/>
      <c r="F89" s="6">
        <v>10.0</v>
      </c>
      <c r="G89" s="6" t="s">
        <v>15</v>
      </c>
      <c r="J89" s="6">
        <v>20.0</v>
      </c>
      <c r="K89" s="7">
        <v>0.3</v>
      </c>
      <c r="L89" s="7">
        <v>0.8193230896046688</v>
      </c>
      <c r="M89" s="8">
        <v>0.085523607660505</v>
      </c>
      <c r="N89" s="9">
        <v>133.4187180554322</v>
      </c>
      <c r="O89" s="6" t="s">
        <v>16</v>
      </c>
    </row>
    <row r="90" ht="14.25" customHeight="1">
      <c r="A90" s="12">
        <f>95+84+181</f>
        <v>360</v>
      </c>
      <c r="B90" s="7">
        <v>1.4989194701328994</v>
      </c>
      <c r="C90" s="6">
        <f t="shared" ref="C90:D90" si="91">$A$90*L90</f>
        <v>234.4723038</v>
      </c>
      <c r="D90" s="6">
        <f t="shared" si="91"/>
        <v>40.11186609</v>
      </c>
      <c r="E90" s="6"/>
      <c r="F90" s="6">
        <v>20.0</v>
      </c>
      <c r="G90" s="6" t="s">
        <v>18</v>
      </c>
      <c r="J90" s="6">
        <v>20.0</v>
      </c>
      <c r="K90" s="7">
        <v>1.4989194701328994</v>
      </c>
      <c r="L90" s="7">
        <v>0.6513119550888059</v>
      </c>
      <c r="M90" s="8">
        <v>0.111421850244242</v>
      </c>
      <c r="N90" s="9"/>
    </row>
    <row r="91" ht="14.25" customHeight="1">
      <c r="B91" s="7">
        <v>1.1096314529533513</v>
      </c>
      <c r="C91" s="6">
        <f t="shared" ref="C91:D91" si="92">$A$90*L91</f>
        <v>117.0869115</v>
      </c>
      <c r="D91" s="6">
        <f t="shared" si="92"/>
        <v>18.1920992</v>
      </c>
      <c r="E91" s="6"/>
      <c r="F91" s="6">
        <v>30.0</v>
      </c>
      <c r="G91" s="6" t="s">
        <v>21</v>
      </c>
      <c r="J91" s="6">
        <v>20.0</v>
      </c>
      <c r="K91" s="7">
        <v>1.1096314529533513</v>
      </c>
      <c r="L91" s="7">
        <v>0.3252414208057939</v>
      </c>
      <c r="M91" s="8">
        <v>0.0505336088938152</v>
      </c>
      <c r="N91" s="9"/>
    </row>
    <row r="92" ht="14.25" customHeight="1">
      <c r="B92" s="7">
        <v>1.110887851539639</v>
      </c>
      <c r="C92" s="6">
        <f t="shared" ref="C92:D92" si="93">$A$90*L92</f>
        <v>321.9456359</v>
      </c>
      <c r="D92" s="6">
        <f t="shared" si="93"/>
        <v>15.60387734</v>
      </c>
      <c r="E92" s="6"/>
      <c r="F92" s="6">
        <v>40.0</v>
      </c>
      <c r="G92" s="6" t="s">
        <v>24</v>
      </c>
      <c r="J92" s="6">
        <v>20.0</v>
      </c>
      <c r="K92" s="7">
        <v>1.110887851539639</v>
      </c>
      <c r="L92" s="7">
        <v>0.8942934331850088</v>
      </c>
      <c r="M92" s="8">
        <v>0.0433441037149536</v>
      </c>
      <c r="N92" s="9"/>
    </row>
    <row r="93" ht="14.25" customHeight="1">
      <c r="B93" s="7">
        <v>1.1741213058621576</v>
      </c>
      <c r="C93" s="6">
        <f t="shared" ref="C93:D93" si="94">$A$90*L93</f>
        <v>57.6</v>
      </c>
      <c r="D93" s="6">
        <f t="shared" si="94"/>
        <v>21.29781603</v>
      </c>
      <c r="E93" s="6"/>
      <c r="F93" s="6">
        <v>50.0</v>
      </c>
      <c r="G93" s="6" t="s">
        <v>27</v>
      </c>
      <c r="J93" s="6">
        <v>20.0</v>
      </c>
      <c r="K93" s="7">
        <v>1.1741213058621576</v>
      </c>
      <c r="L93" s="7">
        <v>0.16</v>
      </c>
      <c r="M93" s="8">
        <v>0.0591606000707926</v>
      </c>
      <c r="N93" s="9"/>
    </row>
    <row r="94" ht="14.25" customHeight="1">
      <c r="B94" s="7">
        <v>0.1555102506392141</v>
      </c>
      <c r="C94" s="6">
        <f t="shared" ref="C94:D94" si="95">$A$90*L94</f>
        <v>349.4614586</v>
      </c>
      <c r="D94" s="6">
        <f t="shared" si="95"/>
        <v>48.57911973</v>
      </c>
      <c r="E94" s="6"/>
      <c r="F94" s="6">
        <v>60.0</v>
      </c>
      <c r="G94" s="6" t="s">
        <v>30</v>
      </c>
      <c r="H94" s="6" t="s">
        <v>31</v>
      </c>
      <c r="J94" s="6">
        <v>40.0</v>
      </c>
      <c r="K94" s="7">
        <v>0.1555102506392141</v>
      </c>
      <c r="L94" s="7">
        <v>0.9707262738240547</v>
      </c>
      <c r="M94" s="8">
        <v>0.134941999254343</v>
      </c>
      <c r="N94" s="9"/>
    </row>
    <row r="95" ht="14.25" customHeight="1">
      <c r="A95" s="6" t="s">
        <v>77</v>
      </c>
      <c r="B95" s="7">
        <v>0.2291638706296375</v>
      </c>
      <c r="C95" s="6">
        <f t="shared" ref="C95:D95" si="96">$A$96*L95</f>
        <v>131.5299489</v>
      </c>
      <c r="D95" s="6">
        <f t="shared" si="96"/>
        <v>15.05215495</v>
      </c>
      <c r="E95" s="6"/>
      <c r="F95" s="6">
        <v>10.0</v>
      </c>
      <c r="G95" s="6" t="s">
        <v>15</v>
      </c>
      <c r="J95" s="6">
        <v>20.0</v>
      </c>
      <c r="K95" s="7">
        <v>0.2291638706296375</v>
      </c>
      <c r="L95" s="7">
        <v>0.7473292549320537</v>
      </c>
      <c r="M95" s="8">
        <v>0.085523607660505</v>
      </c>
      <c r="N95" s="9">
        <v>194.3292301554867</v>
      </c>
      <c r="O95" s="6" t="s">
        <v>35</v>
      </c>
    </row>
    <row r="96" ht="14.25" customHeight="1">
      <c r="A96" s="12">
        <f>84+92</f>
        <v>176</v>
      </c>
      <c r="B96" s="7">
        <v>0.827128148989962</v>
      </c>
      <c r="C96" s="6">
        <f t="shared" ref="C96:D96" si="97">$A$96*L96</f>
        <v>100.5604059</v>
      </c>
      <c r="D96" s="6">
        <f t="shared" si="97"/>
        <v>19.61024564</v>
      </c>
      <c r="E96" s="6"/>
      <c r="F96" s="6">
        <v>20.0</v>
      </c>
      <c r="G96" s="6" t="s">
        <v>18</v>
      </c>
      <c r="J96" s="6">
        <v>20.0</v>
      </c>
      <c r="K96" s="7">
        <v>0.827128148989962</v>
      </c>
      <c r="L96" s="7">
        <v>0.5713659425064722</v>
      </c>
      <c r="M96" s="8">
        <v>0.111421850244242</v>
      </c>
      <c r="N96" s="9"/>
    </row>
    <row r="97" ht="14.25" customHeight="1">
      <c r="B97" s="7">
        <v>1.2631975169755727</v>
      </c>
      <c r="C97" s="6">
        <f t="shared" ref="C97:D97" si="98">$A$96*L97</f>
        <v>135.0743228</v>
      </c>
      <c r="D97" s="6">
        <f t="shared" si="98"/>
        <v>8.893915165</v>
      </c>
      <c r="E97" s="6"/>
      <c r="F97" s="6">
        <v>30.0</v>
      </c>
      <c r="G97" s="6" t="s">
        <v>21</v>
      </c>
      <c r="J97" s="6">
        <v>20.0</v>
      </c>
      <c r="K97" s="7">
        <v>1.2631975169755727</v>
      </c>
      <c r="L97" s="7">
        <v>0.7674677434502912</v>
      </c>
      <c r="M97" s="8">
        <v>0.0505336088938152</v>
      </c>
      <c r="N97" s="9"/>
    </row>
    <row r="98" ht="14.25" customHeight="1">
      <c r="B98" s="7">
        <v>0.7459695454023225</v>
      </c>
      <c r="C98" s="6">
        <f t="shared" ref="C98:D98" si="99">$A$96*L98</f>
        <v>109.7950322</v>
      </c>
      <c r="D98" s="6">
        <f t="shared" si="99"/>
        <v>7.628562254</v>
      </c>
      <c r="E98" s="6"/>
      <c r="F98" s="6">
        <v>40.0</v>
      </c>
      <c r="G98" s="6" t="s">
        <v>24</v>
      </c>
      <c r="J98" s="6">
        <v>20.0</v>
      </c>
      <c r="K98" s="7">
        <v>0.7459695454023225</v>
      </c>
      <c r="L98" s="7">
        <v>0.6238354101636879</v>
      </c>
      <c r="M98" s="8">
        <v>0.0433441037149536</v>
      </c>
      <c r="N98" s="9"/>
    </row>
    <row r="99" ht="14.25" customHeight="1">
      <c r="B99" s="7">
        <v>0.14758239807283102</v>
      </c>
      <c r="C99" s="6">
        <f t="shared" ref="C99:D99" si="100">$A$96*L99</f>
        <v>48.11582252</v>
      </c>
      <c r="D99" s="6">
        <f t="shared" si="100"/>
        <v>10.41226561</v>
      </c>
      <c r="E99" s="6"/>
      <c r="F99" s="6">
        <v>50.0</v>
      </c>
      <c r="G99" s="6" t="s">
        <v>27</v>
      </c>
      <c r="J99" s="6">
        <v>20.0</v>
      </c>
      <c r="K99" s="7">
        <v>0.14758239807283102</v>
      </c>
      <c r="L99" s="7">
        <v>0.27338535521656504</v>
      </c>
      <c r="M99" s="8">
        <v>0.0591606000707926</v>
      </c>
      <c r="N99" s="9"/>
    </row>
    <row r="100" ht="14.25" customHeight="1">
      <c r="B100" s="7">
        <v>0.2</v>
      </c>
      <c r="C100" s="6">
        <f t="shared" ref="C100:D100" si="101">$A$96*L100</f>
        <v>143.4276091</v>
      </c>
      <c r="D100" s="6">
        <f t="shared" si="101"/>
        <v>23.74979187</v>
      </c>
      <c r="E100" s="6"/>
      <c r="F100" s="6">
        <v>60.0</v>
      </c>
      <c r="G100" s="6" t="s">
        <v>30</v>
      </c>
      <c r="H100" s="6" t="s">
        <v>78</v>
      </c>
      <c r="I100" s="6">
        <v>1.0</v>
      </c>
      <c r="J100" s="6">
        <v>40.0</v>
      </c>
      <c r="K100" s="7">
        <v>0.2</v>
      </c>
      <c r="L100" s="7">
        <v>0.8149295972639586</v>
      </c>
      <c r="M100" s="8">
        <v>0.134941999254343</v>
      </c>
      <c r="N100" s="9"/>
    </row>
    <row r="101" ht="14.25" customHeight="1">
      <c r="A101" s="6" t="s">
        <v>79</v>
      </c>
      <c r="B101" s="7">
        <v>0.6101087874161646</v>
      </c>
      <c r="C101" s="6">
        <f t="shared" ref="C101:D101" si="102">$A$102*L101</f>
        <v>32.71657763</v>
      </c>
      <c r="D101" s="6">
        <f t="shared" si="102"/>
        <v>12.2298759</v>
      </c>
      <c r="E101" s="6"/>
      <c r="F101" s="6">
        <v>10.0</v>
      </c>
      <c r="G101" s="6" t="s">
        <v>15</v>
      </c>
      <c r="J101" s="6">
        <v>20.0</v>
      </c>
      <c r="K101" s="7">
        <v>0.6101087874161646</v>
      </c>
      <c r="L101" s="7">
        <v>0.228787256129048</v>
      </c>
      <c r="M101" s="8">
        <v>0.085523607660505</v>
      </c>
      <c r="N101" s="9">
        <v>258.2124287204404</v>
      </c>
      <c r="O101" s="6" t="s">
        <v>35</v>
      </c>
    </row>
    <row r="102" ht="14.25" customHeight="1">
      <c r="A102" s="12">
        <f>106+12+25</f>
        <v>143</v>
      </c>
      <c r="B102" s="7">
        <v>1.9128704659985332</v>
      </c>
      <c r="C102" s="6">
        <f t="shared" ref="C102:D102" si="103">$A$102*L102</f>
        <v>123.2301278</v>
      </c>
      <c r="D102" s="6">
        <f t="shared" si="103"/>
        <v>15.93332458</v>
      </c>
      <c r="E102" s="6"/>
      <c r="F102" s="6">
        <v>20.0</v>
      </c>
      <c r="G102" s="6" t="s">
        <v>18</v>
      </c>
      <c r="J102" s="6">
        <v>20.0</v>
      </c>
      <c r="K102" s="7">
        <v>1.9128704659985332</v>
      </c>
      <c r="L102" s="7">
        <v>0.8617491452810819</v>
      </c>
      <c r="M102" s="8">
        <v>0.111421850244242</v>
      </c>
      <c r="N102" s="9"/>
    </row>
    <row r="103" ht="14.25" customHeight="1">
      <c r="B103" s="7">
        <v>0.3686680517534586</v>
      </c>
      <c r="C103" s="6">
        <f t="shared" ref="C103:D103" si="104">$A$102*L103</f>
        <v>60.56840538</v>
      </c>
      <c r="D103" s="6">
        <f t="shared" si="104"/>
        <v>7.226306072</v>
      </c>
      <c r="E103" s="6"/>
      <c r="F103" s="6">
        <v>30.0</v>
      </c>
      <c r="G103" s="6" t="s">
        <v>21</v>
      </c>
      <c r="J103" s="6">
        <v>20.0</v>
      </c>
      <c r="K103" s="7">
        <v>0.3686680517534586</v>
      </c>
      <c r="L103" s="7">
        <v>0.423555282396332</v>
      </c>
      <c r="M103" s="8">
        <v>0.0505336088938152</v>
      </c>
      <c r="N103" s="9"/>
    </row>
    <row r="104" ht="14.25" customHeight="1">
      <c r="B104" s="7">
        <v>0.3766228581655815</v>
      </c>
      <c r="C104" s="6">
        <f t="shared" ref="C104:D104" si="105">$A$102*L104</f>
        <v>70.52065617</v>
      </c>
      <c r="D104" s="6">
        <f t="shared" si="105"/>
        <v>6.198206831</v>
      </c>
      <c r="E104" s="6"/>
      <c r="F104" s="6">
        <v>40.0</v>
      </c>
      <c r="G104" s="6" t="s">
        <v>24</v>
      </c>
      <c r="J104" s="6">
        <v>20.0</v>
      </c>
      <c r="K104" s="7">
        <v>0.3766228581655815</v>
      </c>
      <c r="L104" s="7">
        <v>0.49315144176719394</v>
      </c>
      <c r="M104" s="8">
        <v>0.0433441037149536</v>
      </c>
      <c r="N104" s="9"/>
    </row>
    <row r="105" ht="14.25" customHeight="1">
      <c r="B105" s="7">
        <v>1.5428896741655245</v>
      </c>
      <c r="C105" s="6">
        <f t="shared" ref="C105:D105" si="106">$A$102*L105</f>
        <v>24.31</v>
      </c>
      <c r="D105" s="6">
        <f t="shared" si="106"/>
        <v>8.45996581</v>
      </c>
      <c r="E105" s="6"/>
      <c r="F105" s="6">
        <v>50.0</v>
      </c>
      <c r="G105" s="6" t="s">
        <v>27</v>
      </c>
      <c r="J105" s="6">
        <v>20.0</v>
      </c>
      <c r="K105" s="7">
        <v>1.5428896741655245</v>
      </c>
      <c r="L105" s="7">
        <v>0.17</v>
      </c>
      <c r="M105" s="8">
        <v>0.0591606000707926</v>
      </c>
      <c r="N105" s="9"/>
    </row>
    <row r="106" ht="14.25" customHeight="1">
      <c r="B106" s="7">
        <v>0.8088993346959539</v>
      </c>
      <c r="C106" s="6">
        <f t="shared" ref="C106:D106" si="107">$A$102*L106</f>
        <v>110.1526984</v>
      </c>
      <c r="D106" s="6">
        <f t="shared" si="107"/>
        <v>19.29670589</v>
      </c>
      <c r="E106" s="6"/>
      <c r="F106" s="6">
        <v>60.0</v>
      </c>
      <c r="G106" s="6" t="s">
        <v>30</v>
      </c>
      <c r="H106" s="6" t="s">
        <v>78</v>
      </c>
      <c r="I106" s="6">
        <v>2.0</v>
      </c>
      <c r="J106" s="6">
        <v>40.0</v>
      </c>
      <c r="K106" s="7">
        <v>0.8088993346959539</v>
      </c>
      <c r="L106" s="7">
        <v>0.7702985905184736</v>
      </c>
      <c r="M106" s="8">
        <v>0.134941999254343</v>
      </c>
      <c r="N106" s="9"/>
    </row>
    <row r="107" ht="14.25" customHeight="1">
      <c r="A107" s="6" t="s">
        <v>80</v>
      </c>
      <c r="B107" s="7">
        <v>0.16910372521292483</v>
      </c>
      <c r="C107" s="6">
        <f t="shared" ref="C107:D107" si="108">$A$108*L107</f>
        <v>257.671171</v>
      </c>
      <c r="D107" s="6">
        <f t="shared" si="108"/>
        <v>35.32124996</v>
      </c>
      <c r="E107" s="6"/>
      <c r="F107" s="6">
        <v>10.0</v>
      </c>
      <c r="G107" s="6" t="s">
        <v>15</v>
      </c>
      <c r="J107" s="6">
        <v>20.0</v>
      </c>
      <c r="K107" s="7">
        <v>0.16910372521292483</v>
      </c>
      <c r="L107" s="7">
        <v>0.623901140444371</v>
      </c>
      <c r="M107" s="8">
        <v>0.085523607660505</v>
      </c>
      <c r="N107" s="9">
        <v>379.7593022153968</v>
      </c>
      <c r="O107" s="6" t="s">
        <v>52</v>
      </c>
    </row>
    <row r="108" ht="14.25" customHeight="1">
      <c r="A108" s="12">
        <f>133+144+136</f>
        <v>413</v>
      </c>
      <c r="B108" s="7">
        <v>0.6609356827521082</v>
      </c>
      <c r="C108" s="6">
        <f t="shared" ref="C108:D108" si="109">$A$108*L108</f>
        <v>333.1787408</v>
      </c>
      <c r="D108" s="6">
        <f t="shared" si="109"/>
        <v>46.01722415</v>
      </c>
      <c r="E108" s="6"/>
      <c r="F108" s="6">
        <v>20.0</v>
      </c>
      <c r="G108" s="6" t="s">
        <v>18</v>
      </c>
      <c r="J108" s="6">
        <v>20.0</v>
      </c>
      <c r="K108" s="7">
        <v>0.6609356827521082</v>
      </c>
      <c r="L108" s="7">
        <v>0.8067281858909273</v>
      </c>
      <c r="M108" s="8">
        <v>0.111421850244242</v>
      </c>
      <c r="N108" s="9"/>
    </row>
    <row r="109" ht="14.25" customHeight="1">
      <c r="B109" s="7">
        <v>1.954226222744763</v>
      </c>
      <c r="C109" s="6">
        <f t="shared" ref="C109:D109" si="110">$A$108*L109</f>
        <v>366.281044</v>
      </c>
      <c r="D109" s="6">
        <f t="shared" si="110"/>
        <v>20.87038047</v>
      </c>
      <c r="E109" s="6"/>
      <c r="F109" s="6">
        <v>30.0</v>
      </c>
      <c r="G109" s="6" t="s">
        <v>21</v>
      </c>
      <c r="J109" s="6">
        <v>20.0</v>
      </c>
      <c r="K109" s="7">
        <v>1.954226222744763</v>
      </c>
      <c r="L109" s="7">
        <v>0.8868790412244693</v>
      </c>
      <c r="M109" s="8">
        <v>0.0505336088938152</v>
      </c>
      <c r="N109" s="9"/>
    </row>
    <row r="110" ht="14.25" customHeight="1">
      <c r="B110" s="7">
        <v>0.978954939516196</v>
      </c>
      <c r="C110" s="6">
        <f t="shared" ref="C110:D110" si="111">$A$108*L110</f>
        <v>339.8372214</v>
      </c>
      <c r="D110" s="6">
        <f t="shared" si="111"/>
        <v>17.90111483</v>
      </c>
      <c r="E110" s="6"/>
      <c r="F110" s="6">
        <v>40.0</v>
      </c>
      <c r="G110" s="6" t="s">
        <v>24</v>
      </c>
      <c r="J110" s="6">
        <v>20.0</v>
      </c>
      <c r="K110" s="7">
        <v>0.978954939516196</v>
      </c>
      <c r="L110" s="7">
        <v>0.8228504150671122</v>
      </c>
      <c r="M110" s="8">
        <v>0.0433441037149536</v>
      </c>
      <c r="N110" s="9"/>
    </row>
    <row r="111" ht="14.25" customHeight="1">
      <c r="B111" s="7">
        <v>0.7916615927779751</v>
      </c>
      <c r="C111" s="6">
        <f t="shared" ref="C111:D111" si="112">$A$108*L111</f>
        <v>99.12</v>
      </c>
      <c r="D111" s="6">
        <f t="shared" si="112"/>
        <v>24.43332783</v>
      </c>
      <c r="E111" s="6"/>
      <c r="F111" s="6">
        <v>50.0</v>
      </c>
      <c r="G111" s="6" t="s">
        <v>27</v>
      </c>
      <c r="J111" s="6">
        <v>20.0</v>
      </c>
      <c r="K111" s="7">
        <v>0.7916615927779751</v>
      </c>
      <c r="L111" s="7">
        <v>0.24</v>
      </c>
      <c r="M111" s="8">
        <v>0.0591606000707926</v>
      </c>
      <c r="N111" s="9"/>
    </row>
    <row r="112" ht="14.25" customHeight="1">
      <c r="B112" s="7">
        <v>0.3</v>
      </c>
      <c r="C112" s="6">
        <f t="shared" ref="C112:D112" si="113">$A$108*L112</f>
        <v>400.0938107</v>
      </c>
      <c r="D112" s="6">
        <f t="shared" si="113"/>
        <v>55.73104569</v>
      </c>
      <c r="E112" s="6"/>
      <c r="F112" s="6">
        <v>60.0</v>
      </c>
      <c r="G112" s="6" t="s">
        <v>30</v>
      </c>
      <c r="H112" s="6" t="s">
        <v>81</v>
      </c>
      <c r="I112" s="6">
        <v>3.0</v>
      </c>
      <c r="J112" s="6">
        <v>40.0</v>
      </c>
      <c r="K112" s="7">
        <v>0.3</v>
      </c>
      <c r="L112" s="7">
        <v>0.9687501469051928</v>
      </c>
      <c r="M112" s="8">
        <v>0.134941999254343</v>
      </c>
      <c r="N112" s="9"/>
    </row>
    <row r="113" ht="14.25" customHeight="1">
      <c r="A113" s="6" t="s">
        <v>82</v>
      </c>
      <c r="B113" s="7">
        <v>0.5</v>
      </c>
      <c r="C113" s="6">
        <f t="shared" ref="C113:D113" si="114">$A$114*L113</f>
        <v>268.0970273</v>
      </c>
      <c r="D113" s="6">
        <f t="shared" si="114"/>
        <v>29.16355021</v>
      </c>
      <c r="E113" s="6"/>
      <c r="F113" s="6">
        <v>10.0</v>
      </c>
      <c r="G113" s="6" t="s">
        <v>15</v>
      </c>
      <c r="J113" s="6">
        <v>10.0</v>
      </c>
      <c r="K113" s="7">
        <v>0.5</v>
      </c>
      <c r="L113" s="7">
        <v>0.7862082912212598</v>
      </c>
      <c r="M113" s="8">
        <v>0.085523607660505</v>
      </c>
      <c r="N113" s="9">
        <v>148.6117843445125</v>
      </c>
      <c r="O113" s="6" t="s">
        <v>35</v>
      </c>
    </row>
    <row r="114" ht="14.25" customHeight="1">
      <c r="A114" s="12">
        <f>57+130+154</f>
        <v>341</v>
      </c>
      <c r="B114" s="7">
        <v>0.6782730064119495</v>
      </c>
      <c r="C114" s="6">
        <f t="shared" ref="C114:D114" si="115">$A$114*L114</f>
        <v>238.7992748</v>
      </c>
      <c r="D114" s="6">
        <f t="shared" si="115"/>
        <v>37.99485093</v>
      </c>
      <c r="E114" s="6"/>
      <c r="F114" s="6">
        <v>20.0</v>
      </c>
      <c r="G114" s="6" t="s">
        <v>18</v>
      </c>
      <c r="J114" s="6">
        <v>10.0</v>
      </c>
      <c r="K114" s="7">
        <v>0.6782730064119495</v>
      </c>
      <c r="L114" s="7">
        <v>0.7002911284624439</v>
      </c>
      <c r="M114" s="8">
        <v>0.111421850244242</v>
      </c>
      <c r="N114" s="9"/>
    </row>
    <row r="115" ht="14.25" customHeight="1">
      <c r="B115" s="7">
        <v>1.2739373420646831</v>
      </c>
      <c r="C115" s="6">
        <f t="shared" ref="C115:D115" si="116">$A$114*L115</f>
        <v>314.4659791</v>
      </c>
      <c r="D115" s="6">
        <f t="shared" si="116"/>
        <v>17.23196063</v>
      </c>
      <c r="E115" s="6"/>
      <c r="F115" s="6">
        <v>30.0</v>
      </c>
      <c r="G115" s="6" t="s">
        <v>21</v>
      </c>
      <c r="J115" s="6">
        <v>10.0</v>
      </c>
      <c r="K115" s="7">
        <v>1.2739373420646831</v>
      </c>
      <c r="L115" s="7">
        <v>0.9221876218511228</v>
      </c>
      <c r="M115" s="8">
        <v>0.0505336088938152</v>
      </c>
      <c r="N115" s="9"/>
    </row>
    <row r="116" ht="14.25" customHeight="1">
      <c r="B116" s="7">
        <v>0.5712180068571475</v>
      </c>
      <c r="C116" s="6">
        <f t="shared" ref="C116:D116" si="117">$A$114*L116</f>
        <v>361.46</v>
      </c>
      <c r="D116" s="6">
        <f t="shared" si="117"/>
        <v>14.78033937</v>
      </c>
      <c r="E116" s="6"/>
      <c r="F116" s="6">
        <v>40.0</v>
      </c>
      <c r="G116" s="6" t="s">
        <v>24</v>
      </c>
      <c r="J116" s="6">
        <v>10.0</v>
      </c>
      <c r="K116" s="7">
        <v>0.5712180068571475</v>
      </c>
      <c r="L116" s="7">
        <v>1.06</v>
      </c>
      <c r="M116" s="8">
        <v>0.0433441037149536</v>
      </c>
      <c r="N116" s="9"/>
    </row>
    <row r="117" ht="14.25" customHeight="1">
      <c r="B117" s="7">
        <v>1.1888808737984407</v>
      </c>
      <c r="C117" s="6">
        <f t="shared" ref="C117:D117" si="118">$A$114*L117</f>
        <v>92.07</v>
      </c>
      <c r="D117" s="6">
        <f t="shared" si="118"/>
        <v>20.17376462</v>
      </c>
      <c r="E117" s="6"/>
      <c r="F117" s="6">
        <v>50.0</v>
      </c>
      <c r="G117" s="6" t="s">
        <v>27</v>
      </c>
      <c r="J117" s="6">
        <v>10.0</v>
      </c>
      <c r="K117" s="7">
        <v>1.1888808737984407</v>
      </c>
      <c r="L117" s="7">
        <v>0.27</v>
      </c>
      <c r="M117" s="8">
        <v>0.0591606000707926</v>
      </c>
      <c r="N117" s="9"/>
    </row>
    <row r="118" ht="14.25" customHeight="1">
      <c r="B118" s="7">
        <v>0.6</v>
      </c>
      <c r="C118" s="6">
        <f t="shared" ref="C118:D118" si="119">$A$114*L118</f>
        <v>12.40005306</v>
      </c>
      <c r="D118" s="6">
        <f t="shared" si="119"/>
        <v>46.01522175</v>
      </c>
      <c r="E118" s="6"/>
      <c r="F118" s="6">
        <v>60.0</v>
      </c>
      <c r="G118" s="6" t="s">
        <v>30</v>
      </c>
      <c r="H118" s="6" t="s">
        <v>31</v>
      </c>
      <c r="J118" s="6">
        <v>20.0</v>
      </c>
      <c r="K118" s="7">
        <v>0.6</v>
      </c>
      <c r="L118" s="7">
        <v>0.036363791953886504</v>
      </c>
      <c r="M118" s="8">
        <v>0.134941999254343</v>
      </c>
      <c r="N118" s="9"/>
    </row>
    <row r="119" ht="14.25" customHeight="1">
      <c r="A119" s="6" t="s">
        <v>83</v>
      </c>
      <c r="B119" s="7">
        <v>0.1</v>
      </c>
      <c r="C119" s="6">
        <f t="shared" ref="C119:D119" si="120">$A$120*L119</f>
        <v>58.96530062</v>
      </c>
      <c r="D119" s="6">
        <f t="shared" si="120"/>
        <v>8.295789943</v>
      </c>
      <c r="E119" s="6"/>
      <c r="F119" s="6">
        <v>10.0</v>
      </c>
      <c r="G119" s="6" t="s">
        <v>15</v>
      </c>
      <c r="J119" s="6">
        <v>10.0</v>
      </c>
      <c r="K119" s="7">
        <v>0.1</v>
      </c>
      <c r="L119" s="7">
        <v>0.607889697099301</v>
      </c>
      <c r="M119" s="8">
        <v>0.085523607660505</v>
      </c>
      <c r="N119" s="9">
        <v>117.60742932484445</v>
      </c>
      <c r="O119" s="6" t="s">
        <v>16</v>
      </c>
    </row>
    <row r="120" ht="14.25" customHeight="1">
      <c r="A120" s="12">
        <f>67+30</f>
        <v>97</v>
      </c>
      <c r="B120" s="7">
        <v>1.923960045370705</v>
      </c>
      <c r="C120" s="6">
        <f t="shared" ref="C120:D120" si="121">$A$120*L120</f>
        <v>43.39507318</v>
      </c>
      <c r="D120" s="6">
        <f t="shared" si="121"/>
        <v>10.80791947</v>
      </c>
      <c r="E120" s="6"/>
      <c r="F120" s="6">
        <v>20.0</v>
      </c>
      <c r="G120" s="6" t="s">
        <v>18</v>
      </c>
      <c r="J120" s="6">
        <v>10.0</v>
      </c>
      <c r="K120" s="7">
        <v>1.923960045370705</v>
      </c>
      <c r="L120" s="7">
        <v>0.4473718884345421</v>
      </c>
      <c r="M120" s="8">
        <v>0.111421850244242</v>
      </c>
      <c r="N120" s="9"/>
    </row>
    <row r="121" ht="14.25" customHeight="1">
      <c r="B121" s="7">
        <v>0.5269890516761633</v>
      </c>
      <c r="C121" s="6">
        <f t="shared" ref="C121:D121" si="122">$A$120*L121</f>
        <v>86.38563312</v>
      </c>
      <c r="D121" s="6">
        <f t="shared" si="122"/>
        <v>4.901760063</v>
      </c>
      <c r="E121" s="6"/>
      <c r="F121" s="6">
        <v>30.0</v>
      </c>
      <c r="G121" s="6" t="s">
        <v>21</v>
      </c>
      <c r="J121" s="6">
        <v>10.0</v>
      </c>
      <c r="K121" s="7">
        <v>0.5269890516761633</v>
      </c>
      <c r="L121" s="7">
        <v>0.8905735373550975</v>
      </c>
      <c r="M121" s="8">
        <v>0.0505336088938152</v>
      </c>
      <c r="N121" s="9"/>
    </row>
    <row r="122" ht="14.25" customHeight="1">
      <c r="B122" s="7">
        <v>0.20494757115269358</v>
      </c>
      <c r="C122" s="6">
        <f t="shared" ref="C122:D122" si="123">$A$120*L122</f>
        <v>73.78865375</v>
      </c>
      <c r="D122" s="6">
        <f t="shared" si="123"/>
        <v>4.20437806</v>
      </c>
      <c r="E122" s="6"/>
      <c r="F122" s="6">
        <v>40.0</v>
      </c>
      <c r="G122" s="6" t="s">
        <v>24</v>
      </c>
      <c r="J122" s="6">
        <v>10.0</v>
      </c>
      <c r="K122" s="7">
        <v>0.20494757115269358</v>
      </c>
      <c r="L122" s="7">
        <v>0.7607077706555281</v>
      </c>
      <c r="M122" s="8">
        <v>0.0433441037149536</v>
      </c>
      <c r="N122" s="9"/>
    </row>
    <row r="123" ht="14.25" customHeight="1">
      <c r="B123" s="7">
        <v>1.9120008155443886</v>
      </c>
      <c r="C123" s="6">
        <f t="shared" ref="C123:D123" si="124">$A$120*L123</f>
        <v>15.17310886</v>
      </c>
      <c r="D123" s="6">
        <f t="shared" si="124"/>
        <v>5.738578207</v>
      </c>
      <c r="E123" s="6"/>
      <c r="F123" s="6">
        <v>50.0</v>
      </c>
      <c r="G123" s="6" t="s">
        <v>27</v>
      </c>
      <c r="J123" s="6">
        <v>10.0</v>
      </c>
      <c r="K123" s="7">
        <v>1.9120008155443886</v>
      </c>
      <c r="L123" s="7">
        <v>0.15642380272375267</v>
      </c>
      <c r="M123" s="8">
        <v>0.0591606000707926</v>
      </c>
      <c r="N123" s="9"/>
    </row>
    <row r="124" ht="14.25" customHeight="1">
      <c r="A124" s="14"/>
      <c r="B124" s="15">
        <v>0.3</v>
      </c>
      <c r="C124" s="16">
        <f t="shared" ref="C124:D124" si="125">$A$120*L124</f>
        <v>54.36764635</v>
      </c>
      <c r="D124" s="16">
        <f t="shared" si="125"/>
        <v>13.08937393</v>
      </c>
      <c r="E124" s="16"/>
      <c r="F124" s="6">
        <v>60.0</v>
      </c>
      <c r="G124" s="6" t="s">
        <v>30</v>
      </c>
      <c r="H124" s="6" t="s">
        <v>31</v>
      </c>
      <c r="J124" s="6">
        <v>20.0</v>
      </c>
      <c r="K124" s="7">
        <v>0.3</v>
      </c>
      <c r="L124" s="7">
        <v>0.5604911995188653</v>
      </c>
      <c r="M124" s="8">
        <v>0.134941999254343</v>
      </c>
      <c r="N124" s="9"/>
    </row>
    <row r="125" ht="14.25" customHeight="1">
      <c r="A125" s="6" t="s">
        <v>84</v>
      </c>
      <c r="B125" s="7">
        <v>2.7</v>
      </c>
      <c r="C125" s="6">
        <f t="shared" ref="C125:D125" si="126">$A$126*L125</f>
        <v>341.201297</v>
      </c>
      <c r="D125" s="6">
        <f t="shared" si="126"/>
        <v>34.74435054</v>
      </c>
      <c r="E125" s="6"/>
      <c r="F125" s="6">
        <v>10.0</v>
      </c>
      <c r="G125" s="6" t="s">
        <v>85</v>
      </c>
      <c r="J125" s="6">
        <v>30.0</v>
      </c>
      <c r="K125" s="7">
        <v>2.7</v>
      </c>
      <c r="L125" s="7">
        <v>0.9098701252224404</v>
      </c>
      <c r="M125" s="8">
        <v>0.0926516014465672</v>
      </c>
      <c r="N125" s="9">
        <v>79.99292329658476</v>
      </c>
      <c r="O125" s="6" t="s">
        <v>16</v>
      </c>
    </row>
    <row r="126" ht="14.25" customHeight="1">
      <c r="A126" s="12">
        <f>262+4+109</f>
        <v>375</v>
      </c>
      <c r="B126" s="7">
        <v>0.6524995944529559</v>
      </c>
      <c r="C126" s="6">
        <f t="shared" ref="C126:D126" si="127">$A$126*L126</f>
        <v>84.2091321</v>
      </c>
      <c r="D126" s="6">
        <f t="shared" si="127"/>
        <v>16.25403889</v>
      </c>
      <c r="E126" s="6"/>
      <c r="F126" s="6">
        <v>20.0</v>
      </c>
      <c r="G126" s="6" t="s">
        <v>24</v>
      </c>
      <c r="J126" s="6">
        <v>30.0</v>
      </c>
      <c r="K126" s="7">
        <v>0.6524995944529559</v>
      </c>
      <c r="L126" s="7">
        <v>0.22455768560596334</v>
      </c>
      <c r="M126" s="8">
        <v>0.0433441037149536</v>
      </c>
      <c r="N126" s="9"/>
    </row>
    <row r="127" ht="14.25" customHeight="1">
      <c r="B127" s="7">
        <v>0.4231633439135791</v>
      </c>
      <c r="C127" s="6">
        <f t="shared" ref="C127:D127" si="128">$A$126*L127</f>
        <v>86.25</v>
      </c>
      <c r="D127" s="6">
        <f t="shared" si="128"/>
        <v>22.18522503</v>
      </c>
      <c r="E127" s="6"/>
      <c r="F127" s="6">
        <v>30.0</v>
      </c>
      <c r="G127" s="6" t="s">
        <v>27</v>
      </c>
      <c r="J127" s="6">
        <v>30.0</v>
      </c>
      <c r="K127" s="7">
        <v>0.4231633439135791</v>
      </c>
      <c r="L127" s="7">
        <v>0.23</v>
      </c>
      <c r="M127" s="8">
        <v>0.0591606000707926</v>
      </c>
      <c r="N127" s="9"/>
    </row>
    <row r="128" ht="14.25" customHeight="1">
      <c r="B128" s="7">
        <v>0.6979407033349976</v>
      </c>
      <c r="C128" s="6">
        <f t="shared" ref="C128:D128" si="129">$A$126*L128</f>
        <v>318.1204654</v>
      </c>
      <c r="D128" s="6">
        <f t="shared" si="129"/>
        <v>50.60324972</v>
      </c>
      <c r="E128" s="6"/>
      <c r="F128" s="6">
        <v>40.0</v>
      </c>
      <c r="G128" s="6" t="s">
        <v>30</v>
      </c>
      <c r="H128" s="6" t="s">
        <v>31</v>
      </c>
      <c r="J128" s="6">
        <v>30.0</v>
      </c>
      <c r="K128" s="7">
        <v>0.6979407033349976</v>
      </c>
      <c r="L128" s="7">
        <v>0.8483212410104547</v>
      </c>
      <c r="M128" s="8">
        <v>0.134941999254343</v>
      </c>
      <c r="N128" s="9"/>
    </row>
    <row r="129" ht="14.25" customHeight="1">
      <c r="A129" s="6" t="s">
        <v>86</v>
      </c>
      <c r="B129" s="7">
        <v>2.4</v>
      </c>
      <c r="C129" s="6">
        <f t="shared" ref="C129:D129" si="130">$A$130*L129</f>
        <v>953.6</v>
      </c>
      <c r="D129" s="6">
        <f t="shared" si="130"/>
        <v>55.22035446</v>
      </c>
      <c r="E129" s="6"/>
      <c r="F129" s="6">
        <v>10.0</v>
      </c>
      <c r="G129" s="6" t="s">
        <v>85</v>
      </c>
      <c r="J129" s="6">
        <v>30.0</v>
      </c>
      <c r="K129" s="7">
        <v>2.4</v>
      </c>
      <c r="L129" s="7">
        <v>1.6</v>
      </c>
      <c r="M129" s="8">
        <v>0.0926516014465672</v>
      </c>
      <c r="N129" s="9">
        <v>96.59871905187157</v>
      </c>
      <c r="O129" s="6" t="s">
        <v>16</v>
      </c>
    </row>
    <row r="130" ht="14.25" customHeight="1">
      <c r="A130" s="12">
        <f>239+70+55+232</f>
        <v>596</v>
      </c>
      <c r="B130" s="7">
        <v>0.06303984579826882</v>
      </c>
      <c r="C130" s="6">
        <f t="shared" ref="C130:D130" si="131">$A$130*L130</f>
        <v>383.7802859</v>
      </c>
      <c r="D130" s="6">
        <f t="shared" si="131"/>
        <v>25.83308581</v>
      </c>
      <c r="E130" s="6"/>
      <c r="F130" s="6">
        <v>20.0</v>
      </c>
      <c r="G130" s="6" t="s">
        <v>24</v>
      </c>
      <c r="J130" s="6">
        <v>30.0</v>
      </c>
      <c r="K130" s="7">
        <v>0.06303984579826882</v>
      </c>
      <c r="L130" s="7">
        <v>0.6439266541539007</v>
      </c>
      <c r="M130" s="8">
        <v>0.0433441037149536</v>
      </c>
      <c r="N130" s="9"/>
    </row>
    <row r="131" ht="14.25" customHeight="1">
      <c r="B131" s="7">
        <v>0.37037809876175354</v>
      </c>
      <c r="C131" s="6">
        <f t="shared" ref="C131:D131" si="132">$A$130*L131</f>
        <v>101.32</v>
      </c>
      <c r="D131" s="6">
        <f t="shared" si="132"/>
        <v>35.25971764</v>
      </c>
      <c r="E131" s="6"/>
      <c r="F131" s="6">
        <v>30.0</v>
      </c>
      <c r="G131" s="6" t="s">
        <v>27</v>
      </c>
      <c r="J131" s="6">
        <v>30.0</v>
      </c>
      <c r="K131" s="7">
        <v>0.37037809876175354</v>
      </c>
      <c r="L131" s="7">
        <v>0.17</v>
      </c>
      <c r="M131" s="8">
        <v>0.0591606000707926</v>
      </c>
      <c r="N131" s="9"/>
    </row>
    <row r="132" ht="14.25" customHeight="1">
      <c r="B132" s="7">
        <v>0.8010452557651462</v>
      </c>
      <c r="C132" s="6">
        <f t="shared" ref="C132:D132" si="133">$A$130*L132</f>
        <v>169.1775973</v>
      </c>
      <c r="D132" s="6">
        <f t="shared" si="133"/>
        <v>80.42543156</v>
      </c>
      <c r="E132" s="6"/>
      <c r="F132" s="6">
        <v>40.0</v>
      </c>
      <c r="G132" s="6" t="s">
        <v>30</v>
      </c>
      <c r="H132" s="6" t="s">
        <v>31</v>
      </c>
      <c r="J132" s="6">
        <v>30.0</v>
      </c>
      <c r="K132" s="7">
        <v>0.8010452557651462</v>
      </c>
      <c r="L132" s="7">
        <v>0.28385502907966886</v>
      </c>
      <c r="M132" s="8">
        <v>0.134941999254343</v>
      </c>
      <c r="N132" s="9"/>
    </row>
    <row r="133" ht="14.25" customHeight="1">
      <c r="A133" s="6" t="s">
        <v>87</v>
      </c>
      <c r="B133" s="7">
        <v>2.6</v>
      </c>
      <c r="C133" s="6">
        <f t="shared" ref="C133:D133" si="134">$A$134*L133</f>
        <v>226.5</v>
      </c>
      <c r="D133" s="6">
        <f t="shared" si="134"/>
        <v>13.99039182</v>
      </c>
      <c r="E133" s="6"/>
      <c r="F133" s="6">
        <v>10.0</v>
      </c>
      <c r="G133" s="6" t="s">
        <v>85</v>
      </c>
      <c r="J133" s="6">
        <v>30.0</v>
      </c>
      <c r="K133" s="7">
        <v>2.6</v>
      </c>
      <c r="L133" s="7">
        <v>1.5</v>
      </c>
      <c r="M133" s="8">
        <v>0.0926516014465672</v>
      </c>
      <c r="N133" s="9">
        <v>117.32692973317363</v>
      </c>
      <c r="O133" s="6" t="s">
        <v>16</v>
      </c>
    </row>
    <row r="134" ht="14.25" customHeight="1">
      <c r="A134" s="12">
        <f>29+61+61</f>
        <v>151</v>
      </c>
      <c r="B134" s="7">
        <v>0.23775178665535046</v>
      </c>
      <c r="C134" s="6">
        <f t="shared" ref="C134:D134" si="135">$A$134*L134</f>
        <v>124.1689212</v>
      </c>
      <c r="D134" s="6">
        <f t="shared" si="135"/>
        <v>6.544959661</v>
      </c>
      <c r="E134" s="6"/>
      <c r="F134" s="6">
        <v>20.0</v>
      </c>
      <c r="G134" s="6" t="s">
        <v>24</v>
      </c>
      <c r="J134" s="6">
        <v>30.0</v>
      </c>
      <c r="K134" s="7">
        <v>0.23775178665535046</v>
      </c>
      <c r="L134" s="7">
        <v>0.82231073615602</v>
      </c>
      <c r="M134" s="8">
        <v>0.0433441037149536</v>
      </c>
      <c r="N134" s="9"/>
    </row>
    <row r="135" ht="14.25" customHeight="1">
      <c r="B135" s="7">
        <v>1.2998174378296978</v>
      </c>
      <c r="C135" s="6">
        <f t="shared" ref="C135:D135" si="136">$A$134*L135</f>
        <v>19.63</v>
      </c>
      <c r="D135" s="6">
        <f t="shared" si="136"/>
        <v>8.933250611</v>
      </c>
      <c r="E135" s="6"/>
      <c r="F135" s="6">
        <v>30.0</v>
      </c>
      <c r="G135" s="6" t="s">
        <v>27</v>
      </c>
      <c r="J135" s="6">
        <v>30.0</v>
      </c>
      <c r="K135" s="7">
        <v>1.2998174378296978</v>
      </c>
      <c r="L135" s="7">
        <v>0.13</v>
      </c>
      <c r="M135" s="8">
        <v>0.0591606000707926</v>
      </c>
      <c r="N135" s="9"/>
    </row>
    <row r="136" ht="14.25" customHeight="1">
      <c r="B136" s="7">
        <v>0.7812836969403087</v>
      </c>
      <c r="C136" s="6">
        <f t="shared" ref="C136:D136" si="137">$A$134*L136</f>
        <v>150.3506992</v>
      </c>
      <c r="D136" s="6">
        <f t="shared" si="137"/>
        <v>20.37624189</v>
      </c>
      <c r="E136" s="6"/>
      <c r="F136" s="6">
        <v>40.0</v>
      </c>
      <c r="G136" s="6" t="s">
        <v>30</v>
      </c>
      <c r="H136" s="6" t="s">
        <v>31</v>
      </c>
      <c r="J136" s="6">
        <v>30.0</v>
      </c>
      <c r="K136" s="7">
        <v>0.7812836969403087</v>
      </c>
      <c r="L136" s="7">
        <v>0.9956999946814064</v>
      </c>
      <c r="M136" s="8">
        <v>0.134941999254343</v>
      </c>
      <c r="N136" s="9"/>
    </row>
    <row r="137" ht="14.25" customHeight="1">
      <c r="A137" s="6" t="s">
        <v>88</v>
      </c>
      <c r="B137" s="7">
        <v>2.9</v>
      </c>
      <c r="C137" s="6">
        <f t="shared" ref="C137:D137" si="138">$A$138*L137</f>
        <v>370.6</v>
      </c>
      <c r="D137" s="6">
        <f t="shared" si="138"/>
        <v>20.19804912</v>
      </c>
      <c r="E137" s="6"/>
      <c r="F137" s="6">
        <v>10.0</v>
      </c>
      <c r="G137" s="6" t="s">
        <v>85</v>
      </c>
      <c r="J137" s="6">
        <v>30.0</v>
      </c>
      <c r="K137" s="7">
        <v>2.9</v>
      </c>
      <c r="L137" s="7">
        <v>1.7</v>
      </c>
      <c r="M137" s="8">
        <v>0.0926516014465672</v>
      </c>
      <c r="N137" s="9">
        <v>253.36913201370774</v>
      </c>
      <c r="O137" s="6" t="s">
        <v>35</v>
      </c>
    </row>
    <row r="138" ht="14.25" customHeight="1">
      <c r="A138" s="12">
        <f>96+86+36</f>
        <v>218</v>
      </c>
      <c r="B138" s="7">
        <v>0.4823961246537176</v>
      </c>
      <c r="C138" s="6">
        <f t="shared" ref="C138:D138" si="139">$A$138*L138</f>
        <v>75.77447985</v>
      </c>
      <c r="D138" s="6">
        <f t="shared" si="139"/>
        <v>9.44901461</v>
      </c>
      <c r="E138" s="6"/>
      <c r="F138" s="6">
        <v>20.0</v>
      </c>
      <c r="G138" s="6" t="s">
        <v>24</v>
      </c>
      <c r="J138" s="6">
        <v>30.0</v>
      </c>
      <c r="K138" s="7">
        <v>0.4823961246537176</v>
      </c>
      <c r="L138" s="7">
        <v>0.34758935709680794</v>
      </c>
      <c r="M138" s="8">
        <v>0.0433441037149536</v>
      </c>
      <c r="N138" s="9"/>
    </row>
    <row r="139" ht="14.25" customHeight="1">
      <c r="B139" s="7">
        <v>0.5551467499352647</v>
      </c>
      <c r="C139" s="6">
        <f t="shared" ref="C139:D139" si="140">$A$138*L139</f>
        <v>36.7492047</v>
      </c>
      <c r="D139" s="6">
        <f t="shared" si="140"/>
        <v>12.89701082</v>
      </c>
      <c r="E139" s="6"/>
      <c r="F139" s="6">
        <v>30.0</v>
      </c>
      <c r="G139" s="6" t="s">
        <v>27</v>
      </c>
      <c r="J139" s="6">
        <v>30.0</v>
      </c>
      <c r="K139" s="7">
        <v>0.5551467499352647</v>
      </c>
      <c r="L139" s="7">
        <v>0.1685743335020179</v>
      </c>
      <c r="M139" s="8">
        <v>0.0591606000707926</v>
      </c>
      <c r="N139" s="9"/>
    </row>
    <row r="140" ht="14.25" customHeight="1">
      <c r="B140" s="7">
        <v>0.3</v>
      </c>
      <c r="C140" s="6">
        <f t="shared" ref="C140:D140" si="141">$A$138*L140</f>
        <v>153.5519853</v>
      </c>
      <c r="D140" s="6">
        <f t="shared" si="141"/>
        <v>29.41735584</v>
      </c>
      <c r="E140" s="6"/>
      <c r="F140" s="6">
        <v>40.0</v>
      </c>
      <c r="G140" s="6" t="s">
        <v>30</v>
      </c>
      <c r="H140" s="6" t="s">
        <v>42</v>
      </c>
      <c r="I140" s="6">
        <v>2.0</v>
      </c>
      <c r="J140" s="6">
        <v>30.0</v>
      </c>
      <c r="K140" s="7">
        <v>0.3</v>
      </c>
      <c r="L140" s="7">
        <v>0.7043669050057063</v>
      </c>
      <c r="M140" s="8">
        <v>0.134941999254343</v>
      </c>
      <c r="N140" s="9"/>
    </row>
    <row r="141" ht="14.25" customHeight="1">
      <c r="B141" s="7"/>
      <c r="C141" s="6">
        <f t="shared" ref="C141:D141" si="142">$A$120*L141</f>
        <v>0</v>
      </c>
      <c r="D141" s="6">
        <f t="shared" si="142"/>
        <v>0</v>
      </c>
      <c r="H141" s="6" t="s">
        <v>69</v>
      </c>
      <c r="I141" s="6">
        <v>1.0</v>
      </c>
      <c r="K141" s="7"/>
      <c r="L141" s="7"/>
      <c r="M141" s="8"/>
      <c r="N141" s="9"/>
    </row>
    <row r="142" ht="14.25" customHeight="1">
      <c r="A142" s="6" t="s">
        <v>89</v>
      </c>
      <c r="B142" s="7">
        <v>1.9</v>
      </c>
      <c r="C142" s="6">
        <f t="shared" ref="C142:D142" si="143">$A$143*L142</f>
        <v>109.35</v>
      </c>
      <c r="D142" s="6">
        <f t="shared" si="143"/>
        <v>7.504779717</v>
      </c>
      <c r="E142" s="6"/>
      <c r="F142" s="6">
        <v>10.0</v>
      </c>
      <c r="G142" s="6" t="s">
        <v>85</v>
      </c>
      <c r="J142" s="6">
        <v>30.0</v>
      </c>
      <c r="K142" s="7">
        <v>1.9</v>
      </c>
      <c r="L142" s="7">
        <v>1.35</v>
      </c>
      <c r="M142" s="8">
        <v>0.0926516014465672</v>
      </c>
      <c r="N142" s="9">
        <v>96.47480777375827</v>
      </c>
      <c r="O142" s="6" t="s">
        <v>16</v>
      </c>
    </row>
    <row r="143" ht="14.25" customHeight="1">
      <c r="A143" s="11">
        <v>81.0</v>
      </c>
      <c r="B143" s="7">
        <v>0.2773786355806822</v>
      </c>
      <c r="C143" s="6">
        <f t="shared" ref="C143:D143" si="144">$A$143*L143</f>
        <v>22.16904613</v>
      </c>
      <c r="D143" s="6">
        <f t="shared" si="144"/>
        <v>3.510872401</v>
      </c>
      <c r="E143" s="6"/>
      <c r="F143" s="6">
        <v>20.0</v>
      </c>
      <c r="G143" s="6" t="s">
        <v>24</v>
      </c>
      <c r="J143" s="6">
        <v>30.0</v>
      </c>
      <c r="K143" s="7">
        <v>0.2773786355806822</v>
      </c>
      <c r="L143" s="7">
        <v>0.2736919275839932</v>
      </c>
      <c r="M143" s="8">
        <v>0.0433441037149536</v>
      </c>
      <c r="N143" s="9"/>
    </row>
    <row r="144" ht="14.25" customHeight="1">
      <c r="B144" s="7">
        <v>1.1925465191032947</v>
      </c>
      <c r="C144" s="6">
        <f t="shared" ref="C144:D144" si="145">$A$143*L144</f>
        <v>12.15</v>
      </c>
      <c r="D144" s="6">
        <f t="shared" si="145"/>
        <v>4.792008606</v>
      </c>
      <c r="E144" s="6"/>
      <c r="F144" s="6">
        <v>30.0</v>
      </c>
      <c r="G144" s="6" t="s">
        <v>27</v>
      </c>
      <c r="J144" s="6">
        <v>30.0</v>
      </c>
      <c r="K144" s="7">
        <v>1.1925465191032947</v>
      </c>
      <c r="L144" s="7">
        <v>0.15</v>
      </c>
      <c r="M144" s="8">
        <v>0.0591606000707926</v>
      </c>
      <c r="N144" s="9"/>
    </row>
    <row r="145" ht="14.25" customHeight="1">
      <c r="B145" s="7">
        <v>1.5891424589552825</v>
      </c>
      <c r="C145" s="6">
        <f t="shared" ref="C145:D145" si="146">$A$143*L145</f>
        <v>78.90724152</v>
      </c>
      <c r="D145" s="6">
        <f t="shared" si="146"/>
        <v>10.93030194</v>
      </c>
      <c r="E145" s="6"/>
      <c r="F145" s="6">
        <v>40.0</v>
      </c>
      <c r="G145" s="6" t="s">
        <v>30</v>
      </c>
      <c r="H145" s="6" t="s">
        <v>31</v>
      </c>
      <c r="J145" s="6">
        <v>30.0</v>
      </c>
      <c r="K145" s="7">
        <v>1.5891424589552825</v>
      </c>
      <c r="L145" s="7">
        <v>0.9741634756087045</v>
      </c>
      <c r="M145" s="8">
        <v>0.134941999254343</v>
      </c>
      <c r="N145" s="9"/>
    </row>
    <row r="146" ht="14.25" customHeight="1">
      <c r="A146" s="6" t="s">
        <v>90</v>
      </c>
      <c r="B146" s="7">
        <v>2.4</v>
      </c>
      <c r="C146" s="6">
        <f t="shared" ref="C146:D146" si="147">$A$47*L146</f>
        <v>211.2</v>
      </c>
      <c r="D146" s="6">
        <f t="shared" si="147"/>
        <v>16.30668185</v>
      </c>
      <c r="E146" s="6"/>
      <c r="F146" s="6">
        <v>10.0</v>
      </c>
      <c r="G146" s="6" t="s">
        <v>85</v>
      </c>
      <c r="J146" s="6">
        <v>5.0</v>
      </c>
      <c r="K146" s="7">
        <v>2.4</v>
      </c>
      <c r="L146" s="7">
        <v>1.2</v>
      </c>
      <c r="M146" s="8">
        <v>0.0926516014465672</v>
      </c>
      <c r="N146" s="9">
        <v>251.3987841972945</v>
      </c>
      <c r="O146" s="6" t="s">
        <v>35</v>
      </c>
    </row>
    <row r="147" ht="14.25" customHeight="1">
      <c r="A147" s="12">
        <f>109+97</f>
        <v>206</v>
      </c>
      <c r="B147" s="7">
        <v>1.5398305710224585</v>
      </c>
      <c r="C147" s="6">
        <f t="shared" ref="C147:D147" si="148">$A$47*L147</f>
        <v>103.5048669</v>
      </c>
      <c r="D147" s="6">
        <f t="shared" si="148"/>
        <v>7.628562254</v>
      </c>
      <c r="E147" s="6"/>
      <c r="F147" s="6">
        <v>20.0</v>
      </c>
      <c r="G147" s="6" t="s">
        <v>24</v>
      </c>
      <c r="J147" s="6">
        <v>5.0</v>
      </c>
      <c r="K147" s="7">
        <v>1.5398305710224585</v>
      </c>
      <c r="L147" s="7">
        <v>0.5880958344283852</v>
      </c>
      <c r="M147" s="8">
        <v>0.0433441037149536</v>
      </c>
      <c r="N147" s="9"/>
    </row>
    <row r="148" ht="14.25" customHeight="1">
      <c r="B148" s="7">
        <v>1.36555191112604</v>
      </c>
      <c r="C148" s="6">
        <f t="shared" ref="C148:D148" si="149">$A$47*L148</f>
        <v>29.92</v>
      </c>
      <c r="D148" s="6">
        <f t="shared" si="149"/>
        <v>10.41226561</v>
      </c>
      <c r="E148" s="6"/>
      <c r="F148" s="6">
        <v>30.0</v>
      </c>
      <c r="G148" s="6" t="s">
        <v>27</v>
      </c>
      <c r="J148" s="6">
        <v>5.0</v>
      </c>
      <c r="K148" s="7">
        <v>1.36555191112604</v>
      </c>
      <c r="L148" s="7">
        <v>0.17</v>
      </c>
      <c r="M148" s="8">
        <v>0.0591606000707926</v>
      </c>
      <c r="N148" s="9"/>
    </row>
    <row r="149" ht="14.25" customHeight="1">
      <c r="B149" s="7">
        <v>0.2</v>
      </c>
      <c r="C149" s="6">
        <f t="shared" ref="C149:D149" si="150">$A$47*L149</f>
        <v>138.2852176</v>
      </c>
      <c r="D149" s="6">
        <f t="shared" si="150"/>
        <v>23.74979187</v>
      </c>
      <c r="E149" s="6"/>
      <c r="F149" s="6">
        <v>40.0</v>
      </c>
      <c r="G149" s="6" t="s">
        <v>30</v>
      </c>
      <c r="H149" s="6" t="s">
        <v>91</v>
      </c>
      <c r="I149" s="6">
        <v>1.0</v>
      </c>
      <c r="J149" s="6">
        <v>10.0</v>
      </c>
      <c r="K149" s="7">
        <v>0.2</v>
      </c>
      <c r="L149" s="7">
        <v>0.7857114636338979</v>
      </c>
      <c r="M149" s="8">
        <v>0.134941999254343</v>
      </c>
      <c r="N149" s="9"/>
    </row>
    <row r="150" ht="14.25" customHeight="1">
      <c r="A150" s="6" t="s">
        <v>92</v>
      </c>
      <c r="B150" s="7">
        <v>1.7335843072766137</v>
      </c>
      <c r="C150" s="6">
        <f t="shared" ref="C150:D150" si="151">$A$151*L150</f>
        <v>126.1397131</v>
      </c>
      <c r="D150" s="6">
        <f t="shared" si="151"/>
        <v>11.85940499</v>
      </c>
      <c r="E150" s="6"/>
      <c r="F150" s="6">
        <v>10.0</v>
      </c>
      <c r="G150" s="6" t="s">
        <v>85</v>
      </c>
      <c r="J150" s="6">
        <v>30.0</v>
      </c>
      <c r="K150" s="7">
        <v>1.7335843072766137</v>
      </c>
      <c r="L150" s="7">
        <v>0.9854665085387753</v>
      </c>
      <c r="M150" s="8">
        <v>0.0926516014465672</v>
      </c>
      <c r="N150" s="9">
        <v>426.9211879220095</v>
      </c>
      <c r="O150" s="6" t="s">
        <v>52</v>
      </c>
    </row>
    <row r="151" ht="14.25" customHeight="1">
      <c r="A151" s="12">
        <f>98+30</f>
        <v>128</v>
      </c>
      <c r="B151" s="7">
        <v>1.3242013727098174</v>
      </c>
      <c r="C151" s="6">
        <f t="shared" ref="C151:D151" si="152">$A$151*L151</f>
        <v>23.54684739</v>
      </c>
      <c r="D151" s="6">
        <f t="shared" si="152"/>
        <v>5.548045276</v>
      </c>
      <c r="E151" s="6"/>
      <c r="F151" s="6">
        <v>20.0</v>
      </c>
      <c r="G151" s="6" t="s">
        <v>24</v>
      </c>
      <c r="J151" s="6">
        <v>30.0</v>
      </c>
      <c r="K151" s="7">
        <v>1.3242013727098174</v>
      </c>
      <c r="L151" s="7">
        <v>0.18395974520842218</v>
      </c>
      <c r="M151" s="8">
        <v>0.0433441037149536</v>
      </c>
      <c r="N151" s="9"/>
    </row>
    <row r="152" ht="14.25" customHeight="1">
      <c r="B152" s="7">
        <v>1.6081293864534616</v>
      </c>
      <c r="C152" s="6">
        <f t="shared" ref="C152:D152" si="153">$A$151*L152</f>
        <v>17.92</v>
      </c>
      <c r="D152" s="6">
        <f t="shared" si="153"/>
        <v>7.572556809</v>
      </c>
      <c r="E152" s="6"/>
      <c r="F152" s="6">
        <v>30.0</v>
      </c>
      <c r="G152" s="6" t="s">
        <v>27</v>
      </c>
      <c r="J152" s="6">
        <v>30.0</v>
      </c>
      <c r="K152" s="7">
        <v>1.6081293864534616</v>
      </c>
      <c r="L152" s="7">
        <v>0.14</v>
      </c>
      <c r="M152" s="8">
        <v>0.0591606000707926</v>
      </c>
      <c r="N152" s="9"/>
    </row>
    <row r="153" ht="14.25" customHeight="1">
      <c r="B153" s="7">
        <v>0.3</v>
      </c>
      <c r="C153" s="6">
        <f t="shared" ref="C153:D153" si="154">$A$151*L153</f>
        <v>54.51594928</v>
      </c>
      <c r="D153" s="6">
        <f t="shared" si="154"/>
        <v>17.2725759</v>
      </c>
      <c r="E153" s="6"/>
      <c r="F153" s="6">
        <v>40.0</v>
      </c>
      <c r="G153" s="6" t="s">
        <v>30</v>
      </c>
      <c r="H153" s="6" t="s">
        <v>42</v>
      </c>
      <c r="I153" s="6">
        <v>4.0</v>
      </c>
      <c r="J153" s="6">
        <v>30.0</v>
      </c>
      <c r="K153" s="7">
        <v>0.3</v>
      </c>
      <c r="L153" s="7">
        <v>0.42590585378285195</v>
      </c>
      <c r="M153" s="8">
        <v>0.134941999254343</v>
      </c>
      <c r="N153" s="9"/>
    </row>
    <row r="154" ht="14.25" customHeight="1">
      <c r="B154" s="7"/>
      <c r="C154" s="6">
        <f t="shared" ref="C154:D154" si="155">$A$120*L154</f>
        <v>0</v>
      </c>
      <c r="D154" s="6">
        <f t="shared" si="155"/>
        <v>0</v>
      </c>
      <c r="H154" s="6" t="s">
        <v>93</v>
      </c>
      <c r="I154" s="6">
        <v>1.0</v>
      </c>
      <c r="K154" s="7"/>
      <c r="L154" s="7"/>
      <c r="M154" s="8"/>
      <c r="N154" s="9"/>
    </row>
    <row r="155" ht="14.25" customHeight="1">
      <c r="A155" s="6" t="s">
        <v>94</v>
      </c>
      <c r="B155" s="7">
        <v>2.7</v>
      </c>
      <c r="C155" s="6">
        <f t="shared" ref="C155:D155" si="156">$A$156*L155</f>
        <v>177.6173449</v>
      </c>
      <c r="D155" s="6">
        <f t="shared" si="156"/>
        <v>30.66768008</v>
      </c>
      <c r="E155" s="6"/>
      <c r="F155" s="6">
        <v>10.0</v>
      </c>
      <c r="G155" s="6" t="s">
        <v>85</v>
      </c>
      <c r="J155" s="6">
        <v>30.0</v>
      </c>
      <c r="K155" s="7">
        <v>2.7</v>
      </c>
      <c r="L155" s="7">
        <v>0.53660829289919</v>
      </c>
      <c r="M155" s="8">
        <v>0.0926516014465672</v>
      </c>
      <c r="N155" s="9">
        <v>76.48187953378921</v>
      </c>
      <c r="O155" s="6" t="s">
        <v>16</v>
      </c>
    </row>
    <row r="156" ht="14.25" customHeight="1">
      <c r="A156" s="12">
        <f>60+64+207</f>
        <v>331</v>
      </c>
      <c r="B156" s="7">
        <v>1.311669890922114</v>
      </c>
      <c r="C156" s="6">
        <f t="shared" ref="C156:D156" si="157">$A$156*L156</f>
        <v>298.9595861</v>
      </c>
      <c r="D156" s="6">
        <f t="shared" si="157"/>
        <v>14.34689833</v>
      </c>
      <c r="E156" s="6"/>
      <c r="F156" s="6">
        <v>20.0</v>
      </c>
      <c r="G156" s="6" t="s">
        <v>24</v>
      </c>
      <c r="J156" s="6">
        <v>30.0</v>
      </c>
      <c r="K156" s="7">
        <v>1.311669890922114</v>
      </c>
      <c r="L156" s="7">
        <v>0.9032011665567836</v>
      </c>
      <c r="M156" s="8">
        <v>0.0433441037149536</v>
      </c>
      <c r="N156" s="9"/>
    </row>
    <row r="157" ht="14.25" customHeight="1">
      <c r="B157" s="7">
        <v>1.49557746336318</v>
      </c>
      <c r="C157" s="6">
        <f t="shared" ref="C157:D157" si="158">$A$156*L157</f>
        <v>67.92011088</v>
      </c>
      <c r="D157" s="6">
        <f t="shared" si="158"/>
        <v>19.58215862</v>
      </c>
      <c r="E157" s="6"/>
      <c r="F157" s="6">
        <v>30.0</v>
      </c>
      <c r="G157" s="6" t="s">
        <v>27</v>
      </c>
      <c r="J157" s="6">
        <v>30.0</v>
      </c>
      <c r="K157" s="7">
        <v>1.49557746336318</v>
      </c>
      <c r="L157" s="7">
        <v>0.205196709620348</v>
      </c>
      <c r="M157" s="8">
        <v>0.0591606000707926</v>
      </c>
      <c r="N157" s="9"/>
    </row>
    <row r="158" ht="14.25" customHeight="1">
      <c r="A158" s="17"/>
      <c r="B158" s="18">
        <v>0.2</v>
      </c>
      <c r="C158" s="19">
        <f t="shared" ref="C158:D158" si="159">$A$156*L158</f>
        <v>303.6239762</v>
      </c>
      <c r="D158" s="19">
        <f t="shared" si="159"/>
        <v>44.66580175</v>
      </c>
      <c r="E158" s="19"/>
      <c r="F158" s="6">
        <v>40.0</v>
      </c>
      <c r="G158" s="6" t="s">
        <v>30</v>
      </c>
      <c r="H158" s="6" t="s">
        <v>31</v>
      </c>
      <c r="J158" s="6">
        <v>30.0</v>
      </c>
      <c r="K158" s="7">
        <v>0.2</v>
      </c>
      <c r="L158" s="7">
        <v>0.917292979431287</v>
      </c>
      <c r="M158" s="8">
        <v>0.134941999254343</v>
      </c>
      <c r="N158" s="9"/>
    </row>
    <row r="159" ht="14.25" customHeight="1">
      <c r="A159" s="19" t="s">
        <v>95</v>
      </c>
      <c r="B159" s="18">
        <v>2.3</v>
      </c>
      <c r="C159" s="19">
        <f t="shared" ref="C159:D159" si="160">$A$160*L159</f>
        <v>238.8</v>
      </c>
      <c r="D159" s="19">
        <f t="shared" si="160"/>
        <v>18.43766869</v>
      </c>
      <c r="E159" s="19"/>
      <c r="F159" s="6">
        <v>10.0</v>
      </c>
      <c r="G159" s="6" t="s">
        <v>85</v>
      </c>
      <c r="J159" s="6">
        <v>30.0</v>
      </c>
      <c r="K159" s="7">
        <v>2.3</v>
      </c>
      <c r="L159" s="7">
        <v>1.2</v>
      </c>
      <c r="M159" s="8">
        <v>0.0926516014465672</v>
      </c>
      <c r="N159" s="9">
        <v>116.7970499441385</v>
      </c>
      <c r="O159" s="6" t="s">
        <v>16</v>
      </c>
    </row>
    <row r="160" ht="14.25" customHeight="1">
      <c r="A160" s="17">
        <f>140 +59</f>
        <v>199</v>
      </c>
      <c r="B160" s="18">
        <v>1.3171254812715116</v>
      </c>
      <c r="C160" s="19">
        <f t="shared" ref="C160:D160" si="161">$A$160*L160</f>
        <v>180.5887135</v>
      </c>
      <c r="D160" s="19">
        <f t="shared" si="161"/>
        <v>8.625476639</v>
      </c>
      <c r="E160" s="19"/>
      <c r="F160" s="6">
        <v>20.0</v>
      </c>
      <c r="G160" s="6" t="s">
        <v>24</v>
      </c>
      <c r="J160" s="6">
        <v>30.0</v>
      </c>
      <c r="K160" s="7">
        <v>1.3171254812715116</v>
      </c>
      <c r="L160" s="7">
        <v>0.9074809721756709</v>
      </c>
      <c r="M160" s="8">
        <v>0.0433441037149536</v>
      </c>
      <c r="N160" s="9"/>
    </row>
    <row r="161" ht="14.25" customHeight="1">
      <c r="A161" s="17"/>
      <c r="B161" s="18">
        <v>0.5745040610313943</v>
      </c>
      <c r="C161" s="19">
        <f t="shared" ref="C161:D161" si="162">$A$160*L161</f>
        <v>41.79</v>
      </c>
      <c r="D161" s="19">
        <f t="shared" si="162"/>
        <v>11.77295941</v>
      </c>
      <c r="E161" s="19"/>
      <c r="F161" s="6">
        <v>30.0</v>
      </c>
      <c r="G161" s="6" t="s">
        <v>27</v>
      </c>
      <c r="J161" s="6">
        <v>30.0</v>
      </c>
      <c r="K161" s="7">
        <v>0.5745040610313943</v>
      </c>
      <c r="L161" s="7">
        <v>0.21</v>
      </c>
      <c r="M161" s="8">
        <v>0.0591606000707926</v>
      </c>
      <c r="N161" s="9"/>
    </row>
    <row r="162" ht="14.25" customHeight="1">
      <c r="A162" s="17"/>
      <c r="B162" s="18">
        <v>0.5</v>
      </c>
      <c r="C162" s="19">
        <f t="shared" ref="C162:D162" si="163">$A$160*L162</f>
        <v>162.7820695</v>
      </c>
      <c r="D162" s="19">
        <f t="shared" si="163"/>
        <v>26.85345785</v>
      </c>
      <c r="E162" s="19"/>
      <c r="F162" s="6">
        <v>40.0</v>
      </c>
      <c r="G162" s="6" t="s">
        <v>30</v>
      </c>
      <c r="H162" s="6" t="s">
        <v>31</v>
      </c>
      <c r="J162" s="6">
        <v>30.0</v>
      </c>
      <c r="K162" s="7">
        <v>0.5</v>
      </c>
      <c r="L162" s="7">
        <v>0.818000349148469</v>
      </c>
      <c r="M162" s="8">
        <v>0.134941999254343</v>
      </c>
      <c r="N162" s="9"/>
    </row>
    <row r="163" ht="14.25" customHeight="1">
      <c r="A163" s="19" t="s">
        <v>96</v>
      </c>
      <c r="B163" s="18">
        <v>2.9</v>
      </c>
      <c r="C163" s="19">
        <f t="shared" ref="C163:D163" si="164">$A$164*L163</f>
        <v>80.64</v>
      </c>
      <c r="D163" s="19">
        <f t="shared" si="164"/>
        <v>5.837050891</v>
      </c>
      <c r="E163" s="19"/>
      <c r="F163" s="6">
        <v>10.0</v>
      </c>
      <c r="G163" s="6" t="s">
        <v>85</v>
      </c>
      <c r="J163" s="6">
        <v>30.0</v>
      </c>
      <c r="K163" s="7">
        <v>2.9</v>
      </c>
      <c r="L163" s="7">
        <v>1.28</v>
      </c>
      <c r="M163" s="8">
        <v>0.0926516014465672</v>
      </c>
      <c r="N163" s="9">
        <v>80.44328722974718</v>
      </c>
      <c r="O163" s="6" t="s">
        <v>16</v>
      </c>
    </row>
    <row r="164" ht="14.25" customHeight="1">
      <c r="A164" s="17">
        <f>25+25+13</f>
        <v>63</v>
      </c>
      <c r="B164" s="18">
        <v>1.0771890162976407</v>
      </c>
      <c r="C164" s="19">
        <f t="shared" ref="C164:D164" si="165">$A$164*L164</f>
        <v>8.719253339</v>
      </c>
      <c r="D164" s="19">
        <f t="shared" si="165"/>
        <v>2.730678534</v>
      </c>
      <c r="E164" s="19"/>
      <c r="F164" s="6">
        <v>20.0</v>
      </c>
      <c r="G164" s="6" t="s">
        <v>24</v>
      </c>
      <c r="J164" s="6">
        <v>30.0</v>
      </c>
      <c r="K164" s="7">
        <v>1.0771890162976407</v>
      </c>
      <c r="L164" s="7">
        <v>0.13840084665061114</v>
      </c>
      <c r="M164" s="8">
        <v>0.0433441037149536</v>
      </c>
      <c r="N164" s="9"/>
    </row>
    <row r="165" ht="14.25" customHeight="1">
      <c r="A165" s="17"/>
      <c r="B165" s="18">
        <v>1.083666188006838</v>
      </c>
      <c r="C165" s="19">
        <f t="shared" ref="C165:D165" si="166">$A$164*L165</f>
        <v>15.47766081</v>
      </c>
      <c r="D165" s="19">
        <f t="shared" si="166"/>
        <v>3.727117804</v>
      </c>
      <c r="E165" s="19"/>
      <c r="F165" s="6">
        <v>30.0</v>
      </c>
      <c r="G165" s="6" t="s">
        <v>27</v>
      </c>
      <c r="J165" s="6">
        <v>30.0</v>
      </c>
      <c r="K165" s="7">
        <v>1.083666188006838</v>
      </c>
      <c r="L165" s="7">
        <v>0.24567715566775317</v>
      </c>
      <c r="M165" s="8">
        <v>0.0591606000707926</v>
      </c>
      <c r="N165" s="9"/>
    </row>
    <row r="166" ht="14.25" customHeight="1">
      <c r="A166" s="17"/>
      <c r="B166" s="18">
        <v>0.2</v>
      </c>
      <c r="C166" s="19">
        <f t="shared" ref="C166:D166" si="167">$A$164*L166</f>
        <v>53.04619311</v>
      </c>
      <c r="D166" s="19">
        <f t="shared" si="167"/>
        <v>8.501345953</v>
      </c>
      <c r="E166" s="19"/>
      <c r="F166" s="6">
        <v>40.0</v>
      </c>
      <c r="G166" s="6" t="s">
        <v>30</v>
      </c>
      <c r="H166" s="6" t="s">
        <v>31</v>
      </c>
      <c r="J166" s="6">
        <v>30.0</v>
      </c>
      <c r="K166" s="7">
        <v>0.2</v>
      </c>
      <c r="L166" s="7">
        <v>0.8420030651963929</v>
      </c>
      <c r="M166" s="8">
        <v>0.134941999254343</v>
      </c>
      <c r="N166" s="9"/>
    </row>
    <row r="167" ht="14.25" customHeight="1">
      <c r="A167" s="6" t="s">
        <v>61</v>
      </c>
      <c r="B167" s="7">
        <v>0.79573743305608</v>
      </c>
      <c r="C167" s="6">
        <f t="shared" ref="C167:D167" si="168">$A$168*L167</f>
        <v>42.0816807</v>
      </c>
      <c r="D167" s="6">
        <f t="shared" si="168"/>
        <v>33.35420699</v>
      </c>
      <c r="E167" s="6"/>
      <c r="F167" s="6">
        <v>10.0</v>
      </c>
      <c r="G167" s="6" t="s">
        <v>15</v>
      </c>
      <c r="J167" s="6">
        <v>10.0</v>
      </c>
      <c r="K167" s="7">
        <v>0.79573743305608</v>
      </c>
      <c r="L167" s="7">
        <v>0.1079017453877914</v>
      </c>
      <c r="M167" s="8">
        <v>0.085523607660505</v>
      </c>
      <c r="N167" s="9">
        <v>61.50147244244658</v>
      </c>
      <c r="O167" s="6" t="s">
        <v>16</v>
      </c>
    </row>
    <row r="168" ht="14.25" customHeight="1">
      <c r="A168" s="12">
        <f>76+156+158</f>
        <v>390</v>
      </c>
      <c r="B168" s="7">
        <v>1.2486101288358415</v>
      </c>
      <c r="C168" s="6">
        <f t="shared" ref="C168:D168" si="169">$A$168*L168</f>
        <v>380.0882445</v>
      </c>
      <c r="D168" s="6">
        <f t="shared" si="169"/>
        <v>19.70810747</v>
      </c>
      <c r="E168" s="6"/>
      <c r="F168" s="6">
        <v>20.0</v>
      </c>
      <c r="G168" s="6" t="s">
        <v>21</v>
      </c>
      <c r="J168" s="6">
        <v>10.0</v>
      </c>
      <c r="K168" s="7">
        <v>1.2486101288358415</v>
      </c>
      <c r="L168" s="7">
        <v>0.9745852423170351</v>
      </c>
      <c r="M168" s="8">
        <v>0.0505336088938152</v>
      </c>
      <c r="N168" s="9"/>
    </row>
    <row r="169" ht="14.25" customHeight="1">
      <c r="B169" s="7">
        <v>0.09776973142825351</v>
      </c>
      <c r="C169" s="6">
        <f t="shared" ref="C169:D169" si="170">$A$168*L169</f>
        <v>101.7735145</v>
      </c>
      <c r="D169" s="6">
        <f t="shared" si="170"/>
        <v>13.66644226</v>
      </c>
      <c r="E169" s="6"/>
      <c r="F169" s="6">
        <v>30.0</v>
      </c>
      <c r="G169" s="6" t="s">
        <v>97</v>
      </c>
      <c r="J169" s="6">
        <v>10.0</v>
      </c>
      <c r="K169" s="7">
        <v>0.09776973142825351</v>
      </c>
      <c r="L169" s="7">
        <v>0.260957729440227</v>
      </c>
      <c r="M169" s="8">
        <v>0.0350421596453767</v>
      </c>
      <c r="N169" s="9"/>
    </row>
    <row r="170" ht="14.25" customHeight="1">
      <c r="B170" s="7">
        <v>0.23743137443473428</v>
      </c>
      <c r="C170" s="6">
        <f t="shared" ref="C170:D170" si="171">$A$168*L170</f>
        <v>105.3</v>
      </c>
      <c r="D170" s="6">
        <f t="shared" si="171"/>
        <v>23.07263403</v>
      </c>
      <c r="E170" s="6"/>
      <c r="F170" s="6">
        <v>40.0</v>
      </c>
      <c r="G170" s="6" t="s">
        <v>27</v>
      </c>
      <c r="J170" s="6">
        <v>10.0</v>
      </c>
      <c r="K170" s="7">
        <v>0.23743137443473428</v>
      </c>
      <c r="L170" s="7">
        <v>0.27</v>
      </c>
      <c r="M170" s="8">
        <v>0.0591606000707926</v>
      </c>
      <c r="N170" s="9"/>
    </row>
    <row r="171" ht="14.25" customHeight="1">
      <c r="A171" s="6" t="s">
        <v>42</v>
      </c>
      <c r="B171" s="7">
        <v>0.17198112726645332</v>
      </c>
      <c r="C171" s="6">
        <f t="shared" ref="C171:D171" si="172">$A$172*L171</f>
        <v>238.39027</v>
      </c>
      <c r="D171" s="6">
        <f t="shared" si="172"/>
        <v>119.9040979</v>
      </c>
      <c r="E171" s="6"/>
      <c r="F171" s="6">
        <v>10.0</v>
      </c>
      <c r="G171" s="6" t="s">
        <v>15</v>
      </c>
      <c r="J171" s="6">
        <v>40.0</v>
      </c>
      <c r="K171" s="7">
        <v>0.17198112726645332</v>
      </c>
      <c r="L171" s="7">
        <v>0.17003585590651837</v>
      </c>
      <c r="M171" s="8">
        <v>0.085523607660505</v>
      </c>
      <c r="N171" s="9">
        <v>82.60636900583864</v>
      </c>
      <c r="O171" s="6" t="s">
        <v>16</v>
      </c>
    </row>
    <row r="172" ht="14.25" customHeight="1">
      <c r="A172" s="12">
        <f>192+229+616+120+97+53+95</f>
        <v>1402</v>
      </c>
      <c r="B172" s="7">
        <v>1.4481935698420085</v>
      </c>
      <c r="C172" s="6">
        <f t="shared" ref="C172:D172" si="173">$A$172*L172</f>
        <v>1141.43056</v>
      </c>
      <c r="D172" s="6">
        <f t="shared" si="173"/>
        <v>70.84811967</v>
      </c>
      <c r="E172" s="6"/>
      <c r="F172" s="6">
        <v>20.0</v>
      </c>
      <c r="G172" s="6" t="s">
        <v>21</v>
      </c>
      <c r="J172" s="6">
        <v>40.0</v>
      </c>
      <c r="K172" s="7">
        <v>1.4481935698420085</v>
      </c>
      <c r="L172" s="7">
        <v>0.8141444791639876</v>
      </c>
      <c r="M172" s="8">
        <v>0.0505336088938152</v>
      </c>
      <c r="N172" s="9"/>
    </row>
    <row r="173" ht="14.25" customHeight="1">
      <c r="B173" s="7">
        <v>0.20190239566331836</v>
      </c>
      <c r="C173" s="6">
        <f t="shared" ref="C173:D173" si="174">$A$172*L173</f>
        <v>1208.305338</v>
      </c>
      <c r="D173" s="6">
        <f t="shared" si="174"/>
        <v>49.12910782</v>
      </c>
      <c r="E173" s="6"/>
      <c r="F173" s="6">
        <v>30.0</v>
      </c>
      <c r="G173" s="6" t="s">
        <v>97</v>
      </c>
      <c r="J173" s="6">
        <v>40.0</v>
      </c>
      <c r="K173" s="7">
        <v>0.20190239566331836</v>
      </c>
      <c r="L173" s="7">
        <v>0.8618440355871055</v>
      </c>
      <c r="M173" s="8">
        <v>0.0350421596453767</v>
      </c>
      <c r="N173" s="9"/>
    </row>
    <row r="174" ht="14.25" customHeight="1">
      <c r="B174" s="7">
        <v>1.3489228789015912</v>
      </c>
      <c r="C174" s="6">
        <f t="shared" ref="C174:D174" si="175">$A$172*L174</f>
        <v>350.5</v>
      </c>
      <c r="D174" s="6">
        <f t="shared" si="175"/>
        <v>82.9431613</v>
      </c>
      <c r="E174" s="6"/>
      <c r="F174" s="6">
        <v>40.0</v>
      </c>
      <c r="G174" s="6" t="s">
        <v>27</v>
      </c>
      <c r="J174" s="6">
        <v>40.0</v>
      </c>
      <c r="K174" s="7">
        <v>1.3489228789015912</v>
      </c>
      <c r="L174" s="7">
        <v>0.25</v>
      </c>
      <c r="M174" s="8">
        <v>0.0591606000707926</v>
      </c>
      <c r="N174" s="9"/>
    </row>
    <row r="175" ht="14.25" customHeight="1">
      <c r="A175" s="6" t="s">
        <v>98</v>
      </c>
      <c r="B175" s="7">
        <v>0.11532088698363108</v>
      </c>
      <c r="C175" s="6">
        <f t="shared" ref="C175:D175" si="176">$A$176*L175</f>
        <v>24.55634054</v>
      </c>
      <c r="D175" s="6">
        <f t="shared" si="176"/>
        <v>12.40092311</v>
      </c>
      <c r="E175" s="6"/>
      <c r="F175" s="6">
        <v>10.0</v>
      </c>
      <c r="G175" s="6" t="s">
        <v>15</v>
      </c>
      <c r="J175" s="6">
        <v>40.0</v>
      </c>
      <c r="K175" s="7">
        <v>0.11532088698363108</v>
      </c>
      <c r="L175" s="7">
        <v>0.169354072677018</v>
      </c>
      <c r="M175" s="8">
        <v>0.085523607660505</v>
      </c>
      <c r="N175" s="9">
        <v>29.917501231785234</v>
      </c>
      <c r="O175" s="6" t="s">
        <v>16</v>
      </c>
    </row>
    <row r="176" ht="14.25" customHeight="1">
      <c r="A176" s="12">
        <f>111+34</f>
        <v>145</v>
      </c>
      <c r="B176" s="7">
        <v>1.7067283480808244</v>
      </c>
      <c r="C176" s="6">
        <f t="shared" ref="C176:D176" si="177">$A$176*L176</f>
        <v>68.97802609</v>
      </c>
      <c r="D176" s="6">
        <f t="shared" si="177"/>
        <v>7.32737329</v>
      </c>
      <c r="E176" s="6"/>
      <c r="F176" s="6">
        <v>20.0</v>
      </c>
      <c r="G176" s="6" t="s">
        <v>21</v>
      </c>
      <c r="J176" s="6">
        <v>40.0</v>
      </c>
      <c r="K176" s="7">
        <v>1.7067283480808244</v>
      </c>
      <c r="L176" s="7">
        <v>0.475710524779552</v>
      </c>
      <c r="M176" s="8">
        <v>0.0505336088938152</v>
      </c>
      <c r="N176" s="9"/>
    </row>
    <row r="177" ht="14.25" customHeight="1">
      <c r="B177" s="7">
        <v>0.5082830146133512</v>
      </c>
      <c r="C177" s="6">
        <f t="shared" ref="C177:D177" si="178">$A$176*L177</f>
        <v>73.07125932</v>
      </c>
      <c r="D177" s="6">
        <f t="shared" si="178"/>
        <v>5.081113149</v>
      </c>
      <c r="E177" s="6"/>
      <c r="F177" s="6">
        <v>30.0</v>
      </c>
      <c r="G177" s="6" t="s">
        <v>97</v>
      </c>
      <c r="J177" s="6">
        <v>40.0</v>
      </c>
      <c r="K177" s="7">
        <v>0.5082830146133512</v>
      </c>
      <c r="L177" s="7">
        <v>0.5039397194137971</v>
      </c>
      <c r="M177" s="8">
        <v>0.0350421596453767</v>
      </c>
      <c r="N177" s="9"/>
    </row>
    <row r="178" ht="14.25" customHeight="1">
      <c r="B178" s="7">
        <v>1.7978994643254114</v>
      </c>
      <c r="C178" s="6">
        <f t="shared" ref="C178:D178" si="179">$A$176*L178</f>
        <v>37.7</v>
      </c>
      <c r="D178" s="6">
        <f t="shared" si="179"/>
        <v>8.57828701</v>
      </c>
      <c r="E178" s="6"/>
      <c r="F178" s="6">
        <v>40.0</v>
      </c>
      <c r="G178" s="6" t="s">
        <v>27</v>
      </c>
      <c r="J178" s="6">
        <v>40.0</v>
      </c>
      <c r="K178" s="7">
        <v>1.7978994643254114</v>
      </c>
      <c r="L178" s="7">
        <v>0.26</v>
      </c>
      <c r="M178" s="8">
        <v>0.0591606000707926</v>
      </c>
      <c r="N178" s="9"/>
    </row>
    <row r="179" ht="14.25" customHeight="1">
      <c r="A179" s="6" t="s">
        <v>72</v>
      </c>
      <c r="B179" s="7">
        <v>0.8976509952241387</v>
      </c>
      <c r="C179" s="6">
        <f t="shared" ref="C179:D179" si="180">$A$180*L179</f>
        <v>121.9449355</v>
      </c>
      <c r="D179" s="6">
        <f t="shared" si="180"/>
        <v>19.15728812</v>
      </c>
      <c r="E179" s="6"/>
      <c r="F179" s="6">
        <v>10.0</v>
      </c>
      <c r="G179" s="6" t="s">
        <v>15</v>
      </c>
      <c r="J179" s="6">
        <v>10.0</v>
      </c>
      <c r="K179" s="7">
        <v>0.8976509952241387</v>
      </c>
      <c r="L179" s="7">
        <v>0.5443970333933892</v>
      </c>
      <c r="M179" s="8">
        <v>0.085523607660505</v>
      </c>
      <c r="N179" s="9">
        <v>60.655518431631464</v>
      </c>
      <c r="O179" s="6" t="s">
        <v>16</v>
      </c>
    </row>
    <row r="180" ht="14.25" customHeight="1">
      <c r="A180" s="12">
        <f>38+143+43</f>
        <v>224</v>
      </c>
      <c r="B180" s="7">
        <v>1.3693512365036022</v>
      </c>
      <c r="C180" s="6">
        <f t="shared" ref="C180:D180" si="181">$A$180*L180</f>
        <v>178.390472</v>
      </c>
      <c r="D180" s="6">
        <f t="shared" si="181"/>
        <v>11.31952839</v>
      </c>
      <c r="E180" s="6"/>
      <c r="F180" s="6">
        <v>20.0</v>
      </c>
      <c r="G180" s="6" t="s">
        <v>21</v>
      </c>
      <c r="J180" s="6">
        <v>10.0</v>
      </c>
      <c r="K180" s="7">
        <v>1.3693512365036022</v>
      </c>
      <c r="L180" s="7">
        <v>0.7963860357659487</v>
      </c>
      <c r="M180" s="8">
        <v>0.0505336088938152</v>
      </c>
      <c r="N180" s="9"/>
    </row>
    <row r="181" ht="14.25" customHeight="1">
      <c r="B181" s="7">
        <v>1.6425340747625186</v>
      </c>
      <c r="C181" s="6">
        <f t="shared" ref="C181:D181" si="182">$A$180*L181</f>
        <v>50.59912308</v>
      </c>
      <c r="D181" s="6">
        <f t="shared" si="182"/>
        <v>7.849443761</v>
      </c>
      <c r="E181" s="6"/>
      <c r="F181" s="6">
        <v>30.0</v>
      </c>
      <c r="G181" s="6" t="s">
        <v>97</v>
      </c>
      <c r="J181" s="6">
        <v>10.0</v>
      </c>
      <c r="K181" s="7">
        <v>1.6425340747625186</v>
      </c>
      <c r="L181" s="7">
        <v>0.22588894232544343</v>
      </c>
      <c r="M181" s="8">
        <v>0.0350421596453767</v>
      </c>
      <c r="N181" s="9"/>
    </row>
    <row r="182" ht="14.25" customHeight="1">
      <c r="B182" s="7">
        <v>0.18586970727845054</v>
      </c>
      <c r="C182" s="6">
        <f t="shared" ref="C182:D182" si="183">$A$180*L182</f>
        <v>58.24</v>
      </c>
      <c r="D182" s="6">
        <f t="shared" si="183"/>
        <v>13.25197442</v>
      </c>
      <c r="E182" s="6"/>
      <c r="F182" s="6">
        <v>40.0</v>
      </c>
      <c r="G182" s="6" t="s">
        <v>27</v>
      </c>
      <c r="J182" s="6">
        <v>10.0</v>
      </c>
      <c r="K182" s="7">
        <v>0.18586970727845054</v>
      </c>
      <c r="L182" s="7">
        <v>0.26</v>
      </c>
      <c r="M182" s="8">
        <v>0.0591606000707926</v>
      </c>
      <c r="N182" s="9"/>
    </row>
    <row r="183" ht="14.25" customHeight="1">
      <c r="A183" s="6" t="s">
        <v>69</v>
      </c>
      <c r="B183" s="7">
        <v>0.5201408696403673</v>
      </c>
      <c r="C183" s="6">
        <f t="shared" ref="C183:D183" si="184">$A$184*L183</f>
        <v>81.60387017</v>
      </c>
      <c r="D183" s="6">
        <f t="shared" si="184"/>
        <v>44.6433232</v>
      </c>
      <c r="E183" s="6"/>
      <c r="F183" s="6">
        <v>10.0</v>
      </c>
      <c r="G183" s="6" t="s">
        <v>15</v>
      </c>
      <c r="J183" s="6">
        <v>40.0</v>
      </c>
      <c r="K183" s="7">
        <v>0.5201408696403673</v>
      </c>
      <c r="L183" s="7">
        <v>0.15632925319880897</v>
      </c>
      <c r="M183" s="8">
        <v>0.085523607660505</v>
      </c>
      <c r="N183" s="9">
        <v>38.512726386089675</v>
      </c>
      <c r="O183" s="6" t="s">
        <v>16</v>
      </c>
    </row>
    <row r="184" ht="14.25" customHeight="1">
      <c r="A184" s="12">
        <f>25+114+96+86+201</f>
        <v>522</v>
      </c>
      <c r="B184" s="7">
        <v>0.34013370468890614</v>
      </c>
      <c r="C184" s="6">
        <f t="shared" ref="C184:D184" si="185">$A$184*L184</f>
        <v>470.4290301</v>
      </c>
      <c r="D184" s="6">
        <f t="shared" si="185"/>
        <v>26.37854384</v>
      </c>
      <c r="E184" s="6"/>
      <c r="F184" s="6">
        <v>20.0</v>
      </c>
      <c r="G184" s="6" t="s">
        <v>21</v>
      </c>
      <c r="J184" s="6">
        <v>40.0</v>
      </c>
      <c r="K184" s="7">
        <v>0.34013370468890614</v>
      </c>
      <c r="L184" s="7">
        <v>0.9012050384647063</v>
      </c>
      <c r="M184" s="8">
        <v>0.0505336088938152</v>
      </c>
      <c r="N184" s="9"/>
    </row>
    <row r="185" ht="14.25" customHeight="1">
      <c r="B185" s="7">
        <v>0.4708326621582677</v>
      </c>
      <c r="C185" s="6">
        <f t="shared" ref="C185:D185" si="186">$A$184*L185</f>
        <v>41.28687024</v>
      </c>
      <c r="D185" s="6">
        <f t="shared" si="186"/>
        <v>18.29200733</v>
      </c>
      <c r="E185" s="6"/>
      <c r="F185" s="6">
        <v>30.0</v>
      </c>
      <c r="G185" s="6" t="s">
        <v>97</v>
      </c>
      <c r="J185" s="6">
        <v>40.0</v>
      </c>
      <c r="K185" s="7">
        <v>0.4708326621582677</v>
      </c>
      <c r="L185" s="7">
        <v>0.07909362115659746</v>
      </c>
      <c r="M185" s="8">
        <v>0.0350421596453767</v>
      </c>
      <c r="N185" s="9"/>
    </row>
    <row r="186" ht="14.25" customHeight="1">
      <c r="B186" s="7">
        <v>0.7186834735255772</v>
      </c>
      <c r="C186" s="6">
        <f t="shared" ref="C186:D186" si="187">$A$184*L186</f>
        <v>58.96848945</v>
      </c>
      <c r="D186" s="6">
        <f t="shared" si="187"/>
        <v>30.88183324</v>
      </c>
      <c r="E186" s="6"/>
      <c r="F186" s="6">
        <v>40.0</v>
      </c>
      <c r="G186" s="6" t="s">
        <v>27</v>
      </c>
      <c r="J186" s="6">
        <v>40.0</v>
      </c>
      <c r="K186" s="7">
        <v>0.7186834735255772</v>
      </c>
      <c r="L186" s="7">
        <v>0.11296645488265777</v>
      </c>
      <c r="M186" s="8">
        <v>0.0591606000707926</v>
      </c>
      <c r="N186" s="9"/>
    </row>
    <row r="187" ht="14.25" customHeight="1">
      <c r="A187" s="6" t="s">
        <v>73</v>
      </c>
      <c r="B187" s="7">
        <v>0.04296085831012619</v>
      </c>
      <c r="C187" s="6">
        <f t="shared" ref="C187:D187" si="188">$A$188*L187</f>
        <v>167.1735847</v>
      </c>
      <c r="D187" s="6">
        <f t="shared" si="188"/>
        <v>19.15728812</v>
      </c>
      <c r="E187" s="6"/>
      <c r="F187" s="6">
        <v>10.0</v>
      </c>
      <c r="G187" s="6" t="s">
        <v>15</v>
      </c>
      <c r="J187" s="6">
        <v>40.0</v>
      </c>
      <c r="K187" s="7">
        <v>0.04296085831012619</v>
      </c>
      <c r="L187" s="7">
        <v>0.746310645913369</v>
      </c>
      <c r="M187" s="8">
        <v>0.085523607660505</v>
      </c>
      <c r="N187" s="9">
        <v>57.30222361345262</v>
      </c>
      <c r="O187" s="6" t="s">
        <v>16</v>
      </c>
    </row>
    <row r="188" ht="14.25" customHeight="1">
      <c r="A188" s="12">
        <f>38+143+43</f>
        <v>224</v>
      </c>
      <c r="B188" s="7">
        <v>1.665856393588313</v>
      </c>
      <c r="C188" s="6">
        <f t="shared" ref="C188:D188" si="189">$A$188*L188</f>
        <v>56.87937231</v>
      </c>
      <c r="D188" s="6">
        <f t="shared" si="189"/>
        <v>11.31952839</v>
      </c>
      <c r="E188" s="6"/>
      <c r="F188" s="6">
        <v>20.0</v>
      </c>
      <c r="G188" s="6" t="s">
        <v>21</v>
      </c>
      <c r="J188" s="6">
        <v>40.0</v>
      </c>
      <c r="K188" s="7">
        <v>1.665856393588313</v>
      </c>
      <c r="L188" s="7">
        <v>0.253925769219949</v>
      </c>
      <c r="M188" s="8">
        <v>0.0505336088938152</v>
      </c>
      <c r="N188" s="9"/>
    </row>
    <row r="189" ht="14.25" customHeight="1">
      <c r="B189" s="7">
        <v>1.5040398422636845</v>
      </c>
      <c r="C189" s="6">
        <f t="shared" ref="C189:D189" si="190">$A$188*L189</f>
        <v>38.48738432</v>
      </c>
      <c r="D189" s="6">
        <f t="shared" si="190"/>
        <v>7.849443761</v>
      </c>
      <c r="E189" s="6"/>
      <c r="F189" s="6">
        <v>30.0</v>
      </c>
      <c r="G189" s="6" t="s">
        <v>97</v>
      </c>
      <c r="J189" s="6">
        <v>40.0</v>
      </c>
      <c r="K189" s="7">
        <v>1.5040398422636845</v>
      </c>
      <c r="L189" s="7">
        <v>0.17181868002180956</v>
      </c>
      <c r="M189" s="8">
        <v>0.0350421596453767</v>
      </c>
      <c r="N189" s="9"/>
    </row>
    <row r="190" ht="14.25" customHeight="1">
      <c r="B190" s="7">
        <v>0.6271514508722134</v>
      </c>
      <c r="C190" s="6">
        <f t="shared" ref="C190:D190" si="191">$A$188*L190</f>
        <v>40.32</v>
      </c>
      <c r="D190" s="6">
        <f t="shared" si="191"/>
        <v>13.25197442</v>
      </c>
      <c r="E190" s="6"/>
      <c r="F190" s="6">
        <v>40.0</v>
      </c>
      <c r="G190" s="6" t="s">
        <v>27</v>
      </c>
      <c r="J190" s="6">
        <v>40.0</v>
      </c>
      <c r="K190" s="7">
        <v>0.6271514508722134</v>
      </c>
      <c r="L190" s="7">
        <v>0.18</v>
      </c>
      <c r="M190" s="8">
        <v>0.0591606000707926</v>
      </c>
      <c r="N190" s="9"/>
    </row>
    <row r="191" ht="14.25" customHeight="1">
      <c r="A191" s="6" t="s">
        <v>47</v>
      </c>
      <c r="B191" s="7">
        <v>1.902452239296688</v>
      </c>
      <c r="C191" s="6">
        <f t="shared" ref="C191:D191" si="192">$A$192*L191</f>
        <v>40.8343758</v>
      </c>
      <c r="D191" s="6">
        <f t="shared" si="192"/>
        <v>61.06385587</v>
      </c>
      <c r="E191" s="6"/>
      <c r="F191" s="6">
        <v>10.0</v>
      </c>
      <c r="G191" s="6" t="s">
        <v>15</v>
      </c>
      <c r="J191" s="6">
        <v>40.0</v>
      </c>
      <c r="K191" s="7">
        <v>1.902452239296688</v>
      </c>
      <c r="L191" s="7">
        <v>0.057191002520665</v>
      </c>
      <c r="M191" s="8">
        <v>0.085523607660505</v>
      </c>
      <c r="N191" s="9">
        <v>39.50636467610226</v>
      </c>
      <c r="O191" s="6" t="s">
        <v>16</v>
      </c>
    </row>
    <row r="192" ht="14.25" customHeight="1">
      <c r="A192" s="12">
        <f>104+106+190+314</f>
        <v>714</v>
      </c>
      <c r="B192" s="7">
        <v>0.0305045832330344</v>
      </c>
      <c r="C192" s="6">
        <f t="shared" ref="C192:D192" si="193">$A$192*L192</f>
        <v>483.7074123</v>
      </c>
      <c r="D192" s="6">
        <f t="shared" si="193"/>
        <v>36.08099675</v>
      </c>
      <c r="E192" s="6"/>
      <c r="F192" s="6">
        <v>20.0</v>
      </c>
      <c r="G192" s="6" t="s">
        <v>21</v>
      </c>
      <c r="J192" s="6">
        <v>40.0</v>
      </c>
      <c r="K192" s="7">
        <v>0.0305045832330344</v>
      </c>
      <c r="L192" s="7">
        <v>0.677461361738835</v>
      </c>
      <c r="M192" s="8">
        <v>0.0505336088938152</v>
      </c>
      <c r="N192" s="9"/>
    </row>
    <row r="193" ht="14.25" customHeight="1">
      <c r="B193" s="7">
        <v>0.8654605097364625</v>
      </c>
      <c r="C193" s="6">
        <f t="shared" ref="C193:D193" si="194">$A$192*L193</f>
        <v>454.8664902</v>
      </c>
      <c r="D193" s="6">
        <f t="shared" si="194"/>
        <v>25.02010199</v>
      </c>
      <c r="E193" s="6"/>
      <c r="F193" s="6">
        <v>30.0</v>
      </c>
      <c r="G193" s="6" t="s">
        <v>97</v>
      </c>
      <c r="J193" s="6">
        <v>40.0</v>
      </c>
      <c r="K193" s="7">
        <v>0.8654605097364625</v>
      </c>
      <c r="L193" s="7">
        <v>0.6370679134330384</v>
      </c>
      <c r="M193" s="8">
        <v>0.0350421596453767</v>
      </c>
      <c r="N193" s="9"/>
    </row>
    <row r="194" ht="14.25" customHeight="1">
      <c r="B194" s="7">
        <v>0.32278603075574086</v>
      </c>
      <c r="C194" s="6">
        <f t="shared" ref="C194:D194" si="195">$A$192*L194</f>
        <v>142.8</v>
      </c>
      <c r="D194" s="6">
        <f t="shared" si="195"/>
        <v>42.24066845</v>
      </c>
      <c r="E194" s="6"/>
      <c r="F194" s="6">
        <v>40.0</v>
      </c>
      <c r="G194" s="6" t="s">
        <v>27</v>
      </c>
      <c r="J194" s="6">
        <v>40.0</v>
      </c>
      <c r="K194" s="7">
        <v>0.32278603075574086</v>
      </c>
      <c r="L194" s="7">
        <v>0.2</v>
      </c>
      <c r="M194" s="8">
        <v>0.0591606000707926</v>
      </c>
      <c r="N194" s="9"/>
    </row>
    <row r="195" ht="14.25" customHeight="1">
      <c r="A195" s="6" t="s">
        <v>93</v>
      </c>
      <c r="B195" s="7">
        <v>1.5320301793168802</v>
      </c>
      <c r="C195" s="6">
        <f t="shared" ref="C195:D195" si="196">$A$196*L195</f>
        <v>132.2001768</v>
      </c>
      <c r="D195" s="6">
        <f t="shared" si="196"/>
        <v>46.95246061</v>
      </c>
      <c r="E195" s="6"/>
      <c r="F195" s="6">
        <v>10.0</v>
      </c>
      <c r="G195" s="6" t="s">
        <v>15</v>
      </c>
      <c r="J195" s="6">
        <v>40.0</v>
      </c>
      <c r="K195" s="7">
        <v>1.5320301793168802</v>
      </c>
      <c r="L195" s="7">
        <v>0.24080177919334866</v>
      </c>
      <c r="M195" s="8">
        <v>0.085523607660505</v>
      </c>
      <c r="N195" s="9">
        <v>42.585735309263086</v>
      </c>
      <c r="O195" s="6" t="s">
        <v>16</v>
      </c>
    </row>
    <row r="196" ht="14.25" customHeight="1">
      <c r="A196" s="12">
        <f>98+30+118+77+60+166</f>
        <v>549</v>
      </c>
      <c r="B196" s="7">
        <v>0.9403601765004042</v>
      </c>
      <c r="C196" s="6">
        <f t="shared" ref="C196:D196" si="197">$A$196*L196</f>
        <v>77.95511356</v>
      </c>
      <c r="D196" s="6">
        <f t="shared" si="197"/>
        <v>27.74295128</v>
      </c>
      <c r="E196" s="6"/>
      <c r="F196" s="6">
        <v>20.0</v>
      </c>
      <c r="G196" s="6" t="s">
        <v>21</v>
      </c>
      <c r="J196" s="6">
        <v>40.0</v>
      </c>
      <c r="K196" s="7">
        <v>0.9403601765004042</v>
      </c>
      <c r="L196" s="7">
        <v>0.1419947423658805</v>
      </c>
      <c r="M196" s="8">
        <v>0.0505336088938152</v>
      </c>
      <c r="N196" s="9"/>
    </row>
    <row r="197" ht="14.25" customHeight="1">
      <c r="B197" s="7">
        <v>1.7925361354309186</v>
      </c>
      <c r="C197" s="6">
        <f t="shared" ref="C197:D197" si="198">$A$196*L197</f>
        <v>93.80376703</v>
      </c>
      <c r="D197" s="6">
        <f t="shared" si="198"/>
        <v>19.23814565</v>
      </c>
      <c r="E197" s="6"/>
      <c r="F197" s="6">
        <v>30.0</v>
      </c>
      <c r="G197" s="6" t="s">
        <v>97</v>
      </c>
      <c r="J197" s="6">
        <v>40.0</v>
      </c>
      <c r="K197" s="7">
        <v>1.7925361354309186</v>
      </c>
      <c r="L197" s="7">
        <v>0.170862963617342</v>
      </c>
      <c r="M197" s="8">
        <v>0.0350421596453767</v>
      </c>
      <c r="N197" s="9"/>
    </row>
    <row r="198" ht="14.25" customHeight="1">
      <c r="B198" s="7">
        <v>1.1767819642559467</v>
      </c>
      <c r="C198" s="6">
        <f t="shared" ref="C198:D198" si="199">$A$196*L198</f>
        <v>126.27</v>
      </c>
      <c r="D198" s="6">
        <f t="shared" si="199"/>
        <v>32.47916944</v>
      </c>
      <c r="E198" s="6"/>
      <c r="F198" s="6">
        <v>40.0</v>
      </c>
      <c r="G198" s="6" t="s">
        <v>27</v>
      </c>
      <c r="J198" s="6">
        <v>40.0</v>
      </c>
      <c r="K198" s="7">
        <v>1.1767819642559467</v>
      </c>
      <c r="L198" s="7">
        <v>0.23</v>
      </c>
      <c r="M198" s="8">
        <v>0.0591606000707926</v>
      </c>
      <c r="N198" s="9"/>
    </row>
    <row r="199" ht="14.25" customHeight="1">
      <c r="A199" s="6" t="s">
        <v>99</v>
      </c>
      <c r="B199" s="7">
        <v>0.7854321830563988</v>
      </c>
      <c r="C199" s="6">
        <f t="shared" ref="C199:D199" si="200">$A$200*L199</f>
        <v>82.07741326</v>
      </c>
      <c r="D199" s="6">
        <f t="shared" si="200"/>
        <v>35.06467914</v>
      </c>
      <c r="E199" s="6"/>
      <c r="F199" s="6">
        <v>10.0</v>
      </c>
      <c r="G199" s="6" t="s">
        <v>15</v>
      </c>
      <c r="J199" s="6">
        <v>40.0</v>
      </c>
      <c r="K199" s="7">
        <v>0.7854321830563988</v>
      </c>
      <c r="L199" s="7">
        <v>0.20018881281745993</v>
      </c>
      <c r="M199" s="8">
        <v>0.085523607660505</v>
      </c>
      <c r="N199" s="9">
        <v>63.88660069268387</v>
      </c>
      <c r="O199" s="6" t="s">
        <v>16</v>
      </c>
    </row>
    <row r="200" ht="14.25" customHeight="1">
      <c r="A200" s="12">
        <f>74+131+205</f>
        <v>410</v>
      </c>
      <c r="B200" s="7">
        <v>0.952258561503236</v>
      </c>
      <c r="C200" s="6">
        <f t="shared" ref="C200:D200" si="201">$A$200*L200</f>
        <v>215.5487101</v>
      </c>
      <c r="D200" s="6">
        <f t="shared" si="201"/>
        <v>20.71877965</v>
      </c>
      <c r="E200" s="6"/>
      <c r="F200" s="6">
        <v>20.0</v>
      </c>
      <c r="G200" s="6" t="s">
        <v>21</v>
      </c>
      <c r="J200" s="6">
        <v>40.0</v>
      </c>
      <c r="K200" s="7">
        <v>0.952258561503236</v>
      </c>
      <c r="L200" s="7">
        <v>0.5257285611111256</v>
      </c>
      <c r="M200" s="8">
        <v>0.0505336088938152</v>
      </c>
      <c r="N200" s="9"/>
    </row>
    <row r="201" ht="14.25" customHeight="1">
      <c r="B201" s="7">
        <v>0.31678818755432747</v>
      </c>
      <c r="C201" s="6">
        <f t="shared" ref="C201:D201" si="202">$A$200*L201</f>
        <v>150.7187203</v>
      </c>
      <c r="D201" s="6">
        <f t="shared" si="202"/>
        <v>14.36728545</v>
      </c>
      <c r="E201" s="6"/>
      <c r="F201" s="6">
        <v>30.0</v>
      </c>
      <c r="G201" s="6" t="s">
        <v>97</v>
      </c>
      <c r="J201" s="6">
        <v>40.0</v>
      </c>
      <c r="K201" s="7">
        <v>0.31678818755432747</v>
      </c>
      <c r="L201" s="7">
        <v>0.36760663476713573</v>
      </c>
      <c r="M201" s="8">
        <v>0.0350421596453767</v>
      </c>
      <c r="N201" s="9"/>
    </row>
    <row r="202" ht="14.25" customHeight="1">
      <c r="B202" s="7">
        <v>1.2164856783643465</v>
      </c>
      <c r="C202" s="6">
        <f t="shared" ref="C202:D202" si="203">$A$200*L202</f>
        <v>73.8</v>
      </c>
      <c r="D202" s="6">
        <f t="shared" si="203"/>
        <v>24.25584603</v>
      </c>
      <c r="E202" s="6"/>
      <c r="F202" s="6">
        <v>40.0</v>
      </c>
      <c r="G202" s="6" t="s">
        <v>27</v>
      </c>
      <c r="J202" s="6">
        <v>40.0</v>
      </c>
      <c r="K202" s="7">
        <v>1.2164856783643465</v>
      </c>
      <c r="L202" s="7">
        <v>0.18</v>
      </c>
      <c r="M202" s="8">
        <v>0.0591606000707926</v>
      </c>
      <c r="N202" s="9"/>
    </row>
    <row r="203" ht="14.25" customHeight="1">
      <c r="A203" s="6" t="s">
        <v>66</v>
      </c>
      <c r="B203" s="7">
        <v>1.745933816777234</v>
      </c>
      <c r="C203" s="6">
        <f t="shared" ref="C203:D203" si="204">$A$204*L203</f>
        <v>514.1340693</v>
      </c>
      <c r="D203" s="6">
        <f t="shared" si="204"/>
        <v>52.34044789</v>
      </c>
      <c r="E203" s="6"/>
      <c r="F203" s="6">
        <v>10.0</v>
      </c>
      <c r="G203" s="6" t="s">
        <v>15</v>
      </c>
      <c r="J203" s="6">
        <v>40.0</v>
      </c>
      <c r="K203" s="7">
        <v>1.745933816777234</v>
      </c>
      <c r="L203" s="7">
        <v>0.8400883484644064</v>
      </c>
      <c r="M203" s="8">
        <v>0.085523607660505</v>
      </c>
      <c r="N203" s="9">
        <v>82.71049238463634</v>
      </c>
      <c r="O203" s="6" t="s">
        <v>16</v>
      </c>
    </row>
    <row r="204" ht="14.25" customHeight="1">
      <c r="A204" s="12">
        <f>260+212+90+50</f>
        <v>612</v>
      </c>
      <c r="B204" s="7">
        <v>1.2891472083346724</v>
      </c>
      <c r="C204" s="6">
        <f t="shared" ref="C204:D204" si="205">$A$204*L204</f>
        <v>311.2652996</v>
      </c>
      <c r="D204" s="6">
        <f t="shared" si="205"/>
        <v>30.92656864</v>
      </c>
      <c r="E204" s="6"/>
      <c r="F204" s="6">
        <v>20.0</v>
      </c>
      <c r="G204" s="6" t="s">
        <v>21</v>
      </c>
      <c r="J204" s="6">
        <v>40.0</v>
      </c>
      <c r="K204" s="7">
        <v>1.2891472083346724</v>
      </c>
      <c r="L204" s="7">
        <v>0.5086034307614288</v>
      </c>
      <c r="M204" s="8">
        <v>0.0505336088938152</v>
      </c>
      <c r="N204" s="9"/>
    </row>
    <row r="205" ht="14.25" customHeight="1">
      <c r="B205" s="7">
        <v>0.027666785736811805</v>
      </c>
      <c r="C205" s="6">
        <f t="shared" ref="C205:D205" si="206">$A$204*L205</f>
        <v>345.3011821</v>
      </c>
      <c r="D205" s="6">
        <f t="shared" si="206"/>
        <v>21.4458017</v>
      </c>
      <c r="E205" s="6"/>
      <c r="F205" s="6">
        <v>30.0</v>
      </c>
      <c r="G205" s="6" t="s">
        <v>97</v>
      </c>
      <c r="J205" s="6">
        <v>40.0</v>
      </c>
      <c r="K205" s="7">
        <v>0.027666785736811805</v>
      </c>
      <c r="L205" s="7">
        <v>0.5642176178111212</v>
      </c>
      <c r="M205" s="8">
        <v>0.0350421596453767</v>
      </c>
      <c r="N205" s="9"/>
    </row>
    <row r="206" ht="14.25" customHeight="1">
      <c r="B206" s="7">
        <v>0.3432444469512539</v>
      </c>
      <c r="C206" s="6">
        <f t="shared" ref="C206:D206" si="207">$A$204*L206</f>
        <v>116.28</v>
      </c>
      <c r="D206" s="6">
        <f t="shared" si="207"/>
        <v>36.20628724</v>
      </c>
      <c r="E206" s="6"/>
      <c r="F206" s="6">
        <v>40.0</v>
      </c>
      <c r="G206" s="6" t="s">
        <v>27</v>
      </c>
      <c r="J206" s="6">
        <v>40.0</v>
      </c>
      <c r="K206" s="7">
        <v>0.3432444469512539</v>
      </c>
      <c r="L206" s="7">
        <v>0.19</v>
      </c>
      <c r="M206" s="8">
        <v>0.0591606000707926</v>
      </c>
      <c r="N206" s="9"/>
    </row>
    <row r="207" ht="14.25" customHeight="1">
      <c r="A207" s="6" t="s">
        <v>100</v>
      </c>
      <c r="B207" s="7"/>
      <c r="C207" s="6"/>
      <c r="D207" s="6"/>
      <c r="E207" s="6"/>
      <c r="F207" s="6">
        <v>10.0</v>
      </c>
      <c r="G207" s="6" t="s">
        <v>15</v>
      </c>
      <c r="J207" s="6">
        <v>20.0</v>
      </c>
      <c r="K207" s="7">
        <v>0.9452997296870298</v>
      </c>
      <c r="L207" s="7">
        <v>0.468697425787988</v>
      </c>
      <c r="M207" s="8">
        <v>0.085523607660505</v>
      </c>
      <c r="N207" s="9">
        <v>57.67638930467695</v>
      </c>
      <c r="O207" s="6" t="s">
        <v>16</v>
      </c>
    </row>
    <row r="208" ht="14.25" customHeight="1">
      <c r="B208" s="7"/>
      <c r="C208" s="6"/>
      <c r="D208" s="6"/>
      <c r="E208" s="6"/>
      <c r="F208" s="6">
        <v>20.0</v>
      </c>
      <c r="G208" s="6" t="s">
        <v>85</v>
      </c>
      <c r="J208" s="6">
        <v>20.0</v>
      </c>
      <c r="K208" s="7">
        <v>2.1</v>
      </c>
      <c r="L208" s="7">
        <v>0.2195451241665748</v>
      </c>
      <c r="M208" s="8">
        <v>0.0926516014465672</v>
      </c>
      <c r="N208" s="9"/>
    </row>
    <row r="209" ht="14.25" customHeight="1">
      <c r="B209" s="7"/>
      <c r="C209" s="6"/>
      <c r="D209" s="6"/>
      <c r="E209" s="6"/>
      <c r="F209" s="6">
        <v>30.0</v>
      </c>
      <c r="G209" s="6" t="s">
        <v>24</v>
      </c>
      <c r="J209" s="6">
        <v>20.0</v>
      </c>
      <c r="K209" s="7">
        <v>1.2844228509279483</v>
      </c>
      <c r="L209" s="7">
        <v>0.6745725390145071</v>
      </c>
      <c r="M209" s="8">
        <v>0.0433441037149536</v>
      </c>
      <c r="N209" s="9"/>
    </row>
    <row r="210" ht="14.25" customHeight="1">
      <c r="B210" s="7"/>
      <c r="C210" s="6"/>
      <c r="D210" s="6"/>
      <c r="E210" s="6"/>
      <c r="F210" s="6">
        <v>40.0</v>
      </c>
      <c r="G210" s="6" t="s">
        <v>27</v>
      </c>
      <c r="J210" s="6">
        <v>20.0</v>
      </c>
      <c r="K210" s="7">
        <v>1.8523663879175478</v>
      </c>
      <c r="L210" s="7">
        <v>0.15183635308622023</v>
      </c>
      <c r="M210" s="8">
        <v>0.0591606000707926</v>
      </c>
      <c r="N210" s="9"/>
    </row>
    <row r="211" ht="14.25" customHeight="1">
      <c r="B211" s="7"/>
      <c r="C211" s="6"/>
      <c r="D211" s="6"/>
      <c r="E211" s="6"/>
      <c r="F211" s="6">
        <v>50.0</v>
      </c>
      <c r="G211" s="6" t="s">
        <v>30</v>
      </c>
      <c r="H211" s="6" t="s">
        <v>31</v>
      </c>
      <c r="J211" s="6">
        <v>40.0</v>
      </c>
      <c r="K211" s="7">
        <v>0.4</v>
      </c>
      <c r="L211" s="7">
        <v>0.27625308872995746</v>
      </c>
      <c r="M211" s="8">
        <v>0.134941999254343</v>
      </c>
      <c r="N211" s="9"/>
    </row>
    <row r="212" ht="14.25" customHeight="1">
      <c r="A212" s="19" t="s">
        <v>81</v>
      </c>
      <c r="B212" s="18">
        <v>1.1691673864185377</v>
      </c>
      <c r="C212" s="19">
        <f t="shared" ref="C212:D212" si="208">$A$213*L212</f>
        <v>861.0404495</v>
      </c>
      <c r="D212" s="19">
        <f t="shared" si="208"/>
        <v>105.9637499</v>
      </c>
      <c r="E212" s="19"/>
      <c r="F212" s="6">
        <v>10.0</v>
      </c>
      <c r="G212" s="6" t="s">
        <v>15</v>
      </c>
      <c r="J212" s="6">
        <v>20.0</v>
      </c>
      <c r="K212" s="7">
        <v>1.1691673864185377</v>
      </c>
      <c r="L212" s="7">
        <v>0.6949479011277999</v>
      </c>
      <c r="M212" s="8">
        <v>0.085523607660505</v>
      </c>
      <c r="N212" s="9">
        <v>79.15023254200493</v>
      </c>
      <c r="O212" s="6" t="s">
        <v>16</v>
      </c>
    </row>
    <row r="213" ht="14.25" customHeight="1">
      <c r="A213" s="17">
        <f>399+432+408</f>
        <v>1239</v>
      </c>
      <c r="B213" s="18">
        <v>2.8</v>
      </c>
      <c r="C213" s="19">
        <f t="shared" ref="C213:D213" si="209">$A$213*L213</f>
        <v>513.5804411</v>
      </c>
      <c r="D213" s="19">
        <f t="shared" si="209"/>
        <v>114.7953342</v>
      </c>
      <c r="E213" s="19"/>
      <c r="F213" s="6">
        <v>20.0</v>
      </c>
      <c r="G213" s="6" t="s">
        <v>85</v>
      </c>
      <c r="J213" s="6">
        <v>20.0</v>
      </c>
      <c r="K213" s="7">
        <v>2.8</v>
      </c>
      <c r="L213" s="7">
        <v>0.41451205897704335</v>
      </c>
      <c r="M213" s="8">
        <v>0.0926516014465672</v>
      </c>
      <c r="N213" s="9"/>
    </row>
    <row r="214" ht="14.25" customHeight="1">
      <c r="A214" s="17"/>
      <c r="B214" s="18">
        <v>0.5005767077082439</v>
      </c>
      <c r="C214" s="19">
        <f t="shared" ref="C214:D214" si="210">$A$213*L214</f>
        <v>1043.47336</v>
      </c>
      <c r="D214" s="19">
        <f t="shared" si="210"/>
        <v>53.7033445</v>
      </c>
      <c r="E214" s="19"/>
      <c r="F214" s="6">
        <v>30.0</v>
      </c>
      <c r="G214" s="6" t="s">
        <v>24</v>
      </c>
      <c r="J214" s="6">
        <v>20.0</v>
      </c>
      <c r="K214" s="7">
        <v>0.5005767077082439</v>
      </c>
      <c r="L214" s="7">
        <v>0.8421899597248038</v>
      </c>
      <c r="M214" s="8">
        <v>0.0433441037149536</v>
      </c>
      <c r="N214" s="9"/>
    </row>
    <row r="215" ht="14.25" customHeight="1">
      <c r="A215" s="17"/>
      <c r="B215" s="18">
        <v>0.9342858611965121</v>
      </c>
      <c r="C215" s="19">
        <f t="shared" ref="C215:D215" si="211">$A$213*L215</f>
        <v>351.931224</v>
      </c>
      <c r="D215" s="19">
        <f t="shared" si="211"/>
        <v>73.29998349</v>
      </c>
      <c r="E215" s="19"/>
      <c r="F215" s="6">
        <v>40.0</v>
      </c>
      <c r="G215" s="6" t="s">
        <v>27</v>
      </c>
      <c r="J215" s="6">
        <v>20.0</v>
      </c>
      <c r="K215" s="7">
        <v>0.9342858611965121</v>
      </c>
      <c r="L215" s="7">
        <v>0.284044571406119</v>
      </c>
      <c r="M215" s="8">
        <v>0.0591606000707926</v>
      </c>
      <c r="N215" s="9"/>
    </row>
    <row r="216" ht="14.25" customHeight="1">
      <c r="A216" s="17"/>
      <c r="B216" s="18">
        <v>1.2870194990982615</v>
      </c>
      <c r="C216" s="19">
        <f t="shared" ref="C216:D216" si="212">$A$213*L216</f>
        <v>333.0749239</v>
      </c>
      <c r="D216" s="19">
        <f t="shared" si="212"/>
        <v>167.1931371</v>
      </c>
      <c r="E216" s="19"/>
      <c r="F216" s="6">
        <v>50.0</v>
      </c>
      <c r="G216" s="6" t="s">
        <v>30</v>
      </c>
      <c r="H216" s="6" t="s">
        <v>31</v>
      </c>
      <c r="J216" s="6">
        <v>40.0</v>
      </c>
      <c r="K216" s="7">
        <v>1.2870194990982615</v>
      </c>
      <c r="L216" s="7">
        <v>0.26882560440930015</v>
      </c>
      <c r="M216" s="8">
        <v>0.134941999254343</v>
      </c>
      <c r="N216" s="9"/>
    </row>
    <row r="217" ht="14.25" customHeight="1">
      <c r="A217" s="19" t="s">
        <v>78</v>
      </c>
      <c r="B217" s="18">
        <v>0.1653215476094989</v>
      </c>
      <c r="C217" s="19">
        <f t="shared" ref="C217:D217" si="213">$A$218*L217</f>
        <v>62.12717387</v>
      </c>
      <c r="D217" s="19">
        <f t="shared" si="213"/>
        <v>47.80769668</v>
      </c>
      <c r="E217" s="19"/>
      <c r="F217" s="6">
        <v>10.0</v>
      </c>
      <c r="G217" s="6" t="s">
        <v>15</v>
      </c>
      <c r="J217" s="6">
        <v>20.0</v>
      </c>
      <c r="K217" s="7">
        <v>0.1653215476094989</v>
      </c>
      <c r="L217" s="7">
        <v>0.1111398459290841</v>
      </c>
      <c r="M217" s="8">
        <v>0.085523607660505</v>
      </c>
      <c r="N217" s="9">
        <v>78.3320061614537</v>
      </c>
      <c r="O217" s="6" t="s">
        <v>16</v>
      </c>
    </row>
    <row r="218" ht="14.25" customHeight="1">
      <c r="A218" s="17">
        <f>97+84+92+212+24+50</f>
        <v>559</v>
      </c>
      <c r="B218" s="18">
        <v>2.8</v>
      </c>
      <c r="C218" s="19">
        <f t="shared" ref="C218:D218" si="214">$A$218*L218</f>
        <v>603.72</v>
      </c>
      <c r="D218" s="19">
        <f t="shared" si="214"/>
        <v>51.79224521</v>
      </c>
      <c r="E218" s="19"/>
      <c r="F218" s="6">
        <v>20.0</v>
      </c>
      <c r="G218" s="6" t="s">
        <v>85</v>
      </c>
      <c r="J218" s="6">
        <v>20.0</v>
      </c>
      <c r="K218" s="7">
        <v>2.8</v>
      </c>
      <c r="L218" s="7">
        <v>1.08</v>
      </c>
      <c r="M218" s="8">
        <v>0.0926516014465672</v>
      </c>
      <c r="N218" s="9"/>
    </row>
    <row r="219" ht="14.25" customHeight="1">
      <c r="A219" s="17"/>
      <c r="B219" s="18">
        <v>0.41446750799050425</v>
      </c>
      <c r="C219" s="19">
        <f t="shared" ref="C219:D219" si="215">$A$218*L219</f>
        <v>146.9829184</v>
      </c>
      <c r="D219" s="19">
        <f t="shared" si="215"/>
        <v>24.22935398</v>
      </c>
      <c r="E219" s="19"/>
      <c r="F219" s="6">
        <v>30.0</v>
      </c>
      <c r="G219" s="6" t="s">
        <v>24</v>
      </c>
      <c r="J219" s="6">
        <v>20.0</v>
      </c>
      <c r="K219" s="7">
        <v>0.41446750799050425</v>
      </c>
      <c r="L219" s="7">
        <v>0.2629390312128116</v>
      </c>
      <c r="M219" s="8">
        <v>0.0433441037149536</v>
      </c>
      <c r="N219" s="9"/>
    </row>
    <row r="220" ht="14.25" customHeight="1">
      <c r="A220" s="17"/>
      <c r="B220" s="18">
        <v>1.59376143269421</v>
      </c>
      <c r="C220" s="19">
        <f t="shared" ref="C220:D220" si="216">$A$218*L220</f>
        <v>78.26</v>
      </c>
      <c r="D220" s="19">
        <f t="shared" si="216"/>
        <v>33.07077544</v>
      </c>
      <c r="E220" s="19"/>
      <c r="F220" s="6">
        <v>40.0</v>
      </c>
      <c r="G220" s="6" t="s">
        <v>27</v>
      </c>
      <c r="J220" s="6">
        <v>20.0</v>
      </c>
      <c r="K220" s="7">
        <v>1.59376143269421</v>
      </c>
      <c r="L220" s="7">
        <v>0.14</v>
      </c>
      <c r="M220" s="8">
        <v>0.0591606000707926</v>
      </c>
      <c r="N220" s="9"/>
    </row>
    <row r="221" ht="14.25" customHeight="1">
      <c r="A221" s="17"/>
      <c r="B221" s="18">
        <v>0.8</v>
      </c>
      <c r="C221" s="19">
        <f t="shared" ref="C221:D221" si="217">$A$218*L221</f>
        <v>226.5803356</v>
      </c>
      <c r="D221" s="19">
        <f t="shared" si="217"/>
        <v>75.43257758</v>
      </c>
      <c r="E221" s="19"/>
      <c r="F221" s="6">
        <v>50.0</v>
      </c>
      <c r="G221" s="6" t="s">
        <v>30</v>
      </c>
      <c r="H221" s="6" t="s">
        <v>31</v>
      </c>
      <c r="J221" s="6">
        <v>40.0</v>
      </c>
      <c r="K221" s="7">
        <v>0.8</v>
      </c>
      <c r="L221" s="7">
        <v>0.4053315485267791</v>
      </c>
      <c r="M221" s="8">
        <v>0.134941999254343</v>
      </c>
      <c r="N221" s="9"/>
    </row>
    <row r="222" ht="14.25" customHeight="1">
      <c r="A222" s="19" t="s">
        <v>101</v>
      </c>
      <c r="B222" s="18">
        <v>0.7164823961339757</v>
      </c>
      <c r="C222" s="19">
        <f t="shared" ref="C222:D222" si="218">$A$223*L222</f>
        <v>323.3029108</v>
      </c>
      <c r="D222" s="19">
        <f t="shared" si="218"/>
        <v>36.00543883</v>
      </c>
      <c r="E222" s="19"/>
      <c r="F222" s="6">
        <v>10.0</v>
      </c>
      <c r="G222" s="6" t="s">
        <v>15</v>
      </c>
      <c r="J222" s="6">
        <v>20.0</v>
      </c>
      <c r="K222" s="7">
        <v>0.7164823961339757</v>
      </c>
      <c r="L222" s="7">
        <v>0.7679404057926288</v>
      </c>
      <c r="M222" s="8">
        <v>0.085523607660505</v>
      </c>
      <c r="N222" s="9">
        <v>225.45332481241516</v>
      </c>
      <c r="O222" s="6" t="s">
        <v>35</v>
      </c>
    </row>
    <row r="223" ht="14.25" customHeight="1">
      <c r="A223" s="17">
        <f>118+77+60+166</f>
        <v>421</v>
      </c>
      <c r="B223" s="18">
        <v>2.3</v>
      </c>
      <c r="C223" s="19">
        <f t="shared" ref="C223:D223" si="219">$A$223*L223</f>
        <v>644.13</v>
      </c>
      <c r="D223" s="19">
        <f t="shared" si="219"/>
        <v>39.00632421</v>
      </c>
      <c r="E223" s="19"/>
      <c r="F223" s="6">
        <v>20.0</v>
      </c>
      <c r="G223" s="6" t="s">
        <v>85</v>
      </c>
      <c r="J223" s="6">
        <v>20.0</v>
      </c>
      <c r="K223" s="7">
        <v>2.3</v>
      </c>
      <c r="L223" s="7">
        <v>1.53</v>
      </c>
      <c r="M223" s="8">
        <v>0.0926516014465672</v>
      </c>
      <c r="N223" s="9"/>
    </row>
    <row r="224" ht="14.25" customHeight="1">
      <c r="B224" s="7">
        <v>0.7475167507715759</v>
      </c>
      <c r="C224" s="6">
        <f t="shared" ref="C224:D224" si="220">$A$223*L224</f>
        <v>395.1609589</v>
      </c>
      <c r="D224" s="6">
        <f t="shared" si="220"/>
        <v>18.24786766</v>
      </c>
      <c r="E224" s="6"/>
      <c r="F224" s="6">
        <v>30.0</v>
      </c>
      <c r="G224" s="6" t="s">
        <v>24</v>
      </c>
      <c r="J224" s="6">
        <v>20.0</v>
      </c>
      <c r="K224" s="7">
        <v>0.7475167507715759</v>
      </c>
      <c r="L224" s="7">
        <v>0.9386246054633526</v>
      </c>
      <c r="M224" s="8">
        <v>0.0433441037149536</v>
      </c>
      <c r="N224" s="9"/>
    </row>
    <row r="225" ht="14.25" customHeight="1">
      <c r="B225" s="7">
        <v>0.06544951739298344</v>
      </c>
      <c r="C225" s="6">
        <f t="shared" ref="C225:D225" si="221">$A$223*L225</f>
        <v>63.15</v>
      </c>
      <c r="D225" s="6">
        <f t="shared" si="221"/>
        <v>24.90661263</v>
      </c>
      <c r="E225" s="6"/>
      <c r="F225" s="6">
        <v>40.0</v>
      </c>
      <c r="G225" s="6" t="s">
        <v>27</v>
      </c>
      <c r="J225" s="6">
        <v>20.0</v>
      </c>
      <c r="K225" s="7">
        <v>0.06544951739298344</v>
      </c>
      <c r="L225" s="7">
        <v>0.15</v>
      </c>
      <c r="M225" s="8">
        <v>0.0591606000707926</v>
      </c>
      <c r="N225" s="9"/>
    </row>
    <row r="226" ht="14.25" customHeight="1">
      <c r="B226" s="7">
        <v>0.7516254974977068</v>
      </c>
      <c r="C226" s="6">
        <f t="shared" ref="C226:D226" si="222">$A$223*L226</f>
        <v>418.2835308</v>
      </c>
      <c r="D226" s="6">
        <f t="shared" si="222"/>
        <v>56.81058169</v>
      </c>
      <c r="E226" s="6"/>
      <c r="F226" s="6">
        <v>50.0</v>
      </c>
      <c r="G226" s="6" t="s">
        <v>30</v>
      </c>
      <c r="H226" s="6" t="s">
        <v>93</v>
      </c>
      <c r="I226" s="6">
        <v>2.0</v>
      </c>
      <c r="J226" s="6">
        <v>40.0</v>
      </c>
      <c r="K226" s="7">
        <v>0.7516254974977068</v>
      </c>
      <c r="L226" s="7">
        <v>0.9935475791287999</v>
      </c>
      <c r="M226" s="8">
        <v>0.134941999254343</v>
      </c>
      <c r="N226" s="9"/>
    </row>
    <row r="227" ht="14.25" customHeight="1">
      <c r="A227" s="6" t="s">
        <v>102</v>
      </c>
      <c r="B227" s="7">
        <v>0.7</v>
      </c>
      <c r="C227" s="6">
        <f t="shared" ref="C227:D227" si="223">$A$228*L227</f>
        <v>77.98062276</v>
      </c>
      <c r="D227" s="6">
        <f t="shared" si="223"/>
        <v>13.59825362</v>
      </c>
      <c r="E227" s="6"/>
      <c r="F227" s="6">
        <v>10.0</v>
      </c>
      <c r="G227" s="6" t="s">
        <v>15</v>
      </c>
      <c r="J227" s="6">
        <v>20.0</v>
      </c>
      <c r="K227" s="7">
        <v>0.7</v>
      </c>
      <c r="L227" s="7">
        <v>0.49044416828866244</v>
      </c>
      <c r="M227" s="8">
        <v>0.085523607660505</v>
      </c>
      <c r="N227" s="9">
        <v>69.4782718734976</v>
      </c>
      <c r="O227" s="6" t="s">
        <v>16</v>
      </c>
    </row>
    <row r="228" ht="14.25" customHeight="1">
      <c r="A228" s="12">
        <f>38+121</f>
        <v>159</v>
      </c>
      <c r="B228" s="7">
        <v>2.8</v>
      </c>
      <c r="C228" s="6">
        <f t="shared" ref="C228:D228" si="224">$A$228*L228</f>
        <v>119.25</v>
      </c>
      <c r="D228" s="6">
        <f t="shared" si="224"/>
        <v>14.73160463</v>
      </c>
      <c r="E228" s="6"/>
      <c r="F228" s="6">
        <v>20.0</v>
      </c>
      <c r="G228" s="6" t="s">
        <v>85</v>
      </c>
      <c r="J228" s="6">
        <v>20.0</v>
      </c>
      <c r="K228" s="7">
        <v>2.8</v>
      </c>
      <c r="L228" s="7">
        <v>0.75</v>
      </c>
      <c r="M228" s="8">
        <v>0.0926516014465672</v>
      </c>
      <c r="N228" s="9"/>
    </row>
    <row r="229" ht="14.25" customHeight="1">
      <c r="B229" s="7">
        <v>0.38364285931583364</v>
      </c>
      <c r="C229" s="6">
        <f t="shared" ref="C229:D229" si="225">$A$228*L229</f>
        <v>3.027286835</v>
      </c>
      <c r="D229" s="6">
        <f t="shared" si="225"/>
        <v>6.891712491</v>
      </c>
      <c r="E229" s="6"/>
      <c r="F229" s="6">
        <v>30.0</v>
      </c>
      <c r="G229" s="6" t="s">
        <v>24</v>
      </c>
      <c r="J229" s="6">
        <v>20.0</v>
      </c>
      <c r="K229" s="7">
        <v>0.38364285931583364</v>
      </c>
      <c r="L229" s="7">
        <v>0.019039539843200504</v>
      </c>
      <c r="M229" s="8">
        <v>0.0433441037149536</v>
      </c>
      <c r="N229" s="9"/>
    </row>
    <row r="230" ht="14.25" customHeight="1">
      <c r="B230" s="7">
        <v>1.192645062473638</v>
      </c>
      <c r="C230" s="6">
        <f t="shared" ref="C230:D230" si="226">$A$228*L230</f>
        <v>30.21</v>
      </c>
      <c r="D230" s="6">
        <f t="shared" si="226"/>
        <v>9.406535411</v>
      </c>
      <c r="E230" s="6"/>
      <c r="F230" s="6">
        <v>40.0</v>
      </c>
      <c r="G230" s="6" t="s">
        <v>27</v>
      </c>
      <c r="J230" s="6">
        <v>20.0</v>
      </c>
      <c r="K230" s="7">
        <v>1.192645062473638</v>
      </c>
      <c r="L230" s="7">
        <v>0.19</v>
      </c>
      <c r="M230" s="8">
        <v>0.0591606000707926</v>
      </c>
      <c r="N230" s="9"/>
    </row>
    <row r="231" ht="14.25" customHeight="1">
      <c r="B231" s="7">
        <v>0.038889304928952706</v>
      </c>
      <c r="C231" s="6">
        <f t="shared" ref="C231:D231" si="227">$A$228*L231</f>
        <v>89.45037394</v>
      </c>
      <c r="D231" s="6">
        <f t="shared" si="227"/>
        <v>21.45577788</v>
      </c>
      <c r="E231" s="6"/>
      <c r="F231" s="6">
        <v>50.0</v>
      </c>
      <c r="G231" s="6" t="s">
        <v>30</v>
      </c>
      <c r="H231" s="6" t="s">
        <v>31</v>
      </c>
      <c r="J231" s="6">
        <v>40.0</v>
      </c>
      <c r="K231" s="7">
        <v>0.038889304928952706</v>
      </c>
      <c r="L231" s="7">
        <v>0.5625809681607074</v>
      </c>
      <c r="M231" s="8">
        <v>0.134941999254343</v>
      </c>
      <c r="N231" s="9"/>
    </row>
    <row r="232" ht="14.25" customHeight="1">
      <c r="A232" s="16" t="s">
        <v>103</v>
      </c>
      <c r="B232" s="15">
        <v>0.9</v>
      </c>
      <c r="C232" s="16">
        <f t="shared" ref="C232:D232" si="228">$A$233*L232</f>
        <v>10.5958452</v>
      </c>
      <c r="D232" s="16">
        <f t="shared" si="228"/>
        <v>5.559034498</v>
      </c>
      <c r="E232" s="16"/>
      <c r="F232" s="6">
        <v>10.0</v>
      </c>
      <c r="G232" s="6" t="s">
        <v>15</v>
      </c>
      <c r="J232" s="6">
        <v>15.0</v>
      </c>
      <c r="K232" s="7">
        <v>0.9</v>
      </c>
      <c r="L232" s="7">
        <v>0.16301300306013466</v>
      </c>
      <c r="M232" s="8">
        <v>0.085523607660505</v>
      </c>
      <c r="N232" s="9">
        <v>458.56520667683634</v>
      </c>
      <c r="O232" s="6" t="s">
        <v>52</v>
      </c>
    </row>
    <row r="233" ht="14.25" customHeight="1">
      <c r="A233" s="12">
        <f>65</f>
        <v>65</v>
      </c>
      <c r="B233" s="7">
        <v>1.407821146852841</v>
      </c>
      <c r="C233" s="6">
        <f t="shared" ref="C233:D233" si="229">$A$233*L233</f>
        <v>35.20119088</v>
      </c>
      <c r="D233" s="6">
        <f t="shared" si="229"/>
        <v>7.242420266</v>
      </c>
      <c r="E233" s="6"/>
      <c r="F233" s="6">
        <v>20.0</v>
      </c>
      <c r="G233" s="6" t="s">
        <v>18</v>
      </c>
      <c r="J233" s="6">
        <v>15.0</v>
      </c>
      <c r="K233" s="7">
        <v>1.407821146852841</v>
      </c>
      <c r="L233" s="7">
        <v>0.5415567827700735</v>
      </c>
      <c r="M233" s="8">
        <v>0.111421850244242</v>
      </c>
      <c r="N233" s="9"/>
    </row>
    <row r="234" ht="14.25" customHeight="1">
      <c r="B234" s="7">
        <v>0.10743714114733316</v>
      </c>
      <c r="C234" s="6">
        <f t="shared" ref="C234:D234" si="230">$A$233*L234</f>
        <v>28.76995904</v>
      </c>
      <c r="D234" s="6">
        <f t="shared" si="230"/>
        <v>3.284684578</v>
      </c>
      <c r="E234" s="6"/>
      <c r="F234" s="6">
        <v>30.0</v>
      </c>
      <c r="G234" s="6" t="s">
        <v>21</v>
      </c>
      <c r="J234" s="6">
        <v>15.0</v>
      </c>
      <c r="K234" s="7">
        <v>0.10743714114733316</v>
      </c>
      <c r="L234" s="7">
        <v>0.44261475438998266</v>
      </c>
      <c r="M234" s="8">
        <v>0.0505336088938152</v>
      </c>
      <c r="N234" s="9"/>
    </row>
    <row r="235" ht="14.25" customHeight="1">
      <c r="B235" s="7">
        <v>1.376535696066532</v>
      </c>
      <c r="C235" s="6">
        <f t="shared" ref="C235:D235" si="231">$A$233*L235</f>
        <v>30.43667599</v>
      </c>
      <c r="D235" s="6">
        <f t="shared" si="231"/>
        <v>7.242420266</v>
      </c>
      <c r="E235" s="6"/>
      <c r="F235" s="6">
        <v>40.0</v>
      </c>
      <c r="G235" s="6" t="s">
        <v>18</v>
      </c>
      <c r="J235" s="6">
        <v>15.0</v>
      </c>
      <c r="K235" s="7">
        <v>1.376535696066532</v>
      </c>
      <c r="L235" s="7">
        <v>0.4682565536304084</v>
      </c>
      <c r="M235" s="8">
        <v>0.111421850244242</v>
      </c>
      <c r="N235" s="9"/>
    </row>
    <row r="236" ht="14.25" customHeight="1">
      <c r="B236" s="7">
        <v>1.986390757818794</v>
      </c>
      <c r="C236" s="6">
        <f t="shared" ref="C236:D236" si="232">$A$233*L236</f>
        <v>36.3431142</v>
      </c>
      <c r="D236" s="6">
        <f t="shared" si="232"/>
        <v>2.817366741</v>
      </c>
      <c r="E236" s="6"/>
      <c r="F236" s="6">
        <v>50.0</v>
      </c>
      <c r="G236" s="6" t="s">
        <v>24</v>
      </c>
      <c r="J236" s="6">
        <v>15.0</v>
      </c>
      <c r="K236" s="7">
        <v>1.986390757818794</v>
      </c>
      <c r="L236" s="7">
        <v>0.5591248337951995</v>
      </c>
      <c r="M236" s="8">
        <v>0.0433441037149536</v>
      </c>
      <c r="N236" s="9"/>
    </row>
    <row r="237" ht="14.25" customHeight="1">
      <c r="B237" s="7">
        <v>0.7561250091183707</v>
      </c>
      <c r="C237" s="6">
        <f t="shared" ref="C237:D237" si="233">$A$233*L237</f>
        <v>62.20940653</v>
      </c>
      <c r="D237" s="6">
        <f t="shared" si="233"/>
        <v>2.277740377</v>
      </c>
      <c r="E237" s="6"/>
      <c r="F237" s="6">
        <v>60.0</v>
      </c>
      <c r="G237" s="6" t="s">
        <v>97</v>
      </c>
      <c r="J237" s="6">
        <v>15.0</v>
      </c>
      <c r="K237" s="7">
        <v>0.7561250091183707</v>
      </c>
      <c r="L237" s="7">
        <v>0.9570677927532246</v>
      </c>
      <c r="M237" s="8">
        <v>0.0350421596453767</v>
      </c>
      <c r="N237" s="9"/>
    </row>
    <row r="238" ht="14.25" customHeight="1">
      <c r="B238" s="7">
        <v>1.2929839504186353</v>
      </c>
      <c r="C238" s="6">
        <f t="shared" ref="C238:D238" si="234">$A$233*L238</f>
        <v>14.95</v>
      </c>
      <c r="D238" s="6">
        <f t="shared" si="234"/>
        <v>3.845439005</v>
      </c>
      <c r="E238" s="6"/>
      <c r="F238" s="6">
        <v>70.0</v>
      </c>
      <c r="G238" s="6" t="s">
        <v>27</v>
      </c>
      <c r="J238" s="6">
        <v>15.0</v>
      </c>
      <c r="K238" s="7">
        <v>1.2929839504186353</v>
      </c>
      <c r="L238" s="7">
        <v>0.23</v>
      </c>
      <c r="M238" s="8">
        <v>0.0591606000707926</v>
      </c>
      <c r="N238" s="9"/>
    </row>
    <row r="239" ht="14.25" customHeight="1">
      <c r="B239" s="7">
        <v>0.3</v>
      </c>
      <c r="C239" s="6">
        <f t="shared" ref="C239:D239" si="235">$A$233*L239</f>
        <v>13</v>
      </c>
      <c r="D239" s="6">
        <f t="shared" si="235"/>
        <v>8.771229952</v>
      </c>
      <c r="E239" s="6"/>
      <c r="F239" s="6">
        <v>80.0</v>
      </c>
      <c r="G239" s="6" t="s">
        <v>30</v>
      </c>
      <c r="H239" s="6" t="s">
        <v>66</v>
      </c>
      <c r="I239" s="6">
        <v>4.0</v>
      </c>
      <c r="J239" s="6">
        <v>25.0</v>
      </c>
      <c r="K239" s="7">
        <v>0.3</v>
      </c>
      <c r="L239" s="7">
        <v>0.2</v>
      </c>
      <c r="M239" s="8">
        <v>0.134941999254343</v>
      </c>
      <c r="N239" s="9"/>
    </row>
    <row r="240" ht="14.25" customHeight="1">
      <c r="A240" s="6" t="s">
        <v>104</v>
      </c>
      <c r="B240" s="7">
        <v>0.9838008782067615</v>
      </c>
      <c r="C240" s="6">
        <f t="shared" ref="C240:D240" si="236">$A$241*L240</f>
        <v>77.33449938</v>
      </c>
      <c r="D240" s="6">
        <f t="shared" si="236"/>
        <v>15.6508202</v>
      </c>
      <c r="E240" s="6"/>
      <c r="F240" s="6">
        <v>10.0</v>
      </c>
      <c r="G240" s="6" t="s">
        <v>15</v>
      </c>
      <c r="J240" s="6">
        <v>15.0</v>
      </c>
      <c r="K240" s="7">
        <v>0.9838008782067615</v>
      </c>
      <c r="L240" s="7">
        <v>0.4225928928022181</v>
      </c>
      <c r="M240" s="8">
        <v>0.085523607660505</v>
      </c>
      <c r="N240" s="9">
        <v>108.10698121137843</v>
      </c>
      <c r="O240" s="6" t="s">
        <v>16</v>
      </c>
    </row>
    <row r="241" ht="14.25" customHeight="1">
      <c r="A241" s="12">
        <f>67+71+45</f>
        <v>183</v>
      </c>
      <c r="B241" s="7">
        <v>0.5112731983862766</v>
      </c>
      <c r="C241" s="6">
        <f t="shared" ref="C241:D241" si="237">$A$241*L241</f>
        <v>14.86501255</v>
      </c>
      <c r="D241" s="6">
        <f t="shared" si="237"/>
        <v>20.39019859</v>
      </c>
      <c r="E241" s="6"/>
      <c r="F241" s="6">
        <v>20.0</v>
      </c>
      <c r="G241" s="6" t="s">
        <v>18</v>
      </c>
      <c r="J241" s="6">
        <v>15.0</v>
      </c>
      <c r="K241" s="7">
        <v>0.5112731983862766</v>
      </c>
      <c r="L241" s="7">
        <v>0.0812295767499811</v>
      </c>
      <c r="M241" s="8">
        <v>0.111421850244242</v>
      </c>
      <c r="N241" s="9"/>
    </row>
    <row r="242" ht="14.25" customHeight="1">
      <c r="B242" s="7">
        <v>0.6963339837672795</v>
      </c>
      <c r="C242" s="6">
        <f t="shared" ref="C242:D242" si="238">$A$241*L242</f>
        <v>117.9867726</v>
      </c>
      <c r="D242" s="6">
        <f t="shared" si="238"/>
        <v>9.247650428</v>
      </c>
      <c r="E242" s="6"/>
      <c r="F242" s="6">
        <v>30.0</v>
      </c>
      <c r="G242" s="6" t="s">
        <v>21</v>
      </c>
      <c r="J242" s="6">
        <v>15.0</v>
      </c>
      <c r="K242" s="7">
        <v>0.6963339837672795</v>
      </c>
      <c r="L242" s="7">
        <v>0.6447364625029409</v>
      </c>
      <c r="M242" s="8">
        <v>0.0505336088938152</v>
      </c>
      <c r="N242" s="9"/>
    </row>
    <row r="243" ht="14.25" customHeight="1">
      <c r="B243" s="7">
        <v>0.711191262312842</v>
      </c>
      <c r="C243" s="6">
        <f t="shared" ref="C243:D243" si="239">$A$241*L243</f>
        <v>133.7533012</v>
      </c>
      <c r="D243" s="6">
        <f t="shared" si="239"/>
        <v>20.39019859</v>
      </c>
      <c r="E243" s="6"/>
      <c r="F243" s="6">
        <v>40.0</v>
      </c>
      <c r="G243" s="6" t="s">
        <v>18</v>
      </c>
      <c r="J243" s="6">
        <v>15.0</v>
      </c>
      <c r="K243" s="7">
        <v>0.711191262312842</v>
      </c>
      <c r="L243" s="7">
        <v>0.7308923564186207</v>
      </c>
      <c r="M243" s="8">
        <v>0.111421850244242</v>
      </c>
      <c r="N243" s="9"/>
    </row>
    <row r="244" ht="14.25" customHeight="1">
      <c r="B244" s="7">
        <v>1.4246131386309002</v>
      </c>
      <c r="C244" s="6">
        <f t="shared" ref="C244:D244" si="240">$A$241*L244</f>
        <v>68.80162652</v>
      </c>
      <c r="D244" s="6">
        <f t="shared" si="240"/>
        <v>7.93197098</v>
      </c>
      <c r="E244" s="6"/>
      <c r="F244" s="6">
        <v>50.0</v>
      </c>
      <c r="G244" s="6" t="s">
        <v>24</v>
      </c>
      <c r="J244" s="6">
        <v>15.0</v>
      </c>
      <c r="K244" s="7">
        <v>1.4246131386309002</v>
      </c>
      <c r="L244" s="7">
        <v>0.37596517223603676</v>
      </c>
      <c r="M244" s="8">
        <v>0.0433441037149536</v>
      </c>
      <c r="N244" s="9"/>
    </row>
    <row r="245" ht="14.25" customHeight="1">
      <c r="B245" s="7">
        <v>0.6941006041057369</v>
      </c>
      <c r="C245" s="6">
        <f t="shared" ref="C245:D245" si="241">$A$241*L245</f>
        <v>55.23466365</v>
      </c>
      <c r="D245" s="6">
        <f t="shared" si="241"/>
        <v>6.412715215</v>
      </c>
      <c r="E245" s="6"/>
      <c r="F245" s="6">
        <v>60.0</v>
      </c>
      <c r="G245" s="6" t="s">
        <v>97</v>
      </c>
      <c r="J245" s="6">
        <v>15.0</v>
      </c>
      <c r="K245" s="7">
        <v>0.6941006041057369</v>
      </c>
      <c r="L245" s="7">
        <v>0.301828763121351</v>
      </c>
      <c r="M245" s="8">
        <v>0.0350421596453767</v>
      </c>
      <c r="N245" s="9"/>
    </row>
    <row r="246" ht="14.25" customHeight="1">
      <c r="B246" s="7">
        <v>1.8300083163147822</v>
      </c>
      <c r="C246" s="6">
        <f t="shared" ref="C246:D246" si="242">$A$241*L246</f>
        <v>45.75</v>
      </c>
      <c r="D246" s="6">
        <f t="shared" si="242"/>
        <v>10.82638981</v>
      </c>
      <c r="E246" s="6"/>
      <c r="F246" s="6">
        <v>70.0</v>
      </c>
      <c r="G246" s="6" t="s">
        <v>27</v>
      </c>
      <c r="J246" s="6">
        <v>15.0</v>
      </c>
      <c r="K246" s="7">
        <v>1.8300083163147822</v>
      </c>
      <c r="L246" s="7">
        <v>0.25</v>
      </c>
      <c r="M246" s="8">
        <v>0.0591606000707926</v>
      </c>
      <c r="N246" s="9"/>
    </row>
    <row r="247" ht="14.25" customHeight="1">
      <c r="B247" s="7">
        <v>0.5</v>
      </c>
      <c r="C247" s="6">
        <f t="shared" ref="C247:D247" si="243">$A$241*L247</f>
        <v>38.43</v>
      </c>
      <c r="D247" s="6">
        <f t="shared" si="243"/>
        <v>24.69438586</v>
      </c>
      <c r="E247" s="6"/>
      <c r="F247" s="6">
        <v>80.0</v>
      </c>
      <c r="G247" s="6" t="s">
        <v>30</v>
      </c>
      <c r="H247" s="6" t="s">
        <v>31</v>
      </c>
      <c r="J247" s="6">
        <v>25.0</v>
      </c>
      <c r="K247" s="7">
        <v>0.5</v>
      </c>
      <c r="L247" s="7">
        <v>0.21</v>
      </c>
      <c r="M247" s="8">
        <v>0.134941999254343</v>
      </c>
      <c r="N247" s="9"/>
    </row>
    <row r="248" ht="14.25" customHeight="1">
      <c r="A248" s="6" t="s">
        <v>105</v>
      </c>
      <c r="B248" s="7">
        <v>0.6</v>
      </c>
      <c r="C248" s="6">
        <f t="shared" ref="C248:D248" si="244">$A$249*L248</f>
        <v>115.9765603</v>
      </c>
      <c r="D248" s="6">
        <f t="shared" si="244"/>
        <v>11.71673425</v>
      </c>
      <c r="E248" s="6"/>
      <c r="F248" s="6">
        <v>10.0</v>
      </c>
      <c r="G248" s="6" t="s">
        <v>15</v>
      </c>
      <c r="J248" s="6">
        <v>15.0</v>
      </c>
      <c r="K248" s="7">
        <v>0.6</v>
      </c>
      <c r="L248" s="7">
        <v>0.8465442358663979</v>
      </c>
      <c r="M248" s="8">
        <v>0.085523607660505</v>
      </c>
      <c r="N248" s="9">
        <v>75.59358846646612</v>
      </c>
      <c r="O248" s="6" t="s">
        <v>16</v>
      </c>
    </row>
    <row r="249" ht="14.25" customHeight="1">
      <c r="A249" s="11">
        <v>137.0</v>
      </c>
      <c r="B249" s="7">
        <v>0.8946674040547269</v>
      </c>
      <c r="C249" s="6">
        <f t="shared" ref="C249:D249" si="245">$A$249*L249</f>
        <v>40.486162</v>
      </c>
      <c r="D249" s="6">
        <f t="shared" si="245"/>
        <v>15.26479348</v>
      </c>
      <c r="E249" s="6"/>
      <c r="F249" s="6">
        <v>20.0</v>
      </c>
      <c r="G249" s="6" t="s">
        <v>18</v>
      </c>
      <c r="J249" s="6">
        <v>15.0</v>
      </c>
      <c r="K249" s="7">
        <v>0.8946674040547269</v>
      </c>
      <c r="L249" s="7">
        <v>0.29551943063273156</v>
      </c>
      <c r="M249" s="8">
        <v>0.111421850244242</v>
      </c>
      <c r="N249" s="9"/>
    </row>
    <row r="250" ht="14.25" customHeight="1">
      <c r="B250" s="7">
        <v>1.5234862535991451</v>
      </c>
      <c r="C250" s="6">
        <f t="shared" ref="C250:D250" si="246">$A$249*L250</f>
        <v>69.76304259</v>
      </c>
      <c r="D250" s="6">
        <f t="shared" si="246"/>
        <v>6.923104418</v>
      </c>
      <c r="E250" s="6"/>
      <c r="F250" s="6">
        <v>30.0</v>
      </c>
      <c r="G250" s="6" t="s">
        <v>21</v>
      </c>
      <c r="J250" s="6">
        <v>15.0</v>
      </c>
      <c r="K250" s="7">
        <v>1.5234862535991451</v>
      </c>
      <c r="L250" s="7">
        <v>0.5092192889740179</v>
      </c>
      <c r="M250" s="8">
        <v>0.0505336088938152</v>
      </c>
      <c r="N250" s="9"/>
    </row>
    <row r="251" ht="14.25" customHeight="1">
      <c r="B251" s="7">
        <v>1.3785391761744645</v>
      </c>
      <c r="C251" s="6">
        <f t="shared" ref="C251:D251" si="247">$A$249*L251</f>
        <v>52.4408902</v>
      </c>
      <c r="D251" s="6">
        <f t="shared" si="247"/>
        <v>15.26479348</v>
      </c>
      <c r="E251" s="6"/>
      <c r="F251" s="6">
        <v>40.0</v>
      </c>
      <c r="G251" s="6" t="s">
        <v>18</v>
      </c>
      <c r="J251" s="6">
        <v>15.0</v>
      </c>
      <c r="K251" s="7">
        <v>1.3785391761744645</v>
      </c>
      <c r="L251" s="7">
        <v>0.3827802204086348</v>
      </c>
      <c r="M251" s="8">
        <v>0.111421850244242</v>
      </c>
      <c r="N251" s="9"/>
    </row>
    <row r="252" ht="14.25" customHeight="1">
      <c r="B252" s="7">
        <v>0.30242863508452156</v>
      </c>
      <c r="C252" s="6">
        <f t="shared" ref="C252:D252" si="248">$A$249*L252</f>
        <v>50.44957454</v>
      </c>
      <c r="D252" s="6">
        <f t="shared" si="248"/>
        <v>5.938142209</v>
      </c>
      <c r="E252" s="6"/>
      <c r="F252" s="6">
        <v>50.0</v>
      </c>
      <c r="G252" s="6" t="s">
        <v>24</v>
      </c>
      <c r="J252" s="6">
        <v>15.0</v>
      </c>
      <c r="K252" s="7">
        <v>0.30242863508452156</v>
      </c>
      <c r="L252" s="7">
        <v>0.3682450696109336</v>
      </c>
      <c r="M252" s="8">
        <v>0.0433441037149536</v>
      </c>
      <c r="N252" s="9"/>
    </row>
    <row r="253" ht="14.25" customHeight="1">
      <c r="B253" s="7">
        <v>1.4137939557822583</v>
      </c>
      <c r="C253" s="6">
        <f t="shared" ref="C253:D253" si="249">$A$249*L253</f>
        <v>76.93953329</v>
      </c>
      <c r="D253" s="6">
        <f t="shared" si="249"/>
        <v>4.800775871</v>
      </c>
      <c r="E253" s="6"/>
      <c r="F253" s="6">
        <v>60.0</v>
      </c>
      <c r="G253" s="6" t="s">
        <v>97</v>
      </c>
      <c r="J253" s="6">
        <v>15.0</v>
      </c>
      <c r="K253" s="7">
        <v>1.4137939557822583</v>
      </c>
      <c r="L253" s="7">
        <v>0.561602432766896</v>
      </c>
      <c r="M253" s="8">
        <v>0.0350421596453767</v>
      </c>
      <c r="N253" s="9"/>
    </row>
    <row r="254" ht="14.25" customHeight="1">
      <c r="B254" s="7">
        <v>1.0592730472484908</v>
      </c>
      <c r="C254" s="6">
        <f t="shared" ref="C254:D254" si="250">$A$249*L254</f>
        <v>36.36444722</v>
      </c>
      <c r="D254" s="6">
        <f t="shared" si="250"/>
        <v>8.10500221</v>
      </c>
      <c r="E254" s="6"/>
      <c r="F254" s="6">
        <v>70.0</v>
      </c>
      <c r="G254" s="6" t="s">
        <v>27</v>
      </c>
      <c r="J254" s="6">
        <v>15.0</v>
      </c>
      <c r="K254" s="7">
        <v>1.0592730472484908</v>
      </c>
      <c r="L254" s="7">
        <v>0.26543392128638643</v>
      </c>
      <c r="M254" s="8">
        <v>0.0591606000707926</v>
      </c>
      <c r="N254" s="9"/>
    </row>
    <row r="255" ht="14.25" customHeight="1">
      <c r="B255" s="7">
        <v>0.1</v>
      </c>
      <c r="C255" s="6">
        <f t="shared" ref="C255:D255" si="251">$A$249*L255</f>
        <v>60.71379857</v>
      </c>
      <c r="D255" s="6">
        <f t="shared" si="251"/>
        <v>18.4870539</v>
      </c>
      <c r="E255" s="6"/>
      <c r="F255" s="6">
        <v>80.0</v>
      </c>
      <c r="G255" s="6" t="s">
        <v>30</v>
      </c>
      <c r="H255" s="6" t="s">
        <v>31</v>
      </c>
      <c r="J255" s="6">
        <v>25.0</v>
      </c>
      <c r="K255" s="7">
        <v>0.1</v>
      </c>
      <c r="L255" s="7">
        <v>0.44316641294124015</v>
      </c>
      <c r="M255" s="8">
        <v>0.134941999254343</v>
      </c>
      <c r="N255" s="9"/>
    </row>
    <row r="256" ht="14.25" customHeight="1">
      <c r="A256" s="6" t="s">
        <v>106</v>
      </c>
      <c r="B256" s="7">
        <v>0.2</v>
      </c>
      <c r="C256" s="6">
        <f t="shared" ref="C256:D256" si="252">$A$257*L256</f>
        <v>37.60468388</v>
      </c>
      <c r="D256" s="6">
        <f t="shared" si="252"/>
        <v>8.295789943</v>
      </c>
      <c r="E256" s="6"/>
      <c r="F256" s="6">
        <v>10.0</v>
      </c>
      <c r="G256" s="6" t="s">
        <v>15</v>
      </c>
      <c r="J256" s="6">
        <v>15.0</v>
      </c>
      <c r="K256" s="7">
        <v>0.2</v>
      </c>
      <c r="L256" s="7">
        <v>0.38767715343398224</v>
      </c>
      <c r="M256" s="8">
        <v>0.085523607660505</v>
      </c>
      <c r="N256" s="9">
        <v>251.43715367747393</v>
      </c>
      <c r="O256" s="6" t="s">
        <v>35</v>
      </c>
    </row>
    <row r="257" ht="14.25" customHeight="1">
      <c r="A257" s="11">
        <v>97.0</v>
      </c>
      <c r="B257" s="7">
        <v>1.99238597405912</v>
      </c>
      <c r="C257" s="6">
        <f t="shared" ref="C257:D257" si="253">$A$257*L257</f>
        <v>8.843249181</v>
      </c>
      <c r="D257" s="6">
        <f t="shared" si="253"/>
        <v>10.80791947</v>
      </c>
      <c r="E257" s="6"/>
      <c r="F257" s="6">
        <v>20.0</v>
      </c>
      <c r="G257" s="6" t="s">
        <v>18</v>
      </c>
      <c r="J257" s="6">
        <v>15.0</v>
      </c>
      <c r="K257" s="7">
        <v>1.99238597405912</v>
      </c>
      <c r="L257" s="7">
        <v>0.09116751732808948</v>
      </c>
      <c r="M257" s="8">
        <v>0.111421850244242</v>
      </c>
      <c r="N257" s="9"/>
    </row>
    <row r="258" ht="14.25" customHeight="1">
      <c r="B258" s="7">
        <v>0.5962108340000694</v>
      </c>
      <c r="C258" s="6">
        <f t="shared" ref="C258:D258" si="254">$A$257*L258</f>
        <v>29.74056286</v>
      </c>
      <c r="D258" s="6">
        <f t="shared" si="254"/>
        <v>4.901760063</v>
      </c>
      <c r="E258" s="6"/>
      <c r="F258" s="6">
        <v>30.0</v>
      </c>
      <c r="G258" s="6" t="s">
        <v>21</v>
      </c>
      <c r="J258" s="6">
        <v>15.0</v>
      </c>
      <c r="K258" s="7">
        <v>0.5962108340000694</v>
      </c>
      <c r="L258" s="7">
        <v>0.30660374078625785</v>
      </c>
      <c r="M258" s="8">
        <v>0.0505336088938152</v>
      </c>
      <c r="N258" s="9"/>
    </row>
    <row r="259" ht="14.25" customHeight="1">
      <c r="B259" s="7">
        <v>1.3792332613601341</v>
      </c>
      <c r="C259" s="6">
        <f t="shared" ref="C259:D259" si="255">$A$257*L259</f>
        <v>47.14247898</v>
      </c>
      <c r="D259" s="6">
        <f t="shared" si="255"/>
        <v>10.80791947</v>
      </c>
      <c r="E259" s="6"/>
      <c r="F259" s="6">
        <v>40.0</v>
      </c>
      <c r="G259" s="6" t="s">
        <v>18</v>
      </c>
      <c r="J259" s="6">
        <v>15.0</v>
      </c>
      <c r="K259" s="7">
        <v>1.3792332613601341</v>
      </c>
      <c r="L259" s="7">
        <v>0.486004937966929</v>
      </c>
      <c r="M259" s="8">
        <v>0.111421850244242</v>
      </c>
      <c r="N259" s="9"/>
    </row>
    <row r="260" ht="14.25" customHeight="1">
      <c r="B260" s="7">
        <v>0.6363933061975089</v>
      </c>
      <c r="C260" s="6">
        <f t="shared" ref="C260:D260" si="256">$A$257*L260</f>
        <v>33.10701861</v>
      </c>
      <c r="D260" s="6">
        <f t="shared" si="256"/>
        <v>4.20437806</v>
      </c>
      <c r="E260" s="6"/>
      <c r="F260" s="6">
        <v>50.0</v>
      </c>
      <c r="G260" s="6" t="s">
        <v>24</v>
      </c>
      <c r="J260" s="6">
        <v>15.0</v>
      </c>
      <c r="K260" s="7">
        <v>0.6363933061975089</v>
      </c>
      <c r="L260" s="7">
        <v>0.34130947023071634</v>
      </c>
      <c r="M260" s="8">
        <v>0.0433441037149536</v>
      </c>
      <c r="N260" s="9"/>
    </row>
    <row r="261" ht="14.25" customHeight="1">
      <c r="B261" s="7">
        <v>1.7956575457926416</v>
      </c>
      <c r="C261" s="6">
        <f t="shared" ref="C261:D261" si="257">$A$257*L261</f>
        <v>57.73089831</v>
      </c>
      <c r="D261" s="6">
        <f t="shared" si="257"/>
        <v>3.399089486</v>
      </c>
      <c r="E261" s="6"/>
      <c r="F261" s="6">
        <v>60.0</v>
      </c>
      <c r="G261" s="6" t="s">
        <v>97</v>
      </c>
      <c r="J261" s="6">
        <v>15.0</v>
      </c>
      <c r="K261" s="7">
        <v>1.7956575457926416</v>
      </c>
      <c r="L261" s="7">
        <v>0.5951639001001071</v>
      </c>
      <c r="M261" s="8">
        <v>0.0350421596453767</v>
      </c>
      <c r="N261" s="9"/>
    </row>
    <row r="262" ht="14.25" customHeight="1">
      <c r="B262" s="7">
        <v>1.4337716323684762</v>
      </c>
      <c r="C262" s="6">
        <f t="shared" ref="C262:D262" si="258">$A$257*L262</f>
        <v>7.76</v>
      </c>
      <c r="D262" s="6">
        <f t="shared" si="258"/>
        <v>5.738578207</v>
      </c>
      <c r="E262" s="6"/>
      <c r="F262" s="6">
        <v>70.0</v>
      </c>
      <c r="G262" s="6" t="s">
        <v>27</v>
      </c>
      <c r="J262" s="6">
        <v>15.0</v>
      </c>
      <c r="K262" s="7">
        <v>1.4337716323684762</v>
      </c>
      <c r="L262" s="7">
        <v>0.08</v>
      </c>
      <c r="M262" s="8">
        <v>0.0591606000707926</v>
      </c>
      <c r="N262" s="9"/>
    </row>
    <row r="263" ht="14.25" customHeight="1">
      <c r="B263" s="7">
        <v>0.6922604771756882</v>
      </c>
      <c r="C263" s="6">
        <f t="shared" ref="C263:D263" si="259">$A$257*L263</f>
        <v>56.26</v>
      </c>
      <c r="D263" s="6">
        <f t="shared" si="259"/>
        <v>13.08937393</v>
      </c>
      <c r="E263" s="6"/>
      <c r="F263" s="6">
        <v>80.0</v>
      </c>
      <c r="G263" s="6" t="s">
        <v>30</v>
      </c>
      <c r="H263" s="6" t="s">
        <v>42</v>
      </c>
      <c r="I263" s="6">
        <v>1.0</v>
      </c>
      <c r="J263" s="6">
        <v>25.0</v>
      </c>
      <c r="K263" s="7">
        <v>0.6922604771756882</v>
      </c>
      <c r="L263" s="7">
        <v>0.58</v>
      </c>
      <c r="M263" s="8">
        <v>0.134941999254343</v>
      </c>
      <c r="N263" s="9"/>
    </row>
    <row r="264" ht="14.25" customHeight="1">
      <c r="B264" s="7"/>
      <c r="C264" s="6">
        <f t="shared" ref="C264:D264" si="260">$A$3*L264</f>
        <v>0</v>
      </c>
      <c r="D264" s="6">
        <f t="shared" si="260"/>
        <v>0</v>
      </c>
      <c r="H264" s="6" t="s">
        <v>69</v>
      </c>
      <c r="I264" s="6">
        <v>1.0</v>
      </c>
      <c r="K264" s="7"/>
      <c r="L264" s="7"/>
      <c r="M264" s="8"/>
      <c r="N264" s="9"/>
    </row>
    <row r="265" ht="14.25" customHeight="1">
      <c r="B265" s="7"/>
      <c r="C265" s="6">
        <f t="shared" ref="C265:D265" si="261">$A$3*L265</f>
        <v>0</v>
      </c>
      <c r="D265" s="6">
        <f t="shared" si="261"/>
        <v>0</v>
      </c>
      <c r="H265" s="6" t="s">
        <v>78</v>
      </c>
      <c r="I265" s="6">
        <v>1.0</v>
      </c>
      <c r="K265" s="7"/>
      <c r="L265" s="7"/>
      <c r="M265" s="8"/>
      <c r="N265" s="9"/>
    </row>
    <row r="266" ht="14.25" customHeight="1">
      <c r="A266" s="6" t="s">
        <v>107</v>
      </c>
      <c r="B266" s="7">
        <v>0.1</v>
      </c>
      <c r="C266" s="6">
        <f t="shared" ref="C266:D266" si="262">$A$267*L266</f>
        <v>115.5582906</v>
      </c>
      <c r="D266" s="6">
        <f t="shared" si="262"/>
        <v>15.47977299</v>
      </c>
      <c r="E266" s="6"/>
      <c r="F266" s="6">
        <v>10.0</v>
      </c>
      <c r="G266" s="6" t="s">
        <v>15</v>
      </c>
      <c r="J266" s="6">
        <v>10.0</v>
      </c>
      <c r="K266" s="7">
        <v>0.1</v>
      </c>
      <c r="L266" s="7">
        <v>0.6384435947245468</v>
      </c>
      <c r="M266" s="8">
        <v>0.085523607660505</v>
      </c>
      <c r="N266" s="9">
        <v>270.15730694699863</v>
      </c>
      <c r="O266" s="6" t="s">
        <v>35</v>
      </c>
    </row>
    <row r="267" ht="14.25" customHeight="1">
      <c r="A267" s="11">
        <v>181.0</v>
      </c>
      <c r="B267" s="7">
        <v>0.21286891556132437</v>
      </c>
      <c r="C267" s="6">
        <f t="shared" ref="C267:D267" si="263">$A$267*L267</f>
        <v>38.08719093</v>
      </c>
      <c r="D267" s="6">
        <f t="shared" si="263"/>
        <v>20.16735489</v>
      </c>
      <c r="E267" s="6"/>
      <c r="F267" s="6">
        <v>20.0</v>
      </c>
      <c r="G267" s="6" t="s">
        <v>18</v>
      </c>
      <c r="J267" s="6">
        <v>10.0</v>
      </c>
      <c r="K267" s="7">
        <v>0.21286891556132437</v>
      </c>
      <c r="L267" s="7">
        <v>0.2104264692139639</v>
      </c>
      <c r="M267" s="8">
        <v>0.111421850244242</v>
      </c>
      <c r="N267" s="9"/>
    </row>
    <row r="268" ht="14.25" customHeight="1">
      <c r="B268" s="7">
        <v>0.5400075114018379</v>
      </c>
      <c r="C268" s="6">
        <f t="shared" ref="C268:D268" si="264">$A$267*L268</f>
        <v>110.1240234</v>
      </c>
      <c r="D268" s="6">
        <f t="shared" si="264"/>
        <v>9.14658321</v>
      </c>
      <c r="E268" s="6"/>
      <c r="F268" s="6">
        <v>30.0</v>
      </c>
      <c r="G268" s="6" t="s">
        <v>21</v>
      </c>
      <c r="J268" s="6">
        <v>10.0</v>
      </c>
      <c r="K268" s="7">
        <v>0.5400075114018379</v>
      </c>
      <c r="L268" s="7">
        <v>0.6084200185553099</v>
      </c>
      <c r="M268" s="8">
        <v>0.0505336088938152</v>
      </c>
      <c r="N268" s="9"/>
    </row>
    <row r="269" ht="14.25" customHeight="1">
      <c r="B269" s="7">
        <v>0.09917942862336893</v>
      </c>
      <c r="C269" s="6">
        <f t="shared" ref="C269:D269" si="265">$A$267*L269</f>
        <v>78.5802781</v>
      </c>
      <c r="D269" s="6">
        <f t="shared" si="265"/>
        <v>20.16735489</v>
      </c>
      <c r="E269" s="6"/>
      <c r="F269" s="6">
        <v>40.0</v>
      </c>
      <c r="G269" s="6" t="s">
        <v>18</v>
      </c>
      <c r="J269" s="6">
        <v>10.0</v>
      </c>
      <c r="K269" s="7">
        <v>0.09917942862336893</v>
      </c>
      <c r="L269" s="7">
        <v>0.43414518289501824</v>
      </c>
      <c r="M269" s="8">
        <v>0.111421850244242</v>
      </c>
      <c r="N269" s="9"/>
    </row>
    <row r="270" ht="14.25" customHeight="1">
      <c r="B270" s="7">
        <v>1.7691353456419003</v>
      </c>
      <c r="C270" s="6">
        <f t="shared" ref="C270:D270" si="266">$A$267*L270</f>
        <v>103.2807604</v>
      </c>
      <c r="D270" s="6">
        <f t="shared" si="266"/>
        <v>7.845282772</v>
      </c>
      <c r="E270" s="6"/>
      <c r="F270" s="6">
        <v>50.0</v>
      </c>
      <c r="G270" s="6" t="s">
        <v>24</v>
      </c>
      <c r="J270" s="6">
        <v>10.0</v>
      </c>
      <c r="K270" s="7">
        <v>1.7691353456419003</v>
      </c>
      <c r="L270" s="7">
        <v>0.5706119356938102</v>
      </c>
      <c r="M270" s="8">
        <v>0.0433441037149536</v>
      </c>
      <c r="N270" s="9"/>
    </row>
    <row r="271" ht="14.25" customHeight="1">
      <c r="B271" s="7">
        <v>0.3385851705922065</v>
      </c>
      <c r="C271" s="6">
        <f t="shared" ref="C271:D271" si="267">$A$267*L271</f>
        <v>111.8606182</v>
      </c>
      <c r="D271" s="6">
        <f t="shared" si="267"/>
        <v>6.342630896</v>
      </c>
      <c r="E271" s="6"/>
      <c r="F271" s="6">
        <v>60.0</v>
      </c>
      <c r="G271" s="6" t="s">
        <v>97</v>
      </c>
      <c r="J271" s="6">
        <v>10.0</v>
      </c>
      <c r="K271" s="7">
        <v>0.3385851705922065</v>
      </c>
      <c r="L271" s="7">
        <v>0.6180144654548969</v>
      </c>
      <c r="M271" s="8">
        <v>0.0350421596453767</v>
      </c>
      <c r="N271" s="9"/>
    </row>
    <row r="272" ht="14.25" customHeight="1">
      <c r="B272" s="7">
        <v>1.1117335979145022</v>
      </c>
      <c r="C272" s="6">
        <f t="shared" ref="C272:D272" si="268">$A$267*L272</f>
        <v>43.44</v>
      </c>
      <c r="D272" s="6">
        <f t="shared" si="268"/>
        <v>10.70806861</v>
      </c>
      <c r="E272" s="6"/>
      <c r="F272" s="6">
        <v>70.0</v>
      </c>
      <c r="G272" s="6" t="s">
        <v>27</v>
      </c>
      <c r="J272" s="6">
        <v>10.0</v>
      </c>
      <c r="K272" s="7">
        <v>1.1117335979145022</v>
      </c>
      <c r="L272" s="7">
        <v>0.24</v>
      </c>
      <c r="M272" s="8">
        <v>0.0591606000707926</v>
      </c>
      <c r="N272" s="9"/>
    </row>
    <row r="273" ht="14.25" customHeight="1">
      <c r="B273" s="7">
        <v>0.8026984758842048</v>
      </c>
      <c r="C273" s="6">
        <f t="shared" ref="C273:D273" si="269">$A$267*L273</f>
        <v>66.31136058</v>
      </c>
      <c r="D273" s="6">
        <f t="shared" si="269"/>
        <v>24.42450187</v>
      </c>
      <c r="E273" s="6"/>
      <c r="F273" s="6">
        <v>80.0</v>
      </c>
      <c r="G273" s="6" t="s">
        <v>30</v>
      </c>
      <c r="H273" s="6" t="s">
        <v>62</v>
      </c>
      <c r="I273" s="6">
        <v>2.0</v>
      </c>
      <c r="J273" s="6">
        <v>20.0</v>
      </c>
      <c r="K273" s="7">
        <v>0.8026984758842048</v>
      </c>
      <c r="L273" s="7">
        <v>0.36636110819450873</v>
      </c>
      <c r="M273" s="8">
        <v>0.134941999254343</v>
      </c>
      <c r="N273" s="9"/>
    </row>
    <row r="274" ht="14.25" customHeight="1">
      <c r="A274" s="6" t="s">
        <v>91</v>
      </c>
      <c r="B274" s="7">
        <v>1.6677688688396832</v>
      </c>
      <c r="C274" s="6">
        <f t="shared" ref="C274:D274" si="270">$A$275*L274</f>
        <v>59.51916795</v>
      </c>
      <c r="D274" s="6">
        <f t="shared" si="270"/>
        <v>7.465263966</v>
      </c>
      <c r="E274" s="6"/>
      <c r="F274" s="6">
        <v>10.0</v>
      </c>
      <c r="G274" s="6" t="s">
        <v>18</v>
      </c>
      <c r="J274" s="6">
        <v>5.0</v>
      </c>
      <c r="K274" s="7">
        <v>1.6677688688396832</v>
      </c>
      <c r="L274" s="7">
        <v>0.8883457902895977</v>
      </c>
      <c r="M274" s="8">
        <v>0.111421850244242</v>
      </c>
      <c r="N274" s="9">
        <v>129.9149473444045</v>
      </c>
      <c r="O274" s="6" t="s">
        <v>16</v>
      </c>
    </row>
    <row r="275" ht="14.25" customHeight="1">
      <c r="A275" s="11">
        <v>67.0</v>
      </c>
      <c r="B275" s="7">
        <v>1.2953457092410003</v>
      </c>
      <c r="C275" s="6">
        <f t="shared" ref="C275:D275" si="271">$A$275*L275</f>
        <v>8.71</v>
      </c>
      <c r="D275" s="6">
        <f t="shared" si="271"/>
        <v>3.963760205</v>
      </c>
      <c r="E275" s="6"/>
      <c r="F275" s="6">
        <v>20.0</v>
      </c>
      <c r="G275" s="6" t="s">
        <v>27</v>
      </c>
      <c r="J275" s="6">
        <v>5.0</v>
      </c>
      <c r="K275" s="7">
        <v>1.2953457092410003</v>
      </c>
      <c r="L275" s="7">
        <v>0.13</v>
      </c>
      <c r="M275" s="8">
        <v>0.0591606000707926</v>
      </c>
      <c r="N275" s="9"/>
    </row>
    <row r="276" ht="14.25" customHeight="1">
      <c r="B276" s="7">
        <v>0.7895560328282598</v>
      </c>
      <c r="C276" s="6">
        <f t="shared" ref="C276:D276" si="272">$A$275*L276</f>
        <v>6.095585245</v>
      </c>
      <c r="D276" s="6">
        <f t="shared" si="272"/>
        <v>7.465263966</v>
      </c>
      <c r="E276" s="6"/>
      <c r="F276" s="6">
        <v>30.0</v>
      </c>
      <c r="G276" s="6" t="s">
        <v>18</v>
      </c>
      <c r="J276" s="6">
        <v>5.0</v>
      </c>
      <c r="K276" s="7">
        <v>0.7895560328282598</v>
      </c>
      <c r="L276" s="7">
        <v>0.0909788842465804</v>
      </c>
      <c r="M276" s="8">
        <v>0.111421850244242</v>
      </c>
      <c r="N276" s="9"/>
    </row>
    <row r="277" ht="14.25" customHeight="1">
      <c r="B277" s="7">
        <v>1.7831410493457072</v>
      </c>
      <c r="C277" s="6">
        <f t="shared" ref="C277:D277" si="273">$A$275*L277</f>
        <v>60.21965312</v>
      </c>
      <c r="D277" s="6">
        <f t="shared" si="273"/>
        <v>2.904054949</v>
      </c>
      <c r="E277" s="6"/>
      <c r="F277" s="6">
        <v>40.0</v>
      </c>
      <c r="G277" s="6" t="s">
        <v>24</v>
      </c>
      <c r="J277" s="6">
        <v>5.0</v>
      </c>
      <c r="K277" s="7">
        <v>1.7831410493457072</v>
      </c>
      <c r="L277" s="7">
        <v>0.8988007928863779</v>
      </c>
      <c r="M277" s="8">
        <v>0.0433441037149536</v>
      </c>
      <c r="N277" s="9"/>
    </row>
    <row r="278" ht="14.25" customHeight="1">
      <c r="B278" s="7">
        <v>1.4731361137559038</v>
      </c>
      <c r="C278" s="6">
        <f t="shared" ref="C278:D278" si="274">$A$275*L278</f>
        <v>8.04</v>
      </c>
      <c r="D278" s="6">
        <f t="shared" si="274"/>
        <v>3.963760205</v>
      </c>
      <c r="E278" s="6"/>
      <c r="F278" s="6">
        <v>50.0</v>
      </c>
      <c r="G278" s="6" t="s">
        <v>27</v>
      </c>
      <c r="J278" s="6">
        <v>5.0</v>
      </c>
      <c r="K278" s="7">
        <v>1.4731361137559038</v>
      </c>
      <c r="L278" s="7">
        <v>0.12</v>
      </c>
      <c r="M278" s="8">
        <v>0.0591606000707926</v>
      </c>
      <c r="N278" s="9"/>
    </row>
    <row r="279" ht="14.25" customHeight="1">
      <c r="B279" s="7">
        <v>0.7405995998880781</v>
      </c>
      <c r="C279" s="6">
        <f t="shared" ref="C279:D279" si="275">$A$275*L279</f>
        <v>36.59181738</v>
      </c>
      <c r="D279" s="6">
        <f t="shared" si="275"/>
        <v>3.385751796</v>
      </c>
      <c r="E279" s="6"/>
      <c r="F279" s="6">
        <v>60.0</v>
      </c>
      <c r="G279" s="6" t="s">
        <v>21</v>
      </c>
      <c r="J279" s="6">
        <v>5.0</v>
      </c>
      <c r="K279" s="7">
        <v>0.7405995998880781</v>
      </c>
      <c r="L279" s="7">
        <v>0.5461465281051437</v>
      </c>
      <c r="M279" s="8">
        <v>0.0505336088938152</v>
      </c>
      <c r="N279" s="9"/>
    </row>
    <row r="280" ht="14.25" customHeight="1">
      <c r="B280" s="7">
        <v>1.1144754832545545</v>
      </c>
      <c r="C280" s="6">
        <f t="shared" ref="C280:D280" si="276">$A$275*L280</f>
        <v>10.72</v>
      </c>
      <c r="D280" s="6">
        <f t="shared" si="276"/>
        <v>3.963760205</v>
      </c>
      <c r="E280" s="6"/>
      <c r="F280" s="6">
        <v>70.0</v>
      </c>
      <c r="G280" s="6" t="s">
        <v>27</v>
      </c>
      <c r="J280" s="6">
        <v>5.0</v>
      </c>
      <c r="K280" s="7">
        <v>1.1144754832545545</v>
      </c>
      <c r="L280" s="7">
        <v>0.16</v>
      </c>
      <c r="M280" s="8">
        <v>0.0591606000707926</v>
      </c>
      <c r="N280" s="9"/>
    </row>
    <row r="281" ht="14.25" customHeight="1">
      <c r="A281" s="6" t="s">
        <v>62</v>
      </c>
      <c r="B281" s="7">
        <v>1.7534161363738119</v>
      </c>
      <c r="C281" s="6">
        <f t="shared" ref="C281:D281" si="277">$A$282*L281</f>
        <v>192.6058991</v>
      </c>
      <c r="D281" s="6">
        <f t="shared" si="277"/>
        <v>77.66102962</v>
      </c>
      <c r="E281" s="6"/>
      <c r="F281" s="6">
        <v>10.0</v>
      </c>
      <c r="G281" s="6" t="s">
        <v>18</v>
      </c>
      <c r="J281" s="6">
        <v>5.0</v>
      </c>
      <c r="K281" s="7">
        <v>1.7534161363738119</v>
      </c>
      <c r="L281" s="7">
        <v>0.27633557973865797</v>
      </c>
      <c r="M281" s="8">
        <v>0.111421850244242</v>
      </c>
      <c r="N281" s="9">
        <v>94.06615865541691</v>
      </c>
      <c r="O281" s="6" t="s">
        <v>16</v>
      </c>
    </row>
    <row r="282" ht="14.25" customHeight="1">
      <c r="A282" s="11">
        <v>697.0</v>
      </c>
      <c r="B282" s="7">
        <v>0.404533094695507</v>
      </c>
      <c r="C282" s="6">
        <f t="shared" ref="C282:D282" si="278">$A$282*L282</f>
        <v>83.64</v>
      </c>
      <c r="D282" s="6">
        <f t="shared" si="278"/>
        <v>41.23493825</v>
      </c>
      <c r="E282" s="6"/>
      <c r="F282" s="6">
        <v>20.0</v>
      </c>
      <c r="G282" s="6" t="s">
        <v>27</v>
      </c>
      <c r="J282" s="6">
        <v>5.0</v>
      </c>
      <c r="K282" s="7">
        <v>0.404533094695507</v>
      </c>
      <c r="L282" s="7">
        <v>0.12</v>
      </c>
      <c r="M282" s="8">
        <v>0.0591606000707926</v>
      </c>
      <c r="N282" s="9"/>
    </row>
    <row r="283" ht="14.25" customHeight="1">
      <c r="B283" s="7">
        <v>0.38750125398588353</v>
      </c>
      <c r="C283" s="6">
        <f t="shared" ref="C283:D283" si="279">$A$282*L283</f>
        <v>286.3659146</v>
      </c>
      <c r="D283" s="6">
        <f t="shared" si="279"/>
        <v>77.66102962</v>
      </c>
      <c r="E283" s="6"/>
      <c r="F283" s="6">
        <v>30.0</v>
      </c>
      <c r="G283" s="6" t="s">
        <v>18</v>
      </c>
      <c r="J283" s="6">
        <v>5.0</v>
      </c>
      <c r="K283" s="7">
        <v>0.38750125398588353</v>
      </c>
      <c r="L283" s="7">
        <v>0.410854970716459</v>
      </c>
      <c r="M283" s="8">
        <v>0.111421850244242</v>
      </c>
      <c r="N283" s="9"/>
    </row>
    <row r="284" ht="14.25" customHeight="1">
      <c r="B284" s="7">
        <v>1.7820644263570586</v>
      </c>
      <c r="C284" s="6">
        <f t="shared" ref="C284:D284" si="280">$A$282*L284</f>
        <v>444.2201496</v>
      </c>
      <c r="D284" s="6">
        <f t="shared" si="280"/>
        <v>30.21084029</v>
      </c>
      <c r="E284" s="6"/>
      <c r="F284" s="6">
        <v>40.0</v>
      </c>
      <c r="G284" s="6" t="s">
        <v>24</v>
      </c>
      <c r="J284" s="6">
        <v>5.0</v>
      </c>
      <c r="K284" s="7">
        <v>1.7820644263570586</v>
      </c>
      <c r="L284" s="7">
        <v>0.6373316349558048</v>
      </c>
      <c r="M284" s="8">
        <v>0.0433441037149536</v>
      </c>
      <c r="N284" s="9"/>
    </row>
    <row r="285" ht="14.25" customHeight="1">
      <c r="B285" s="7">
        <v>1.4420301743980455</v>
      </c>
      <c r="C285" s="6">
        <f t="shared" ref="C285:D285" si="281">$A$282*L285</f>
        <v>69.7</v>
      </c>
      <c r="D285" s="6">
        <f t="shared" si="281"/>
        <v>41.23493825</v>
      </c>
      <c r="E285" s="6"/>
      <c r="F285" s="6">
        <v>50.0</v>
      </c>
      <c r="G285" s="6" t="s">
        <v>27</v>
      </c>
      <c r="J285" s="6">
        <v>5.0</v>
      </c>
      <c r="K285" s="7">
        <v>1.4420301743980455</v>
      </c>
      <c r="L285" s="7">
        <v>0.1</v>
      </c>
      <c r="M285" s="8">
        <v>0.0591606000707926</v>
      </c>
      <c r="N285" s="9"/>
    </row>
    <row r="286" ht="14.25" customHeight="1">
      <c r="B286" s="7">
        <v>1.5451531708960602</v>
      </c>
      <c r="C286" s="6">
        <f t="shared" ref="C286:D286" si="282">$A$282*L286</f>
        <v>245.8326737</v>
      </c>
      <c r="D286" s="6">
        <f t="shared" si="282"/>
        <v>35.2219254</v>
      </c>
      <c r="E286" s="6"/>
      <c r="F286" s="6">
        <v>60.0</v>
      </c>
      <c r="G286" s="6" t="s">
        <v>21</v>
      </c>
      <c r="J286" s="6">
        <v>5.0</v>
      </c>
      <c r="K286" s="7">
        <v>1.5451531708960602</v>
      </c>
      <c r="L286" s="7">
        <v>0.35270110998190707</v>
      </c>
      <c r="M286" s="8">
        <v>0.0505336088938152</v>
      </c>
      <c r="N286" s="9"/>
    </row>
    <row r="287" ht="14.25" customHeight="1">
      <c r="B287" s="7">
        <v>1.8820392082638842</v>
      </c>
      <c r="C287" s="6">
        <f t="shared" ref="C287:D287" si="283">$A$282*L287</f>
        <v>180.6615926</v>
      </c>
      <c r="D287" s="6">
        <f t="shared" si="283"/>
        <v>41.23493825</v>
      </c>
      <c r="E287" s="6"/>
      <c r="F287" s="6">
        <v>70.0</v>
      </c>
      <c r="G287" s="6" t="s">
        <v>27</v>
      </c>
      <c r="J287" s="6">
        <v>5.0</v>
      </c>
      <c r="K287" s="7">
        <v>1.8820392082638842</v>
      </c>
      <c r="L287" s="7">
        <v>0.2591988416017712</v>
      </c>
      <c r="M287" s="8">
        <v>0.0591606000707926</v>
      </c>
      <c r="N287" s="9"/>
    </row>
    <row r="288" ht="14.25" customHeight="1">
      <c r="K288" s="7"/>
      <c r="L288" s="7"/>
      <c r="M288" s="8"/>
      <c r="N288" s="9"/>
    </row>
    <row r="289" ht="14.25" customHeight="1">
      <c r="K289" s="7"/>
      <c r="L289" s="7"/>
      <c r="M289" s="8"/>
      <c r="N289" s="9"/>
    </row>
    <row r="290" ht="14.25" customHeight="1">
      <c r="C290" s="20" t="s">
        <v>108</v>
      </c>
      <c r="K290" s="7"/>
      <c r="L290" s="7"/>
      <c r="M290" s="8"/>
      <c r="N290" s="9"/>
    </row>
    <row r="291" ht="14.25" customHeight="1">
      <c r="C291" s="11" t="s">
        <v>109</v>
      </c>
      <c r="K291" s="7"/>
      <c r="L291" s="7"/>
      <c r="M291" s="8"/>
      <c r="N291" s="9"/>
    </row>
    <row r="292" ht="14.25" customHeight="1">
      <c r="K292" s="7"/>
      <c r="L292" s="7"/>
      <c r="M292" s="8"/>
      <c r="N292" s="9"/>
    </row>
    <row r="293" ht="14.25" customHeight="1">
      <c r="C293" s="6" t="s">
        <v>15</v>
      </c>
      <c r="D293" s="12">
        <v>2874.714155314537</v>
      </c>
      <c r="K293" s="7"/>
      <c r="L293" s="7"/>
      <c r="M293" s="8"/>
      <c r="N293" s="9"/>
    </row>
    <row r="294" ht="14.25" customHeight="1">
      <c r="C294" s="6" t="s">
        <v>18</v>
      </c>
      <c r="D294" s="12">
        <v>3730.242590077908</v>
      </c>
      <c r="K294" s="7"/>
      <c r="L294" s="7"/>
      <c r="M294" s="8"/>
      <c r="N294" s="9"/>
    </row>
    <row r="295" ht="14.25" customHeight="1">
      <c r="C295" s="6" t="s">
        <v>21</v>
      </c>
      <c r="D295" s="12">
        <v>3585.3802036713873</v>
      </c>
      <c r="K295" s="7"/>
      <c r="L295" s="7"/>
      <c r="M295" s="8"/>
      <c r="N295" s="9"/>
    </row>
    <row r="296" ht="14.25" customHeight="1">
      <c r="C296" s="6" t="s">
        <v>24</v>
      </c>
      <c r="D296" s="12">
        <v>4754.042578952186</v>
      </c>
      <c r="K296" s="7"/>
      <c r="L296" s="7"/>
      <c r="M296" s="8"/>
      <c r="N296" s="9"/>
    </row>
    <row r="297" ht="14.25" customHeight="1">
      <c r="C297" s="6" t="s">
        <v>27</v>
      </c>
      <c r="D297" s="12">
        <v>1532.427607863056</v>
      </c>
      <c r="K297" s="7"/>
      <c r="L297" s="7"/>
      <c r="M297" s="8"/>
      <c r="N297" s="9"/>
    </row>
    <row r="298" ht="14.25" customHeight="1">
      <c r="C298" s="6" t="s">
        <v>30</v>
      </c>
      <c r="D298" s="12">
        <v>3211.9866943559637</v>
      </c>
      <c r="K298" s="7"/>
      <c r="L298" s="7"/>
      <c r="M298" s="8"/>
      <c r="N298" s="9"/>
    </row>
    <row r="299" ht="14.25" customHeight="1">
      <c r="C299" s="11" t="s">
        <v>97</v>
      </c>
      <c r="D299" s="12">
        <v>363.9751200262783</v>
      </c>
      <c r="K299" s="7"/>
      <c r="L299" s="7"/>
      <c r="M299" s="8"/>
      <c r="N299" s="9"/>
    </row>
    <row r="300" ht="14.25" customHeight="1">
      <c r="C300" s="11" t="s">
        <v>110</v>
      </c>
      <c r="K300" s="7"/>
      <c r="L300" s="7"/>
      <c r="M300" s="8"/>
      <c r="N300" s="9"/>
    </row>
    <row r="301" ht="14.25" customHeight="1">
      <c r="K301" s="7"/>
      <c r="L301" s="7"/>
      <c r="M301" s="8"/>
      <c r="N301" s="9"/>
    </row>
    <row r="302" ht="14.25" customHeight="1">
      <c r="C302" s="6" t="s">
        <v>15</v>
      </c>
      <c r="D302" s="21">
        <v>459.0907259215909</v>
      </c>
      <c r="K302" s="7"/>
      <c r="L302" s="7"/>
      <c r="M302" s="8"/>
      <c r="N302" s="9"/>
    </row>
    <row r="303" ht="14.25" customHeight="1">
      <c r="C303" s="6" t="s">
        <v>18</v>
      </c>
      <c r="D303" s="21">
        <v>842.2377659962256</v>
      </c>
      <c r="K303" s="7"/>
      <c r="L303" s="7"/>
      <c r="M303" s="8"/>
      <c r="N303" s="9"/>
    </row>
    <row r="304" ht="14.25" customHeight="1">
      <c r="C304" s="6" t="s">
        <v>21</v>
      </c>
      <c r="D304" s="21">
        <v>309.87208973687484</v>
      </c>
      <c r="K304" s="7"/>
      <c r="L304" s="7"/>
      <c r="M304" s="8"/>
      <c r="N304" s="9"/>
    </row>
    <row r="305" ht="14.25" customHeight="1">
      <c r="C305" s="6" t="s">
        <v>24</v>
      </c>
      <c r="D305" s="21">
        <v>265.7860439800955</v>
      </c>
      <c r="K305" s="7"/>
      <c r="L305" s="7"/>
      <c r="M305" s="8"/>
      <c r="N305" s="9"/>
    </row>
    <row r="306" ht="14.25" customHeight="1">
      <c r="C306" s="6" t="s">
        <v>27</v>
      </c>
      <c r="D306" s="21">
        <v>453.17019654227136</v>
      </c>
      <c r="K306" s="7"/>
      <c r="L306" s="7"/>
      <c r="M306" s="8"/>
      <c r="N306" s="9"/>
    </row>
    <row r="307" ht="14.25" customHeight="1">
      <c r="C307" s="6" t="s">
        <v>30</v>
      </c>
      <c r="D307" s="21">
        <v>724.3686519973133</v>
      </c>
      <c r="K307" s="7"/>
      <c r="L307" s="7"/>
      <c r="M307" s="8"/>
      <c r="N307" s="9"/>
    </row>
    <row r="308" ht="14.25" customHeight="1">
      <c r="C308" s="11" t="s">
        <v>97</v>
      </c>
      <c r="D308" s="21">
        <v>23.232951844884752</v>
      </c>
      <c r="K308" s="7"/>
      <c r="L308" s="7"/>
      <c r="M308" s="8"/>
      <c r="N308" s="9"/>
    </row>
    <row r="309" ht="14.25" customHeight="1">
      <c r="C309" s="11" t="s">
        <v>111</v>
      </c>
      <c r="K309" s="7"/>
      <c r="L309" s="7"/>
      <c r="M309" s="8"/>
      <c r="N309" s="9"/>
    </row>
    <row r="310" ht="14.25" customHeight="1">
      <c r="K310" s="7"/>
      <c r="L310" s="7"/>
      <c r="M310" s="8"/>
      <c r="N310" s="9"/>
    </row>
    <row r="311" ht="14.25" customHeight="1">
      <c r="C311" s="6" t="s">
        <v>15</v>
      </c>
      <c r="D311" s="12">
        <v>11.021711558513218</v>
      </c>
      <c r="K311" s="7"/>
      <c r="L311" s="7"/>
      <c r="M311" s="8"/>
      <c r="N311" s="9"/>
    </row>
    <row r="312" ht="14.25" customHeight="1">
      <c r="C312" s="6" t="s">
        <v>18</v>
      </c>
      <c r="D312" s="12">
        <v>32.417695510472605</v>
      </c>
      <c r="K312" s="7"/>
      <c r="L312" s="7"/>
      <c r="M312" s="8"/>
      <c r="N312" s="9"/>
    </row>
    <row r="313" ht="14.25" customHeight="1">
      <c r="C313" s="6" t="s">
        <v>21</v>
      </c>
      <c r="D313" s="12">
        <v>25.607256896131087</v>
      </c>
      <c r="K313" s="7"/>
      <c r="L313" s="7"/>
      <c r="M313" s="8"/>
      <c r="N313" s="9"/>
    </row>
    <row r="314" ht="14.25" customHeight="1">
      <c r="C314" s="6" t="s">
        <v>24</v>
      </c>
      <c r="D314" s="12">
        <v>33.29746871929682</v>
      </c>
      <c r="K314" s="7"/>
      <c r="L314" s="7"/>
      <c r="M314" s="8"/>
      <c r="N314" s="9"/>
    </row>
    <row r="315" ht="14.25" customHeight="1">
      <c r="C315" s="6" t="s">
        <v>27</v>
      </c>
      <c r="D315" s="12">
        <v>48.277999574979766</v>
      </c>
      <c r="K315" s="7"/>
      <c r="L315" s="7"/>
      <c r="M315" s="8"/>
      <c r="N315" s="9"/>
    </row>
    <row r="316" ht="14.25" customHeight="1">
      <c r="C316" s="6" t="s">
        <v>30</v>
      </c>
      <c r="D316" s="12">
        <v>15.012343084361602</v>
      </c>
      <c r="K316" s="7"/>
      <c r="L316" s="7"/>
      <c r="M316" s="8"/>
      <c r="N316" s="9"/>
    </row>
    <row r="317" ht="14.25" customHeight="1">
      <c r="C317" s="11" t="s">
        <v>97</v>
      </c>
      <c r="D317" s="12">
        <v>4.998262285391214</v>
      </c>
      <c r="K317" s="7"/>
      <c r="L317" s="7"/>
      <c r="M317" s="8"/>
      <c r="N317" s="9"/>
    </row>
    <row r="318" ht="14.25" customHeight="1">
      <c r="K318" s="7"/>
      <c r="L318" s="7"/>
      <c r="M318" s="8"/>
      <c r="N318" s="9"/>
    </row>
    <row r="319" ht="14.25" customHeight="1">
      <c r="C319" s="20" t="s">
        <v>112</v>
      </c>
      <c r="K319" s="7"/>
      <c r="L319" s="7"/>
      <c r="M319" s="8"/>
      <c r="N319" s="9"/>
    </row>
    <row r="320" ht="14.25" customHeight="1">
      <c r="C320" s="11" t="s">
        <v>109</v>
      </c>
      <c r="K320" s="7"/>
      <c r="L320" s="7"/>
      <c r="M320" s="8"/>
      <c r="N320" s="9"/>
    </row>
    <row r="321" ht="14.25" customHeight="1">
      <c r="K321" s="7"/>
      <c r="L321" s="7"/>
      <c r="M321" s="8"/>
      <c r="N321" s="9"/>
    </row>
    <row r="322" ht="14.25" customHeight="1">
      <c r="C322" s="6" t="s">
        <v>15</v>
      </c>
      <c r="D322" s="12">
        <f>SUMIF($G$167:$G$206,"SM",$C$167:$C$206)</f>
        <v>1444.996717</v>
      </c>
      <c r="K322" s="7"/>
      <c r="L322" s="7"/>
      <c r="M322" s="8"/>
      <c r="N322" s="9"/>
    </row>
    <row r="323" ht="14.25" customHeight="1">
      <c r="C323" s="6" t="s">
        <v>18</v>
      </c>
      <c r="D323" s="12">
        <f>SUMIF($G$167:$G$206,"tM",$C$167:$C$206)</f>
        <v>0</v>
      </c>
      <c r="K323" s="7"/>
      <c r="L323" s="7"/>
      <c r="M323" s="8"/>
      <c r="N323" s="9"/>
    </row>
    <row r="324" ht="14.25" customHeight="1">
      <c r="C324" s="22" t="s">
        <v>21</v>
      </c>
      <c r="D324" s="12">
        <f>SUMIF($G$167:$G$206,"MM",$C$167:$C$206)</f>
        <v>3384.67224</v>
      </c>
      <c r="K324" s="7"/>
      <c r="L324" s="7"/>
      <c r="M324" s="8"/>
      <c r="N324" s="9"/>
    </row>
    <row r="325" ht="14.25" customHeight="1">
      <c r="C325" s="6" t="s">
        <v>24</v>
      </c>
      <c r="D325" s="12">
        <f>SUMIF($G$167:$G$206,"GM",$C$167:$C$206)</f>
        <v>0</v>
      </c>
      <c r="K325" s="7"/>
      <c r="L325" s="7"/>
      <c r="M325" s="8"/>
      <c r="N325" s="9"/>
    </row>
    <row r="326" ht="14.25" customHeight="1">
      <c r="C326" s="6" t="s">
        <v>27</v>
      </c>
      <c r="D326" s="12">
        <f>SUMIF($G$167:$G$206,"CMM",$C$167:$C$206)</f>
        <v>1110.178489</v>
      </c>
      <c r="K326" s="7"/>
      <c r="L326" s="7"/>
      <c r="M326" s="8"/>
      <c r="N326" s="9"/>
    </row>
    <row r="327" ht="14.25" customHeight="1">
      <c r="C327" s="6" t="s">
        <v>30</v>
      </c>
      <c r="D327" s="12">
        <f>SUMIF($G$167:$G$206,"A",$C$167:$C$206)</f>
        <v>0</v>
      </c>
      <c r="K327" s="7"/>
      <c r="L327" s="7"/>
      <c r="M327" s="8"/>
      <c r="N327" s="9"/>
    </row>
    <row r="328" ht="14.25" customHeight="1">
      <c r="C328" s="11" t="s">
        <v>97</v>
      </c>
      <c r="D328" s="12">
        <f>SUMIF($G$167:$G$206,"DM",$C$167:$C$206)</f>
        <v>2558.213649</v>
      </c>
      <c r="K328" s="7"/>
      <c r="L328" s="7"/>
      <c r="M328" s="8"/>
      <c r="N328" s="9"/>
    </row>
    <row r="329" ht="14.25" customHeight="1">
      <c r="C329" s="11" t="s">
        <v>110</v>
      </c>
      <c r="K329" s="7"/>
      <c r="L329" s="7"/>
      <c r="M329" s="8"/>
      <c r="N329" s="9"/>
    </row>
    <row r="330" ht="14.25" customHeight="1">
      <c r="K330" s="7"/>
      <c r="L330" s="7"/>
      <c r="M330" s="8"/>
      <c r="N330" s="9"/>
    </row>
    <row r="331" ht="14.25" customHeight="1">
      <c r="C331" s="6" t="s">
        <v>15</v>
      </c>
      <c r="D331" s="12">
        <f>SUMIF($G$167:$G$206,"SM",$D$167:$D$206)</f>
        <v>444.038571</v>
      </c>
      <c r="K331" s="7"/>
      <c r="L331" s="7"/>
      <c r="M331" s="8"/>
      <c r="N331" s="9"/>
    </row>
    <row r="332" ht="14.25" customHeight="1">
      <c r="C332" s="6" t="s">
        <v>18</v>
      </c>
      <c r="K332" s="7"/>
      <c r="L332" s="7"/>
      <c r="M332" s="8"/>
      <c r="N332" s="9"/>
    </row>
    <row r="333" ht="14.25" customHeight="1">
      <c r="C333" s="22" t="s">
        <v>21</v>
      </c>
      <c r="D333" s="12">
        <f>SUMIF($G$167:$G$206,"MM",$D$167:$D$206)</f>
        <v>262.3704974</v>
      </c>
      <c r="K333" s="7"/>
      <c r="L333" s="7"/>
      <c r="M333" s="8"/>
      <c r="N333" s="9"/>
    </row>
    <row r="334" ht="14.25" customHeight="1">
      <c r="C334" s="6" t="s">
        <v>24</v>
      </c>
      <c r="K334" s="7"/>
      <c r="L334" s="7"/>
      <c r="M334" s="8"/>
      <c r="N334" s="9"/>
    </row>
    <row r="335" ht="14.25" customHeight="1">
      <c r="C335" s="6" t="s">
        <v>27</v>
      </c>
      <c r="D335" s="12">
        <f>SUMIF($G$167:$G$206,"CMM",$D$167:$D$206)</f>
        <v>307.1618356</v>
      </c>
      <c r="K335" s="7"/>
      <c r="L335" s="7"/>
      <c r="M335" s="8"/>
      <c r="N335" s="9"/>
    </row>
    <row r="336" ht="14.25" customHeight="1">
      <c r="C336" s="6" t="s">
        <v>30</v>
      </c>
      <c r="K336" s="7"/>
      <c r="L336" s="7"/>
      <c r="M336" s="8"/>
      <c r="N336" s="9"/>
    </row>
    <row r="337" ht="14.25" customHeight="1">
      <c r="C337" s="11" t="s">
        <v>97</v>
      </c>
      <c r="D337" s="12">
        <f>SUMIF($G$167:$G$206,"DM",$D$167:$D$206)</f>
        <v>181.9388929</v>
      </c>
      <c r="K337" s="7"/>
      <c r="L337" s="7"/>
      <c r="M337" s="8"/>
      <c r="N337" s="9"/>
    </row>
    <row r="338" ht="14.25" customHeight="1">
      <c r="C338" s="11" t="s">
        <v>111</v>
      </c>
      <c r="K338" s="7"/>
      <c r="L338" s="7"/>
      <c r="M338" s="8"/>
      <c r="N338" s="9"/>
    </row>
    <row r="339" ht="14.25" customHeight="1">
      <c r="K339" s="7"/>
      <c r="L339" s="7"/>
      <c r="M339" s="8"/>
      <c r="N339" s="9"/>
    </row>
    <row r="340" ht="14.25" customHeight="1">
      <c r="C340" s="6" t="s">
        <v>15</v>
      </c>
      <c r="D340" s="12">
        <f>SUMIF($G$167:$G$206,"SM",$B$167:$B$206)</f>
        <v>8.509640589</v>
      </c>
      <c r="K340" s="7"/>
      <c r="L340" s="7"/>
      <c r="M340" s="8"/>
      <c r="N340" s="9"/>
    </row>
    <row r="341" ht="14.25" customHeight="1">
      <c r="C341" s="6" t="s">
        <v>18</v>
      </c>
      <c r="K341" s="7"/>
      <c r="L341" s="7"/>
      <c r="M341" s="8"/>
      <c r="N341" s="9"/>
    </row>
    <row r="342" ht="14.25" customHeight="1">
      <c r="C342" s="22" t="s">
        <v>21</v>
      </c>
      <c r="D342" s="12">
        <f>SUMIF($G$167:$G$206,"MM",$B$167:$B$206)</f>
        <v>10.99114391</v>
      </c>
      <c r="K342" s="7"/>
      <c r="L342" s="7"/>
      <c r="M342" s="8"/>
      <c r="N342" s="9"/>
    </row>
    <row r="343" ht="14.25" customHeight="1">
      <c r="C343" s="6" t="s">
        <v>24</v>
      </c>
      <c r="K343" s="7"/>
      <c r="L343" s="7"/>
      <c r="M343" s="8"/>
      <c r="N343" s="9"/>
    </row>
    <row r="344" ht="14.25" customHeight="1">
      <c r="C344" s="6" t="s">
        <v>27</v>
      </c>
      <c r="D344" s="12">
        <f>SUMIF($G$167:$G$206,"CMM",$B$167:$B$206)</f>
        <v>7.97525647</v>
      </c>
      <c r="K344" s="7"/>
      <c r="L344" s="7"/>
      <c r="M344" s="8"/>
      <c r="N344" s="9"/>
    </row>
    <row r="345" ht="14.25" customHeight="1">
      <c r="C345" s="6" t="s">
        <v>30</v>
      </c>
      <c r="K345" s="7"/>
      <c r="L345" s="7"/>
      <c r="M345" s="8"/>
      <c r="N345" s="9"/>
    </row>
    <row r="346" ht="14.25" customHeight="1">
      <c r="C346" s="11" t="s">
        <v>97</v>
      </c>
      <c r="D346" s="12">
        <f>SUMIF($G$167:$G$206,"DM",$B$167:$B$206)</f>
        <v>7.427813339</v>
      </c>
      <c r="K346" s="7"/>
      <c r="L346" s="7"/>
      <c r="M346" s="8"/>
      <c r="N346" s="9"/>
    </row>
    <row r="347" ht="14.25" customHeight="1">
      <c r="K347" s="7"/>
      <c r="L347" s="7"/>
      <c r="M347" s="8"/>
      <c r="N347" s="9"/>
    </row>
    <row r="348" ht="14.25" customHeight="1">
      <c r="K348" s="7"/>
      <c r="L348" s="7"/>
      <c r="M348" s="8"/>
      <c r="N348" s="9"/>
    </row>
    <row r="349" ht="14.25" customHeight="1">
      <c r="K349" s="7"/>
      <c r="L349" s="7"/>
      <c r="M349" s="8"/>
      <c r="N349" s="9"/>
    </row>
    <row r="350" ht="14.25" customHeight="1">
      <c r="K350" s="7"/>
      <c r="L350" s="7"/>
      <c r="M350" s="8"/>
      <c r="N350" s="9"/>
    </row>
    <row r="351" ht="14.25" customHeight="1">
      <c r="K351" s="7"/>
      <c r="L351" s="7"/>
      <c r="M351" s="8"/>
      <c r="N351" s="9"/>
    </row>
    <row r="352" ht="14.25" customHeight="1">
      <c r="K352" s="7"/>
      <c r="L352" s="7"/>
      <c r="M352" s="8"/>
      <c r="N352" s="9"/>
    </row>
    <row r="353" ht="14.25" customHeight="1">
      <c r="K353" s="7"/>
      <c r="L353" s="7"/>
      <c r="M353" s="8"/>
      <c r="N353" s="9"/>
    </row>
    <row r="354" ht="14.25" customHeight="1">
      <c r="K354" s="7"/>
      <c r="L354" s="7"/>
      <c r="M354" s="8"/>
      <c r="N354" s="9"/>
    </row>
    <row r="355" ht="14.25" customHeight="1">
      <c r="K355" s="7"/>
      <c r="L355" s="7"/>
      <c r="M355" s="8"/>
      <c r="N355" s="9"/>
    </row>
    <row r="356" ht="14.25" customHeight="1">
      <c r="K356" s="7"/>
      <c r="L356" s="7"/>
      <c r="M356" s="8"/>
      <c r="N356" s="9"/>
    </row>
    <row r="357" ht="14.25" customHeight="1">
      <c r="K357" s="7"/>
      <c r="L357" s="7"/>
      <c r="M357" s="8"/>
      <c r="N357" s="9"/>
    </row>
    <row r="358" ht="14.25" customHeight="1">
      <c r="K358" s="7"/>
      <c r="L358" s="7"/>
      <c r="M358" s="8"/>
      <c r="N358" s="9"/>
    </row>
    <row r="359" ht="14.25" customHeight="1">
      <c r="K359" s="7"/>
      <c r="L359" s="7"/>
      <c r="M359" s="8"/>
      <c r="N359" s="9"/>
    </row>
    <row r="360" ht="14.25" customHeight="1">
      <c r="K360" s="7"/>
      <c r="L360" s="7"/>
      <c r="M360" s="8"/>
      <c r="N360" s="9"/>
    </row>
    <row r="361" ht="14.25" customHeight="1">
      <c r="K361" s="7"/>
      <c r="L361" s="7"/>
      <c r="M361" s="8"/>
      <c r="N361" s="9"/>
    </row>
    <row r="362" ht="14.25" customHeight="1">
      <c r="K362" s="7"/>
      <c r="L362" s="7"/>
      <c r="M362" s="8"/>
      <c r="N362" s="9"/>
    </row>
    <row r="363" ht="14.25" customHeight="1">
      <c r="K363" s="7"/>
      <c r="L363" s="7"/>
      <c r="M363" s="8"/>
      <c r="N363" s="9"/>
    </row>
    <row r="364" ht="14.25" customHeight="1">
      <c r="K364" s="7"/>
      <c r="L364" s="7"/>
      <c r="M364" s="8"/>
      <c r="N364" s="9"/>
    </row>
    <row r="365" ht="14.25" customHeight="1">
      <c r="K365" s="7"/>
      <c r="L365" s="7"/>
      <c r="M365" s="8"/>
      <c r="N365" s="9"/>
    </row>
    <row r="366" ht="14.25" customHeight="1">
      <c r="K366" s="7"/>
      <c r="L366" s="7"/>
      <c r="M366" s="8"/>
      <c r="N366" s="9"/>
    </row>
    <row r="367" ht="14.25" customHeight="1">
      <c r="K367" s="7"/>
      <c r="L367" s="7"/>
      <c r="M367" s="8"/>
      <c r="N367" s="9"/>
    </row>
    <row r="368" ht="14.25" customHeight="1">
      <c r="K368" s="7"/>
      <c r="L368" s="7"/>
      <c r="M368" s="8"/>
      <c r="N368" s="9"/>
    </row>
    <row r="369" ht="14.25" customHeight="1">
      <c r="K369" s="7"/>
      <c r="L369" s="7"/>
      <c r="M369" s="8"/>
      <c r="N369" s="9"/>
    </row>
    <row r="370" ht="14.25" customHeight="1">
      <c r="K370" s="7"/>
      <c r="L370" s="7"/>
      <c r="M370" s="8"/>
      <c r="N370" s="9"/>
    </row>
    <row r="371" ht="14.25" customHeight="1">
      <c r="K371" s="7"/>
      <c r="L371" s="7"/>
      <c r="M371" s="8"/>
      <c r="N371" s="9"/>
    </row>
    <row r="372" ht="14.25" customHeight="1">
      <c r="K372" s="7"/>
      <c r="L372" s="7"/>
      <c r="M372" s="8"/>
      <c r="N372" s="9"/>
    </row>
    <row r="373" ht="14.25" customHeight="1">
      <c r="K373" s="7"/>
      <c r="L373" s="7"/>
      <c r="M373" s="8"/>
      <c r="N373" s="9"/>
    </row>
    <row r="374" ht="14.25" customHeight="1">
      <c r="K374" s="7"/>
      <c r="L374" s="7"/>
      <c r="M374" s="8"/>
      <c r="N374" s="9"/>
    </row>
    <row r="375" ht="14.25" customHeight="1">
      <c r="K375" s="7"/>
      <c r="L375" s="7"/>
      <c r="M375" s="8"/>
      <c r="N375" s="9"/>
    </row>
    <row r="376" ht="14.25" customHeight="1">
      <c r="K376" s="7"/>
      <c r="L376" s="7"/>
      <c r="M376" s="8"/>
      <c r="N376" s="9"/>
    </row>
    <row r="377" ht="14.25" customHeight="1">
      <c r="K377" s="7"/>
      <c r="L377" s="7"/>
      <c r="M377" s="8"/>
      <c r="N377" s="9"/>
    </row>
    <row r="378" ht="14.25" customHeight="1">
      <c r="K378" s="7"/>
      <c r="L378" s="7"/>
      <c r="M378" s="8"/>
      <c r="N378" s="9"/>
    </row>
    <row r="379" ht="14.25" customHeight="1">
      <c r="K379" s="7"/>
      <c r="L379" s="7"/>
      <c r="M379" s="8"/>
      <c r="N379" s="9"/>
    </row>
    <row r="380" ht="14.25" customHeight="1">
      <c r="K380" s="7"/>
      <c r="L380" s="7"/>
      <c r="M380" s="8"/>
      <c r="N380" s="9"/>
    </row>
    <row r="381" ht="14.25" customHeight="1">
      <c r="K381" s="7"/>
      <c r="L381" s="7"/>
      <c r="M381" s="8"/>
      <c r="N381" s="9"/>
    </row>
    <row r="382" ht="14.25" customHeight="1">
      <c r="K382" s="7"/>
      <c r="L382" s="7"/>
      <c r="M382" s="8"/>
      <c r="N382" s="9"/>
    </row>
    <row r="383" ht="14.25" customHeight="1">
      <c r="K383" s="7"/>
      <c r="L383" s="7"/>
      <c r="M383" s="8"/>
      <c r="N383" s="9"/>
    </row>
    <row r="384" ht="14.25" customHeight="1">
      <c r="K384" s="7"/>
      <c r="L384" s="7"/>
      <c r="M384" s="8"/>
      <c r="N384" s="9"/>
    </row>
    <row r="385" ht="14.25" customHeight="1">
      <c r="K385" s="7"/>
      <c r="L385" s="7"/>
      <c r="M385" s="8"/>
      <c r="N385" s="9"/>
    </row>
    <row r="386" ht="14.25" customHeight="1">
      <c r="K386" s="7"/>
      <c r="L386" s="7"/>
      <c r="M386" s="8"/>
      <c r="N386" s="9"/>
    </row>
    <row r="387" ht="14.25" customHeight="1">
      <c r="K387" s="7"/>
      <c r="L387" s="7"/>
      <c r="M387" s="8"/>
      <c r="N387" s="9"/>
    </row>
    <row r="388" ht="14.25" customHeight="1">
      <c r="K388" s="7"/>
      <c r="L388" s="7"/>
      <c r="M388" s="8"/>
      <c r="N388" s="9"/>
    </row>
    <row r="389" ht="14.25" customHeight="1">
      <c r="K389" s="7"/>
      <c r="L389" s="7"/>
      <c r="M389" s="8"/>
      <c r="N389" s="9"/>
    </row>
    <row r="390" ht="14.25" customHeight="1">
      <c r="K390" s="7"/>
      <c r="L390" s="7"/>
      <c r="M390" s="8"/>
      <c r="N390" s="9"/>
    </row>
    <row r="391" ht="14.25" customHeight="1">
      <c r="K391" s="7"/>
      <c r="L391" s="7"/>
      <c r="M391" s="8"/>
      <c r="N391" s="9"/>
    </row>
    <row r="392" ht="14.25" customHeight="1">
      <c r="K392" s="7"/>
      <c r="L392" s="7"/>
      <c r="M392" s="8"/>
      <c r="N392" s="9"/>
    </row>
    <row r="393" ht="14.25" customHeight="1">
      <c r="K393" s="7"/>
      <c r="L393" s="7"/>
      <c r="M393" s="8"/>
      <c r="N393" s="9"/>
    </row>
    <row r="394" ht="14.25" customHeight="1">
      <c r="K394" s="7"/>
      <c r="L394" s="7"/>
      <c r="M394" s="8"/>
      <c r="N394" s="9"/>
    </row>
    <row r="395" ht="14.25" customHeight="1">
      <c r="K395" s="7"/>
      <c r="L395" s="7"/>
      <c r="M395" s="8"/>
      <c r="N395" s="9"/>
    </row>
    <row r="396" ht="14.25" customHeight="1">
      <c r="K396" s="7"/>
      <c r="L396" s="7"/>
      <c r="M396" s="8"/>
      <c r="N396" s="9"/>
    </row>
    <row r="397" ht="14.25" customHeight="1">
      <c r="K397" s="7"/>
      <c r="L397" s="7"/>
      <c r="M397" s="8"/>
      <c r="N397" s="9"/>
    </row>
    <row r="398" ht="14.25" customHeight="1">
      <c r="K398" s="7"/>
      <c r="L398" s="7"/>
      <c r="M398" s="8"/>
      <c r="N398" s="9"/>
    </row>
    <row r="399" ht="14.25" customHeight="1">
      <c r="K399" s="7"/>
      <c r="L399" s="7"/>
      <c r="M399" s="8"/>
      <c r="N399" s="9"/>
    </row>
    <row r="400" ht="14.25" customHeight="1">
      <c r="K400" s="7"/>
      <c r="L400" s="7"/>
      <c r="M400" s="8"/>
      <c r="N400" s="9"/>
    </row>
    <row r="401" ht="14.25" customHeight="1">
      <c r="K401" s="7"/>
      <c r="L401" s="7"/>
      <c r="M401" s="8"/>
      <c r="N401" s="9"/>
    </row>
    <row r="402" ht="14.25" customHeight="1">
      <c r="K402" s="7"/>
      <c r="L402" s="7"/>
      <c r="M402" s="8"/>
      <c r="N402" s="9"/>
    </row>
    <row r="403" ht="14.25" customHeight="1">
      <c r="K403" s="7"/>
      <c r="L403" s="7"/>
      <c r="M403" s="8"/>
      <c r="N403" s="9"/>
    </row>
    <row r="404" ht="14.25" customHeight="1">
      <c r="K404" s="7"/>
      <c r="L404" s="7"/>
      <c r="M404" s="8"/>
      <c r="N404" s="9"/>
    </row>
    <row r="405" ht="14.25" customHeight="1">
      <c r="K405" s="7"/>
      <c r="L405" s="7"/>
      <c r="M405" s="8"/>
      <c r="N405" s="9"/>
    </row>
    <row r="406" ht="14.25" customHeight="1">
      <c r="K406" s="7"/>
      <c r="L406" s="7"/>
      <c r="M406" s="8"/>
      <c r="N406" s="9"/>
    </row>
    <row r="407" ht="14.25" customHeight="1">
      <c r="K407" s="7"/>
      <c r="L407" s="7"/>
      <c r="M407" s="8"/>
      <c r="N407" s="9"/>
    </row>
    <row r="408" ht="14.25" customHeight="1">
      <c r="K408" s="7"/>
      <c r="L408" s="7"/>
      <c r="M408" s="8"/>
      <c r="N408" s="9"/>
    </row>
    <row r="409" ht="14.25" customHeight="1">
      <c r="K409" s="7"/>
      <c r="L409" s="7"/>
      <c r="M409" s="8"/>
      <c r="N409" s="9"/>
    </row>
    <row r="410" ht="14.25" customHeight="1">
      <c r="K410" s="7"/>
      <c r="L410" s="7"/>
      <c r="M410" s="8"/>
      <c r="N410" s="9"/>
    </row>
    <row r="411" ht="14.25" customHeight="1">
      <c r="K411" s="7"/>
      <c r="L411" s="7"/>
      <c r="M411" s="8"/>
      <c r="N411" s="9"/>
    </row>
    <row r="412" ht="14.25" customHeight="1">
      <c r="K412" s="7"/>
      <c r="L412" s="7"/>
      <c r="M412" s="8"/>
      <c r="N412" s="9"/>
    </row>
    <row r="413" ht="14.25" customHeight="1">
      <c r="K413" s="7"/>
      <c r="L413" s="7"/>
      <c r="M413" s="8"/>
      <c r="N413" s="9"/>
    </row>
    <row r="414" ht="14.25" customHeight="1">
      <c r="K414" s="7"/>
      <c r="L414" s="7"/>
      <c r="M414" s="8"/>
      <c r="N414" s="9"/>
    </row>
    <row r="415" ht="14.25" customHeight="1">
      <c r="K415" s="7"/>
      <c r="L415" s="7"/>
      <c r="M415" s="8"/>
      <c r="N415" s="9"/>
    </row>
    <row r="416" ht="14.25" customHeight="1">
      <c r="K416" s="7"/>
      <c r="L416" s="7"/>
      <c r="M416" s="8"/>
      <c r="N416" s="9"/>
    </row>
    <row r="417" ht="14.25" customHeight="1">
      <c r="K417" s="7"/>
      <c r="L417" s="7"/>
      <c r="M417" s="8"/>
      <c r="N417" s="9"/>
    </row>
    <row r="418" ht="14.25" customHeight="1">
      <c r="K418" s="7"/>
      <c r="L418" s="7"/>
      <c r="M418" s="8"/>
      <c r="N418" s="9"/>
    </row>
    <row r="419" ht="14.25" customHeight="1">
      <c r="K419" s="7"/>
      <c r="L419" s="7"/>
      <c r="M419" s="8"/>
      <c r="N419" s="9"/>
    </row>
    <row r="420" ht="14.25" customHeight="1">
      <c r="K420" s="7"/>
      <c r="L420" s="7"/>
      <c r="M420" s="8"/>
      <c r="N420" s="9"/>
    </row>
    <row r="421" ht="14.25" customHeight="1">
      <c r="K421" s="7"/>
      <c r="L421" s="7"/>
      <c r="M421" s="8"/>
      <c r="N421" s="9"/>
    </row>
    <row r="422" ht="14.25" customHeight="1">
      <c r="K422" s="7"/>
      <c r="L422" s="7"/>
      <c r="M422" s="8"/>
      <c r="N422" s="9"/>
    </row>
    <row r="423" ht="14.25" customHeight="1">
      <c r="K423" s="7"/>
      <c r="L423" s="7"/>
      <c r="M423" s="8"/>
      <c r="N423" s="9"/>
    </row>
    <row r="424" ht="14.25" customHeight="1">
      <c r="K424" s="7"/>
      <c r="L424" s="7"/>
      <c r="M424" s="8"/>
      <c r="N424" s="9"/>
    </row>
    <row r="425" ht="14.25" customHeight="1">
      <c r="K425" s="7"/>
      <c r="L425" s="7"/>
      <c r="M425" s="8"/>
      <c r="N425" s="9"/>
    </row>
    <row r="426" ht="14.25" customHeight="1">
      <c r="K426" s="7"/>
      <c r="L426" s="7"/>
      <c r="M426" s="8"/>
      <c r="N426" s="9"/>
    </row>
    <row r="427" ht="14.25" customHeight="1">
      <c r="K427" s="7"/>
      <c r="L427" s="7"/>
      <c r="M427" s="8"/>
      <c r="N427" s="9"/>
    </row>
    <row r="428" ht="14.25" customHeight="1">
      <c r="K428" s="7"/>
      <c r="L428" s="7"/>
      <c r="M428" s="8"/>
      <c r="N428" s="9"/>
    </row>
    <row r="429" ht="14.25" customHeight="1">
      <c r="K429" s="7"/>
      <c r="L429" s="7"/>
      <c r="M429" s="8"/>
      <c r="N429" s="9"/>
    </row>
    <row r="430" ht="14.25" customHeight="1">
      <c r="K430" s="7"/>
      <c r="L430" s="7"/>
      <c r="M430" s="8"/>
      <c r="N430" s="9"/>
    </row>
    <row r="431" ht="14.25" customHeight="1">
      <c r="K431" s="7"/>
      <c r="L431" s="7"/>
      <c r="M431" s="8"/>
      <c r="N431" s="9"/>
    </row>
    <row r="432" ht="14.25" customHeight="1">
      <c r="K432" s="7"/>
      <c r="L432" s="7"/>
      <c r="M432" s="8"/>
      <c r="N432" s="9"/>
    </row>
    <row r="433" ht="14.25" customHeight="1">
      <c r="K433" s="7"/>
      <c r="L433" s="7"/>
      <c r="M433" s="8"/>
      <c r="N433" s="9"/>
    </row>
    <row r="434" ht="14.25" customHeight="1">
      <c r="K434" s="7"/>
      <c r="L434" s="7"/>
      <c r="M434" s="8"/>
      <c r="N434" s="9"/>
    </row>
    <row r="435" ht="14.25" customHeight="1">
      <c r="K435" s="7"/>
      <c r="L435" s="7"/>
      <c r="M435" s="8"/>
      <c r="N435" s="9"/>
    </row>
    <row r="436" ht="14.25" customHeight="1">
      <c r="K436" s="7"/>
      <c r="L436" s="7"/>
      <c r="M436" s="8"/>
      <c r="N436" s="9"/>
    </row>
    <row r="437" ht="14.25" customHeight="1">
      <c r="K437" s="7"/>
      <c r="L437" s="7"/>
      <c r="M437" s="8"/>
      <c r="N437" s="9"/>
    </row>
    <row r="438" ht="14.25" customHeight="1">
      <c r="K438" s="7"/>
      <c r="L438" s="7"/>
      <c r="M438" s="8"/>
      <c r="N438" s="9"/>
    </row>
    <row r="439" ht="14.25" customHeight="1">
      <c r="K439" s="7"/>
      <c r="L439" s="7"/>
      <c r="M439" s="8"/>
      <c r="N439" s="9"/>
    </row>
    <row r="440" ht="14.25" customHeight="1">
      <c r="K440" s="7"/>
      <c r="L440" s="7"/>
      <c r="M440" s="8"/>
      <c r="N440" s="9"/>
    </row>
    <row r="441" ht="14.25" customHeight="1">
      <c r="K441" s="7"/>
      <c r="L441" s="7"/>
      <c r="M441" s="8"/>
      <c r="N441" s="9"/>
    </row>
    <row r="442" ht="14.25" customHeight="1">
      <c r="K442" s="7"/>
      <c r="L442" s="7"/>
      <c r="M442" s="8"/>
      <c r="N442" s="9"/>
    </row>
    <row r="443" ht="14.25" customHeight="1">
      <c r="K443" s="7"/>
      <c r="L443" s="7"/>
      <c r="M443" s="8"/>
      <c r="N443" s="9"/>
    </row>
    <row r="444" ht="14.25" customHeight="1">
      <c r="K444" s="7"/>
      <c r="L444" s="7"/>
      <c r="M444" s="8"/>
      <c r="N444" s="9"/>
    </row>
    <row r="445" ht="14.25" customHeight="1">
      <c r="K445" s="7"/>
      <c r="L445" s="7"/>
      <c r="M445" s="8"/>
      <c r="N445" s="9"/>
    </row>
    <row r="446" ht="14.25" customHeight="1">
      <c r="K446" s="7"/>
      <c r="L446" s="7"/>
      <c r="M446" s="8"/>
      <c r="N446" s="9"/>
    </row>
    <row r="447" ht="14.25" customHeight="1">
      <c r="K447" s="7"/>
      <c r="L447" s="7"/>
      <c r="M447" s="8"/>
      <c r="N447" s="9"/>
    </row>
    <row r="448" ht="14.25" customHeight="1">
      <c r="K448" s="7"/>
      <c r="L448" s="7"/>
      <c r="M448" s="8"/>
      <c r="N448" s="9"/>
    </row>
    <row r="449" ht="14.25" customHeight="1">
      <c r="K449" s="7"/>
      <c r="L449" s="7"/>
      <c r="M449" s="8"/>
      <c r="N449" s="9"/>
    </row>
    <row r="450" ht="14.25" customHeight="1">
      <c r="K450" s="7"/>
      <c r="L450" s="7"/>
      <c r="M450" s="8"/>
      <c r="N450" s="9"/>
    </row>
    <row r="451" ht="14.25" customHeight="1">
      <c r="K451" s="7"/>
      <c r="L451" s="7"/>
      <c r="M451" s="8"/>
      <c r="N451" s="9"/>
    </row>
    <row r="452" ht="14.25" customHeight="1">
      <c r="K452" s="7"/>
      <c r="L452" s="7"/>
      <c r="M452" s="8"/>
      <c r="N452" s="9"/>
    </row>
    <row r="453" ht="14.25" customHeight="1">
      <c r="K453" s="7"/>
      <c r="L453" s="7"/>
      <c r="M453" s="8"/>
      <c r="N453" s="9"/>
    </row>
    <row r="454" ht="14.25" customHeight="1">
      <c r="K454" s="7"/>
      <c r="L454" s="7"/>
      <c r="M454" s="8"/>
      <c r="N454" s="9"/>
    </row>
    <row r="455" ht="14.25" customHeight="1">
      <c r="K455" s="7"/>
      <c r="L455" s="7"/>
      <c r="M455" s="8"/>
      <c r="N455" s="9"/>
    </row>
    <row r="456" ht="14.25" customHeight="1">
      <c r="K456" s="7"/>
      <c r="L456" s="7"/>
      <c r="M456" s="8"/>
      <c r="N456" s="9"/>
    </row>
    <row r="457" ht="14.25" customHeight="1">
      <c r="K457" s="7"/>
      <c r="L457" s="7"/>
      <c r="M457" s="8"/>
      <c r="N457" s="9"/>
    </row>
    <row r="458" ht="14.25" customHeight="1">
      <c r="K458" s="7"/>
      <c r="L458" s="7"/>
      <c r="M458" s="8"/>
      <c r="N458" s="9"/>
    </row>
    <row r="459" ht="14.25" customHeight="1">
      <c r="K459" s="7"/>
      <c r="L459" s="7"/>
      <c r="M459" s="8"/>
      <c r="N459" s="9"/>
    </row>
    <row r="460" ht="14.25" customHeight="1">
      <c r="K460" s="7"/>
      <c r="L460" s="7"/>
      <c r="M460" s="8"/>
      <c r="N460" s="9"/>
    </row>
    <row r="461" ht="14.25" customHeight="1">
      <c r="K461" s="7"/>
      <c r="L461" s="7"/>
      <c r="M461" s="8"/>
      <c r="N461" s="9"/>
    </row>
    <row r="462" ht="14.25" customHeight="1">
      <c r="K462" s="7"/>
      <c r="L462" s="7"/>
      <c r="M462" s="8"/>
      <c r="N462" s="9"/>
    </row>
    <row r="463" ht="14.25" customHeight="1">
      <c r="K463" s="7"/>
      <c r="L463" s="7"/>
      <c r="M463" s="8"/>
      <c r="N463" s="9"/>
    </row>
    <row r="464" ht="14.25" customHeight="1">
      <c r="K464" s="7"/>
      <c r="L464" s="7"/>
      <c r="M464" s="8"/>
      <c r="N464" s="9"/>
    </row>
    <row r="465" ht="14.25" customHeight="1">
      <c r="K465" s="7"/>
      <c r="L465" s="7"/>
      <c r="M465" s="8"/>
      <c r="N465" s="9"/>
    </row>
    <row r="466" ht="14.25" customHeight="1">
      <c r="K466" s="7"/>
      <c r="L466" s="7"/>
      <c r="M466" s="8"/>
      <c r="N466" s="9"/>
    </row>
    <row r="467" ht="14.25" customHeight="1">
      <c r="K467" s="7"/>
      <c r="L467" s="7"/>
      <c r="M467" s="8"/>
      <c r="N467" s="9"/>
    </row>
    <row r="468" ht="14.25" customHeight="1">
      <c r="K468" s="7"/>
      <c r="L468" s="7"/>
      <c r="M468" s="8"/>
      <c r="N468" s="9"/>
    </row>
    <row r="469" ht="14.25" customHeight="1">
      <c r="K469" s="7"/>
      <c r="L469" s="7"/>
      <c r="M469" s="8"/>
      <c r="N469" s="9"/>
    </row>
    <row r="470" ht="14.25" customHeight="1">
      <c r="K470" s="7"/>
      <c r="L470" s="7"/>
      <c r="M470" s="8"/>
      <c r="N470" s="9"/>
    </row>
    <row r="471" ht="14.25" customHeight="1">
      <c r="K471" s="7"/>
      <c r="L471" s="7"/>
      <c r="M471" s="8"/>
      <c r="N471" s="9"/>
    </row>
    <row r="472" ht="14.25" customHeight="1">
      <c r="K472" s="7"/>
      <c r="L472" s="7"/>
      <c r="M472" s="8"/>
      <c r="N472" s="9"/>
    </row>
    <row r="473" ht="14.25" customHeight="1">
      <c r="K473" s="7"/>
      <c r="L473" s="7"/>
      <c r="M473" s="8"/>
      <c r="N473" s="9"/>
    </row>
    <row r="474" ht="14.25" customHeight="1">
      <c r="K474" s="7"/>
      <c r="L474" s="7"/>
      <c r="M474" s="8"/>
      <c r="N474" s="9"/>
    </row>
    <row r="475" ht="14.25" customHeight="1">
      <c r="K475" s="7"/>
      <c r="L475" s="7"/>
      <c r="M475" s="8"/>
      <c r="N475" s="9"/>
    </row>
    <row r="476" ht="14.25" customHeight="1">
      <c r="K476" s="7"/>
      <c r="L476" s="7"/>
      <c r="M476" s="8"/>
      <c r="N476" s="9"/>
    </row>
    <row r="477" ht="14.25" customHeight="1">
      <c r="K477" s="7"/>
      <c r="L477" s="7"/>
      <c r="M477" s="8"/>
      <c r="N477" s="9"/>
    </row>
    <row r="478" ht="14.25" customHeight="1">
      <c r="K478" s="7"/>
      <c r="L478" s="7"/>
      <c r="M478" s="8"/>
      <c r="N478" s="9"/>
    </row>
    <row r="479" ht="14.25" customHeight="1">
      <c r="K479" s="7"/>
      <c r="L479" s="7"/>
      <c r="M479" s="8"/>
      <c r="N479" s="9"/>
    </row>
    <row r="480" ht="14.25" customHeight="1">
      <c r="K480" s="7"/>
      <c r="L480" s="7"/>
      <c r="M480" s="8"/>
      <c r="N480" s="9"/>
    </row>
    <row r="481" ht="14.25" customHeight="1">
      <c r="K481" s="7"/>
      <c r="L481" s="7"/>
      <c r="M481" s="8"/>
      <c r="N481" s="9"/>
    </row>
    <row r="482" ht="14.25" customHeight="1">
      <c r="K482" s="7"/>
      <c r="L482" s="7"/>
      <c r="M482" s="8"/>
      <c r="N482" s="9"/>
    </row>
    <row r="483" ht="14.25" customHeight="1">
      <c r="K483" s="7"/>
      <c r="L483" s="7"/>
      <c r="M483" s="8"/>
      <c r="N483" s="9"/>
    </row>
    <row r="484" ht="14.25" customHeight="1">
      <c r="K484" s="7"/>
      <c r="L484" s="7"/>
      <c r="M484" s="8"/>
      <c r="N484" s="9"/>
    </row>
    <row r="485" ht="14.25" customHeight="1">
      <c r="K485" s="7"/>
      <c r="L485" s="7"/>
      <c r="M485" s="8"/>
      <c r="N485" s="9"/>
    </row>
    <row r="486" ht="14.25" customHeight="1">
      <c r="K486" s="7"/>
      <c r="L486" s="7"/>
      <c r="M486" s="8"/>
      <c r="N486" s="9"/>
    </row>
    <row r="487" ht="14.25" customHeight="1">
      <c r="K487" s="7"/>
      <c r="L487" s="7"/>
      <c r="M487" s="8"/>
      <c r="N487" s="9"/>
    </row>
    <row r="488" ht="14.25" customHeight="1">
      <c r="K488" s="7"/>
      <c r="L488" s="7"/>
      <c r="M488" s="8"/>
      <c r="N488" s="9"/>
    </row>
    <row r="489" ht="14.25" customHeight="1">
      <c r="K489" s="7"/>
      <c r="L489" s="7"/>
      <c r="M489" s="8"/>
      <c r="N489" s="9"/>
    </row>
    <row r="490" ht="14.25" customHeight="1">
      <c r="K490" s="7"/>
      <c r="L490" s="7"/>
      <c r="M490" s="8"/>
      <c r="N490" s="9"/>
    </row>
    <row r="491" ht="14.25" customHeight="1">
      <c r="K491" s="7"/>
      <c r="L491" s="7"/>
      <c r="M491" s="8"/>
      <c r="N491" s="9"/>
    </row>
    <row r="492" ht="14.25" customHeight="1">
      <c r="K492" s="7"/>
      <c r="L492" s="7"/>
      <c r="M492" s="8"/>
      <c r="N492" s="9"/>
    </row>
    <row r="493" ht="14.25" customHeight="1">
      <c r="K493" s="7"/>
      <c r="L493" s="7"/>
      <c r="M493" s="8"/>
      <c r="N493" s="9"/>
    </row>
    <row r="494" ht="14.25" customHeight="1">
      <c r="K494" s="7"/>
      <c r="L494" s="7"/>
      <c r="M494" s="8"/>
      <c r="N494" s="9"/>
    </row>
    <row r="495" ht="14.25" customHeight="1">
      <c r="K495" s="7"/>
      <c r="L495" s="7"/>
      <c r="M495" s="8"/>
      <c r="N495" s="9"/>
    </row>
    <row r="496" ht="14.25" customHeight="1">
      <c r="K496" s="7"/>
      <c r="L496" s="7"/>
      <c r="M496" s="8"/>
      <c r="N496" s="9"/>
    </row>
    <row r="497" ht="14.25" customHeight="1">
      <c r="K497" s="7"/>
      <c r="L497" s="7"/>
      <c r="M497" s="8"/>
      <c r="N497" s="9"/>
    </row>
    <row r="498" ht="14.25" customHeight="1">
      <c r="K498" s="7"/>
      <c r="L498" s="7"/>
      <c r="M498" s="8"/>
      <c r="N498" s="9"/>
    </row>
    <row r="499" ht="14.25" customHeight="1">
      <c r="K499" s="7"/>
      <c r="L499" s="7"/>
      <c r="M499" s="8"/>
      <c r="N499" s="9"/>
    </row>
    <row r="500" ht="14.25" customHeight="1">
      <c r="K500" s="7"/>
      <c r="L500" s="7"/>
      <c r="M500" s="8"/>
      <c r="N500" s="9"/>
    </row>
    <row r="501" ht="14.25" customHeight="1">
      <c r="K501" s="7"/>
      <c r="L501" s="7"/>
      <c r="M501" s="8"/>
      <c r="N501" s="9"/>
    </row>
    <row r="502" ht="14.25" customHeight="1">
      <c r="K502" s="7"/>
      <c r="L502" s="7"/>
      <c r="M502" s="8"/>
      <c r="N502" s="9"/>
    </row>
    <row r="503" ht="14.25" customHeight="1">
      <c r="K503" s="7"/>
      <c r="L503" s="7"/>
      <c r="M503" s="8"/>
      <c r="N503" s="9"/>
    </row>
    <row r="504" ht="14.25" customHeight="1">
      <c r="K504" s="7"/>
      <c r="L504" s="7"/>
      <c r="M504" s="8"/>
      <c r="N504" s="9"/>
    </row>
    <row r="505" ht="14.25" customHeight="1">
      <c r="K505" s="7"/>
      <c r="L505" s="7"/>
      <c r="M505" s="8"/>
      <c r="N505" s="9"/>
    </row>
    <row r="506" ht="14.25" customHeight="1">
      <c r="K506" s="7"/>
      <c r="L506" s="7"/>
      <c r="M506" s="8"/>
      <c r="N506" s="9"/>
    </row>
    <row r="507" ht="14.25" customHeight="1">
      <c r="K507" s="7"/>
      <c r="L507" s="7"/>
      <c r="M507" s="8"/>
      <c r="N507" s="9"/>
    </row>
    <row r="508" ht="14.25" customHeight="1">
      <c r="K508" s="7"/>
      <c r="L508" s="7"/>
      <c r="M508" s="8"/>
      <c r="N508" s="9"/>
    </row>
    <row r="509" ht="14.25" customHeight="1">
      <c r="K509" s="7"/>
      <c r="L509" s="7"/>
      <c r="M509" s="8"/>
      <c r="N509" s="9"/>
    </row>
    <row r="510" ht="14.25" customHeight="1">
      <c r="K510" s="7"/>
      <c r="L510" s="7"/>
      <c r="M510" s="8"/>
      <c r="N510" s="9"/>
    </row>
    <row r="511" ht="14.25" customHeight="1">
      <c r="K511" s="7"/>
      <c r="L511" s="7"/>
      <c r="M511" s="8"/>
      <c r="N511" s="9"/>
    </row>
    <row r="512" ht="14.25" customHeight="1">
      <c r="K512" s="7"/>
      <c r="L512" s="7"/>
      <c r="M512" s="8"/>
      <c r="N512" s="9"/>
    </row>
    <row r="513" ht="14.25" customHeight="1">
      <c r="K513" s="7"/>
      <c r="L513" s="7"/>
      <c r="M513" s="8"/>
      <c r="N513" s="9"/>
    </row>
    <row r="514" ht="14.25" customHeight="1">
      <c r="K514" s="7"/>
      <c r="L514" s="7"/>
      <c r="M514" s="8"/>
      <c r="N514" s="9"/>
    </row>
    <row r="515" ht="14.25" customHeight="1">
      <c r="K515" s="7"/>
      <c r="L515" s="7"/>
      <c r="M515" s="8"/>
      <c r="N515" s="9"/>
    </row>
    <row r="516" ht="14.25" customHeight="1">
      <c r="K516" s="7"/>
      <c r="L516" s="7"/>
      <c r="M516" s="8"/>
      <c r="N516" s="9"/>
    </row>
    <row r="517" ht="14.25" customHeight="1">
      <c r="K517" s="7"/>
      <c r="L517" s="7"/>
      <c r="M517" s="8"/>
      <c r="N517" s="9"/>
    </row>
    <row r="518" ht="14.25" customHeight="1">
      <c r="K518" s="7"/>
      <c r="L518" s="7"/>
      <c r="M518" s="8"/>
      <c r="N518" s="9"/>
    </row>
    <row r="519" ht="14.25" customHeight="1">
      <c r="K519" s="7"/>
      <c r="L519" s="7"/>
      <c r="M519" s="8"/>
      <c r="N519" s="9"/>
    </row>
    <row r="520" ht="14.25" customHeight="1">
      <c r="K520" s="7"/>
      <c r="L520" s="7"/>
      <c r="M520" s="8"/>
      <c r="N520" s="9"/>
    </row>
    <row r="521" ht="14.25" customHeight="1">
      <c r="K521" s="7"/>
      <c r="L521" s="7"/>
      <c r="M521" s="8"/>
      <c r="N521" s="9"/>
    </row>
    <row r="522" ht="14.25" customHeight="1">
      <c r="K522" s="7"/>
      <c r="L522" s="7"/>
      <c r="M522" s="8"/>
      <c r="N522" s="9"/>
    </row>
    <row r="523" ht="14.25" customHeight="1">
      <c r="K523" s="7"/>
      <c r="L523" s="7"/>
      <c r="M523" s="8"/>
      <c r="N523" s="9"/>
    </row>
    <row r="524" ht="14.25" customHeight="1">
      <c r="K524" s="7"/>
      <c r="L524" s="7"/>
      <c r="M524" s="8"/>
      <c r="N524" s="9"/>
    </row>
    <row r="525" ht="14.25" customHeight="1">
      <c r="K525" s="7"/>
      <c r="L525" s="7"/>
      <c r="M525" s="8"/>
      <c r="N525" s="9"/>
    </row>
    <row r="526" ht="14.25" customHeight="1">
      <c r="K526" s="7"/>
      <c r="L526" s="7"/>
      <c r="M526" s="8"/>
      <c r="N526" s="9"/>
    </row>
    <row r="527" ht="14.25" customHeight="1">
      <c r="K527" s="7"/>
      <c r="L527" s="7"/>
      <c r="M527" s="8"/>
      <c r="N527" s="9"/>
    </row>
    <row r="528" ht="14.25" customHeight="1">
      <c r="K528" s="7"/>
      <c r="L528" s="7"/>
      <c r="M528" s="8"/>
      <c r="N528" s="9"/>
    </row>
    <row r="529" ht="14.25" customHeight="1">
      <c r="K529" s="7"/>
      <c r="L529" s="7"/>
      <c r="M529" s="8"/>
      <c r="N529" s="9"/>
    </row>
    <row r="530" ht="14.25" customHeight="1">
      <c r="K530" s="7"/>
      <c r="L530" s="7"/>
      <c r="M530" s="8"/>
      <c r="N530" s="9"/>
    </row>
    <row r="531" ht="14.25" customHeight="1">
      <c r="K531" s="7"/>
      <c r="L531" s="7"/>
      <c r="M531" s="8"/>
      <c r="N531" s="9"/>
    </row>
    <row r="532" ht="14.25" customHeight="1">
      <c r="K532" s="7"/>
      <c r="L532" s="7"/>
      <c r="M532" s="8"/>
      <c r="N532" s="9"/>
    </row>
    <row r="533" ht="14.25" customHeight="1">
      <c r="K533" s="7"/>
      <c r="L533" s="7"/>
      <c r="M533" s="8"/>
      <c r="N533" s="9"/>
    </row>
    <row r="534" ht="14.25" customHeight="1">
      <c r="K534" s="7"/>
      <c r="L534" s="7"/>
      <c r="M534" s="8"/>
      <c r="N534" s="9"/>
    </row>
    <row r="535" ht="14.25" customHeight="1">
      <c r="K535" s="7"/>
      <c r="L535" s="7"/>
      <c r="M535" s="8"/>
      <c r="N535" s="9"/>
    </row>
    <row r="536" ht="14.25" customHeight="1">
      <c r="K536" s="7"/>
      <c r="L536" s="7"/>
      <c r="M536" s="8"/>
      <c r="N536" s="9"/>
    </row>
    <row r="537" ht="14.25" customHeight="1">
      <c r="K537" s="7"/>
      <c r="L537" s="7"/>
      <c r="M537" s="8"/>
      <c r="N537" s="9"/>
    </row>
    <row r="538" ht="14.25" customHeight="1">
      <c r="K538" s="7"/>
      <c r="L538" s="7"/>
      <c r="M538" s="8"/>
      <c r="N538" s="9"/>
    </row>
    <row r="539" ht="14.25" customHeight="1">
      <c r="K539" s="7"/>
      <c r="L539" s="7"/>
      <c r="M539" s="8"/>
      <c r="N539" s="9"/>
    </row>
    <row r="540" ht="14.25" customHeight="1">
      <c r="K540" s="7"/>
      <c r="L540" s="7"/>
      <c r="M540" s="8"/>
      <c r="N540" s="9"/>
    </row>
    <row r="541" ht="14.25" customHeight="1">
      <c r="K541" s="7"/>
      <c r="L541" s="7"/>
      <c r="M541" s="8"/>
      <c r="N541" s="9"/>
    </row>
    <row r="542" ht="14.25" customHeight="1">
      <c r="K542" s="7"/>
      <c r="L542" s="7"/>
      <c r="M542" s="8"/>
      <c r="N542" s="9"/>
    </row>
    <row r="543" ht="14.25" customHeight="1">
      <c r="K543" s="7"/>
      <c r="L543" s="7"/>
      <c r="M543" s="8"/>
      <c r="N543" s="9"/>
    </row>
    <row r="544" ht="14.25" customHeight="1">
      <c r="K544" s="7"/>
      <c r="L544" s="7"/>
      <c r="M544" s="8"/>
      <c r="N544" s="9"/>
    </row>
    <row r="545" ht="14.25" customHeight="1">
      <c r="K545" s="7"/>
      <c r="L545" s="7"/>
      <c r="M545" s="8"/>
      <c r="N545" s="9"/>
    </row>
    <row r="546" ht="14.25" customHeight="1">
      <c r="K546" s="7"/>
      <c r="L546" s="7"/>
      <c r="M546" s="8"/>
      <c r="N546" s="9"/>
    </row>
    <row r="547" ht="14.25" customHeight="1">
      <c r="K547" s="7"/>
      <c r="L547" s="7"/>
      <c r="M547" s="8"/>
      <c r="N547" s="9"/>
    </row>
    <row r="548" ht="14.25" customHeight="1">
      <c r="K548" s="7"/>
      <c r="L548" s="7"/>
      <c r="M548" s="8"/>
      <c r="N548" s="9"/>
    </row>
    <row r="549" ht="14.25" customHeight="1">
      <c r="K549" s="7"/>
      <c r="L549" s="7"/>
      <c r="M549" s="8"/>
      <c r="N549" s="9"/>
    </row>
    <row r="550" ht="14.25" customHeight="1">
      <c r="K550" s="7"/>
      <c r="L550" s="7"/>
      <c r="M550" s="8"/>
      <c r="N550" s="9"/>
    </row>
    <row r="551" ht="14.25" customHeight="1">
      <c r="K551" s="7"/>
      <c r="L551" s="7"/>
      <c r="M551" s="8"/>
      <c r="N551" s="9"/>
    </row>
    <row r="552" ht="14.25" customHeight="1">
      <c r="K552" s="7"/>
      <c r="L552" s="7"/>
      <c r="M552" s="8"/>
      <c r="N552" s="9"/>
    </row>
    <row r="553" ht="14.25" customHeight="1">
      <c r="K553" s="7"/>
      <c r="L553" s="7"/>
      <c r="M553" s="8"/>
      <c r="N553" s="9"/>
    </row>
    <row r="554" ht="14.25" customHeight="1">
      <c r="K554" s="7"/>
      <c r="L554" s="7"/>
      <c r="M554" s="8"/>
      <c r="N554" s="9"/>
    </row>
    <row r="555" ht="14.25" customHeight="1">
      <c r="K555" s="7"/>
      <c r="L555" s="7"/>
      <c r="M555" s="8"/>
      <c r="N555" s="9"/>
    </row>
    <row r="556" ht="14.25" customHeight="1">
      <c r="K556" s="7"/>
      <c r="L556" s="7"/>
      <c r="M556" s="8"/>
      <c r="N556" s="9"/>
    </row>
    <row r="557" ht="14.25" customHeight="1">
      <c r="K557" s="7"/>
      <c r="L557" s="7"/>
      <c r="M557" s="8"/>
      <c r="N557" s="9"/>
    </row>
    <row r="558" ht="14.25" customHeight="1">
      <c r="K558" s="7"/>
      <c r="L558" s="7"/>
      <c r="M558" s="8"/>
      <c r="N558" s="9"/>
    </row>
    <row r="559" ht="14.25" customHeight="1">
      <c r="K559" s="7"/>
      <c r="L559" s="7"/>
      <c r="M559" s="8"/>
      <c r="N559" s="9"/>
    </row>
    <row r="560" ht="14.25" customHeight="1">
      <c r="K560" s="7"/>
      <c r="L560" s="7"/>
      <c r="M560" s="8"/>
      <c r="N560" s="9"/>
    </row>
    <row r="561" ht="14.25" customHeight="1">
      <c r="K561" s="7"/>
      <c r="L561" s="7"/>
      <c r="M561" s="8"/>
      <c r="N561" s="9"/>
    </row>
    <row r="562" ht="14.25" customHeight="1">
      <c r="K562" s="7"/>
      <c r="L562" s="7"/>
      <c r="M562" s="8"/>
      <c r="N562" s="9"/>
    </row>
    <row r="563" ht="14.25" customHeight="1">
      <c r="K563" s="7"/>
      <c r="L563" s="7"/>
      <c r="M563" s="8"/>
      <c r="N563" s="9"/>
    </row>
    <row r="564" ht="14.25" customHeight="1">
      <c r="K564" s="7"/>
      <c r="L564" s="7"/>
      <c r="M564" s="8"/>
      <c r="N564" s="9"/>
    </row>
    <row r="565" ht="14.25" customHeight="1">
      <c r="K565" s="7"/>
      <c r="L565" s="7"/>
      <c r="M565" s="8"/>
      <c r="N565" s="9"/>
    </row>
    <row r="566" ht="14.25" customHeight="1">
      <c r="K566" s="7"/>
      <c r="L566" s="7"/>
      <c r="M566" s="8"/>
      <c r="N566" s="9"/>
    </row>
    <row r="567" ht="14.25" customHeight="1">
      <c r="K567" s="7"/>
      <c r="L567" s="7"/>
      <c r="M567" s="8"/>
      <c r="N567" s="9"/>
    </row>
    <row r="568" ht="14.25" customHeight="1">
      <c r="K568" s="7"/>
      <c r="L568" s="7"/>
      <c r="M568" s="8"/>
      <c r="N568" s="9"/>
    </row>
    <row r="569" ht="14.25" customHeight="1">
      <c r="K569" s="7"/>
      <c r="L569" s="7"/>
      <c r="M569" s="8"/>
      <c r="N569" s="9"/>
    </row>
    <row r="570" ht="14.25" customHeight="1">
      <c r="K570" s="7"/>
      <c r="L570" s="7"/>
      <c r="M570" s="8"/>
      <c r="N570" s="9"/>
    </row>
    <row r="571" ht="14.25" customHeight="1">
      <c r="K571" s="7"/>
      <c r="L571" s="7"/>
      <c r="M571" s="8"/>
      <c r="N571" s="9"/>
    </row>
    <row r="572" ht="14.25" customHeight="1">
      <c r="K572" s="7"/>
      <c r="L572" s="7"/>
      <c r="M572" s="8"/>
      <c r="N572" s="9"/>
    </row>
    <row r="573" ht="14.25" customHeight="1">
      <c r="K573" s="7"/>
      <c r="L573" s="7"/>
      <c r="M573" s="8"/>
      <c r="N573" s="9"/>
    </row>
    <row r="574" ht="14.25" customHeight="1">
      <c r="K574" s="7"/>
      <c r="L574" s="7"/>
      <c r="M574" s="8"/>
      <c r="N574" s="9"/>
    </row>
    <row r="575" ht="14.25" customHeight="1">
      <c r="K575" s="7"/>
      <c r="L575" s="7"/>
      <c r="M575" s="8"/>
      <c r="N575" s="9"/>
    </row>
    <row r="576" ht="14.25" customHeight="1">
      <c r="K576" s="7"/>
      <c r="L576" s="7"/>
      <c r="M576" s="8"/>
      <c r="N576" s="9"/>
    </row>
    <row r="577" ht="14.25" customHeight="1">
      <c r="K577" s="7"/>
      <c r="L577" s="7"/>
      <c r="M577" s="8"/>
      <c r="N577" s="9"/>
    </row>
    <row r="578" ht="14.25" customHeight="1">
      <c r="K578" s="7"/>
      <c r="L578" s="7"/>
      <c r="M578" s="8"/>
      <c r="N578" s="9"/>
    </row>
    <row r="579" ht="14.25" customHeight="1">
      <c r="K579" s="7"/>
      <c r="L579" s="7"/>
      <c r="M579" s="8"/>
      <c r="N579" s="9"/>
    </row>
    <row r="580" ht="14.25" customHeight="1">
      <c r="K580" s="7"/>
      <c r="L580" s="7"/>
      <c r="M580" s="8"/>
      <c r="N580" s="9"/>
    </row>
    <row r="581" ht="14.25" customHeight="1">
      <c r="K581" s="7"/>
      <c r="L581" s="7"/>
      <c r="M581" s="8"/>
      <c r="N581" s="9"/>
    </row>
    <row r="582" ht="14.25" customHeight="1">
      <c r="K582" s="7"/>
      <c r="L582" s="7"/>
      <c r="M582" s="8"/>
      <c r="N582" s="9"/>
    </row>
    <row r="583" ht="14.25" customHeight="1">
      <c r="K583" s="7"/>
      <c r="L583" s="7"/>
      <c r="M583" s="8"/>
      <c r="N583" s="9"/>
    </row>
    <row r="584" ht="14.25" customHeight="1">
      <c r="K584" s="7"/>
      <c r="L584" s="7"/>
      <c r="M584" s="8"/>
      <c r="N584" s="9"/>
    </row>
    <row r="585" ht="14.25" customHeight="1">
      <c r="K585" s="7"/>
      <c r="L585" s="7"/>
      <c r="M585" s="8"/>
      <c r="N585" s="9"/>
    </row>
    <row r="586" ht="14.25" customHeight="1">
      <c r="K586" s="7"/>
      <c r="L586" s="7"/>
      <c r="M586" s="8"/>
      <c r="N586" s="9"/>
    </row>
    <row r="587" ht="14.25" customHeight="1">
      <c r="K587" s="7"/>
      <c r="L587" s="7"/>
      <c r="M587" s="8"/>
      <c r="N587" s="9"/>
    </row>
    <row r="588" ht="14.25" customHeight="1">
      <c r="K588" s="7"/>
      <c r="L588" s="7"/>
      <c r="M588" s="8"/>
      <c r="N588" s="9"/>
    </row>
    <row r="589" ht="14.25" customHeight="1">
      <c r="K589" s="7"/>
      <c r="L589" s="7"/>
      <c r="M589" s="8"/>
      <c r="N589" s="9"/>
    </row>
    <row r="590" ht="14.25" customHeight="1">
      <c r="K590" s="7"/>
      <c r="L590" s="7"/>
      <c r="M590" s="8"/>
      <c r="N590" s="9"/>
    </row>
    <row r="591" ht="14.25" customHeight="1">
      <c r="K591" s="7"/>
      <c r="L591" s="7"/>
      <c r="M591" s="8"/>
      <c r="N591" s="9"/>
    </row>
    <row r="592" ht="14.25" customHeight="1">
      <c r="K592" s="7"/>
      <c r="L592" s="7"/>
      <c r="M592" s="8"/>
      <c r="N592" s="9"/>
    </row>
    <row r="593" ht="14.25" customHeight="1">
      <c r="K593" s="7"/>
      <c r="L593" s="7"/>
      <c r="M593" s="8"/>
      <c r="N593" s="9"/>
    </row>
    <row r="594" ht="14.25" customHeight="1">
      <c r="K594" s="7"/>
      <c r="L594" s="7"/>
      <c r="M594" s="8"/>
      <c r="N594" s="9"/>
    </row>
    <row r="595" ht="14.25" customHeight="1">
      <c r="K595" s="7"/>
      <c r="L595" s="7"/>
      <c r="M595" s="8"/>
      <c r="N595" s="9"/>
    </row>
    <row r="596" ht="14.25" customHeight="1">
      <c r="K596" s="7"/>
      <c r="L596" s="7"/>
      <c r="M596" s="8"/>
      <c r="N596" s="9"/>
    </row>
    <row r="597" ht="14.25" customHeight="1">
      <c r="K597" s="7"/>
      <c r="L597" s="7"/>
      <c r="M597" s="8"/>
      <c r="N597" s="9"/>
    </row>
    <row r="598" ht="14.25" customHeight="1">
      <c r="K598" s="7"/>
      <c r="L598" s="7"/>
      <c r="M598" s="8"/>
      <c r="N598" s="9"/>
    </row>
    <row r="599" ht="14.25" customHeight="1">
      <c r="K599" s="7"/>
      <c r="L599" s="7"/>
      <c r="M599" s="8"/>
      <c r="N599" s="9"/>
    </row>
    <row r="600" ht="14.25" customHeight="1">
      <c r="K600" s="7"/>
      <c r="L600" s="7"/>
      <c r="M600" s="8"/>
      <c r="N600" s="9"/>
    </row>
    <row r="601" ht="14.25" customHeight="1">
      <c r="K601" s="7"/>
      <c r="L601" s="7"/>
      <c r="M601" s="8"/>
      <c r="N601" s="9"/>
    </row>
    <row r="602" ht="14.25" customHeight="1">
      <c r="K602" s="7"/>
      <c r="L602" s="7"/>
      <c r="M602" s="8"/>
      <c r="N602" s="9"/>
    </row>
    <row r="603" ht="14.25" customHeight="1">
      <c r="K603" s="7"/>
      <c r="L603" s="7"/>
      <c r="M603" s="8"/>
      <c r="N603" s="9"/>
    </row>
    <row r="604" ht="14.25" customHeight="1">
      <c r="K604" s="7"/>
      <c r="L604" s="7"/>
      <c r="M604" s="8"/>
      <c r="N604" s="9"/>
    </row>
    <row r="605" ht="14.25" customHeight="1">
      <c r="K605" s="7"/>
      <c r="L605" s="7"/>
      <c r="M605" s="8"/>
      <c r="N605" s="9"/>
    </row>
    <row r="606" ht="14.25" customHeight="1">
      <c r="K606" s="7"/>
      <c r="L606" s="7"/>
      <c r="M606" s="8"/>
      <c r="N606" s="9"/>
    </row>
    <row r="607" ht="14.25" customHeight="1">
      <c r="K607" s="7"/>
      <c r="L607" s="7"/>
      <c r="M607" s="8"/>
      <c r="N607" s="9"/>
    </row>
    <row r="608" ht="14.25" customHeight="1">
      <c r="K608" s="7"/>
      <c r="L608" s="7"/>
      <c r="M608" s="8"/>
      <c r="N608" s="9"/>
    </row>
    <row r="609" ht="14.25" customHeight="1">
      <c r="K609" s="7"/>
      <c r="L609" s="7"/>
      <c r="M609" s="8"/>
      <c r="N609" s="9"/>
    </row>
    <row r="610" ht="14.25" customHeight="1">
      <c r="K610" s="7"/>
      <c r="L610" s="7"/>
      <c r="M610" s="8"/>
      <c r="N610" s="9"/>
    </row>
    <row r="611" ht="14.25" customHeight="1">
      <c r="K611" s="7"/>
      <c r="L611" s="7"/>
      <c r="M611" s="8"/>
      <c r="N611" s="9"/>
    </row>
    <row r="612" ht="14.25" customHeight="1">
      <c r="K612" s="7"/>
      <c r="L612" s="7"/>
      <c r="M612" s="8"/>
      <c r="N612" s="9"/>
    </row>
    <row r="613" ht="14.25" customHeight="1">
      <c r="K613" s="7"/>
      <c r="L613" s="7"/>
      <c r="M613" s="8"/>
      <c r="N613" s="9"/>
    </row>
    <row r="614" ht="14.25" customHeight="1">
      <c r="K614" s="7"/>
      <c r="L614" s="7"/>
      <c r="M614" s="8"/>
      <c r="N614" s="9"/>
    </row>
    <row r="615" ht="14.25" customHeight="1">
      <c r="K615" s="7"/>
      <c r="L615" s="7"/>
      <c r="M615" s="8"/>
      <c r="N615" s="9"/>
    </row>
    <row r="616" ht="14.25" customHeight="1">
      <c r="K616" s="7"/>
      <c r="L616" s="7"/>
      <c r="M616" s="8"/>
      <c r="N616" s="9"/>
    </row>
    <row r="617" ht="14.25" customHeight="1">
      <c r="K617" s="7"/>
      <c r="L617" s="7"/>
      <c r="M617" s="8"/>
      <c r="N617" s="9"/>
    </row>
    <row r="618" ht="14.25" customHeight="1">
      <c r="K618" s="7"/>
      <c r="L618" s="7"/>
      <c r="M618" s="8"/>
      <c r="N618" s="9"/>
    </row>
    <row r="619" ht="14.25" customHeight="1">
      <c r="K619" s="7"/>
      <c r="L619" s="7"/>
      <c r="M619" s="8"/>
      <c r="N619" s="9"/>
    </row>
    <row r="620" ht="14.25" customHeight="1">
      <c r="K620" s="7"/>
      <c r="L620" s="7"/>
      <c r="M620" s="8"/>
      <c r="N620" s="9"/>
    </row>
    <row r="621" ht="14.25" customHeight="1">
      <c r="K621" s="7"/>
      <c r="L621" s="7"/>
      <c r="M621" s="8"/>
      <c r="N621" s="9"/>
    </row>
    <row r="622" ht="14.25" customHeight="1">
      <c r="K622" s="7"/>
      <c r="L622" s="7"/>
      <c r="M622" s="8"/>
      <c r="N622" s="9"/>
    </row>
    <row r="623" ht="14.25" customHeight="1">
      <c r="K623" s="7"/>
      <c r="L623" s="7"/>
      <c r="M623" s="8"/>
      <c r="N623" s="9"/>
    </row>
    <row r="624" ht="14.25" customHeight="1">
      <c r="K624" s="7"/>
      <c r="L624" s="7"/>
      <c r="M624" s="8"/>
      <c r="N624" s="9"/>
    </row>
    <row r="625" ht="14.25" customHeight="1">
      <c r="K625" s="7"/>
      <c r="L625" s="7"/>
      <c r="M625" s="8"/>
      <c r="N625" s="9"/>
    </row>
    <row r="626" ht="14.25" customHeight="1">
      <c r="K626" s="7"/>
      <c r="L626" s="7"/>
      <c r="M626" s="8"/>
      <c r="N626" s="9"/>
    </row>
    <row r="627" ht="14.25" customHeight="1">
      <c r="K627" s="7"/>
      <c r="L627" s="7"/>
      <c r="M627" s="8"/>
      <c r="N627" s="9"/>
    </row>
    <row r="628" ht="14.25" customHeight="1">
      <c r="K628" s="7"/>
      <c r="L628" s="7"/>
      <c r="M628" s="8"/>
      <c r="N628" s="9"/>
    </row>
    <row r="629" ht="14.25" customHeight="1">
      <c r="K629" s="7"/>
      <c r="L629" s="7"/>
      <c r="M629" s="8"/>
      <c r="N629" s="9"/>
    </row>
    <row r="630" ht="14.25" customHeight="1">
      <c r="K630" s="7"/>
      <c r="L630" s="7"/>
      <c r="M630" s="8"/>
      <c r="N630" s="9"/>
    </row>
    <row r="631" ht="14.25" customHeight="1">
      <c r="K631" s="7"/>
      <c r="L631" s="7"/>
      <c r="M631" s="8"/>
      <c r="N631" s="9"/>
    </row>
    <row r="632" ht="14.25" customHeight="1">
      <c r="K632" s="7"/>
      <c r="L632" s="7"/>
      <c r="M632" s="8"/>
      <c r="N632" s="9"/>
    </row>
    <row r="633" ht="14.25" customHeight="1">
      <c r="K633" s="7"/>
      <c r="L633" s="7"/>
      <c r="M633" s="8"/>
      <c r="N633" s="9"/>
    </row>
    <row r="634" ht="14.25" customHeight="1">
      <c r="K634" s="7"/>
      <c r="L634" s="7"/>
      <c r="M634" s="8"/>
      <c r="N634" s="9"/>
    </row>
    <row r="635" ht="14.25" customHeight="1">
      <c r="K635" s="7"/>
      <c r="L635" s="7"/>
      <c r="M635" s="8"/>
      <c r="N635" s="9"/>
    </row>
    <row r="636" ht="14.25" customHeight="1">
      <c r="K636" s="7"/>
      <c r="L636" s="7"/>
      <c r="M636" s="8"/>
      <c r="N636" s="9"/>
    </row>
    <row r="637" ht="14.25" customHeight="1">
      <c r="K637" s="7"/>
      <c r="L637" s="7"/>
      <c r="M637" s="8"/>
      <c r="N637" s="9"/>
    </row>
    <row r="638" ht="14.25" customHeight="1">
      <c r="K638" s="7"/>
      <c r="L638" s="7"/>
      <c r="M638" s="8"/>
      <c r="N638" s="9"/>
    </row>
    <row r="639" ht="14.25" customHeight="1">
      <c r="K639" s="7"/>
      <c r="L639" s="7"/>
      <c r="M639" s="8"/>
      <c r="N639" s="9"/>
    </row>
    <row r="640" ht="14.25" customHeight="1">
      <c r="K640" s="7"/>
      <c r="L640" s="7"/>
      <c r="M640" s="8"/>
      <c r="N640" s="9"/>
    </row>
    <row r="641" ht="14.25" customHeight="1">
      <c r="K641" s="7"/>
      <c r="L641" s="7"/>
      <c r="M641" s="8"/>
      <c r="N641" s="9"/>
    </row>
    <row r="642" ht="14.25" customHeight="1">
      <c r="K642" s="7"/>
      <c r="L642" s="7"/>
      <c r="M642" s="8"/>
      <c r="N642" s="9"/>
    </row>
    <row r="643" ht="14.25" customHeight="1">
      <c r="K643" s="7"/>
      <c r="L643" s="7"/>
      <c r="M643" s="8"/>
      <c r="N643" s="9"/>
    </row>
    <row r="644" ht="14.25" customHeight="1">
      <c r="K644" s="7"/>
      <c r="L644" s="7"/>
      <c r="M644" s="8"/>
      <c r="N644" s="9"/>
    </row>
    <row r="645" ht="14.25" customHeight="1">
      <c r="K645" s="7"/>
      <c r="L645" s="7"/>
      <c r="M645" s="8"/>
      <c r="N645" s="9"/>
    </row>
    <row r="646" ht="14.25" customHeight="1">
      <c r="K646" s="7"/>
      <c r="L646" s="7"/>
      <c r="M646" s="8"/>
      <c r="N646" s="9"/>
    </row>
    <row r="647" ht="14.25" customHeight="1">
      <c r="K647" s="7"/>
      <c r="L647" s="7"/>
      <c r="M647" s="8"/>
      <c r="N647" s="9"/>
    </row>
    <row r="648" ht="14.25" customHeight="1">
      <c r="K648" s="7"/>
      <c r="L648" s="7"/>
      <c r="M648" s="8"/>
      <c r="N648" s="9"/>
    </row>
    <row r="649" ht="14.25" customHeight="1">
      <c r="K649" s="7"/>
      <c r="L649" s="7"/>
      <c r="M649" s="8"/>
      <c r="N649" s="9"/>
    </row>
    <row r="650" ht="14.25" customHeight="1">
      <c r="K650" s="7"/>
      <c r="L650" s="7"/>
      <c r="M650" s="8"/>
      <c r="N650" s="9"/>
    </row>
    <row r="651" ht="14.25" customHeight="1">
      <c r="K651" s="7"/>
      <c r="L651" s="7"/>
      <c r="M651" s="8"/>
      <c r="N651" s="9"/>
    </row>
    <row r="652" ht="14.25" customHeight="1">
      <c r="K652" s="7"/>
      <c r="L652" s="7"/>
      <c r="M652" s="8"/>
      <c r="N652" s="9"/>
    </row>
    <row r="653" ht="14.25" customHeight="1">
      <c r="K653" s="7"/>
      <c r="L653" s="7"/>
      <c r="M653" s="8"/>
      <c r="N653" s="9"/>
    </row>
    <row r="654" ht="14.25" customHeight="1">
      <c r="K654" s="7"/>
      <c r="L654" s="7"/>
      <c r="M654" s="8"/>
      <c r="N654" s="9"/>
    </row>
    <row r="655" ht="14.25" customHeight="1">
      <c r="K655" s="7"/>
      <c r="L655" s="7"/>
      <c r="M655" s="8"/>
      <c r="N655" s="9"/>
    </row>
    <row r="656" ht="14.25" customHeight="1">
      <c r="K656" s="7"/>
      <c r="L656" s="7"/>
      <c r="M656" s="8"/>
      <c r="N656" s="9"/>
    </row>
    <row r="657" ht="14.25" customHeight="1">
      <c r="K657" s="7"/>
      <c r="L657" s="7"/>
      <c r="M657" s="8"/>
      <c r="N657" s="9"/>
    </row>
    <row r="658" ht="14.25" customHeight="1">
      <c r="K658" s="7"/>
      <c r="L658" s="7"/>
      <c r="M658" s="8"/>
      <c r="N658" s="9"/>
    </row>
    <row r="659" ht="14.25" customHeight="1">
      <c r="K659" s="7"/>
      <c r="L659" s="7"/>
      <c r="M659" s="8"/>
      <c r="N659" s="9"/>
    </row>
    <row r="660" ht="14.25" customHeight="1">
      <c r="K660" s="7"/>
      <c r="L660" s="7"/>
      <c r="M660" s="8"/>
      <c r="N660" s="9"/>
    </row>
    <row r="661" ht="14.25" customHeight="1">
      <c r="K661" s="7"/>
      <c r="L661" s="7"/>
      <c r="M661" s="8"/>
      <c r="N661" s="9"/>
    </row>
    <row r="662" ht="14.25" customHeight="1">
      <c r="K662" s="7"/>
      <c r="L662" s="7"/>
      <c r="M662" s="8"/>
      <c r="N662" s="9"/>
    </row>
    <row r="663" ht="14.25" customHeight="1">
      <c r="K663" s="7"/>
      <c r="L663" s="7"/>
      <c r="M663" s="8"/>
      <c r="N663" s="9"/>
    </row>
    <row r="664" ht="14.25" customHeight="1">
      <c r="K664" s="7"/>
      <c r="L664" s="7"/>
      <c r="M664" s="8"/>
      <c r="N664" s="9"/>
    </row>
    <row r="665" ht="14.25" customHeight="1">
      <c r="K665" s="7"/>
      <c r="L665" s="7"/>
      <c r="M665" s="8"/>
      <c r="N665" s="9"/>
    </row>
    <row r="666" ht="14.25" customHeight="1">
      <c r="K666" s="7"/>
      <c r="L666" s="7"/>
      <c r="M666" s="8"/>
      <c r="N666" s="9"/>
    </row>
    <row r="667" ht="14.25" customHeight="1">
      <c r="K667" s="7"/>
      <c r="L667" s="7"/>
      <c r="M667" s="8"/>
      <c r="N667" s="9"/>
    </row>
    <row r="668" ht="14.25" customHeight="1">
      <c r="K668" s="7"/>
      <c r="L668" s="7"/>
      <c r="M668" s="8"/>
      <c r="N668" s="9"/>
    </row>
    <row r="669" ht="14.25" customHeight="1">
      <c r="K669" s="7"/>
      <c r="L669" s="7"/>
      <c r="M669" s="8"/>
      <c r="N669" s="9"/>
    </row>
    <row r="670" ht="14.25" customHeight="1">
      <c r="K670" s="7"/>
      <c r="L670" s="7"/>
      <c r="M670" s="8"/>
      <c r="N670" s="9"/>
    </row>
    <row r="671" ht="14.25" customHeight="1">
      <c r="K671" s="7"/>
      <c r="L671" s="7"/>
      <c r="M671" s="8"/>
      <c r="N671" s="9"/>
    </row>
    <row r="672" ht="14.25" customHeight="1">
      <c r="K672" s="7"/>
      <c r="L672" s="7"/>
      <c r="M672" s="8"/>
      <c r="N672" s="9"/>
    </row>
    <row r="673" ht="14.25" customHeight="1">
      <c r="K673" s="7"/>
      <c r="L673" s="7"/>
      <c r="M673" s="8"/>
      <c r="N673" s="9"/>
    </row>
    <row r="674" ht="14.25" customHeight="1">
      <c r="K674" s="7"/>
      <c r="L674" s="7"/>
      <c r="M674" s="8"/>
      <c r="N674" s="9"/>
    </row>
    <row r="675" ht="14.25" customHeight="1">
      <c r="K675" s="7"/>
      <c r="L675" s="7"/>
      <c r="M675" s="8"/>
      <c r="N675" s="9"/>
    </row>
    <row r="676" ht="14.25" customHeight="1">
      <c r="K676" s="7"/>
      <c r="L676" s="7"/>
      <c r="M676" s="8"/>
      <c r="N676" s="9"/>
    </row>
    <row r="677" ht="14.25" customHeight="1">
      <c r="K677" s="7"/>
      <c r="L677" s="7"/>
      <c r="M677" s="8"/>
      <c r="N677" s="9"/>
    </row>
    <row r="678" ht="14.25" customHeight="1">
      <c r="K678" s="7"/>
      <c r="L678" s="7"/>
      <c r="M678" s="8"/>
      <c r="N678" s="9"/>
    </row>
    <row r="679" ht="14.25" customHeight="1">
      <c r="K679" s="7"/>
      <c r="L679" s="7"/>
      <c r="M679" s="8"/>
      <c r="N679" s="9"/>
    </row>
    <row r="680" ht="14.25" customHeight="1">
      <c r="K680" s="7"/>
      <c r="L680" s="7"/>
      <c r="M680" s="8"/>
      <c r="N680" s="9"/>
    </row>
    <row r="681" ht="14.25" customHeight="1">
      <c r="K681" s="7"/>
      <c r="L681" s="7"/>
      <c r="M681" s="8"/>
      <c r="N681" s="9"/>
    </row>
    <row r="682" ht="14.25" customHeight="1">
      <c r="K682" s="7"/>
      <c r="L682" s="7"/>
      <c r="M682" s="8"/>
      <c r="N682" s="9"/>
    </row>
    <row r="683" ht="14.25" customHeight="1">
      <c r="K683" s="7"/>
      <c r="L683" s="7"/>
      <c r="M683" s="8"/>
      <c r="N683" s="9"/>
    </row>
    <row r="684" ht="14.25" customHeight="1">
      <c r="K684" s="7"/>
      <c r="L684" s="7"/>
      <c r="M684" s="8"/>
      <c r="N684" s="9"/>
    </row>
    <row r="685" ht="14.25" customHeight="1">
      <c r="K685" s="7"/>
      <c r="L685" s="7"/>
      <c r="M685" s="8"/>
      <c r="N685" s="9"/>
    </row>
    <row r="686" ht="14.25" customHeight="1">
      <c r="K686" s="7"/>
      <c r="L686" s="7"/>
      <c r="M686" s="8"/>
      <c r="N686" s="9"/>
    </row>
    <row r="687" ht="14.25" customHeight="1">
      <c r="K687" s="7"/>
      <c r="L687" s="7"/>
      <c r="M687" s="8"/>
      <c r="N687" s="9"/>
    </row>
    <row r="688" ht="14.25" customHeight="1">
      <c r="K688" s="7"/>
      <c r="L688" s="7"/>
      <c r="M688" s="8"/>
      <c r="N688" s="9"/>
    </row>
    <row r="689" ht="14.25" customHeight="1">
      <c r="K689" s="7"/>
      <c r="L689" s="7"/>
      <c r="M689" s="8"/>
      <c r="N689" s="9"/>
    </row>
    <row r="690" ht="14.25" customHeight="1">
      <c r="K690" s="7"/>
      <c r="L690" s="7"/>
      <c r="M690" s="8"/>
      <c r="N690" s="9"/>
    </row>
    <row r="691" ht="14.25" customHeight="1">
      <c r="K691" s="7"/>
      <c r="L691" s="7"/>
      <c r="M691" s="8"/>
      <c r="N691" s="9"/>
    </row>
    <row r="692" ht="14.25" customHeight="1">
      <c r="K692" s="7"/>
      <c r="L692" s="7"/>
      <c r="M692" s="8"/>
      <c r="N692" s="9"/>
    </row>
    <row r="693" ht="14.25" customHeight="1">
      <c r="K693" s="7"/>
      <c r="L693" s="7"/>
      <c r="M693" s="8"/>
      <c r="N693" s="9"/>
    </row>
    <row r="694" ht="14.25" customHeight="1">
      <c r="K694" s="7"/>
      <c r="L694" s="7"/>
      <c r="M694" s="8"/>
      <c r="N694" s="9"/>
    </row>
    <row r="695" ht="14.25" customHeight="1">
      <c r="K695" s="7"/>
      <c r="L695" s="7"/>
      <c r="M695" s="8"/>
      <c r="N695" s="9"/>
    </row>
    <row r="696" ht="14.25" customHeight="1">
      <c r="K696" s="7"/>
      <c r="L696" s="7"/>
      <c r="M696" s="8"/>
      <c r="N696" s="9"/>
    </row>
    <row r="697" ht="14.25" customHeight="1">
      <c r="K697" s="7"/>
      <c r="L697" s="7"/>
      <c r="M697" s="8"/>
      <c r="N697" s="9"/>
    </row>
    <row r="698" ht="14.25" customHeight="1">
      <c r="K698" s="7"/>
      <c r="L698" s="7"/>
      <c r="M698" s="8"/>
      <c r="N698" s="9"/>
    </row>
    <row r="699" ht="14.25" customHeight="1">
      <c r="K699" s="7"/>
      <c r="L699" s="7"/>
      <c r="M699" s="8"/>
      <c r="N699" s="9"/>
    </row>
    <row r="700" ht="14.25" customHeight="1">
      <c r="K700" s="7"/>
      <c r="L700" s="7"/>
      <c r="M700" s="8"/>
      <c r="N700" s="9"/>
    </row>
    <row r="701" ht="14.25" customHeight="1">
      <c r="K701" s="7"/>
      <c r="L701" s="7"/>
      <c r="M701" s="8"/>
      <c r="N701" s="9"/>
    </row>
    <row r="702" ht="14.25" customHeight="1">
      <c r="K702" s="7"/>
      <c r="L702" s="7"/>
      <c r="M702" s="8"/>
      <c r="N702" s="9"/>
    </row>
    <row r="703" ht="14.25" customHeight="1">
      <c r="K703" s="7"/>
      <c r="L703" s="7"/>
      <c r="M703" s="8"/>
      <c r="N703" s="9"/>
    </row>
    <row r="704" ht="14.25" customHeight="1">
      <c r="K704" s="7"/>
      <c r="L704" s="7"/>
      <c r="M704" s="8"/>
      <c r="N704" s="9"/>
    </row>
    <row r="705" ht="14.25" customHeight="1">
      <c r="K705" s="7"/>
      <c r="L705" s="7"/>
      <c r="M705" s="8"/>
      <c r="N705" s="9"/>
    </row>
    <row r="706" ht="14.25" customHeight="1">
      <c r="K706" s="7"/>
      <c r="L706" s="7"/>
      <c r="M706" s="8"/>
      <c r="N706" s="9"/>
    </row>
    <row r="707" ht="14.25" customHeight="1">
      <c r="K707" s="7"/>
      <c r="L707" s="7"/>
      <c r="M707" s="8"/>
      <c r="N707" s="9"/>
    </row>
    <row r="708" ht="14.25" customHeight="1">
      <c r="K708" s="7"/>
      <c r="L708" s="7"/>
      <c r="M708" s="8"/>
      <c r="N708" s="9"/>
    </row>
    <row r="709" ht="14.25" customHeight="1">
      <c r="K709" s="7"/>
      <c r="L709" s="7"/>
      <c r="M709" s="8"/>
      <c r="N709" s="9"/>
    </row>
    <row r="710" ht="14.25" customHeight="1">
      <c r="K710" s="7"/>
      <c r="L710" s="7"/>
      <c r="M710" s="8"/>
      <c r="N710" s="9"/>
    </row>
    <row r="711" ht="14.25" customHeight="1">
      <c r="K711" s="7"/>
      <c r="L711" s="7"/>
      <c r="M711" s="8"/>
      <c r="N711" s="9"/>
    </row>
    <row r="712" ht="14.25" customHeight="1">
      <c r="K712" s="7"/>
      <c r="L712" s="7"/>
      <c r="M712" s="8"/>
      <c r="N712" s="9"/>
    </row>
    <row r="713" ht="14.25" customHeight="1">
      <c r="K713" s="7"/>
      <c r="L713" s="7"/>
      <c r="M713" s="8"/>
      <c r="N713" s="9"/>
    </row>
    <row r="714" ht="14.25" customHeight="1">
      <c r="K714" s="7"/>
      <c r="L714" s="7"/>
      <c r="M714" s="8"/>
      <c r="N714" s="9"/>
    </row>
    <row r="715" ht="14.25" customHeight="1">
      <c r="K715" s="7"/>
      <c r="L715" s="7"/>
      <c r="M715" s="8"/>
      <c r="N715" s="9"/>
    </row>
    <row r="716" ht="14.25" customHeight="1">
      <c r="K716" s="7"/>
      <c r="L716" s="7"/>
      <c r="M716" s="8"/>
      <c r="N716" s="9"/>
    </row>
    <row r="717" ht="14.25" customHeight="1">
      <c r="K717" s="7"/>
      <c r="L717" s="7"/>
      <c r="M717" s="8"/>
      <c r="N717" s="9"/>
    </row>
    <row r="718" ht="14.25" customHeight="1">
      <c r="K718" s="7"/>
      <c r="L718" s="7"/>
      <c r="M718" s="8"/>
      <c r="N718" s="9"/>
    </row>
    <row r="719" ht="14.25" customHeight="1">
      <c r="K719" s="7"/>
      <c r="L719" s="7"/>
      <c r="M719" s="8"/>
      <c r="N719" s="9"/>
    </row>
    <row r="720" ht="14.25" customHeight="1">
      <c r="K720" s="7"/>
      <c r="L720" s="7"/>
      <c r="M720" s="8"/>
      <c r="N720" s="9"/>
    </row>
    <row r="721" ht="14.25" customHeight="1">
      <c r="K721" s="7"/>
      <c r="L721" s="7"/>
      <c r="M721" s="8"/>
      <c r="N721" s="9"/>
    </row>
    <row r="722" ht="14.25" customHeight="1">
      <c r="K722" s="7"/>
      <c r="L722" s="7"/>
      <c r="M722" s="8"/>
      <c r="N722" s="9"/>
    </row>
    <row r="723" ht="14.25" customHeight="1">
      <c r="K723" s="7"/>
      <c r="L723" s="7"/>
      <c r="M723" s="8"/>
      <c r="N723" s="9"/>
    </row>
    <row r="724" ht="14.25" customHeight="1">
      <c r="K724" s="7"/>
      <c r="L724" s="7"/>
      <c r="M724" s="8"/>
      <c r="N724" s="9"/>
    </row>
    <row r="725" ht="14.25" customHeight="1">
      <c r="K725" s="7"/>
      <c r="L725" s="7"/>
      <c r="M725" s="8"/>
      <c r="N725" s="9"/>
    </row>
    <row r="726" ht="14.25" customHeight="1">
      <c r="K726" s="7"/>
      <c r="L726" s="7"/>
      <c r="M726" s="8"/>
      <c r="N726" s="9"/>
    </row>
    <row r="727" ht="14.25" customHeight="1">
      <c r="K727" s="7"/>
      <c r="L727" s="7"/>
      <c r="M727" s="8"/>
      <c r="N727" s="9"/>
    </row>
    <row r="728" ht="14.25" customHeight="1">
      <c r="K728" s="7"/>
      <c r="L728" s="7"/>
      <c r="M728" s="8"/>
      <c r="N728" s="9"/>
    </row>
    <row r="729" ht="14.25" customHeight="1">
      <c r="K729" s="7"/>
      <c r="L729" s="7"/>
      <c r="M729" s="8"/>
      <c r="N729" s="9"/>
    </row>
    <row r="730" ht="14.25" customHeight="1">
      <c r="K730" s="7"/>
      <c r="L730" s="7"/>
      <c r="M730" s="8"/>
      <c r="N730" s="9"/>
    </row>
    <row r="731" ht="14.25" customHeight="1">
      <c r="K731" s="7"/>
      <c r="L731" s="7"/>
      <c r="M731" s="8"/>
      <c r="N731" s="9"/>
    </row>
    <row r="732" ht="14.25" customHeight="1">
      <c r="K732" s="7"/>
      <c r="L732" s="7"/>
      <c r="M732" s="8"/>
      <c r="N732" s="9"/>
    </row>
    <row r="733" ht="14.25" customHeight="1">
      <c r="K733" s="7"/>
      <c r="L733" s="7"/>
      <c r="M733" s="8"/>
      <c r="N733" s="9"/>
    </row>
    <row r="734" ht="14.25" customHeight="1">
      <c r="K734" s="7"/>
      <c r="L734" s="7"/>
      <c r="M734" s="8"/>
      <c r="N734" s="9"/>
    </row>
    <row r="735" ht="14.25" customHeight="1">
      <c r="K735" s="7"/>
      <c r="L735" s="7"/>
      <c r="M735" s="8"/>
      <c r="N735" s="9"/>
    </row>
    <row r="736" ht="14.25" customHeight="1">
      <c r="K736" s="7"/>
      <c r="L736" s="7"/>
      <c r="M736" s="8"/>
      <c r="N736" s="9"/>
    </row>
    <row r="737" ht="14.25" customHeight="1">
      <c r="K737" s="7"/>
      <c r="L737" s="7"/>
      <c r="M737" s="8"/>
      <c r="N737" s="9"/>
    </row>
    <row r="738" ht="14.25" customHeight="1">
      <c r="K738" s="7"/>
      <c r="L738" s="7"/>
      <c r="M738" s="8"/>
      <c r="N738" s="9"/>
    </row>
    <row r="739" ht="14.25" customHeight="1">
      <c r="K739" s="7"/>
      <c r="L739" s="7"/>
      <c r="M739" s="8"/>
      <c r="N739" s="9"/>
    </row>
    <row r="740" ht="14.25" customHeight="1">
      <c r="K740" s="7"/>
      <c r="L740" s="7"/>
      <c r="M740" s="8"/>
      <c r="N740" s="9"/>
    </row>
    <row r="741" ht="14.25" customHeight="1">
      <c r="K741" s="7"/>
      <c r="L741" s="7"/>
      <c r="M741" s="8"/>
      <c r="N741" s="9"/>
    </row>
    <row r="742" ht="14.25" customHeight="1">
      <c r="K742" s="7"/>
      <c r="L742" s="7"/>
      <c r="M742" s="8"/>
      <c r="N742" s="9"/>
    </row>
    <row r="743" ht="14.25" customHeight="1">
      <c r="K743" s="7"/>
      <c r="L743" s="7"/>
      <c r="M743" s="8"/>
      <c r="N743" s="9"/>
    </row>
    <row r="744" ht="14.25" customHeight="1">
      <c r="K744" s="7"/>
      <c r="L744" s="7"/>
      <c r="M744" s="8"/>
      <c r="N744" s="9"/>
    </row>
    <row r="745" ht="14.25" customHeight="1">
      <c r="K745" s="7"/>
      <c r="L745" s="7"/>
      <c r="M745" s="8"/>
      <c r="N745" s="9"/>
    </row>
    <row r="746" ht="14.25" customHeight="1">
      <c r="K746" s="7"/>
      <c r="L746" s="7"/>
      <c r="M746" s="8"/>
      <c r="N746" s="9"/>
    </row>
    <row r="747" ht="14.25" customHeight="1">
      <c r="K747" s="7"/>
      <c r="L747" s="7"/>
      <c r="M747" s="8"/>
      <c r="N747" s="9"/>
    </row>
    <row r="748" ht="14.25" customHeight="1">
      <c r="K748" s="7"/>
      <c r="L748" s="7"/>
      <c r="M748" s="8"/>
      <c r="N748" s="9"/>
    </row>
    <row r="749" ht="14.25" customHeight="1">
      <c r="K749" s="7"/>
      <c r="L749" s="7"/>
      <c r="M749" s="8"/>
      <c r="N749" s="9"/>
    </row>
    <row r="750" ht="14.25" customHeight="1">
      <c r="K750" s="7"/>
      <c r="L750" s="7"/>
      <c r="M750" s="8"/>
      <c r="N750" s="9"/>
    </row>
    <row r="751" ht="14.25" customHeight="1">
      <c r="K751" s="7"/>
      <c r="L751" s="7"/>
      <c r="M751" s="8"/>
      <c r="N751" s="9"/>
    </row>
    <row r="752" ht="14.25" customHeight="1">
      <c r="K752" s="7"/>
      <c r="L752" s="7"/>
      <c r="M752" s="8"/>
      <c r="N752" s="9"/>
    </row>
    <row r="753" ht="14.25" customHeight="1">
      <c r="K753" s="7"/>
      <c r="L753" s="7"/>
      <c r="M753" s="8"/>
      <c r="N753" s="9"/>
    </row>
    <row r="754" ht="14.25" customHeight="1">
      <c r="K754" s="7"/>
      <c r="L754" s="7"/>
      <c r="M754" s="8"/>
      <c r="N754" s="9"/>
    </row>
    <row r="755" ht="14.25" customHeight="1">
      <c r="K755" s="7"/>
      <c r="L755" s="7"/>
      <c r="M755" s="8"/>
      <c r="N755" s="9"/>
    </row>
    <row r="756" ht="14.25" customHeight="1">
      <c r="K756" s="7"/>
      <c r="L756" s="7"/>
      <c r="M756" s="8"/>
      <c r="N756" s="9"/>
    </row>
    <row r="757" ht="14.25" customHeight="1">
      <c r="K757" s="7"/>
      <c r="L757" s="7"/>
      <c r="M757" s="8"/>
      <c r="N757" s="9"/>
    </row>
    <row r="758" ht="14.25" customHeight="1">
      <c r="K758" s="7"/>
      <c r="L758" s="7"/>
      <c r="M758" s="8"/>
      <c r="N758" s="9"/>
    </row>
    <row r="759" ht="14.25" customHeight="1">
      <c r="K759" s="7"/>
      <c r="L759" s="7"/>
      <c r="M759" s="8"/>
      <c r="N759" s="9"/>
    </row>
    <row r="760" ht="14.25" customHeight="1">
      <c r="K760" s="7"/>
      <c r="L760" s="7"/>
      <c r="M760" s="8"/>
      <c r="N760" s="9"/>
    </row>
    <row r="761" ht="14.25" customHeight="1">
      <c r="K761" s="7"/>
      <c r="L761" s="7"/>
      <c r="M761" s="8"/>
      <c r="N761" s="9"/>
    </row>
    <row r="762" ht="14.25" customHeight="1">
      <c r="K762" s="7"/>
      <c r="L762" s="7"/>
      <c r="M762" s="8"/>
      <c r="N762" s="9"/>
    </row>
    <row r="763" ht="14.25" customHeight="1">
      <c r="K763" s="7"/>
      <c r="L763" s="7"/>
      <c r="M763" s="8"/>
      <c r="N763" s="9"/>
    </row>
    <row r="764" ht="14.25" customHeight="1">
      <c r="K764" s="7"/>
      <c r="L764" s="7"/>
      <c r="M764" s="8"/>
      <c r="N764" s="9"/>
    </row>
    <row r="765" ht="14.25" customHeight="1">
      <c r="K765" s="7"/>
      <c r="L765" s="7"/>
      <c r="M765" s="8"/>
      <c r="N765" s="9"/>
    </row>
    <row r="766" ht="14.25" customHeight="1">
      <c r="K766" s="7"/>
      <c r="L766" s="7"/>
      <c r="M766" s="8"/>
      <c r="N766" s="9"/>
    </row>
    <row r="767" ht="14.25" customHeight="1">
      <c r="K767" s="7"/>
      <c r="L767" s="7"/>
      <c r="M767" s="8"/>
      <c r="N767" s="9"/>
    </row>
    <row r="768" ht="14.25" customHeight="1">
      <c r="K768" s="7"/>
      <c r="L768" s="7"/>
      <c r="M768" s="8"/>
      <c r="N768" s="9"/>
    </row>
    <row r="769" ht="14.25" customHeight="1">
      <c r="K769" s="7"/>
      <c r="L769" s="7"/>
      <c r="M769" s="8"/>
      <c r="N769" s="9"/>
    </row>
    <row r="770" ht="14.25" customHeight="1">
      <c r="K770" s="7"/>
      <c r="L770" s="7"/>
      <c r="M770" s="8"/>
      <c r="N770" s="9"/>
    </row>
    <row r="771" ht="14.25" customHeight="1">
      <c r="K771" s="7"/>
      <c r="L771" s="7"/>
      <c r="M771" s="8"/>
      <c r="N771" s="9"/>
    </row>
    <row r="772" ht="14.25" customHeight="1">
      <c r="K772" s="7"/>
      <c r="L772" s="7"/>
      <c r="M772" s="8"/>
      <c r="N772" s="9"/>
    </row>
    <row r="773" ht="14.25" customHeight="1">
      <c r="K773" s="7"/>
      <c r="L773" s="7"/>
      <c r="M773" s="8"/>
      <c r="N773" s="9"/>
    </row>
    <row r="774" ht="14.25" customHeight="1">
      <c r="K774" s="7"/>
      <c r="L774" s="7"/>
      <c r="M774" s="8"/>
      <c r="N774" s="9"/>
    </row>
    <row r="775" ht="14.25" customHeight="1">
      <c r="K775" s="7"/>
      <c r="L775" s="7"/>
      <c r="M775" s="8"/>
      <c r="N775" s="9"/>
    </row>
    <row r="776" ht="14.25" customHeight="1">
      <c r="K776" s="7"/>
      <c r="L776" s="7"/>
      <c r="M776" s="8"/>
      <c r="N776" s="9"/>
    </row>
    <row r="777" ht="14.25" customHeight="1">
      <c r="K777" s="7"/>
      <c r="L777" s="7"/>
      <c r="M777" s="8"/>
      <c r="N777" s="9"/>
    </row>
    <row r="778" ht="14.25" customHeight="1">
      <c r="K778" s="7"/>
      <c r="L778" s="7"/>
      <c r="M778" s="8"/>
      <c r="N778" s="9"/>
    </row>
    <row r="779" ht="14.25" customHeight="1">
      <c r="K779" s="7"/>
      <c r="L779" s="7"/>
      <c r="M779" s="8"/>
      <c r="N779" s="9"/>
    </row>
    <row r="780" ht="14.25" customHeight="1">
      <c r="K780" s="7"/>
      <c r="L780" s="7"/>
      <c r="M780" s="8"/>
      <c r="N780" s="9"/>
    </row>
    <row r="781" ht="14.25" customHeight="1">
      <c r="K781" s="7"/>
      <c r="L781" s="7"/>
      <c r="M781" s="8"/>
      <c r="N781" s="9"/>
    </row>
    <row r="782" ht="14.25" customHeight="1">
      <c r="K782" s="7"/>
      <c r="L782" s="7"/>
      <c r="M782" s="8"/>
      <c r="N782" s="9"/>
    </row>
    <row r="783" ht="14.25" customHeight="1">
      <c r="K783" s="7"/>
      <c r="L783" s="7"/>
      <c r="M783" s="8"/>
      <c r="N783" s="9"/>
    </row>
    <row r="784" ht="14.25" customHeight="1">
      <c r="K784" s="7"/>
      <c r="L784" s="7"/>
      <c r="M784" s="8"/>
      <c r="N784" s="9"/>
    </row>
    <row r="785" ht="14.25" customHeight="1">
      <c r="K785" s="7"/>
      <c r="L785" s="7"/>
      <c r="M785" s="8"/>
      <c r="N785" s="9"/>
    </row>
    <row r="786" ht="14.25" customHeight="1">
      <c r="K786" s="7"/>
      <c r="L786" s="7"/>
      <c r="M786" s="8"/>
      <c r="N786" s="9"/>
    </row>
    <row r="787" ht="14.25" customHeight="1">
      <c r="K787" s="7"/>
      <c r="L787" s="7"/>
      <c r="M787" s="8"/>
      <c r="N787" s="9"/>
    </row>
    <row r="788" ht="14.25" customHeight="1">
      <c r="K788" s="7"/>
      <c r="L788" s="7"/>
      <c r="M788" s="8"/>
      <c r="N788" s="9"/>
    </row>
    <row r="789" ht="14.25" customHeight="1">
      <c r="K789" s="7"/>
      <c r="L789" s="7"/>
      <c r="M789" s="8"/>
      <c r="N789" s="9"/>
    </row>
    <row r="790" ht="14.25" customHeight="1">
      <c r="K790" s="7"/>
      <c r="L790" s="7"/>
      <c r="M790" s="8"/>
      <c r="N790" s="9"/>
    </row>
    <row r="791" ht="14.25" customHeight="1">
      <c r="K791" s="7"/>
      <c r="L791" s="7"/>
      <c r="M791" s="8"/>
      <c r="N791" s="9"/>
    </row>
    <row r="792" ht="14.25" customHeight="1">
      <c r="K792" s="7"/>
      <c r="L792" s="7"/>
      <c r="M792" s="8"/>
      <c r="N792" s="9"/>
    </row>
    <row r="793" ht="14.25" customHeight="1">
      <c r="K793" s="7"/>
      <c r="L793" s="7"/>
      <c r="M793" s="8"/>
      <c r="N793" s="9"/>
    </row>
    <row r="794" ht="14.25" customHeight="1">
      <c r="K794" s="7"/>
      <c r="L794" s="7"/>
      <c r="M794" s="8"/>
      <c r="N794" s="9"/>
    </row>
    <row r="795" ht="14.25" customHeight="1">
      <c r="K795" s="7"/>
      <c r="L795" s="7"/>
      <c r="M795" s="8"/>
      <c r="N795" s="9"/>
    </row>
    <row r="796" ht="14.25" customHeight="1">
      <c r="K796" s="7"/>
      <c r="L796" s="7"/>
      <c r="M796" s="8"/>
      <c r="N796" s="9"/>
    </row>
    <row r="797" ht="14.25" customHeight="1">
      <c r="K797" s="7"/>
      <c r="L797" s="7"/>
      <c r="M797" s="8"/>
      <c r="N797" s="9"/>
    </row>
    <row r="798" ht="14.25" customHeight="1">
      <c r="K798" s="7"/>
      <c r="L798" s="7"/>
      <c r="M798" s="8"/>
      <c r="N798" s="9"/>
    </row>
    <row r="799" ht="14.25" customHeight="1">
      <c r="K799" s="7"/>
      <c r="L799" s="7"/>
      <c r="M799" s="8"/>
      <c r="N799" s="9"/>
    </row>
    <row r="800" ht="14.25" customHeight="1">
      <c r="K800" s="7"/>
      <c r="L800" s="7"/>
      <c r="M800" s="8"/>
      <c r="N800" s="9"/>
    </row>
    <row r="801" ht="14.25" customHeight="1">
      <c r="K801" s="7"/>
      <c r="L801" s="7"/>
      <c r="M801" s="8"/>
      <c r="N801" s="9"/>
    </row>
    <row r="802" ht="14.25" customHeight="1">
      <c r="K802" s="7"/>
      <c r="L802" s="7"/>
      <c r="M802" s="8"/>
      <c r="N802" s="9"/>
    </row>
    <row r="803" ht="14.25" customHeight="1">
      <c r="K803" s="7"/>
      <c r="L803" s="7"/>
      <c r="M803" s="8"/>
      <c r="N803" s="9"/>
    </row>
    <row r="804" ht="14.25" customHeight="1">
      <c r="K804" s="7"/>
      <c r="L804" s="7"/>
      <c r="M804" s="8"/>
      <c r="N804" s="9"/>
    </row>
    <row r="805" ht="14.25" customHeight="1">
      <c r="K805" s="7"/>
      <c r="L805" s="7"/>
      <c r="M805" s="8"/>
      <c r="N805" s="9"/>
    </row>
    <row r="806" ht="14.25" customHeight="1">
      <c r="K806" s="7"/>
      <c r="L806" s="7"/>
      <c r="M806" s="8"/>
      <c r="N806" s="9"/>
    </row>
    <row r="807" ht="14.25" customHeight="1">
      <c r="K807" s="7"/>
      <c r="L807" s="7"/>
      <c r="M807" s="8"/>
      <c r="N807" s="9"/>
    </row>
    <row r="808" ht="14.25" customHeight="1">
      <c r="K808" s="7"/>
      <c r="L808" s="7"/>
      <c r="M808" s="8"/>
      <c r="N808" s="9"/>
    </row>
    <row r="809" ht="14.25" customHeight="1">
      <c r="K809" s="7"/>
      <c r="L809" s="7"/>
      <c r="M809" s="8"/>
      <c r="N809" s="9"/>
    </row>
    <row r="810" ht="14.25" customHeight="1">
      <c r="K810" s="7"/>
      <c r="L810" s="7"/>
      <c r="M810" s="8"/>
      <c r="N810" s="9"/>
    </row>
    <row r="811" ht="14.25" customHeight="1">
      <c r="K811" s="7"/>
      <c r="L811" s="7"/>
      <c r="M811" s="8"/>
      <c r="N811" s="9"/>
    </row>
    <row r="812" ht="14.25" customHeight="1">
      <c r="K812" s="7"/>
      <c r="L812" s="7"/>
      <c r="M812" s="8"/>
      <c r="N812" s="9"/>
    </row>
    <row r="813" ht="14.25" customHeight="1">
      <c r="K813" s="7"/>
      <c r="L813" s="7"/>
      <c r="M813" s="8"/>
      <c r="N813" s="9"/>
    </row>
    <row r="814" ht="14.25" customHeight="1">
      <c r="K814" s="7"/>
      <c r="L814" s="7"/>
      <c r="M814" s="8"/>
      <c r="N814" s="9"/>
    </row>
    <row r="815" ht="14.25" customHeight="1">
      <c r="K815" s="7"/>
      <c r="L815" s="7"/>
      <c r="M815" s="8"/>
      <c r="N815" s="9"/>
    </row>
    <row r="816" ht="14.25" customHeight="1">
      <c r="K816" s="7"/>
      <c r="L816" s="7"/>
      <c r="M816" s="8"/>
      <c r="N816" s="9"/>
    </row>
    <row r="817" ht="14.25" customHeight="1">
      <c r="K817" s="7"/>
      <c r="L817" s="7"/>
      <c r="M817" s="8"/>
      <c r="N817" s="9"/>
    </row>
    <row r="818" ht="14.25" customHeight="1">
      <c r="K818" s="7"/>
      <c r="L818" s="7"/>
      <c r="M818" s="8"/>
      <c r="N818" s="9"/>
    </row>
    <row r="819" ht="14.25" customHeight="1">
      <c r="K819" s="7"/>
      <c r="L819" s="7"/>
      <c r="M819" s="8"/>
      <c r="N819" s="9"/>
    </row>
    <row r="820" ht="14.25" customHeight="1">
      <c r="K820" s="7"/>
      <c r="L820" s="7"/>
      <c r="M820" s="8"/>
      <c r="N820" s="9"/>
    </row>
    <row r="821" ht="14.25" customHeight="1">
      <c r="K821" s="7"/>
      <c r="L821" s="7"/>
      <c r="M821" s="8"/>
      <c r="N821" s="9"/>
    </row>
    <row r="822" ht="14.25" customHeight="1">
      <c r="K822" s="7"/>
      <c r="L822" s="7"/>
      <c r="M822" s="8"/>
      <c r="N822" s="9"/>
    </row>
    <row r="823" ht="14.25" customHeight="1">
      <c r="K823" s="7"/>
      <c r="L823" s="7"/>
      <c r="M823" s="8"/>
      <c r="N823" s="9"/>
    </row>
    <row r="824" ht="14.25" customHeight="1">
      <c r="K824" s="7"/>
      <c r="L824" s="7"/>
      <c r="M824" s="8"/>
      <c r="N824" s="9"/>
    </row>
    <row r="825" ht="14.25" customHeight="1">
      <c r="K825" s="7"/>
      <c r="L825" s="7"/>
      <c r="M825" s="8"/>
      <c r="N825" s="9"/>
    </row>
    <row r="826" ht="14.25" customHeight="1">
      <c r="K826" s="7"/>
      <c r="L826" s="7"/>
      <c r="M826" s="8"/>
      <c r="N826" s="9"/>
    </row>
    <row r="827" ht="14.25" customHeight="1">
      <c r="K827" s="7"/>
      <c r="L827" s="7"/>
      <c r="M827" s="8"/>
      <c r="N827" s="9"/>
    </row>
    <row r="828" ht="14.25" customHeight="1">
      <c r="K828" s="7"/>
      <c r="L828" s="7"/>
      <c r="M828" s="8"/>
      <c r="N828" s="9"/>
    </row>
    <row r="829" ht="14.25" customHeight="1">
      <c r="K829" s="7"/>
      <c r="L829" s="7"/>
      <c r="M829" s="8"/>
      <c r="N829" s="9"/>
    </row>
    <row r="830" ht="14.25" customHeight="1">
      <c r="K830" s="7"/>
      <c r="L830" s="7"/>
      <c r="M830" s="8"/>
      <c r="N830" s="9"/>
    </row>
    <row r="831" ht="14.25" customHeight="1">
      <c r="K831" s="7"/>
      <c r="L831" s="7"/>
      <c r="M831" s="8"/>
      <c r="N831" s="9"/>
    </row>
    <row r="832" ht="14.25" customHeight="1">
      <c r="K832" s="7"/>
      <c r="L832" s="7"/>
      <c r="M832" s="8"/>
      <c r="N832" s="9"/>
    </row>
    <row r="833" ht="14.25" customHeight="1">
      <c r="K833" s="7"/>
      <c r="L833" s="7"/>
      <c r="M833" s="8"/>
      <c r="N833" s="9"/>
    </row>
    <row r="834" ht="14.25" customHeight="1">
      <c r="K834" s="7"/>
      <c r="L834" s="7"/>
      <c r="M834" s="8"/>
      <c r="N834" s="9"/>
    </row>
    <row r="835" ht="14.25" customHeight="1">
      <c r="K835" s="7"/>
      <c r="L835" s="7"/>
      <c r="M835" s="8"/>
      <c r="N835" s="9"/>
    </row>
    <row r="836" ht="14.25" customHeight="1">
      <c r="K836" s="7"/>
      <c r="L836" s="7"/>
      <c r="M836" s="8"/>
      <c r="N836" s="9"/>
    </row>
    <row r="837" ht="14.25" customHeight="1">
      <c r="K837" s="7"/>
      <c r="L837" s="7"/>
      <c r="M837" s="8"/>
      <c r="N837" s="9"/>
    </row>
    <row r="838" ht="14.25" customHeight="1">
      <c r="K838" s="7"/>
      <c r="L838" s="7"/>
      <c r="M838" s="8"/>
      <c r="N838" s="9"/>
    </row>
    <row r="839" ht="14.25" customHeight="1">
      <c r="K839" s="7"/>
      <c r="L839" s="7"/>
      <c r="M839" s="8"/>
      <c r="N839" s="9"/>
    </row>
    <row r="840" ht="14.25" customHeight="1">
      <c r="K840" s="7"/>
      <c r="L840" s="7"/>
      <c r="M840" s="8"/>
      <c r="N840" s="9"/>
    </row>
    <row r="841" ht="14.25" customHeight="1">
      <c r="K841" s="7"/>
      <c r="L841" s="7"/>
      <c r="M841" s="8"/>
      <c r="N841" s="9"/>
    </row>
    <row r="842" ht="14.25" customHeight="1">
      <c r="K842" s="7"/>
      <c r="L842" s="7"/>
      <c r="M842" s="8"/>
      <c r="N842" s="9"/>
    </row>
    <row r="843" ht="14.25" customHeight="1">
      <c r="K843" s="7"/>
      <c r="L843" s="7"/>
      <c r="M843" s="8"/>
      <c r="N843" s="9"/>
    </row>
    <row r="844" ht="14.25" customHeight="1">
      <c r="K844" s="7"/>
      <c r="L844" s="7"/>
      <c r="M844" s="8"/>
      <c r="N844" s="9"/>
    </row>
    <row r="845" ht="14.25" customHeight="1">
      <c r="K845" s="7"/>
      <c r="L845" s="7"/>
      <c r="M845" s="8"/>
      <c r="N845" s="9"/>
    </row>
    <row r="846" ht="14.25" customHeight="1">
      <c r="K846" s="7"/>
      <c r="L846" s="7"/>
      <c r="M846" s="8"/>
      <c r="N846" s="9"/>
    </row>
    <row r="847" ht="14.25" customHeight="1">
      <c r="K847" s="7"/>
      <c r="L847" s="7"/>
      <c r="M847" s="8"/>
      <c r="N847" s="9"/>
    </row>
    <row r="848" ht="14.25" customHeight="1">
      <c r="K848" s="7"/>
      <c r="L848" s="7"/>
      <c r="M848" s="8"/>
      <c r="N848" s="9"/>
    </row>
    <row r="849" ht="14.25" customHeight="1">
      <c r="K849" s="7"/>
      <c r="L849" s="7"/>
      <c r="M849" s="8"/>
      <c r="N849" s="9"/>
    </row>
    <row r="850" ht="14.25" customHeight="1">
      <c r="K850" s="7"/>
      <c r="L850" s="7"/>
      <c r="M850" s="8"/>
      <c r="N850" s="9"/>
    </row>
    <row r="851" ht="14.25" customHeight="1">
      <c r="K851" s="7"/>
      <c r="L851" s="7"/>
      <c r="M851" s="8"/>
      <c r="N851" s="9"/>
    </row>
    <row r="852" ht="14.25" customHeight="1">
      <c r="K852" s="7"/>
      <c r="L852" s="7"/>
      <c r="M852" s="8"/>
      <c r="N852" s="9"/>
    </row>
    <row r="853" ht="14.25" customHeight="1">
      <c r="K853" s="7"/>
      <c r="L853" s="7"/>
      <c r="M853" s="8"/>
      <c r="N853" s="9"/>
    </row>
    <row r="854" ht="14.25" customHeight="1">
      <c r="K854" s="7"/>
      <c r="L854" s="7"/>
      <c r="M854" s="8"/>
      <c r="N854" s="9"/>
    </row>
    <row r="855" ht="14.25" customHeight="1">
      <c r="K855" s="7"/>
      <c r="L855" s="7"/>
      <c r="M855" s="8"/>
      <c r="N855" s="9"/>
    </row>
    <row r="856" ht="14.25" customHeight="1">
      <c r="K856" s="7"/>
      <c r="L856" s="7"/>
      <c r="M856" s="8"/>
      <c r="N856" s="9"/>
    </row>
    <row r="857" ht="14.25" customHeight="1">
      <c r="K857" s="7"/>
      <c r="L857" s="7"/>
      <c r="M857" s="8"/>
      <c r="N857" s="9"/>
    </row>
    <row r="858" ht="14.25" customHeight="1">
      <c r="K858" s="7"/>
      <c r="L858" s="7"/>
      <c r="M858" s="8"/>
      <c r="N858" s="9"/>
    </row>
    <row r="859" ht="14.25" customHeight="1">
      <c r="K859" s="7"/>
      <c r="L859" s="7"/>
      <c r="M859" s="8"/>
      <c r="N859" s="9"/>
    </row>
    <row r="860" ht="14.25" customHeight="1">
      <c r="K860" s="7"/>
      <c r="L860" s="7"/>
      <c r="M860" s="8"/>
      <c r="N860" s="9"/>
    </row>
    <row r="861" ht="14.25" customHeight="1">
      <c r="K861" s="7"/>
      <c r="L861" s="7"/>
      <c r="M861" s="8"/>
      <c r="N861" s="9"/>
    </row>
    <row r="862" ht="14.25" customHeight="1">
      <c r="K862" s="7"/>
      <c r="L862" s="7"/>
      <c r="M862" s="8"/>
      <c r="N862" s="9"/>
    </row>
    <row r="863" ht="14.25" customHeight="1">
      <c r="K863" s="7"/>
      <c r="L863" s="7"/>
      <c r="M863" s="8"/>
      <c r="N863" s="9"/>
    </row>
    <row r="864" ht="14.25" customHeight="1">
      <c r="K864" s="7"/>
      <c r="L864" s="7"/>
      <c r="M864" s="8"/>
      <c r="N864" s="9"/>
    </row>
    <row r="865" ht="14.25" customHeight="1">
      <c r="K865" s="7"/>
      <c r="L865" s="7"/>
      <c r="M865" s="8"/>
      <c r="N865" s="9"/>
    </row>
    <row r="866" ht="14.25" customHeight="1">
      <c r="K866" s="7"/>
      <c r="L866" s="7"/>
      <c r="M866" s="8"/>
      <c r="N866" s="9"/>
    </row>
    <row r="867" ht="14.25" customHeight="1">
      <c r="K867" s="7"/>
      <c r="L867" s="7"/>
      <c r="M867" s="8"/>
      <c r="N867" s="9"/>
    </row>
    <row r="868" ht="14.25" customHeight="1">
      <c r="K868" s="7"/>
      <c r="L868" s="7"/>
      <c r="M868" s="8"/>
      <c r="N868" s="9"/>
    </row>
    <row r="869" ht="14.25" customHeight="1">
      <c r="K869" s="7"/>
      <c r="L869" s="7"/>
      <c r="M869" s="8"/>
      <c r="N869" s="9"/>
    </row>
    <row r="870" ht="14.25" customHeight="1">
      <c r="K870" s="7"/>
      <c r="L870" s="7"/>
      <c r="M870" s="8"/>
      <c r="N870" s="9"/>
    </row>
    <row r="871" ht="14.25" customHeight="1">
      <c r="K871" s="7"/>
      <c r="L871" s="7"/>
      <c r="M871" s="8"/>
      <c r="N871" s="9"/>
    </row>
    <row r="872" ht="14.25" customHeight="1">
      <c r="K872" s="7"/>
      <c r="L872" s="7"/>
      <c r="M872" s="8"/>
      <c r="N872" s="9"/>
    </row>
    <row r="873" ht="14.25" customHeight="1">
      <c r="K873" s="7"/>
      <c r="L873" s="7"/>
      <c r="M873" s="8"/>
      <c r="N873" s="9"/>
    </row>
    <row r="874" ht="14.25" customHeight="1">
      <c r="K874" s="7"/>
      <c r="L874" s="7"/>
      <c r="M874" s="8"/>
      <c r="N874" s="9"/>
    </row>
    <row r="875" ht="14.25" customHeight="1">
      <c r="K875" s="7"/>
      <c r="L875" s="7"/>
      <c r="M875" s="8"/>
      <c r="N875" s="9"/>
    </row>
    <row r="876" ht="14.25" customHeight="1">
      <c r="K876" s="7"/>
      <c r="L876" s="7"/>
      <c r="M876" s="8"/>
      <c r="N876" s="9"/>
    </row>
    <row r="877" ht="14.25" customHeight="1">
      <c r="K877" s="7"/>
      <c r="L877" s="7"/>
      <c r="M877" s="8"/>
      <c r="N877" s="9"/>
    </row>
    <row r="878" ht="14.25" customHeight="1">
      <c r="K878" s="7"/>
      <c r="L878" s="7"/>
      <c r="M878" s="8"/>
      <c r="N878" s="9"/>
    </row>
    <row r="879" ht="14.25" customHeight="1">
      <c r="K879" s="7"/>
      <c r="L879" s="7"/>
      <c r="M879" s="8"/>
      <c r="N879" s="9"/>
    </row>
    <row r="880" ht="14.25" customHeight="1">
      <c r="K880" s="7"/>
      <c r="L880" s="7"/>
      <c r="M880" s="8"/>
      <c r="N880" s="9"/>
    </row>
    <row r="881" ht="14.25" customHeight="1">
      <c r="K881" s="7"/>
      <c r="L881" s="7"/>
      <c r="M881" s="8"/>
      <c r="N881" s="9"/>
    </row>
    <row r="882" ht="14.25" customHeight="1">
      <c r="K882" s="7"/>
      <c r="L882" s="7"/>
      <c r="M882" s="8"/>
      <c r="N882" s="9"/>
    </row>
    <row r="883" ht="14.25" customHeight="1">
      <c r="K883" s="7"/>
      <c r="L883" s="7"/>
      <c r="M883" s="8"/>
      <c r="N883" s="9"/>
    </row>
    <row r="884" ht="14.25" customHeight="1">
      <c r="K884" s="7"/>
      <c r="L884" s="7"/>
      <c r="M884" s="8"/>
      <c r="N884" s="9"/>
    </row>
    <row r="885" ht="14.25" customHeight="1">
      <c r="K885" s="7"/>
      <c r="L885" s="7"/>
      <c r="M885" s="8"/>
      <c r="N885" s="9"/>
    </row>
    <row r="886" ht="14.25" customHeight="1">
      <c r="K886" s="7"/>
      <c r="L886" s="7"/>
      <c r="M886" s="8"/>
      <c r="N886" s="9"/>
    </row>
    <row r="887" ht="14.25" customHeight="1">
      <c r="K887" s="7"/>
      <c r="L887" s="7"/>
      <c r="M887" s="8"/>
      <c r="N887" s="9"/>
    </row>
    <row r="888" ht="14.25" customHeight="1">
      <c r="K888" s="7"/>
      <c r="L888" s="7"/>
      <c r="M888" s="8"/>
      <c r="N888" s="9"/>
    </row>
    <row r="889" ht="14.25" customHeight="1">
      <c r="K889" s="7"/>
      <c r="L889" s="7"/>
      <c r="M889" s="8"/>
      <c r="N889" s="9"/>
    </row>
    <row r="890" ht="14.25" customHeight="1">
      <c r="K890" s="7"/>
      <c r="L890" s="7"/>
      <c r="M890" s="8"/>
      <c r="N890" s="9"/>
    </row>
    <row r="891" ht="14.25" customHeight="1">
      <c r="K891" s="7"/>
      <c r="L891" s="7"/>
      <c r="M891" s="8"/>
      <c r="N891" s="9"/>
    </row>
    <row r="892" ht="14.25" customHeight="1">
      <c r="K892" s="7"/>
      <c r="L892" s="7"/>
      <c r="M892" s="8"/>
      <c r="N892" s="9"/>
    </row>
    <row r="893" ht="14.25" customHeight="1">
      <c r="K893" s="7"/>
      <c r="L893" s="7"/>
      <c r="M893" s="8"/>
      <c r="N893" s="9"/>
    </row>
    <row r="894" ht="14.25" customHeight="1">
      <c r="K894" s="7"/>
      <c r="L894" s="7"/>
      <c r="M894" s="8"/>
      <c r="N894" s="9"/>
    </row>
    <row r="895" ht="14.25" customHeight="1">
      <c r="K895" s="7"/>
      <c r="L895" s="7"/>
      <c r="M895" s="8"/>
      <c r="N895" s="9"/>
    </row>
    <row r="896" ht="14.25" customHeight="1">
      <c r="K896" s="7"/>
      <c r="L896" s="7"/>
      <c r="M896" s="8"/>
      <c r="N896" s="9"/>
    </row>
    <row r="897" ht="14.25" customHeight="1">
      <c r="K897" s="7"/>
      <c r="L897" s="7"/>
      <c r="M897" s="8"/>
      <c r="N897" s="9"/>
    </row>
    <row r="898" ht="14.25" customHeight="1">
      <c r="K898" s="7"/>
      <c r="L898" s="7"/>
      <c r="M898" s="8"/>
      <c r="N898" s="9"/>
    </row>
    <row r="899" ht="14.25" customHeight="1">
      <c r="K899" s="7"/>
      <c r="L899" s="7"/>
      <c r="M899" s="8"/>
      <c r="N899" s="9"/>
    </row>
    <row r="900" ht="14.25" customHeight="1">
      <c r="K900" s="7"/>
      <c r="L900" s="7"/>
      <c r="M900" s="8"/>
      <c r="N900" s="9"/>
    </row>
    <row r="901" ht="14.25" customHeight="1">
      <c r="K901" s="7"/>
      <c r="L901" s="7"/>
      <c r="M901" s="8"/>
      <c r="N901" s="9"/>
    </row>
    <row r="902" ht="14.25" customHeight="1">
      <c r="K902" s="7"/>
      <c r="L902" s="7"/>
      <c r="M902" s="8"/>
      <c r="N902" s="9"/>
    </row>
    <row r="903" ht="14.25" customHeight="1">
      <c r="K903" s="7"/>
      <c r="L903" s="7"/>
      <c r="M903" s="8"/>
      <c r="N903" s="9"/>
    </row>
    <row r="904" ht="14.25" customHeight="1">
      <c r="K904" s="7"/>
      <c r="L904" s="7"/>
      <c r="M904" s="8"/>
      <c r="N904" s="9"/>
    </row>
    <row r="905" ht="14.25" customHeight="1">
      <c r="K905" s="7"/>
      <c r="L905" s="7"/>
      <c r="M905" s="8"/>
      <c r="N905" s="9"/>
    </row>
    <row r="906" ht="14.25" customHeight="1">
      <c r="K906" s="7"/>
      <c r="L906" s="7"/>
      <c r="M906" s="8"/>
      <c r="N906" s="9"/>
    </row>
    <row r="907" ht="14.25" customHeight="1">
      <c r="K907" s="7"/>
      <c r="L907" s="7"/>
      <c r="M907" s="8"/>
      <c r="N907" s="9"/>
    </row>
    <row r="908" ht="14.25" customHeight="1">
      <c r="K908" s="7"/>
      <c r="L908" s="7"/>
      <c r="M908" s="8"/>
      <c r="N908" s="9"/>
    </row>
    <row r="909" ht="14.25" customHeight="1">
      <c r="K909" s="7"/>
      <c r="L909" s="7"/>
      <c r="M909" s="8"/>
      <c r="N909" s="9"/>
    </row>
    <row r="910" ht="14.25" customHeight="1">
      <c r="K910" s="7"/>
      <c r="L910" s="7"/>
      <c r="M910" s="8"/>
      <c r="N910" s="9"/>
    </row>
    <row r="911" ht="14.25" customHeight="1">
      <c r="K911" s="7"/>
      <c r="L911" s="7"/>
      <c r="M911" s="8"/>
      <c r="N911" s="9"/>
    </row>
    <row r="912" ht="14.25" customHeight="1">
      <c r="K912" s="7"/>
      <c r="L912" s="7"/>
      <c r="M912" s="8"/>
      <c r="N912" s="9"/>
    </row>
    <row r="913" ht="14.25" customHeight="1">
      <c r="K913" s="7"/>
      <c r="L913" s="7"/>
      <c r="M913" s="8"/>
      <c r="N913" s="9"/>
    </row>
    <row r="914" ht="14.25" customHeight="1">
      <c r="K914" s="7"/>
      <c r="L914" s="7"/>
      <c r="M914" s="8"/>
      <c r="N914" s="9"/>
    </row>
    <row r="915" ht="14.25" customHeight="1">
      <c r="K915" s="7"/>
      <c r="L915" s="7"/>
      <c r="M915" s="8"/>
      <c r="N915" s="9"/>
    </row>
    <row r="916" ht="14.25" customHeight="1">
      <c r="K916" s="7"/>
      <c r="L916" s="7"/>
      <c r="M916" s="8"/>
      <c r="N916" s="9"/>
    </row>
    <row r="917" ht="14.25" customHeight="1">
      <c r="K917" s="7"/>
      <c r="L917" s="7"/>
      <c r="M917" s="8"/>
      <c r="N917" s="9"/>
    </row>
    <row r="918" ht="14.25" customHeight="1">
      <c r="K918" s="7"/>
      <c r="L918" s="7"/>
      <c r="M918" s="8"/>
      <c r="N918" s="9"/>
    </row>
    <row r="919" ht="14.25" customHeight="1">
      <c r="K919" s="7"/>
      <c r="L919" s="7"/>
      <c r="M919" s="8"/>
      <c r="N919" s="9"/>
    </row>
    <row r="920" ht="14.25" customHeight="1">
      <c r="K920" s="7"/>
      <c r="L920" s="7"/>
      <c r="M920" s="8"/>
      <c r="N920" s="9"/>
    </row>
    <row r="921" ht="14.25" customHeight="1">
      <c r="K921" s="7"/>
      <c r="L921" s="7"/>
      <c r="M921" s="8"/>
      <c r="N921" s="9"/>
    </row>
    <row r="922" ht="14.25" customHeight="1">
      <c r="K922" s="7"/>
      <c r="L922" s="7"/>
      <c r="M922" s="8"/>
      <c r="N922" s="9"/>
    </row>
    <row r="923" ht="14.25" customHeight="1">
      <c r="K923" s="7"/>
      <c r="L923" s="7"/>
      <c r="M923" s="8"/>
      <c r="N923" s="9"/>
    </row>
    <row r="924" ht="14.25" customHeight="1">
      <c r="K924" s="7"/>
      <c r="L924" s="7"/>
      <c r="M924" s="8"/>
      <c r="N924" s="9"/>
    </row>
    <row r="925" ht="14.25" customHeight="1">
      <c r="K925" s="7"/>
      <c r="L925" s="7"/>
      <c r="M925" s="8"/>
      <c r="N925" s="9"/>
    </row>
    <row r="926" ht="14.25" customHeight="1">
      <c r="K926" s="7"/>
      <c r="L926" s="7"/>
      <c r="M926" s="8"/>
      <c r="N926" s="9"/>
    </row>
    <row r="927" ht="14.25" customHeight="1">
      <c r="K927" s="7"/>
      <c r="L927" s="7"/>
      <c r="M927" s="8"/>
      <c r="N927" s="9"/>
    </row>
    <row r="928" ht="14.25" customHeight="1">
      <c r="K928" s="7"/>
      <c r="L928" s="7"/>
      <c r="M928" s="8"/>
      <c r="N928" s="9"/>
    </row>
    <row r="929" ht="14.25" customHeight="1">
      <c r="K929" s="7"/>
      <c r="L929" s="7"/>
      <c r="M929" s="8"/>
      <c r="N929" s="9"/>
    </row>
    <row r="930" ht="14.25" customHeight="1">
      <c r="K930" s="7"/>
      <c r="L930" s="7"/>
      <c r="M930" s="8"/>
      <c r="N930" s="9"/>
    </row>
    <row r="931" ht="14.25" customHeight="1">
      <c r="K931" s="7"/>
      <c r="L931" s="7"/>
      <c r="M931" s="8"/>
      <c r="N931" s="9"/>
    </row>
    <row r="932" ht="14.25" customHeight="1">
      <c r="K932" s="7"/>
      <c r="L932" s="7"/>
      <c r="M932" s="8"/>
      <c r="N932" s="9"/>
    </row>
    <row r="933" ht="14.25" customHeight="1">
      <c r="K933" s="7"/>
      <c r="L933" s="7"/>
      <c r="M933" s="8"/>
      <c r="N933" s="9"/>
    </row>
    <row r="934" ht="14.25" customHeight="1">
      <c r="K934" s="7"/>
      <c r="L934" s="7"/>
      <c r="M934" s="8"/>
      <c r="N934" s="9"/>
    </row>
    <row r="935" ht="14.25" customHeight="1">
      <c r="K935" s="7"/>
      <c r="L935" s="7"/>
      <c r="M935" s="8"/>
      <c r="N935" s="9"/>
    </row>
    <row r="936" ht="14.25" customHeight="1">
      <c r="K936" s="7"/>
      <c r="L936" s="7"/>
      <c r="M936" s="8"/>
      <c r="N936" s="9"/>
    </row>
    <row r="937" ht="14.25" customHeight="1">
      <c r="K937" s="7"/>
      <c r="L937" s="7"/>
      <c r="M937" s="8"/>
      <c r="N937" s="9"/>
    </row>
    <row r="938" ht="14.25" customHeight="1">
      <c r="K938" s="7"/>
      <c r="L938" s="7"/>
      <c r="M938" s="8"/>
      <c r="N938" s="9"/>
    </row>
    <row r="939" ht="14.25" customHeight="1">
      <c r="K939" s="7"/>
      <c r="L939" s="7"/>
      <c r="M939" s="8"/>
      <c r="N939" s="9"/>
    </row>
    <row r="940" ht="14.25" customHeight="1">
      <c r="K940" s="7"/>
      <c r="L940" s="7"/>
      <c r="M940" s="8"/>
      <c r="N940" s="9"/>
    </row>
    <row r="941" ht="14.25" customHeight="1">
      <c r="K941" s="7"/>
      <c r="L941" s="7"/>
      <c r="M941" s="8"/>
      <c r="N941" s="9"/>
    </row>
    <row r="942" ht="14.25" customHeight="1">
      <c r="K942" s="7"/>
      <c r="L942" s="7"/>
      <c r="M942" s="8"/>
      <c r="N942" s="9"/>
    </row>
    <row r="943" ht="14.25" customHeight="1">
      <c r="K943" s="7"/>
      <c r="L943" s="7"/>
      <c r="M943" s="8"/>
      <c r="N943" s="9"/>
    </row>
    <row r="944" ht="14.25" customHeight="1">
      <c r="K944" s="7"/>
      <c r="L944" s="7"/>
      <c r="M944" s="8"/>
      <c r="N944" s="9"/>
    </row>
    <row r="945" ht="14.25" customHeight="1">
      <c r="K945" s="7"/>
      <c r="L945" s="7"/>
      <c r="M945" s="8"/>
      <c r="N945" s="9"/>
    </row>
    <row r="946" ht="14.25" customHeight="1">
      <c r="K946" s="7"/>
      <c r="L946" s="7"/>
      <c r="M946" s="8"/>
      <c r="N946" s="9"/>
    </row>
    <row r="947" ht="14.25" customHeight="1">
      <c r="K947" s="7"/>
      <c r="L947" s="7"/>
      <c r="M947" s="8"/>
      <c r="N947" s="9"/>
    </row>
    <row r="948" ht="14.25" customHeight="1">
      <c r="K948" s="7"/>
      <c r="L948" s="7"/>
      <c r="M948" s="8"/>
      <c r="N948" s="9"/>
    </row>
    <row r="949" ht="14.25" customHeight="1">
      <c r="K949" s="7"/>
      <c r="L949" s="7"/>
      <c r="M949" s="8"/>
      <c r="N949" s="9"/>
    </row>
    <row r="950" ht="14.25" customHeight="1">
      <c r="K950" s="7"/>
      <c r="L950" s="7"/>
      <c r="M950" s="8"/>
      <c r="N950" s="9"/>
    </row>
    <row r="951" ht="14.25" customHeight="1">
      <c r="K951" s="7"/>
      <c r="L951" s="7"/>
      <c r="M951" s="8"/>
      <c r="N951" s="9"/>
    </row>
    <row r="952" ht="14.25" customHeight="1">
      <c r="K952" s="7"/>
      <c r="L952" s="7"/>
      <c r="M952" s="8"/>
      <c r="N952" s="9"/>
    </row>
    <row r="953" ht="14.25" customHeight="1">
      <c r="K953" s="7"/>
      <c r="L953" s="7"/>
      <c r="M953" s="8"/>
      <c r="N953" s="9"/>
    </row>
    <row r="954" ht="14.25" customHeight="1">
      <c r="K954" s="7"/>
      <c r="L954" s="7"/>
      <c r="M954" s="8"/>
      <c r="N954" s="9"/>
    </row>
    <row r="955" ht="14.25" customHeight="1">
      <c r="K955" s="7"/>
      <c r="L955" s="7"/>
      <c r="M955" s="8"/>
      <c r="N955" s="9"/>
    </row>
    <row r="956" ht="14.25" customHeight="1">
      <c r="K956" s="7"/>
      <c r="L956" s="7"/>
      <c r="M956" s="8"/>
      <c r="N956" s="9"/>
    </row>
    <row r="957" ht="14.25" customHeight="1">
      <c r="K957" s="7"/>
      <c r="L957" s="7"/>
      <c r="M957" s="8"/>
      <c r="N957" s="9"/>
    </row>
    <row r="958" ht="14.25" customHeight="1">
      <c r="K958" s="7"/>
      <c r="L958" s="7"/>
      <c r="M958" s="8"/>
      <c r="N958" s="9"/>
    </row>
    <row r="959" ht="14.25" customHeight="1">
      <c r="K959" s="7"/>
      <c r="L959" s="7"/>
      <c r="M959" s="8"/>
      <c r="N959" s="9"/>
    </row>
    <row r="960" ht="14.25" customHeight="1">
      <c r="K960" s="7"/>
      <c r="L960" s="7"/>
      <c r="M960" s="8"/>
      <c r="N960" s="9"/>
    </row>
    <row r="961" ht="14.25" customHeight="1">
      <c r="K961" s="7"/>
      <c r="L961" s="7"/>
      <c r="M961" s="8"/>
      <c r="N961" s="9"/>
    </row>
    <row r="962" ht="14.25" customHeight="1">
      <c r="K962" s="7"/>
      <c r="L962" s="7"/>
      <c r="M962" s="8"/>
      <c r="N962" s="9"/>
    </row>
    <row r="963" ht="14.25" customHeight="1">
      <c r="K963" s="7"/>
      <c r="L963" s="7"/>
      <c r="M963" s="8"/>
      <c r="N963" s="9"/>
    </row>
    <row r="964" ht="14.25" customHeight="1">
      <c r="K964" s="7"/>
      <c r="L964" s="7"/>
      <c r="M964" s="8"/>
      <c r="N964" s="9"/>
    </row>
    <row r="965" ht="14.25" customHeight="1">
      <c r="K965" s="7"/>
      <c r="L965" s="7"/>
      <c r="M965" s="8"/>
      <c r="N965" s="9"/>
    </row>
    <row r="966" ht="14.25" customHeight="1">
      <c r="K966" s="7"/>
      <c r="L966" s="7"/>
      <c r="M966" s="8"/>
      <c r="N966" s="9"/>
    </row>
    <row r="967" ht="14.25" customHeight="1">
      <c r="K967" s="7"/>
      <c r="L967" s="7"/>
      <c r="M967" s="8"/>
      <c r="N967" s="9"/>
    </row>
    <row r="968" ht="14.25" customHeight="1">
      <c r="K968" s="7"/>
      <c r="L968" s="7"/>
      <c r="M968" s="8"/>
      <c r="N968" s="9"/>
    </row>
    <row r="969" ht="14.25" customHeight="1">
      <c r="K969" s="7"/>
      <c r="L969" s="7"/>
      <c r="M969" s="8"/>
      <c r="N969" s="9"/>
    </row>
    <row r="970" ht="14.25" customHeight="1">
      <c r="K970" s="7"/>
      <c r="L970" s="7"/>
      <c r="M970" s="8"/>
      <c r="N970" s="9"/>
    </row>
    <row r="971" ht="14.25" customHeight="1">
      <c r="K971" s="7"/>
      <c r="L971" s="7"/>
      <c r="M971" s="8"/>
      <c r="N971" s="9"/>
    </row>
    <row r="972" ht="14.25" customHeight="1">
      <c r="K972" s="7"/>
      <c r="L972" s="7"/>
      <c r="M972" s="8"/>
      <c r="N972" s="9"/>
    </row>
    <row r="973" ht="14.25" customHeight="1">
      <c r="K973" s="7"/>
      <c r="L973" s="7"/>
      <c r="M973" s="8"/>
      <c r="N973" s="9"/>
    </row>
    <row r="974" ht="14.25" customHeight="1">
      <c r="K974" s="7"/>
      <c r="L974" s="7"/>
      <c r="M974" s="8"/>
      <c r="N974" s="9"/>
    </row>
    <row r="975" ht="14.25" customHeight="1">
      <c r="K975" s="7"/>
      <c r="L975" s="7"/>
      <c r="M975" s="8"/>
      <c r="N975" s="9"/>
    </row>
    <row r="976" ht="14.25" customHeight="1">
      <c r="K976" s="7"/>
      <c r="L976" s="7"/>
      <c r="M976" s="8"/>
      <c r="N976" s="9"/>
    </row>
    <row r="977" ht="14.25" customHeight="1">
      <c r="K977" s="7"/>
      <c r="L977" s="7"/>
      <c r="M977" s="8"/>
      <c r="N977" s="9"/>
    </row>
    <row r="978" ht="14.25" customHeight="1">
      <c r="K978" s="7"/>
      <c r="L978" s="7"/>
      <c r="M978" s="8"/>
      <c r="N978" s="9"/>
    </row>
    <row r="979" ht="14.25" customHeight="1">
      <c r="K979" s="7"/>
      <c r="L979" s="7"/>
      <c r="M979" s="8"/>
      <c r="N979" s="9"/>
    </row>
    <row r="980" ht="14.25" customHeight="1">
      <c r="K980" s="7"/>
      <c r="L980" s="7"/>
      <c r="M980" s="8"/>
      <c r="N980" s="9"/>
    </row>
    <row r="981" ht="14.25" customHeight="1">
      <c r="K981" s="7"/>
      <c r="L981" s="7"/>
      <c r="M981" s="8"/>
      <c r="N981" s="9"/>
    </row>
    <row r="982" ht="14.25" customHeight="1">
      <c r="K982" s="7"/>
      <c r="L982" s="7"/>
      <c r="M982" s="8"/>
      <c r="N982" s="9"/>
    </row>
    <row r="983" ht="14.25" customHeight="1">
      <c r="K983" s="7"/>
      <c r="L983" s="7"/>
      <c r="M983" s="8"/>
      <c r="N983" s="9"/>
    </row>
    <row r="984" ht="14.25" customHeight="1">
      <c r="K984" s="7"/>
      <c r="L984" s="7"/>
      <c r="M984" s="8"/>
      <c r="N984" s="9"/>
    </row>
    <row r="985" ht="14.25" customHeight="1">
      <c r="K985" s="7"/>
      <c r="L985" s="7"/>
      <c r="M985" s="8"/>
      <c r="N985" s="9"/>
    </row>
    <row r="986" ht="14.25" customHeight="1">
      <c r="K986" s="7"/>
      <c r="L986" s="7"/>
      <c r="M986" s="8"/>
      <c r="N986" s="9"/>
    </row>
    <row r="987" ht="14.25" customHeight="1">
      <c r="K987" s="7"/>
      <c r="L987" s="7"/>
      <c r="M987" s="8"/>
      <c r="N987" s="9"/>
    </row>
    <row r="988" ht="14.25" customHeight="1">
      <c r="K988" s="7"/>
      <c r="L988" s="7"/>
      <c r="M988" s="8"/>
      <c r="N988" s="9"/>
    </row>
    <row r="989" ht="14.25" customHeight="1">
      <c r="K989" s="7"/>
      <c r="L989" s="7"/>
      <c r="M989" s="8"/>
      <c r="N989" s="9"/>
    </row>
    <row r="990" ht="14.25" customHeight="1">
      <c r="K990" s="7"/>
      <c r="L990" s="7"/>
      <c r="M990" s="8"/>
      <c r="N990" s="9"/>
    </row>
    <row r="991" ht="14.25" customHeight="1">
      <c r="K991" s="7"/>
      <c r="L991" s="7"/>
      <c r="M991" s="8"/>
      <c r="N991" s="9"/>
    </row>
    <row r="992" ht="14.25" customHeight="1">
      <c r="K992" s="7"/>
      <c r="L992" s="7"/>
      <c r="M992" s="8"/>
      <c r="N992" s="9"/>
    </row>
    <row r="993" ht="14.25" customHeight="1">
      <c r="K993" s="7"/>
      <c r="L993" s="7"/>
      <c r="M993" s="8"/>
      <c r="N993" s="9"/>
    </row>
    <row r="994" ht="14.25" customHeight="1">
      <c r="K994" s="7"/>
      <c r="L994" s="7"/>
      <c r="M994" s="8"/>
      <c r="N994" s="9"/>
    </row>
    <row r="995" ht="14.25" customHeight="1">
      <c r="K995" s="7"/>
      <c r="L995" s="7"/>
      <c r="M995" s="8"/>
      <c r="N995" s="9"/>
    </row>
    <row r="996" ht="14.25" customHeight="1">
      <c r="K996" s="7"/>
      <c r="L996" s="7"/>
      <c r="M996" s="8"/>
      <c r="N996" s="9"/>
    </row>
    <row r="997" ht="14.25" customHeight="1">
      <c r="K997" s="7"/>
      <c r="L997" s="7"/>
      <c r="M997" s="8"/>
      <c r="N997" s="9"/>
    </row>
    <row r="998" ht="14.25" customHeight="1">
      <c r="K998" s="7"/>
      <c r="L998" s="7"/>
      <c r="M998" s="8"/>
      <c r="N998" s="9"/>
    </row>
    <row r="999" ht="14.25" customHeight="1">
      <c r="K999" s="7"/>
      <c r="L999" s="7"/>
      <c r="M999" s="8"/>
      <c r="N999" s="9"/>
    </row>
    <row r="1000" ht="14.25" customHeight="1">
      <c r="K1000" s="7"/>
      <c r="L1000" s="7"/>
      <c r="M1000" s="8"/>
      <c r="N1000" s="9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9.0"/>
    <col customWidth="1" min="4" max="4" width="10.71"/>
    <col customWidth="1" min="5" max="26" width="8.71"/>
  </cols>
  <sheetData>
    <row r="1" ht="27.75" customHeight="1">
      <c r="A1" s="59" t="s">
        <v>202</v>
      </c>
      <c r="B1" s="1" t="s">
        <v>0</v>
      </c>
      <c r="C1" s="59" t="s">
        <v>203</v>
      </c>
      <c r="D1" s="59" t="s">
        <v>204</v>
      </c>
    </row>
    <row r="2" ht="14.25" customHeight="1">
      <c r="A2" s="6">
        <v>14.0</v>
      </c>
      <c r="B2" s="38" t="s">
        <v>70</v>
      </c>
      <c r="C2" s="6">
        <v>6.0</v>
      </c>
      <c r="D2" s="56">
        <v>44434.0</v>
      </c>
    </row>
    <row r="3" ht="14.25" customHeight="1">
      <c r="A3" s="6">
        <v>41.0</v>
      </c>
      <c r="B3" s="38" t="s">
        <v>70</v>
      </c>
      <c r="C3" s="6">
        <v>96.0</v>
      </c>
      <c r="D3" s="56">
        <v>44504.0</v>
      </c>
    </row>
    <row r="4" ht="14.25" customHeight="1">
      <c r="A4" s="6">
        <v>61.0</v>
      </c>
      <c r="B4" s="38" t="s">
        <v>70</v>
      </c>
      <c r="C4" s="6">
        <v>96.0</v>
      </c>
      <c r="D4" s="56">
        <v>44469.0</v>
      </c>
    </row>
    <row r="5" ht="14.25" customHeight="1">
      <c r="A5" s="6">
        <v>73.0</v>
      </c>
      <c r="B5" s="38" t="s">
        <v>70</v>
      </c>
      <c r="C5" s="6">
        <v>88.0</v>
      </c>
      <c r="D5" s="56">
        <v>44498.0</v>
      </c>
    </row>
    <row r="6" ht="14.25" customHeight="1">
      <c r="A6" s="6">
        <v>140.0</v>
      </c>
      <c r="B6" s="38" t="s">
        <v>70</v>
      </c>
      <c r="C6" s="6">
        <v>34.0</v>
      </c>
      <c r="D6" s="56">
        <v>44467.0</v>
      </c>
    </row>
    <row r="7" ht="14.25" customHeight="1">
      <c r="A7" s="6">
        <v>144.0</v>
      </c>
      <c r="B7" s="38" t="s">
        <v>70</v>
      </c>
      <c r="C7" s="6">
        <v>96.0</v>
      </c>
      <c r="D7" s="56">
        <v>44488.0</v>
      </c>
    </row>
    <row r="8" ht="14.25" customHeight="1">
      <c r="A8" s="6">
        <v>155.0</v>
      </c>
      <c r="B8" s="38" t="s">
        <v>70</v>
      </c>
      <c r="C8" s="6">
        <v>15.0</v>
      </c>
      <c r="D8" s="56">
        <v>44447.0</v>
      </c>
      <c r="G8" s="6">
        <f>SUM(C2:C8)</f>
        <v>431</v>
      </c>
    </row>
    <row r="9" ht="14.25" customHeight="1">
      <c r="A9" s="6">
        <v>23.0</v>
      </c>
      <c r="B9" s="38" t="s">
        <v>80</v>
      </c>
      <c r="C9" s="6">
        <v>53.0</v>
      </c>
      <c r="D9" s="56">
        <v>44462.0</v>
      </c>
    </row>
    <row r="10" ht="14.25" customHeight="1">
      <c r="A10" s="6">
        <v>30.0</v>
      </c>
      <c r="B10" s="38" t="s">
        <v>80</v>
      </c>
      <c r="C10" s="6">
        <v>23.0</v>
      </c>
      <c r="D10" s="56">
        <v>44425.0</v>
      </c>
    </row>
    <row r="11" ht="14.25" customHeight="1">
      <c r="A11" s="6">
        <v>54.0</v>
      </c>
      <c r="B11" s="38" t="s">
        <v>80</v>
      </c>
      <c r="C11" s="6">
        <v>43.0</v>
      </c>
      <c r="D11" s="56">
        <v>44467.0</v>
      </c>
    </row>
    <row r="12" ht="14.25" customHeight="1">
      <c r="A12" s="6">
        <v>85.0</v>
      </c>
      <c r="B12" s="38" t="s">
        <v>80</v>
      </c>
      <c r="C12" s="6">
        <v>48.0</v>
      </c>
      <c r="D12" s="56">
        <v>44462.0</v>
      </c>
    </row>
    <row r="13" ht="14.25" customHeight="1">
      <c r="A13" s="6">
        <v>89.0</v>
      </c>
      <c r="B13" s="38" t="s">
        <v>80</v>
      </c>
      <c r="C13" s="6">
        <v>30.0</v>
      </c>
      <c r="D13" s="56">
        <v>44530.0</v>
      </c>
    </row>
    <row r="14" ht="14.25" customHeight="1">
      <c r="A14" s="6">
        <v>95.0</v>
      </c>
      <c r="B14" s="38" t="s">
        <v>80</v>
      </c>
      <c r="C14" s="6">
        <v>24.0</v>
      </c>
      <c r="D14" s="56">
        <v>44434.0</v>
      </c>
    </row>
    <row r="15" ht="14.25" customHeight="1">
      <c r="A15" s="6">
        <v>98.0</v>
      </c>
      <c r="B15" s="38" t="s">
        <v>80</v>
      </c>
      <c r="C15" s="6">
        <v>1.0</v>
      </c>
      <c r="D15" s="56">
        <v>44418.0</v>
      </c>
    </row>
    <row r="16" ht="14.25" customHeight="1">
      <c r="A16" s="6">
        <v>129.0</v>
      </c>
      <c r="B16" s="38" t="s">
        <v>80</v>
      </c>
      <c r="C16" s="6">
        <v>78.0</v>
      </c>
      <c r="D16" s="56">
        <v>44488.0</v>
      </c>
    </row>
    <row r="17" ht="14.25" customHeight="1">
      <c r="A17" s="6">
        <v>192.0</v>
      </c>
      <c r="B17" s="38" t="s">
        <v>80</v>
      </c>
      <c r="C17" s="6">
        <v>86.0</v>
      </c>
      <c r="D17" s="56">
        <v>44435.0</v>
      </c>
    </row>
    <row r="18" ht="14.25" customHeight="1">
      <c r="A18" s="6">
        <v>194.0</v>
      </c>
      <c r="B18" s="38" t="s">
        <v>80</v>
      </c>
      <c r="C18" s="6">
        <v>58.0</v>
      </c>
      <c r="D18" s="56">
        <v>44482.0</v>
      </c>
    </row>
    <row r="19" ht="14.25" customHeight="1">
      <c r="A19" s="6">
        <v>32.0</v>
      </c>
      <c r="B19" s="38" t="s">
        <v>84</v>
      </c>
      <c r="C19" s="6">
        <v>66.0</v>
      </c>
      <c r="D19" s="56">
        <v>44432.0</v>
      </c>
    </row>
    <row r="20" ht="14.25" customHeight="1">
      <c r="A20" s="6">
        <v>55.0</v>
      </c>
      <c r="B20" s="38" t="s">
        <v>84</v>
      </c>
      <c r="C20" s="6">
        <v>51.0</v>
      </c>
      <c r="D20" s="56">
        <v>44418.0</v>
      </c>
    </row>
    <row r="21" ht="14.25" customHeight="1">
      <c r="A21" s="6">
        <v>57.0</v>
      </c>
      <c r="B21" s="38" t="s">
        <v>84</v>
      </c>
      <c r="C21" s="6">
        <v>78.0</v>
      </c>
      <c r="D21" s="56">
        <v>44509.0</v>
      </c>
    </row>
    <row r="22" ht="14.25" customHeight="1">
      <c r="A22" s="6">
        <v>119.0</v>
      </c>
      <c r="B22" s="38" t="s">
        <v>84</v>
      </c>
      <c r="C22" s="6">
        <v>4.0</v>
      </c>
      <c r="D22" s="56">
        <v>44439.0</v>
      </c>
    </row>
    <row r="23" ht="14.25" customHeight="1">
      <c r="A23" s="6">
        <v>120.0</v>
      </c>
      <c r="B23" s="38" t="s">
        <v>84</v>
      </c>
      <c r="C23" s="6">
        <v>97.0</v>
      </c>
      <c r="D23" s="56">
        <v>44431.0</v>
      </c>
    </row>
    <row r="24" ht="14.25" customHeight="1">
      <c r="A24" s="6">
        <v>124.0</v>
      </c>
      <c r="B24" s="38" t="s">
        <v>84</v>
      </c>
      <c r="C24" s="6">
        <v>35.0</v>
      </c>
      <c r="D24" s="56">
        <v>44433.0</v>
      </c>
    </row>
    <row r="25" ht="14.25" customHeight="1">
      <c r="A25" s="6">
        <v>143.0</v>
      </c>
      <c r="B25" s="38" t="s">
        <v>84</v>
      </c>
      <c r="C25" s="6">
        <v>18.0</v>
      </c>
      <c r="D25" s="56">
        <v>44418.0</v>
      </c>
    </row>
    <row r="26" ht="14.25" customHeight="1">
      <c r="A26" s="6">
        <v>164.0</v>
      </c>
      <c r="B26" s="38" t="s">
        <v>84</v>
      </c>
      <c r="C26" s="6">
        <v>4.0</v>
      </c>
      <c r="D26" s="56">
        <v>44452.0</v>
      </c>
    </row>
    <row r="27" ht="14.25" customHeight="1">
      <c r="A27" s="6">
        <v>193.0</v>
      </c>
      <c r="B27" s="38" t="s">
        <v>84</v>
      </c>
      <c r="C27" s="6">
        <v>57.0</v>
      </c>
      <c r="D27" s="56">
        <v>44413.0</v>
      </c>
    </row>
    <row r="28" ht="14.25" customHeight="1">
      <c r="A28" s="6">
        <v>197.0</v>
      </c>
      <c r="B28" s="38" t="s">
        <v>84</v>
      </c>
      <c r="C28" s="6">
        <v>31.0</v>
      </c>
      <c r="D28" s="56">
        <v>44523.0</v>
      </c>
    </row>
    <row r="29" ht="14.25" customHeight="1">
      <c r="A29" s="6">
        <v>80.0</v>
      </c>
      <c r="B29" s="38" t="s">
        <v>98</v>
      </c>
      <c r="C29" s="6">
        <v>34.0</v>
      </c>
      <c r="D29" s="56">
        <v>44510.0</v>
      </c>
    </row>
    <row r="30" ht="14.25" customHeight="1">
      <c r="A30" s="6">
        <v>117.0</v>
      </c>
      <c r="B30" s="38" t="s">
        <v>98</v>
      </c>
      <c r="C30" s="6">
        <v>39.0</v>
      </c>
      <c r="D30" s="56">
        <v>44425.0</v>
      </c>
    </row>
    <row r="31" ht="14.25" customHeight="1">
      <c r="A31" s="6">
        <v>133.0</v>
      </c>
      <c r="B31" s="38" t="s">
        <v>98</v>
      </c>
      <c r="C31" s="6">
        <v>72.0</v>
      </c>
      <c r="D31" s="56">
        <v>44435.0</v>
      </c>
    </row>
    <row r="32" ht="14.25" customHeight="1">
      <c r="A32" s="6">
        <v>29.0</v>
      </c>
      <c r="B32" s="38" t="s">
        <v>100</v>
      </c>
      <c r="C32" s="6">
        <v>61.0</v>
      </c>
      <c r="D32" s="56">
        <v>44501.0</v>
      </c>
    </row>
    <row r="33" ht="14.25" customHeight="1">
      <c r="A33" s="6">
        <v>69.0</v>
      </c>
      <c r="B33" s="38" t="s">
        <v>100</v>
      </c>
      <c r="C33" s="6">
        <v>72.0</v>
      </c>
      <c r="D33" s="56">
        <v>44481.0</v>
      </c>
    </row>
    <row r="34" ht="14.25" customHeight="1">
      <c r="A34" s="6">
        <v>75.0</v>
      </c>
      <c r="B34" s="38" t="s">
        <v>100</v>
      </c>
      <c r="C34" s="6">
        <v>88.0</v>
      </c>
      <c r="D34" s="56">
        <v>44463.0</v>
      </c>
    </row>
    <row r="35" ht="14.25" customHeight="1">
      <c r="A35" s="6">
        <v>76.0</v>
      </c>
      <c r="B35" s="38" t="s">
        <v>100</v>
      </c>
      <c r="C35" s="6">
        <v>26.0</v>
      </c>
      <c r="D35" s="56">
        <v>44467.0</v>
      </c>
    </row>
    <row r="36" ht="14.25" customHeight="1">
      <c r="A36" s="6">
        <v>115.0</v>
      </c>
      <c r="B36" s="38" t="s">
        <v>100</v>
      </c>
      <c r="C36" s="6">
        <v>93.0</v>
      </c>
      <c r="D36" s="56">
        <v>44509.0</v>
      </c>
    </row>
    <row r="37" ht="14.25" customHeight="1">
      <c r="A37" s="6">
        <v>199.0</v>
      </c>
      <c r="B37" s="38" t="s">
        <v>100</v>
      </c>
      <c r="C37" s="6">
        <v>26.0</v>
      </c>
      <c r="D37" s="56">
        <v>44438.0</v>
      </c>
    </row>
    <row r="38" ht="14.25" customHeight="1">
      <c r="A38" s="6">
        <v>25.0</v>
      </c>
      <c r="B38" s="38" t="s">
        <v>105</v>
      </c>
      <c r="C38" s="6">
        <v>72.0</v>
      </c>
      <c r="D38" s="56">
        <v>44427.0</v>
      </c>
    </row>
    <row r="39" ht="14.25" customHeight="1">
      <c r="A39" s="6">
        <v>64.0</v>
      </c>
      <c r="B39" s="38" t="s">
        <v>105</v>
      </c>
      <c r="C39" s="6">
        <v>67.0</v>
      </c>
      <c r="D39" s="56">
        <v>44481.0</v>
      </c>
    </row>
    <row r="40" ht="14.25" customHeight="1">
      <c r="A40" s="6">
        <v>109.0</v>
      </c>
      <c r="B40" s="38" t="s">
        <v>105</v>
      </c>
      <c r="C40" s="6">
        <v>65.0</v>
      </c>
      <c r="D40" s="56">
        <v>44431.0</v>
      </c>
    </row>
    <row r="41" ht="14.25" customHeight="1">
      <c r="A41" s="6">
        <v>122.0</v>
      </c>
      <c r="B41" s="38" t="s">
        <v>105</v>
      </c>
      <c r="C41" s="6">
        <v>78.0</v>
      </c>
      <c r="D41" s="56">
        <v>44441.0</v>
      </c>
    </row>
    <row r="42" ht="14.25" customHeight="1">
      <c r="A42" s="6">
        <v>53.0</v>
      </c>
      <c r="B42" s="38" t="s">
        <v>60</v>
      </c>
      <c r="C42" s="6">
        <v>90.0</v>
      </c>
      <c r="D42" s="56">
        <v>44517.0</v>
      </c>
    </row>
    <row r="43" ht="14.25" customHeight="1">
      <c r="A43" s="6">
        <v>83.0</v>
      </c>
      <c r="B43" s="38" t="s">
        <v>60</v>
      </c>
      <c r="C43" s="6">
        <v>41.0</v>
      </c>
      <c r="D43" s="56">
        <v>44498.0</v>
      </c>
    </row>
    <row r="44" ht="14.25" customHeight="1">
      <c r="A44" s="6">
        <v>112.0</v>
      </c>
      <c r="B44" s="38" t="s">
        <v>60</v>
      </c>
      <c r="C44" s="6">
        <v>64.0</v>
      </c>
      <c r="D44" s="56">
        <v>44476.0</v>
      </c>
    </row>
    <row r="45" ht="14.25" customHeight="1">
      <c r="A45" s="6">
        <v>118.0</v>
      </c>
      <c r="B45" s="38" t="s">
        <v>60</v>
      </c>
      <c r="C45" s="6">
        <v>51.0</v>
      </c>
      <c r="D45" s="56">
        <v>44494.0</v>
      </c>
    </row>
    <row r="46" ht="14.25" customHeight="1">
      <c r="A46" s="6">
        <v>150.0</v>
      </c>
      <c r="B46" s="38" t="s">
        <v>60</v>
      </c>
      <c r="C46" s="6">
        <v>1.0</v>
      </c>
      <c r="D46" s="56">
        <v>44526.0</v>
      </c>
    </row>
    <row r="47" ht="14.25" customHeight="1">
      <c r="A47" s="6">
        <v>173.0</v>
      </c>
      <c r="B47" s="38" t="s">
        <v>60</v>
      </c>
      <c r="C47" s="6">
        <v>67.0</v>
      </c>
      <c r="D47" s="56">
        <v>44515.0</v>
      </c>
    </row>
    <row r="48" ht="14.25" customHeight="1">
      <c r="A48" s="6">
        <v>183.0</v>
      </c>
      <c r="B48" s="38" t="s">
        <v>60</v>
      </c>
      <c r="C48" s="6">
        <v>76.0</v>
      </c>
      <c r="D48" s="56">
        <v>44425.0</v>
      </c>
    </row>
    <row r="49" ht="14.25" customHeight="1">
      <c r="A49" s="6">
        <v>17.0</v>
      </c>
      <c r="B49" s="38" t="s">
        <v>71</v>
      </c>
      <c r="C49" s="6">
        <v>38.0</v>
      </c>
      <c r="D49" s="56">
        <v>44425.0</v>
      </c>
    </row>
    <row r="50" ht="14.25" customHeight="1">
      <c r="A50" s="6">
        <v>33.0</v>
      </c>
      <c r="B50" s="38" t="s">
        <v>71</v>
      </c>
      <c r="C50" s="6">
        <v>56.0</v>
      </c>
      <c r="D50" s="56">
        <v>44459.0</v>
      </c>
    </row>
    <row r="51" ht="14.25" customHeight="1">
      <c r="A51" s="6">
        <v>67.0</v>
      </c>
      <c r="B51" s="38" t="s">
        <v>71</v>
      </c>
      <c r="C51" s="6">
        <v>87.0</v>
      </c>
      <c r="D51" s="56">
        <v>44449.0</v>
      </c>
    </row>
    <row r="52" ht="14.25" customHeight="1">
      <c r="A52" s="6">
        <v>166.0</v>
      </c>
      <c r="B52" s="38" t="s">
        <v>71</v>
      </c>
      <c r="C52" s="6">
        <v>43.0</v>
      </c>
      <c r="D52" s="56">
        <v>44489.0</v>
      </c>
    </row>
    <row r="53" ht="14.25" customHeight="1">
      <c r="A53" s="6">
        <v>70.0</v>
      </c>
      <c r="B53" s="38" t="s">
        <v>82</v>
      </c>
      <c r="C53" s="6">
        <v>78.0</v>
      </c>
      <c r="D53" s="56">
        <v>44489.0</v>
      </c>
    </row>
    <row r="54" ht="14.25" customHeight="1">
      <c r="A54" s="6">
        <v>84.0</v>
      </c>
      <c r="B54" s="38" t="s">
        <v>82</v>
      </c>
      <c r="C54" s="6">
        <v>11.0</v>
      </c>
      <c r="D54" s="56">
        <v>44511.0</v>
      </c>
    </row>
    <row r="55" ht="14.25" customHeight="1">
      <c r="A55" s="6">
        <v>125.0</v>
      </c>
      <c r="B55" s="38" t="s">
        <v>82</v>
      </c>
      <c r="C55" s="6">
        <v>59.0</v>
      </c>
      <c r="D55" s="56">
        <v>44462.0</v>
      </c>
    </row>
    <row r="56" ht="14.25" customHeight="1">
      <c r="A56" s="6">
        <v>159.0</v>
      </c>
      <c r="B56" s="38" t="s">
        <v>82</v>
      </c>
      <c r="C56" s="6">
        <v>71.0</v>
      </c>
      <c r="D56" s="56">
        <v>44449.0</v>
      </c>
    </row>
    <row r="57" ht="14.25" customHeight="1">
      <c r="A57" s="6">
        <v>178.0</v>
      </c>
      <c r="B57" s="38" t="s">
        <v>82</v>
      </c>
      <c r="C57" s="6">
        <v>76.0</v>
      </c>
      <c r="D57" s="56">
        <v>44482.0</v>
      </c>
    </row>
    <row r="58" ht="14.25" customHeight="1">
      <c r="A58" s="6">
        <v>196.0</v>
      </c>
      <c r="B58" s="38" t="s">
        <v>82</v>
      </c>
      <c r="C58" s="6">
        <v>57.0</v>
      </c>
      <c r="D58" s="56">
        <v>44439.0</v>
      </c>
    </row>
    <row r="59" ht="14.25" customHeight="1">
      <c r="A59" s="6">
        <v>20.0</v>
      </c>
      <c r="B59" s="38" t="s">
        <v>83</v>
      </c>
      <c r="C59" s="6">
        <v>9.0</v>
      </c>
      <c r="D59" s="56">
        <v>44468.0</v>
      </c>
    </row>
    <row r="60" ht="14.25" customHeight="1">
      <c r="A60" s="6">
        <v>50.0</v>
      </c>
      <c r="B60" s="38" t="s">
        <v>83</v>
      </c>
      <c r="C60" s="6">
        <v>30.0</v>
      </c>
      <c r="D60" s="56">
        <v>44523.0</v>
      </c>
    </row>
    <row r="61" ht="14.25" customHeight="1">
      <c r="A61" s="6">
        <v>186.0</v>
      </c>
      <c r="B61" s="38" t="s">
        <v>83</v>
      </c>
      <c r="C61" s="6">
        <v>58.0</v>
      </c>
      <c r="D61" s="56">
        <v>44453.0</v>
      </c>
    </row>
    <row r="62" ht="14.25" customHeight="1">
      <c r="A62" s="6">
        <v>63.0</v>
      </c>
      <c r="B62" s="38" t="s">
        <v>90</v>
      </c>
      <c r="C62" s="6">
        <v>97.0</v>
      </c>
      <c r="D62" s="56">
        <v>44509.0</v>
      </c>
    </row>
    <row r="63" ht="14.25" customHeight="1">
      <c r="A63" s="6">
        <v>132.0</v>
      </c>
      <c r="B63" s="38" t="s">
        <v>90</v>
      </c>
      <c r="C63" s="6">
        <v>19.0</v>
      </c>
      <c r="D63" s="56">
        <v>44449.0</v>
      </c>
    </row>
    <row r="64" ht="14.25" customHeight="1">
      <c r="A64" s="6">
        <v>145.0</v>
      </c>
      <c r="B64" s="38" t="s">
        <v>90</v>
      </c>
      <c r="C64" s="6">
        <v>49.0</v>
      </c>
      <c r="D64" s="56">
        <v>44411.0</v>
      </c>
    </row>
    <row r="65" ht="14.25" customHeight="1">
      <c r="A65" s="6">
        <v>182.0</v>
      </c>
      <c r="B65" s="38" t="s">
        <v>90</v>
      </c>
      <c r="C65" s="6">
        <v>38.0</v>
      </c>
      <c r="D65" s="56">
        <v>44441.0</v>
      </c>
    </row>
    <row r="66" ht="14.25" customHeight="1">
      <c r="A66" s="6">
        <v>185.0</v>
      </c>
      <c r="B66" s="38" t="s">
        <v>90</v>
      </c>
      <c r="C66" s="6">
        <v>52.0</v>
      </c>
      <c r="D66" s="56">
        <v>44456.0</v>
      </c>
    </row>
    <row r="67" ht="14.25" customHeight="1">
      <c r="A67" s="6">
        <v>35.0</v>
      </c>
      <c r="B67" s="38" t="s">
        <v>107</v>
      </c>
      <c r="C67" s="6">
        <v>85.0</v>
      </c>
      <c r="D67" s="56">
        <v>44482.0</v>
      </c>
    </row>
    <row r="68" ht="14.25" customHeight="1">
      <c r="A68" s="6">
        <v>79.0</v>
      </c>
      <c r="B68" s="38" t="s">
        <v>107</v>
      </c>
      <c r="C68" s="6">
        <v>29.0</v>
      </c>
      <c r="D68" s="56">
        <v>44511.0</v>
      </c>
    </row>
    <row r="69" ht="14.25" customHeight="1">
      <c r="A69" s="6">
        <v>141.0</v>
      </c>
      <c r="B69" s="38" t="s">
        <v>107</v>
      </c>
      <c r="C69" s="6">
        <v>39.0</v>
      </c>
      <c r="D69" s="56">
        <v>44504.0</v>
      </c>
    </row>
    <row r="70" ht="14.25" customHeight="1">
      <c r="A70" s="6">
        <v>174.0</v>
      </c>
      <c r="B70" s="38" t="s">
        <v>107</v>
      </c>
      <c r="C70" s="6">
        <v>96.0</v>
      </c>
      <c r="D70" s="56">
        <v>44480.0</v>
      </c>
    </row>
    <row r="71" ht="14.25" customHeight="1">
      <c r="A71" s="6">
        <v>12.0</v>
      </c>
      <c r="B71" s="38" t="s">
        <v>14</v>
      </c>
      <c r="C71" s="6">
        <v>12.0</v>
      </c>
      <c r="D71" s="56">
        <v>44496.0</v>
      </c>
    </row>
    <row r="72" ht="14.25" customHeight="1">
      <c r="A72" s="6">
        <v>97.0</v>
      </c>
      <c r="B72" s="38" t="s">
        <v>14</v>
      </c>
      <c r="C72" s="6">
        <v>70.0</v>
      </c>
      <c r="D72" s="56">
        <v>44446.0</v>
      </c>
    </row>
    <row r="73" ht="14.25" customHeight="1">
      <c r="A73" s="6">
        <v>18.0</v>
      </c>
      <c r="B73" s="38" t="s">
        <v>34</v>
      </c>
      <c r="C73" s="6">
        <v>52.0</v>
      </c>
      <c r="D73" s="56">
        <v>44455.0</v>
      </c>
    </row>
    <row r="74" ht="14.25" customHeight="1">
      <c r="A74" s="6">
        <v>46.0</v>
      </c>
      <c r="B74" s="38" t="s">
        <v>34</v>
      </c>
      <c r="C74" s="6">
        <v>79.0</v>
      </c>
      <c r="D74" s="56">
        <v>44509.0</v>
      </c>
    </row>
    <row r="75" ht="14.25" customHeight="1">
      <c r="A75" s="6">
        <v>127.0</v>
      </c>
      <c r="B75" s="38" t="s">
        <v>34</v>
      </c>
      <c r="C75" s="6">
        <v>78.0</v>
      </c>
      <c r="D75" s="56">
        <v>44519.0</v>
      </c>
    </row>
    <row r="76" ht="14.25" customHeight="1">
      <c r="A76" s="6">
        <v>153.0</v>
      </c>
      <c r="B76" s="38" t="s">
        <v>34</v>
      </c>
      <c r="C76" s="6">
        <v>40.0</v>
      </c>
      <c r="D76" s="56">
        <v>44489.0</v>
      </c>
    </row>
    <row r="77" ht="14.25" customHeight="1">
      <c r="A77" s="6">
        <v>176.0</v>
      </c>
      <c r="B77" s="38" t="s">
        <v>34</v>
      </c>
      <c r="C77" s="6">
        <v>55.0</v>
      </c>
      <c r="D77" s="56">
        <v>44473.0</v>
      </c>
    </row>
    <row r="78" ht="14.25" customHeight="1">
      <c r="A78" s="6">
        <v>191.0</v>
      </c>
      <c r="B78" s="38" t="s">
        <v>34</v>
      </c>
      <c r="C78" s="6">
        <v>53.0</v>
      </c>
      <c r="D78" s="56">
        <v>44418.0</v>
      </c>
    </row>
    <row r="79" ht="14.25" customHeight="1">
      <c r="A79" s="6">
        <v>100.0</v>
      </c>
      <c r="B79" s="38" t="s">
        <v>59</v>
      </c>
      <c r="C79" s="6">
        <v>85.0</v>
      </c>
      <c r="D79" s="56">
        <v>44418.0</v>
      </c>
    </row>
    <row r="80" ht="14.25" customHeight="1">
      <c r="A80" s="6">
        <v>108.0</v>
      </c>
      <c r="B80" s="38" t="s">
        <v>59</v>
      </c>
      <c r="C80" s="6">
        <v>19.0</v>
      </c>
      <c r="D80" s="56">
        <v>44434.0</v>
      </c>
    </row>
    <row r="81" ht="14.25" customHeight="1">
      <c r="A81" s="6">
        <v>148.0</v>
      </c>
      <c r="B81" s="38" t="s">
        <v>59</v>
      </c>
      <c r="C81" s="6">
        <v>15.0</v>
      </c>
      <c r="D81" s="56">
        <v>44523.0</v>
      </c>
    </row>
    <row r="82" ht="14.25" customHeight="1">
      <c r="A82" s="6">
        <v>151.0</v>
      </c>
      <c r="B82" s="38" t="s">
        <v>59</v>
      </c>
      <c r="C82" s="6">
        <v>11.0</v>
      </c>
      <c r="D82" s="56">
        <v>44508.0</v>
      </c>
    </row>
    <row r="83" ht="14.25" customHeight="1">
      <c r="A83" s="6">
        <v>158.0</v>
      </c>
      <c r="B83" s="38" t="s">
        <v>59</v>
      </c>
      <c r="C83" s="6">
        <v>22.0</v>
      </c>
      <c r="D83" s="56">
        <v>44474.0</v>
      </c>
    </row>
    <row r="84" ht="14.25" customHeight="1">
      <c r="A84" s="6">
        <v>168.0</v>
      </c>
      <c r="B84" s="38" t="s">
        <v>59</v>
      </c>
      <c r="C84" s="6">
        <v>13.0</v>
      </c>
      <c r="D84" s="56">
        <v>44495.0</v>
      </c>
    </row>
    <row r="85" ht="14.25" customHeight="1">
      <c r="A85" s="6">
        <v>40.0</v>
      </c>
      <c r="B85" s="38" t="s">
        <v>63</v>
      </c>
      <c r="C85" s="6">
        <v>59.0</v>
      </c>
      <c r="D85" s="56">
        <v>44509.0</v>
      </c>
    </row>
    <row r="86" ht="14.25" customHeight="1">
      <c r="A86" s="6">
        <v>104.0</v>
      </c>
      <c r="B86" s="38" t="s">
        <v>63</v>
      </c>
      <c r="C86" s="6">
        <v>96.0</v>
      </c>
      <c r="D86" s="56">
        <v>44435.0</v>
      </c>
    </row>
    <row r="87" ht="14.25" customHeight="1">
      <c r="A87" s="6">
        <v>42.0</v>
      </c>
      <c r="B87" s="38" t="s">
        <v>67</v>
      </c>
      <c r="C87" s="6">
        <v>89.0</v>
      </c>
      <c r="D87" s="56">
        <v>44482.0</v>
      </c>
    </row>
    <row r="88" ht="14.25" customHeight="1">
      <c r="A88" s="6">
        <v>81.0</v>
      </c>
      <c r="B88" s="38" t="s">
        <v>67</v>
      </c>
      <c r="C88" s="6">
        <v>30.0</v>
      </c>
      <c r="D88" s="56">
        <v>44425.0</v>
      </c>
    </row>
    <row r="89" ht="14.25" customHeight="1">
      <c r="A89" s="6">
        <v>116.0</v>
      </c>
      <c r="B89" s="38" t="s">
        <v>67</v>
      </c>
      <c r="C89" s="6">
        <v>96.0</v>
      </c>
      <c r="D89" s="56">
        <v>44468.0</v>
      </c>
    </row>
    <row r="90" ht="14.25" customHeight="1">
      <c r="A90" s="6">
        <v>161.0</v>
      </c>
      <c r="B90" s="38" t="s">
        <v>67</v>
      </c>
      <c r="C90" s="6">
        <v>5.0</v>
      </c>
      <c r="D90" s="56">
        <v>44501.0</v>
      </c>
    </row>
    <row r="91" ht="14.25" customHeight="1">
      <c r="A91" s="6">
        <v>171.0</v>
      </c>
      <c r="B91" s="38" t="s">
        <v>67</v>
      </c>
      <c r="C91" s="6">
        <v>42.0</v>
      </c>
      <c r="D91" s="56">
        <v>44470.0</v>
      </c>
    </row>
    <row r="92" ht="14.25" customHeight="1">
      <c r="A92" s="6">
        <v>200.0</v>
      </c>
      <c r="B92" s="38" t="s">
        <v>67</v>
      </c>
      <c r="C92" s="6">
        <v>9.0</v>
      </c>
      <c r="D92" s="56">
        <v>44512.0</v>
      </c>
    </row>
    <row r="93" ht="14.25" customHeight="1">
      <c r="A93" s="6">
        <v>4.0</v>
      </c>
      <c r="B93" s="38" t="s">
        <v>68</v>
      </c>
      <c r="C93" s="6">
        <v>25.0</v>
      </c>
      <c r="D93" s="56">
        <v>44442.0</v>
      </c>
    </row>
    <row r="94" ht="14.25" customHeight="1">
      <c r="A94" s="6">
        <v>13.0</v>
      </c>
      <c r="B94" s="38" t="s">
        <v>68</v>
      </c>
      <c r="C94" s="6">
        <v>94.0</v>
      </c>
      <c r="D94" s="56">
        <v>44525.0</v>
      </c>
    </row>
    <row r="95" ht="14.25" customHeight="1">
      <c r="A95" s="6">
        <v>27.0</v>
      </c>
      <c r="B95" s="38" t="s">
        <v>68</v>
      </c>
      <c r="C95" s="6">
        <v>36.0</v>
      </c>
      <c r="D95" s="56">
        <v>44482.0</v>
      </c>
    </row>
    <row r="96" ht="14.25" customHeight="1">
      <c r="A96" s="6">
        <v>49.0</v>
      </c>
      <c r="B96" s="38" t="s">
        <v>68</v>
      </c>
      <c r="C96" s="6">
        <v>75.0</v>
      </c>
      <c r="D96" s="56">
        <v>44418.0</v>
      </c>
    </row>
    <row r="97" ht="14.25" customHeight="1">
      <c r="A97" s="6">
        <v>172.0</v>
      </c>
      <c r="B97" s="38" t="s">
        <v>68</v>
      </c>
      <c r="C97" s="6">
        <v>78.0</v>
      </c>
      <c r="D97" s="56">
        <v>44498.0</v>
      </c>
    </row>
    <row r="98" ht="14.25" customHeight="1">
      <c r="A98" s="6">
        <v>188.0</v>
      </c>
      <c r="B98" s="38" t="s">
        <v>68</v>
      </c>
      <c r="C98" s="6">
        <v>71.0</v>
      </c>
      <c r="D98" s="56">
        <v>44516.0</v>
      </c>
    </row>
    <row r="99" ht="14.25" customHeight="1">
      <c r="A99" s="6">
        <v>3.0</v>
      </c>
      <c r="B99" s="38" t="s">
        <v>74</v>
      </c>
      <c r="C99" s="6">
        <v>71.0</v>
      </c>
      <c r="D99" s="56">
        <v>44421.0</v>
      </c>
    </row>
    <row r="100" ht="14.25" customHeight="1">
      <c r="A100" s="6">
        <v>59.0</v>
      </c>
      <c r="B100" s="38" t="s">
        <v>74</v>
      </c>
      <c r="C100" s="6">
        <v>58.0</v>
      </c>
      <c r="D100" s="56">
        <v>44484.0</v>
      </c>
    </row>
    <row r="101" ht="14.25" customHeight="1">
      <c r="A101" s="6">
        <v>94.0</v>
      </c>
      <c r="B101" s="38" t="s">
        <v>74</v>
      </c>
      <c r="C101" s="6">
        <v>27.0</v>
      </c>
      <c r="D101" s="56">
        <v>44441.0</v>
      </c>
    </row>
    <row r="102" ht="14.25" customHeight="1">
      <c r="A102" s="6">
        <v>170.0</v>
      </c>
      <c r="B102" s="38" t="s">
        <v>74</v>
      </c>
      <c r="C102" s="6">
        <v>50.0</v>
      </c>
      <c r="D102" s="56">
        <v>44449.0</v>
      </c>
    </row>
    <row r="103" ht="14.25" customHeight="1">
      <c r="A103" s="6">
        <v>181.0</v>
      </c>
      <c r="B103" s="38" t="s">
        <v>74</v>
      </c>
      <c r="C103" s="6">
        <v>58.0</v>
      </c>
      <c r="D103" s="56">
        <v>44495.0</v>
      </c>
    </row>
    <row r="104" ht="14.25" customHeight="1">
      <c r="A104" s="6">
        <v>58.0</v>
      </c>
      <c r="B104" s="38" t="s">
        <v>75</v>
      </c>
      <c r="C104" s="6">
        <v>74.0</v>
      </c>
      <c r="D104" s="56">
        <v>44504.0</v>
      </c>
    </row>
    <row r="105" ht="14.25" customHeight="1">
      <c r="A105" s="6">
        <v>68.0</v>
      </c>
      <c r="B105" s="38" t="s">
        <v>75</v>
      </c>
      <c r="C105" s="6">
        <v>17.0</v>
      </c>
      <c r="D105" s="56">
        <v>44418.0</v>
      </c>
    </row>
    <row r="106" ht="14.25" customHeight="1">
      <c r="A106" s="6">
        <v>121.0</v>
      </c>
      <c r="B106" s="38" t="s">
        <v>75</v>
      </c>
      <c r="C106" s="6">
        <v>42.0</v>
      </c>
      <c r="D106" s="56">
        <v>44525.0</v>
      </c>
    </row>
    <row r="107" ht="14.25" customHeight="1">
      <c r="A107" s="6">
        <v>134.0</v>
      </c>
      <c r="B107" s="38" t="s">
        <v>75</v>
      </c>
      <c r="C107" s="6">
        <v>16.0</v>
      </c>
      <c r="D107" s="56">
        <v>44435.0</v>
      </c>
    </row>
    <row r="108" ht="14.25" customHeight="1">
      <c r="A108" s="6">
        <v>9.0</v>
      </c>
      <c r="B108" s="38" t="s">
        <v>77</v>
      </c>
      <c r="C108" s="6">
        <v>84.0</v>
      </c>
      <c r="D108" s="56">
        <v>44428.0</v>
      </c>
    </row>
    <row r="109" ht="14.25" customHeight="1">
      <c r="A109" s="6">
        <v>10.0</v>
      </c>
      <c r="B109" s="38" t="s">
        <v>77</v>
      </c>
      <c r="C109" s="6">
        <v>92.0</v>
      </c>
      <c r="D109" s="56">
        <v>44516.0</v>
      </c>
    </row>
    <row r="110" ht="14.25" customHeight="1">
      <c r="A110" s="6">
        <v>102.0</v>
      </c>
      <c r="B110" s="38" t="s">
        <v>77</v>
      </c>
      <c r="C110" s="6">
        <v>17.0</v>
      </c>
      <c r="D110" s="56">
        <v>44411.0</v>
      </c>
    </row>
    <row r="111" ht="14.25" customHeight="1">
      <c r="A111" s="6">
        <v>39.0</v>
      </c>
      <c r="B111" s="38" t="s">
        <v>79</v>
      </c>
      <c r="C111" s="6">
        <v>52.0</v>
      </c>
      <c r="D111" s="56">
        <v>44413.0</v>
      </c>
    </row>
    <row r="112" ht="14.25" customHeight="1">
      <c r="A112" s="6">
        <v>74.0</v>
      </c>
      <c r="B112" s="38" t="s">
        <v>79</v>
      </c>
      <c r="C112" s="6">
        <v>65.0</v>
      </c>
      <c r="D112" s="56">
        <v>44418.0</v>
      </c>
    </row>
    <row r="113" ht="14.25" customHeight="1">
      <c r="A113" s="6">
        <v>110.0</v>
      </c>
      <c r="B113" s="38" t="s">
        <v>79</v>
      </c>
      <c r="C113" s="6">
        <v>3.0</v>
      </c>
      <c r="D113" s="56">
        <v>44518.0</v>
      </c>
    </row>
    <row r="114" ht="14.25" customHeight="1">
      <c r="A114" s="6">
        <v>142.0</v>
      </c>
      <c r="B114" s="38" t="s">
        <v>79</v>
      </c>
      <c r="C114" s="6">
        <v>22.0</v>
      </c>
      <c r="D114" s="56">
        <v>44490.0</v>
      </c>
    </row>
    <row r="115" ht="14.25" customHeight="1">
      <c r="A115" s="6">
        <v>149.0</v>
      </c>
      <c r="B115" s="38" t="s">
        <v>79</v>
      </c>
      <c r="C115" s="6">
        <v>41.0</v>
      </c>
      <c r="D115" s="56">
        <v>44418.0</v>
      </c>
    </row>
    <row r="116" ht="14.25" customHeight="1">
      <c r="A116" s="6">
        <v>160.0</v>
      </c>
      <c r="B116" s="38" t="s">
        <v>79</v>
      </c>
      <c r="C116" s="6">
        <v>12.0</v>
      </c>
      <c r="D116" s="56">
        <v>44460.0</v>
      </c>
    </row>
    <row r="117" ht="14.25" customHeight="1">
      <c r="A117" s="6">
        <v>2.0</v>
      </c>
      <c r="B117" s="38" t="s">
        <v>87</v>
      </c>
      <c r="C117" s="6">
        <v>29.0</v>
      </c>
      <c r="D117" s="56">
        <v>44434.0</v>
      </c>
    </row>
    <row r="118" ht="14.25" customHeight="1">
      <c r="A118" s="6">
        <v>71.0</v>
      </c>
      <c r="B118" s="38" t="s">
        <v>87</v>
      </c>
      <c r="C118" s="6">
        <v>29.0</v>
      </c>
      <c r="D118" s="56">
        <v>44468.0</v>
      </c>
    </row>
    <row r="119" ht="14.25" customHeight="1">
      <c r="A119" s="6">
        <v>78.0</v>
      </c>
      <c r="B119" s="38" t="s">
        <v>87</v>
      </c>
      <c r="C119" s="6">
        <v>32.0</v>
      </c>
      <c r="D119" s="56">
        <v>44481.0</v>
      </c>
    </row>
    <row r="120" ht="14.25" customHeight="1">
      <c r="A120" s="6">
        <v>177.0</v>
      </c>
      <c r="B120" s="38" t="s">
        <v>87</v>
      </c>
      <c r="C120" s="6">
        <v>61.0</v>
      </c>
      <c r="D120" s="56">
        <v>44509.0</v>
      </c>
    </row>
    <row r="121" ht="14.25" customHeight="1">
      <c r="A121" s="6">
        <v>31.0</v>
      </c>
      <c r="B121" s="38" t="s">
        <v>88</v>
      </c>
      <c r="C121" s="6">
        <v>48.0</v>
      </c>
      <c r="D121" s="56">
        <v>44425.0</v>
      </c>
    </row>
    <row r="122" ht="14.25" customHeight="1">
      <c r="A122" s="6">
        <v>52.0</v>
      </c>
      <c r="B122" s="38" t="s">
        <v>88</v>
      </c>
      <c r="C122" s="6">
        <v>36.0</v>
      </c>
      <c r="D122" s="56">
        <v>44502.0</v>
      </c>
    </row>
    <row r="123" ht="14.25" customHeight="1">
      <c r="A123" s="6">
        <v>113.0</v>
      </c>
      <c r="B123" s="38" t="s">
        <v>88</v>
      </c>
      <c r="C123" s="6">
        <v>5.0</v>
      </c>
      <c r="D123" s="56">
        <v>44461.0</v>
      </c>
    </row>
    <row r="124" ht="14.25" customHeight="1">
      <c r="A124" s="6">
        <v>152.0</v>
      </c>
      <c r="B124" s="38" t="s">
        <v>88</v>
      </c>
      <c r="C124" s="6">
        <v>81.0</v>
      </c>
      <c r="D124" s="56">
        <v>44481.0</v>
      </c>
    </row>
    <row r="125" ht="14.25" customHeight="1">
      <c r="A125" s="6">
        <v>198.0</v>
      </c>
      <c r="B125" s="38" t="s">
        <v>88</v>
      </c>
      <c r="C125" s="6">
        <v>48.0</v>
      </c>
      <c r="D125" s="56">
        <v>44432.0</v>
      </c>
    </row>
    <row r="126" ht="14.25" customHeight="1">
      <c r="A126" s="6">
        <v>93.0</v>
      </c>
      <c r="B126" s="38" t="s">
        <v>92</v>
      </c>
      <c r="C126" s="6">
        <v>98.0</v>
      </c>
      <c r="D126" s="56">
        <v>44453.0</v>
      </c>
    </row>
    <row r="127" ht="14.25" customHeight="1">
      <c r="A127" s="6">
        <v>101.0</v>
      </c>
      <c r="B127" s="38" t="s">
        <v>92</v>
      </c>
      <c r="C127" s="6">
        <v>24.0</v>
      </c>
      <c r="D127" s="56">
        <v>44523.0</v>
      </c>
    </row>
    <row r="128" ht="14.25" customHeight="1">
      <c r="A128" s="6">
        <v>146.0</v>
      </c>
      <c r="B128" s="38" t="s">
        <v>92</v>
      </c>
      <c r="C128" s="6">
        <v>6.0</v>
      </c>
      <c r="D128" s="56">
        <v>44525.0</v>
      </c>
    </row>
    <row r="129" ht="14.25" customHeight="1">
      <c r="A129" s="6">
        <v>28.0</v>
      </c>
      <c r="B129" s="38" t="s">
        <v>94</v>
      </c>
      <c r="C129" s="6">
        <v>16.0</v>
      </c>
      <c r="D129" s="56">
        <v>44442.0</v>
      </c>
    </row>
    <row r="130" ht="14.25" customHeight="1">
      <c r="A130" s="6">
        <v>37.0</v>
      </c>
      <c r="B130" s="38" t="s">
        <v>94</v>
      </c>
      <c r="C130" s="6">
        <v>85.0</v>
      </c>
      <c r="D130" s="56">
        <v>44491.0</v>
      </c>
    </row>
    <row r="131" ht="14.25" customHeight="1">
      <c r="A131" s="6">
        <v>77.0</v>
      </c>
      <c r="B131" s="38" t="s">
        <v>94</v>
      </c>
      <c r="C131" s="6">
        <v>68.0</v>
      </c>
      <c r="D131" s="56">
        <v>44509.0</v>
      </c>
    </row>
    <row r="132" ht="14.25" customHeight="1">
      <c r="A132" s="6">
        <v>111.0</v>
      </c>
      <c r="B132" s="38" t="s">
        <v>94</v>
      </c>
      <c r="C132" s="6">
        <v>64.0</v>
      </c>
      <c r="D132" s="56">
        <v>44453.0</v>
      </c>
    </row>
    <row r="133" ht="14.25" customHeight="1">
      <c r="A133" s="6">
        <v>137.0</v>
      </c>
      <c r="B133" s="38" t="s">
        <v>94</v>
      </c>
      <c r="C133" s="6">
        <v>54.0</v>
      </c>
      <c r="D133" s="56">
        <v>44488.0</v>
      </c>
    </row>
    <row r="134" ht="14.25" customHeight="1">
      <c r="A134" s="6">
        <v>189.0</v>
      </c>
      <c r="B134" s="38" t="s">
        <v>94</v>
      </c>
      <c r="C134" s="6">
        <v>44.0</v>
      </c>
      <c r="D134" s="56">
        <v>44433.0</v>
      </c>
    </row>
    <row r="135" ht="14.25" customHeight="1">
      <c r="A135" s="6">
        <v>5.0</v>
      </c>
      <c r="B135" s="38" t="s">
        <v>95</v>
      </c>
      <c r="C135" s="6">
        <v>50.0</v>
      </c>
      <c r="D135" s="56">
        <v>44418.0</v>
      </c>
    </row>
    <row r="136" ht="14.25" customHeight="1">
      <c r="A136" s="6">
        <v>66.0</v>
      </c>
      <c r="B136" s="38" t="s">
        <v>95</v>
      </c>
      <c r="C136" s="6">
        <v>90.0</v>
      </c>
      <c r="D136" s="56">
        <v>44417.0</v>
      </c>
    </row>
    <row r="137" ht="14.25" customHeight="1">
      <c r="A137" s="6">
        <v>179.0</v>
      </c>
      <c r="B137" s="38" t="s">
        <v>95</v>
      </c>
      <c r="C137" s="6">
        <v>59.0</v>
      </c>
      <c r="D137" s="56">
        <v>44453.0</v>
      </c>
    </row>
    <row r="138" ht="14.25" customHeight="1">
      <c r="A138" s="6">
        <v>16.0</v>
      </c>
      <c r="B138" s="38" t="s">
        <v>96</v>
      </c>
      <c r="C138" s="6">
        <v>25.0</v>
      </c>
      <c r="D138" s="56">
        <v>44449.0</v>
      </c>
    </row>
    <row r="139" ht="14.25" customHeight="1">
      <c r="A139" s="6">
        <v>167.0</v>
      </c>
      <c r="B139" s="38" t="s">
        <v>96</v>
      </c>
      <c r="C139" s="6">
        <v>25.0</v>
      </c>
      <c r="D139" s="56">
        <v>44483.0</v>
      </c>
    </row>
    <row r="140" ht="14.25" customHeight="1">
      <c r="A140" s="6">
        <v>180.0</v>
      </c>
      <c r="B140" s="38" t="s">
        <v>96</v>
      </c>
      <c r="C140" s="6">
        <v>13.0</v>
      </c>
      <c r="D140" s="56">
        <v>44526.0</v>
      </c>
    </row>
    <row r="141" ht="14.25" customHeight="1">
      <c r="A141" s="6">
        <v>11.0</v>
      </c>
      <c r="B141" s="38" t="s">
        <v>101</v>
      </c>
      <c r="C141" s="6">
        <v>83.0</v>
      </c>
      <c r="D141" s="56">
        <v>44523.0</v>
      </c>
    </row>
    <row r="142" ht="14.25" customHeight="1">
      <c r="A142" s="6">
        <v>19.0</v>
      </c>
      <c r="B142" s="38" t="s">
        <v>101</v>
      </c>
      <c r="C142" s="6">
        <v>58.0</v>
      </c>
      <c r="D142" s="56">
        <v>44474.0</v>
      </c>
    </row>
    <row r="143" ht="14.25" customHeight="1">
      <c r="A143" s="6">
        <v>38.0</v>
      </c>
      <c r="B143" s="38" t="s">
        <v>101</v>
      </c>
      <c r="C143" s="6">
        <v>57.0</v>
      </c>
      <c r="D143" s="56">
        <v>44453.0</v>
      </c>
    </row>
    <row r="144" ht="14.25" customHeight="1">
      <c r="A144" s="6">
        <v>65.0</v>
      </c>
      <c r="B144" s="38" t="s">
        <v>101</v>
      </c>
      <c r="C144" s="6">
        <v>2.0</v>
      </c>
      <c r="D144" s="56">
        <v>44474.0</v>
      </c>
    </row>
    <row r="145" ht="14.25" customHeight="1">
      <c r="A145" s="6">
        <v>103.0</v>
      </c>
      <c r="B145" s="38" t="s">
        <v>101</v>
      </c>
      <c r="C145" s="6">
        <v>20.0</v>
      </c>
      <c r="D145" s="56">
        <v>44461.0</v>
      </c>
    </row>
    <row r="146" ht="14.25" customHeight="1">
      <c r="A146" s="6">
        <v>156.0</v>
      </c>
      <c r="B146" s="38" t="s">
        <v>101</v>
      </c>
      <c r="C146" s="6">
        <v>83.0</v>
      </c>
      <c r="D146" s="56">
        <v>44516.0</v>
      </c>
    </row>
    <row r="147" ht="14.25" customHeight="1">
      <c r="A147" s="6">
        <v>162.0</v>
      </c>
      <c r="B147" s="38" t="s">
        <v>101</v>
      </c>
      <c r="C147" s="6">
        <v>27.0</v>
      </c>
      <c r="D147" s="56">
        <v>44433.0</v>
      </c>
    </row>
    <row r="148" ht="14.25" customHeight="1">
      <c r="A148" s="6">
        <v>190.0</v>
      </c>
      <c r="B148" s="38" t="s">
        <v>101</v>
      </c>
      <c r="C148" s="6">
        <v>91.0</v>
      </c>
      <c r="D148" s="56">
        <v>44440.0</v>
      </c>
    </row>
    <row r="149" ht="14.25" customHeight="1">
      <c r="A149" s="6">
        <v>7.0</v>
      </c>
      <c r="B149" s="38" t="s">
        <v>102</v>
      </c>
      <c r="C149" s="6">
        <v>38.0</v>
      </c>
      <c r="D149" s="56">
        <v>44447.0</v>
      </c>
    </row>
    <row r="150" ht="14.25" customHeight="1">
      <c r="A150" s="6">
        <v>48.0</v>
      </c>
      <c r="B150" s="38" t="s">
        <v>102</v>
      </c>
      <c r="C150" s="6">
        <v>46.0</v>
      </c>
      <c r="D150" s="56">
        <v>44460.0</v>
      </c>
    </row>
    <row r="151" ht="14.25" customHeight="1">
      <c r="A151" s="6">
        <v>187.0</v>
      </c>
      <c r="B151" s="38" t="s">
        <v>102</v>
      </c>
      <c r="C151" s="6">
        <v>75.0</v>
      </c>
      <c r="D151" s="56">
        <v>44453.0</v>
      </c>
    </row>
    <row r="152" ht="14.25" customHeight="1">
      <c r="A152" s="6">
        <v>1.0</v>
      </c>
      <c r="B152" s="38" t="s">
        <v>104</v>
      </c>
      <c r="C152" s="6">
        <v>56.0</v>
      </c>
      <c r="D152" s="56">
        <v>44448.0</v>
      </c>
    </row>
    <row r="153" ht="14.25" customHeight="1">
      <c r="A153" s="6">
        <v>87.0</v>
      </c>
      <c r="B153" s="38" t="s">
        <v>104</v>
      </c>
      <c r="C153" s="6">
        <v>1.0</v>
      </c>
      <c r="D153" s="56">
        <v>44526.0</v>
      </c>
    </row>
    <row r="154" ht="14.25" customHeight="1">
      <c r="A154" s="6">
        <v>88.0</v>
      </c>
      <c r="B154" s="38" t="s">
        <v>104</v>
      </c>
      <c r="C154" s="6">
        <v>71.0</v>
      </c>
      <c r="D154" s="56">
        <v>44488.0</v>
      </c>
    </row>
    <row r="155" ht="14.25" customHeight="1">
      <c r="A155" s="6">
        <v>90.0</v>
      </c>
      <c r="B155" s="38" t="s">
        <v>104</v>
      </c>
      <c r="C155" s="6">
        <v>42.0</v>
      </c>
      <c r="D155" s="56">
        <v>44505.0</v>
      </c>
    </row>
    <row r="156" ht="14.25" customHeight="1">
      <c r="A156" s="6">
        <v>92.0</v>
      </c>
      <c r="B156" s="38" t="s">
        <v>106</v>
      </c>
      <c r="C156" s="6">
        <v>45.0</v>
      </c>
      <c r="D156" s="56">
        <v>44456.0</v>
      </c>
    </row>
    <row r="157" ht="14.25" customHeight="1">
      <c r="A157" s="6">
        <v>114.0</v>
      </c>
      <c r="B157" s="38" t="s">
        <v>106</v>
      </c>
      <c r="C157" s="6">
        <v>85.0</v>
      </c>
      <c r="D157" s="56">
        <v>44412.0</v>
      </c>
    </row>
    <row r="158" ht="14.25" customHeight="1">
      <c r="A158" s="6">
        <v>123.0</v>
      </c>
      <c r="B158" s="38" t="s">
        <v>106</v>
      </c>
      <c r="C158" s="6">
        <v>28.0</v>
      </c>
      <c r="D158" s="56">
        <v>44455.0</v>
      </c>
    </row>
    <row r="159" ht="14.25" customHeight="1">
      <c r="A159" s="6">
        <v>154.0</v>
      </c>
      <c r="B159" s="38" t="s">
        <v>106</v>
      </c>
      <c r="C159" s="6">
        <v>83.0</v>
      </c>
      <c r="D159" s="56">
        <v>44418.0</v>
      </c>
    </row>
    <row r="160" ht="14.25" customHeight="1">
      <c r="A160" s="6">
        <v>195.0</v>
      </c>
      <c r="B160" s="38" t="s">
        <v>106</v>
      </c>
      <c r="C160" s="6">
        <v>69.0</v>
      </c>
      <c r="D160" s="56">
        <v>44441.0</v>
      </c>
    </row>
    <row r="161" ht="14.25" customHeight="1">
      <c r="A161" s="6">
        <v>26.0</v>
      </c>
      <c r="B161" s="38" t="s">
        <v>50</v>
      </c>
      <c r="C161" s="6">
        <v>2.0</v>
      </c>
      <c r="D161" s="56">
        <v>44509.0</v>
      </c>
    </row>
    <row r="162" ht="14.25" customHeight="1">
      <c r="A162" s="6">
        <v>136.0</v>
      </c>
      <c r="B162" s="38" t="s">
        <v>50</v>
      </c>
      <c r="C162" s="6">
        <v>11.0</v>
      </c>
      <c r="D162" s="56">
        <v>44418.0</v>
      </c>
    </row>
    <row r="163" ht="14.25" customHeight="1">
      <c r="A163" s="6">
        <v>22.0</v>
      </c>
      <c r="B163" s="38" t="s">
        <v>64</v>
      </c>
      <c r="C163" s="6">
        <v>48.0</v>
      </c>
      <c r="D163" s="56">
        <v>44418.0</v>
      </c>
    </row>
    <row r="164" ht="14.25" customHeight="1">
      <c r="A164" s="6">
        <v>60.0</v>
      </c>
      <c r="B164" s="38" t="s">
        <v>64</v>
      </c>
      <c r="C164" s="6">
        <v>42.0</v>
      </c>
      <c r="D164" s="56">
        <v>44481.0</v>
      </c>
    </row>
    <row r="165" ht="14.25" customHeight="1">
      <c r="A165" s="6">
        <v>99.0</v>
      </c>
      <c r="B165" s="38" t="s">
        <v>64</v>
      </c>
      <c r="C165" s="6">
        <v>11.0</v>
      </c>
      <c r="D165" s="56">
        <v>44434.0</v>
      </c>
    </row>
    <row r="166" ht="14.25" customHeight="1">
      <c r="A166" s="6">
        <v>131.0</v>
      </c>
      <c r="B166" s="38" t="s">
        <v>64</v>
      </c>
      <c r="C166" s="6">
        <v>18.0</v>
      </c>
      <c r="D166" s="56">
        <v>44462.0</v>
      </c>
    </row>
    <row r="167" ht="14.25" customHeight="1">
      <c r="A167" s="6">
        <v>86.0</v>
      </c>
      <c r="B167" s="38" t="s">
        <v>65</v>
      </c>
      <c r="C167" s="6">
        <v>46.0</v>
      </c>
      <c r="D167" s="56">
        <v>44411.0</v>
      </c>
    </row>
    <row r="168" ht="14.25" customHeight="1">
      <c r="A168" s="6">
        <v>107.0</v>
      </c>
      <c r="B168" s="38" t="s">
        <v>65</v>
      </c>
      <c r="C168" s="6">
        <v>25.0</v>
      </c>
      <c r="D168" s="56">
        <v>44524.0</v>
      </c>
    </row>
    <row r="169" ht="14.25" customHeight="1">
      <c r="A169" s="6">
        <v>126.0</v>
      </c>
      <c r="B169" s="38" t="s">
        <v>65</v>
      </c>
      <c r="C169" s="6">
        <v>45.0</v>
      </c>
      <c r="D169" s="56">
        <v>44481.0</v>
      </c>
    </row>
    <row r="170" ht="14.25" customHeight="1">
      <c r="A170" s="6">
        <v>135.0</v>
      </c>
      <c r="B170" s="38" t="s">
        <v>65</v>
      </c>
      <c r="C170" s="6">
        <v>55.0</v>
      </c>
      <c r="D170" s="56">
        <v>44454.0</v>
      </c>
    </row>
    <row r="171" ht="14.25" customHeight="1">
      <c r="A171" s="6">
        <v>165.0</v>
      </c>
      <c r="B171" s="38" t="s">
        <v>65</v>
      </c>
      <c r="C171" s="6">
        <v>51.0</v>
      </c>
      <c r="D171" s="56">
        <v>44446.0</v>
      </c>
    </row>
    <row r="172" ht="14.25" customHeight="1">
      <c r="A172" s="6">
        <v>43.0</v>
      </c>
      <c r="B172" s="38" t="s">
        <v>76</v>
      </c>
      <c r="C172" s="6">
        <v>55.0</v>
      </c>
      <c r="D172" s="56">
        <v>44411.0</v>
      </c>
    </row>
    <row r="173" ht="14.25" customHeight="1">
      <c r="A173" s="6">
        <v>45.0</v>
      </c>
      <c r="B173" s="38" t="s">
        <v>76</v>
      </c>
      <c r="C173" s="6">
        <v>37.0</v>
      </c>
      <c r="D173" s="56">
        <v>44425.0</v>
      </c>
    </row>
    <row r="174" ht="14.25" customHeight="1">
      <c r="A174" s="6">
        <v>51.0</v>
      </c>
      <c r="B174" s="38" t="s">
        <v>76</v>
      </c>
      <c r="C174" s="6">
        <v>84.0</v>
      </c>
      <c r="D174" s="56">
        <v>44445.0</v>
      </c>
    </row>
    <row r="175" ht="14.25" customHeight="1">
      <c r="A175" s="6">
        <v>56.0</v>
      </c>
      <c r="B175" s="38" t="s">
        <v>76</v>
      </c>
      <c r="C175" s="6">
        <v>58.0</v>
      </c>
      <c r="D175" s="56">
        <v>44439.0</v>
      </c>
    </row>
    <row r="176" ht="14.25" customHeight="1">
      <c r="A176" s="6">
        <v>91.0</v>
      </c>
      <c r="B176" s="38" t="s">
        <v>76</v>
      </c>
      <c r="C176" s="6">
        <v>73.0</v>
      </c>
      <c r="D176" s="56">
        <v>44509.0</v>
      </c>
    </row>
    <row r="177" ht="14.25" customHeight="1">
      <c r="A177" s="6">
        <v>128.0</v>
      </c>
      <c r="B177" s="38" t="s">
        <v>76</v>
      </c>
      <c r="C177" s="6">
        <v>38.0</v>
      </c>
      <c r="D177" s="56">
        <v>44502.0</v>
      </c>
    </row>
    <row r="178" ht="14.25" customHeight="1">
      <c r="A178" s="6">
        <v>157.0</v>
      </c>
      <c r="B178" s="38" t="s">
        <v>76</v>
      </c>
      <c r="C178" s="6">
        <v>70.0</v>
      </c>
      <c r="D178" s="56">
        <v>44518.0</v>
      </c>
    </row>
    <row r="179" ht="14.25" customHeight="1">
      <c r="A179" s="6">
        <v>175.0</v>
      </c>
      <c r="B179" s="38" t="s">
        <v>76</v>
      </c>
      <c r="C179" s="6">
        <v>83.0</v>
      </c>
      <c r="D179" s="56">
        <v>44417.0</v>
      </c>
    </row>
    <row r="180" ht="14.25" customHeight="1">
      <c r="A180" s="6">
        <v>6.0</v>
      </c>
      <c r="B180" s="38" t="s">
        <v>86</v>
      </c>
      <c r="C180" s="6">
        <v>87.0</v>
      </c>
      <c r="D180" s="56">
        <v>44425.0</v>
      </c>
    </row>
    <row r="181" ht="14.25" customHeight="1">
      <c r="A181" s="6">
        <v>36.0</v>
      </c>
      <c r="B181" s="38" t="s">
        <v>86</v>
      </c>
      <c r="C181" s="6">
        <v>70.0</v>
      </c>
      <c r="D181" s="56">
        <v>44442.0</v>
      </c>
    </row>
    <row r="182" ht="14.25" customHeight="1">
      <c r="A182" s="6">
        <v>47.0</v>
      </c>
      <c r="B182" s="38" t="s">
        <v>86</v>
      </c>
      <c r="C182" s="6">
        <v>97.0</v>
      </c>
      <c r="D182" s="56">
        <v>44418.0</v>
      </c>
    </row>
    <row r="183" ht="14.25" customHeight="1">
      <c r="A183" s="6">
        <v>62.0</v>
      </c>
      <c r="B183" s="38" t="s">
        <v>86</v>
      </c>
      <c r="C183" s="6">
        <v>95.0</v>
      </c>
      <c r="D183" s="56">
        <v>44523.0</v>
      </c>
    </row>
    <row r="184" ht="14.25" customHeight="1">
      <c r="A184" s="6">
        <v>72.0</v>
      </c>
      <c r="B184" s="38" t="s">
        <v>86</v>
      </c>
      <c r="C184" s="6">
        <v>78.0</v>
      </c>
      <c r="D184" s="56">
        <v>44516.0</v>
      </c>
    </row>
    <row r="185" ht="14.25" customHeight="1">
      <c r="A185" s="6">
        <v>96.0</v>
      </c>
      <c r="B185" s="38" t="s">
        <v>86</v>
      </c>
      <c r="C185" s="6">
        <v>15.0</v>
      </c>
      <c r="D185" s="56">
        <v>44490.0</v>
      </c>
    </row>
    <row r="186" ht="14.25" customHeight="1">
      <c r="A186" s="6">
        <v>106.0</v>
      </c>
      <c r="B186" s="38" t="s">
        <v>86</v>
      </c>
      <c r="C186" s="6">
        <v>40.0</v>
      </c>
      <c r="D186" s="56">
        <v>44489.0</v>
      </c>
    </row>
    <row r="187" ht="14.25" customHeight="1">
      <c r="A187" s="6">
        <v>130.0</v>
      </c>
      <c r="B187" s="38" t="s">
        <v>86</v>
      </c>
      <c r="C187" s="6">
        <v>38.0</v>
      </c>
      <c r="D187" s="56">
        <v>44418.0</v>
      </c>
    </row>
    <row r="188" ht="14.25" customHeight="1">
      <c r="A188" s="6">
        <v>139.0</v>
      </c>
      <c r="B188" s="38" t="s">
        <v>86</v>
      </c>
      <c r="C188" s="6">
        <v>20.0</v>
      </c>
      <c r="D188" s="56">
        <v>44418.0</v>
      </c>
    </row>
    <row r="189" ht="14.25" customHeight="1">
      <c r="A189" s="6">
        <v>163.0</v>
      </c>
      <c r="B189" s="38" t="s">
        <v>86</v>
      </c>
      <c r="C189" s="6">
        <v>59.0</v>
      </c>
      <c r="D189" s="56">
        <v>44512.0</v>
      </c>
    </row>
    <row r="190" ht="14.25" customHeight="1">
      <c r="A190" s="6">
        <v>147.0</v>
      </c>
      <c r="B190" s="38" t="s">
        <v>89</v>
      </c>
      <c r="C190" s="6">
        <v>5.0</v>
      </c>
      <c r="D190" s="56">
        <v>44414.0</v>
      </c>
    </row>
    <row r="191" ht="14.25" customHeight="1">
      <c r="A191" s="6">
        <v>184.0</v>
      </c>
      <c r="B191" s="38" t="s">
        <v>89</v>
      </c>
      <c r="C191" s="6">
        <v>81.0</v>
      </c>
      <c r="D191" s="56">
        <v>44488.0</v>
      </c>
    </row>
    <row r="192" ht="14.25" customHeight="1">
      <c r="A192" s="6">
        <v>8.0</v>
      </c>
      <c r="B192" s="38" t="s">
        <v>99</v>
      </c>
      <c r="C192" s="6">
        <v>22.0</v>
      </c>
      <c r="D192" s="56">
        <v>44453.0</v>
      </c>
    </row>
    <row r="193" ht="14.25" customHeight="1">
      <c r="A193" s="6">
        <v>15.0</v>
      </c>
      <c r="B193" s="38" t="s">
        <v>99</v>
      </c>
      <c r="C193" s="6">
        <v>82.0</v>
      </c>
      <c r="D193" s="56">
        <v>44488.0</v>
      </c>
    </row>
    <row r="194" ht="14.25" customHeight="1">
      <c r="A194" s="6">
        <v>24.0</v>
      </c>
      <c r="B194" s="38" t="s">
        <v>99</v>
      </c>
      <c r="C194" s="6">
        <v>74.0</v>
      </c>
      <c r="D194" s="56">
        <v>44425.0</v>
      </c>
    </row>
    <row r="195" ht="14.25" customHeight="1">
      <c r="A195" s="6">
        <v>34.0</v>
      </c>
      <c r="B195" s="38" t="s">
        <v>99</v>
      </c>
      <c r="C195" s="6">
        <v>67.0</v>
      </c>
      <c r="D195" s="56">
        <v>44509.0</v>
      </c>
    </row>
    <row r="196" ht="14.25" customHeight="1">
      <c r="A196" s="6">
        <v>44.0</v>
      </c>
      <c r="B196" s="38" t="s">
        <v>99</v>
      </c>
      <c r="C196" s="6">
        <v>32.0</v>
      </c>
      <c r="D196" s="56">
        <v>44469.0</v>
      </c>
    </row>
    <row r="197" ht="14.25" customHeight="1">
      <c r="A197" s="6">
        <v>82.0</v>
      </c>
      <c r="B197" s="38" t="s">
        <v>99</v>
      </c>
      <c r="C197" s="6">
        <v>77.0</v>
      </c>
      <c r="D197" s="56">
        <v>44446.0</v>
      </c>
    </row>
    <row r="198" ht="14.25" customHeight="1">
      <c r="A198" s="6">
        <v>105.0</v>
      </c>
      <c r="B198" s="38" t="s">
        <v>99</v>
      </c>
      <c r="C198" s="6">
        <v>50.0</v>
      </c>
      <c r="D198" s="56">
        <v>44509.0</v>
      </c>
    </row>
    <row r="199" ht="14.25" customHeight="1">
      <c r="A199" s="6">
        <v>138.0</v>
      </c>
      <c r="B199" s="38" t="s">
        <v>99</v>
      </c>
      <c r="C199" s="6">
        <v>6.0</v>
      </c>
      <c r="D199" s="56">
        <v>44504.0</v>
      </c>
    </row>
    <row r="200" ht="14.25" customHeight="1">
      <c r="A200" s="6">
        <v>21.0</v>
      </c>
      <c r="B200" s="38" t="s">
        <v>103</v>
      </c>
      <c r="C200" s="6">
        <v>60.0</v>
      </c>
      <c r="D200" s="56">
        <v>44530.0</v>
      </c>
    </row>
    <row r="201" ht="14.25" customHeight="1">
      <c r="A201" s="6">
        <v>169.0</v>
      </c>
      <c r="B201" s="38" t="s">
        <v>103</v>
      </c>
      <c r="C201" s="6">
        <v>5.0</v>
      </c>
      <c r="D201" s="56">
        <v>44510.0</v>
      </c>
    </row>
    <row r="202" ht="14.25" customHeight="1">
      <c r="B202" s="38"/>
    </row>
    <row r="203" ht="14.25" customHeight="1">
      <c r="B203" s="38"/>
    </row>
    <row r="204" ht="14.25" customHeight="1">
      <c r="B204" s="38"/>
    </row>
    <row r="205" ht="14.25" customHeight="1">
      <c r="B205" s="38"/>
    </row>
    <row r="206" ht="14.25" customHeight="1">
      <c r="B206" s="38"/>
    </row>
    <row r="207" ht="14.25" customHeight="1">
      <c r="B207" s="38"/>
    </row>
    <row r="208" ht="14.25" customHeight="1">
      <c r="B208" s="38"/>
    </row>
    <row r="209" ht="14.25" customHeight="1">
      <c r="B209" s="38"/>
    </row>
    <row r="210" ht="14.25" customHeight="1">
      <c r="B210" s="38"/>
    </row>
    <row r="211" ht="14.25" customHeight="1">
      <c r="B211" s="38"/>
    </row>
    <row r="212" ht="14.25" customHeight="1">
      <c r="B212" s="38"/>
    </row>
    <row r="213" ht="14.25" customHeight="1">
      <c r="B213" s="38"/>
    </row>
    <row r="214" ht="14.25" customHeight="1">
      <c r="B214" s="38"/>
    </row>
    <row r="215" ht="14.25" customHeight="1">
      <c r="B215" s="38"/>
    </row>
    <row r="216" ht="14.25" customHeight="1">
      <c r="B216" s="38"/>
    </row>
    <row r="217" ht="14.25" customHeight="1">
      <c r="B217" s="38"/>
    </row>
    <row r="218" ht="14.25" customHeight="1">
      <c r="B218" s="38"/>
    </row>
    <row r="219" ht="14.25" customHeight="1">
      <c r="B219" s="38"/>
    </row>
    <row r="220" ht="14.25" customHeight="1">
      <c r="B220" s="38"/>
    </row>
    <row r="221" ht="14.25" customHeight="1">
      <c r="B221" s="38"/>
    </row>
    <row r="222" ht="14.25" customHeight="1">
      <c r="B222" s="38"/>
    </row>
    <row r="223" ht="14.25" customHeight="1">
      <c r="B223" s="38"/>
    </row>
    <row r="224" ht="14.25" customHeight="1">
      <c r="B224" s="38"/>
    </row>
    <row r="225" ht="14.25" customHeight="1">
      <c r="B225" s="38"/>
    </row>
    <row r="226" ht="14.25" customHeight="1">
      <c r="B226" s="38"/>
    </row>
    <row r="227" ht="14.25" customHeight="1">
      <c r="B227" s="38"/>
    </row>
    <row r="228" ht="14.25" customHeight="1">
      <c r="B228" s="38"/>
    </row>
    <row r="229" ht="14.25" customHeight="1">
      <c r="B229" s="38"/>
    </row>
    <row r="230" ht="14.25" customHeight="1">
      <c r="B230" s="38"/>
    </row>
    <row r="231" ht="14.25" customHeight="1">
      <c r="B231" s="38"/>
    </row>
    <row r="232" ht="14.25" customHeight="1">
      <c r="B232" s="38"/>
    </row>
    <row r="233" ht="14.25" customHeight="1">
      <c r="B233" s="38"/>
    </row>
    <row r="234" ht="14.25" customHeight="1">
      <c r="B234" s="38"/>
    </row>
    <row r="235" ht="14.25" customHeight="1">
      <c r="B235" s="38"/>
    </row>
    <row r="236" ht="14.25" customHeight="1">
      <c r="B236" s="38"/>
    </row>
    <row r="237" ht="14.25" customHeight="1">
      <c r="B237" s="38"/>
    </row>
    <row r="238" ht="14.25" customHeight="1">
      <c r="B238" s="38"/>
    </row>
    <row r="239" ht="14.25" customHeight="1">
      <c r="B239" s="38"/>
    </row>
    <row r="240" ht="14.25" customHeight="1">
      <c r="B240" s="38"/>
    </row>
    <row r="241" ht="14.25" customHeight="1">
      <c r="B241" s="38"/>
    </row>
    <row r="242" ht="14.25" customHeight="1">
      <c r="B242" s="38"/>
    </row>
    <row r="243" ht="14.25" customHeight="1">
      <c r="B243" s="38"/>
    </row>
    <row r="244" ht="14.25" customHeight="1">
      <c r="B244" s="38"/>
    </row>
    <row r="245" ht="14.25" customHeight="1">
      <c r="B245" s="38"/>
    </row>
    <row r="246" ht="14.25" customHeight="1">
      <c r="B246" s="38"/>
    </row>
    <row r="247" ht="14.25" customHeight="1">
      <c r="B247" s="38"/>
    </row>
    <row r="248" ht="14.25" customHeight="1">
      <c r="B248" s="38"/>
    </row>
    <row r="249" ht="14.25" customHeight="1">
      <c r="B249" s="38"/>
    </row>
    <row r="250" ht="14.25" customHeight="1">
      <c r="B250" s="38"/>
    </row>
    <row r="251" ht="14.25" customHeight="1">
      <c r="B251" s="38"/>
    </row>
    <row r="252" ht="14.25" customHeight="1">
      <c r="B252" s="38"/>
    </row>
    <row r="253" ht="14.25" customHeight="1">
      <c r="B253" s="38"/>
    </row>
    <row r="254" ht="14.25" customHeight="1">
      <c r="B254" s="38"/>
    </row>
    <row r="255" ht="14.25" customHeight="1">
      <c r="B255" s="38"/>
    </row>
    <row r="256" ht="14.25" customHeight="1">
      <c r="B256" s="38"/>
    </row>
    <row r="257" ht="14.25" customHeight="1">
      <c r="B257" s="38"/>
    </row>
    <row r="258" ht="14.25" customHeight="1">
      <c r="B258" s="38"/>
    </row>
    <row r="259" ht="14.25" customHeight="1">
      <c r="B259" s="38"/>
    </row>
    <row r="260" ht="14.25" customHeight="1">
      <c r="B260" s="38"/>
    </row>
    <row r="261" ht="14.25" customHeight="1">
      <c r="B261" s="38"/>
    </row>
    <row r="262" ht="14.25" customHeight="1">
      <c r="B262" s="38"/>
    </row>
    <row r="263" ht="14.25" customHeight="1">
      <c r="B263" s="38"/>
    </row>
    <row r="264" ht="14.25" customHeight="1">
      <c r="B264" s="38"/>
    </row>
    <row r="265" ht="14.25" customHeight="1">
      <c r="B265" s="38"/>
    </row>
    <row r="266" ht="14.25" customHeight="1">
      <c r="B266" s="38"/>
    </row>
    <row r="267" ht="14.25" customHeight="1">
      <c r="B267" s="38"/>
    </row>
    <row r="268" ht="14.25" customHeight="1">
      <c r="B268" s="38"/>
    </row>
    <row r="269" ht="14.25" customHeight="1">
      <c r="B269" s="38"/>
    </row>
    <row r="270" ht="14.25" customHeight="1">
      <c r="B270" s="38"/>
    </row>
    <row r="271" ht="14.25" customHeight="1">
      <c r="B271" s="38"/>
    </row>
    <row r="272" ht="14.25" customHeight="1">
      <c r="B272" s="38"/>
    </row>
    <row r="273" ht="14.25" customHeight="1">
      <c r="B273" s="38"/>
    </row>
    <row r="274" ht="14.25" customHeight="1">
      <c r="B274" s="38"/>
    </row>
    <row r="275" ht="14.25" customHeight="1">
      <c r="B275" s="38"/>
    </row>
    <row r="276" ht="14.25" customHeight="1">
      <c r="B276" s="38"/>
    </row>
    <row r="277" ht="14.25" customHeight="1">
      <c r="B277" s="38"/>
    </row>
    <row r="278" ht="14.25" customHeight="1">
      <c r="B278" s="38"/>
    </row>
    <row r="279" ht="14.25" customHeight="1">
      <c r="B279" s="38"/>
    </row>
    <row r="280" ht="14.25" customHeight="1">
      <c r="B280" s="38"/>
    </row>
    <row r="281" ht="14.25" customHeight="1">
      <c r="B281" s="38"/>
    </row>
    <row r="282" ht="14.25" customHeight="1">
      <c r="B282" s="38"/>
    </row>
    <row r="283" ht="14.25" customHeight="1">
      <c r="B283" s="38"/>
    </row>
    <row r="284" ht="14.25" customHeight="1">
      <c r="B284" s="38"/>
    </row>
    <row r="285" ht="14.25" customHeight="1">
      <c r="B285" s="38"/>
    </row>
    <row r="286" ht="14.25" customHeight="1">
      <c r="B286" s="38"/>
    </row>
    <row r="287" ht="14.25" customHeight="1">
      <c r="B287" s="38"/>
    </row>
    <row r="288" ht="14.25" customHeight="1">
      <c r="B288" s="38"/>
    </row>
    <row r="289" ht="14.25" customHeight="1">
      <c r="B289" s="38"/>
    </row>
    <row r="290" ht="14.25" customHeight="1">
      <c r="B290" s="38"/>
    </row>
    <row r="291" ht="14.25" customHeight="1">
      <c r="B291" s="38"/>
    </row>
    <row r="292" ht="14.25" customHeight="1">
      <c r="B292" s="38"/>
    </row>
    <row r="293" ht="14.25" customHeight="1">
      <c r="B293" s="38"/>
    </row>
    <row r="294" ht="14.25" customHeight="1">
      <c r="B294" s="38"/>
    </row>
    <row r="295" ht="14.25" customHeight="1">
      <c r="B295" s="38"/>
    </row>
    <row r="296" ht="14.25" customHeight="1">
      <c r="B296" s="38"/>
    </row>
    <row r="297" ht="14.25" customHeight="1">
      <c r="B297" s="38"/>
    </row>
    <row r="298" ht="14.25" customHeight="1">
      <c r="B298" s="38"/>
    </row>
    <row r="299" ht="14.25" customHeight="1">
      <c r="B299" s="38"/>
    </row>
    <row r="300" ht="14.25" customHeight="1">
      <c r="B300" s="38"/>
    </row>
    <row r="301" ht="14.25" customHeight="1">
      <c r="B301" s="38"/>
    </row>
    <row r="302" ht="14.25" customHeight="1">
      <c r="B302" s="38"/>
    </row>
    <row r="303" ht="14.25" customHeight="1">
      <c r="B303" s="38"/>
    </row>
    <row r="304" ht="14.25" customHeight="1">
      <c r="B304" s="38"/>
    </row>
    <row r="305" ht="14.25" customHeight="1">
      <c r="B305" s="38"/>
    </row>
    <row r="306" ht="14.25" customHeight="1">
      <c r="B306" s="38"/>
    </row>
    <row r="307" ht="14.25" customHeight="1">
      <c r="B307" s="38"/>
    </row>
    <row r="308" ht="14.25" customHeight="1">
      <c r="B308" s="38"/>
    </row>
    <row r="309" ht="14.25" customHeight="1">
      <c r="B309" s="38"/>
    </row>
    <row r="310" ht="14.25" customHeight="1">
      <c r="B310" s="38"/>
    </row>
    <row r="311" ht="14.25" customHeight="1">
      <c r="B311" s="38"/>
    </row>
    <row r="312" ht="14.25" customHeight="1">
      <c r="B312" s="38"/>
    </row>
    <row r="313" ht="14.25" customHeight="1">
      <c r="B313" s="38"/>
    </row>
    <row r="314" ht="14.25" customHeight="1">
      <c r="B314" s="38"/>
    </row>
    <row r="315" ht="14.25" customHeight="1">
      <c r="B315" s="38"/>
    </row>
    <row r="316" ht="14.25" customHeight="1">
      <c r="B316" s="38"/>
    </row>
    <row r="317" ht="14.25" customHeight="1">
      <c r="B317" s="38"/>
    </row>
    <row r="318" ht="14.25" customHeight="1">
      <c r="B318" s="38"/>
    </row>
    <row r="319" ht="14.25" customHeight="1">
      <c r="B319" s="38"/>
    </row>
    <row r="320" ht="14.25" customHeight="1">
      <c r="B320" s="38"/>
    </row>
    <row r="321" ht="14.25" customHeight="1">
      <c r="B321" s="38"/>
    </row>
    <row r="322" ht="14.25" customHeight="1">
      <c r="B322" s="38"/>
    </row>
    <row r="323" ht="14.25" customHeight="1">
      <c r="B323" s="38"/>
    </row>
    <row r="324" ht="14.25" customHeight="1">
      <c r="B324" s="38"/>
    </row>
    <row r="325" ht="14.25" customHeight="1">
      <c r="B325" s="38"/>
    </row>
    <row r="326" ht="14.25" customHeight="1">
      <c r="B326" s="38"/>
    </row>
    <row r="327" ht="14.25" customHeight="1">
      <c r="B327" s="38"/>
    </row>
    <row r="328" ht="14.25" customHeight="1">
      <c r="B328" s="38"/>
    </row>
    <row r="329" ht="14.25" customHeight="1">
      <c r="B329" s="38"/>
    </row>
    <row r="330" ht="14.25" customHeight="1">
      <c r="B330" s="38"/>
    </row>
    <row r="331" ht="14.25" customHeight="1">
      <c r="B331" s="38"/>
    </row>
    <row r="332" ht="14.25" customHeight="1">
      <c r="B332" s="38"/>
    </row>
    <row r="333" ht="14.25" customHeight="1">
      <c r="B333" s="38"/>
    </row>
    <row r="334" ht="14.25" customHeight="1">
      <c r="B334" s="38"/>
    </row>
    <row r="335" ht="14.25" customHeight="1">
      <c r="B335" s="38"/>
    </row>
    <row r="336" ht="14.25" customHeight="1">
      <c r="B336" s="38"/>
    </row>
    <row r="337" ht="14.25" customHeight="1">
      <c r="B337" s="38"/>
    </row>
    <row r="338" ht="14.25" customHeight="1">
      <c r="B338" s="38"/>
    </row>
    <row r="339" ht="14.25" customHeight="1">
      <c r="B339" s="38"/>
    </row>
    <row r="340" ht="14.25" customHeight="1">
      <c r="B340" s="38"/>
    </row>
    <row r="341" ht="14.25" customHeight="1">
      <c r="B341" s="38"/>
    </row>
    <row r="342" ht="14.25" customHeight="1">
      <c r="B342" s="38"/>
    </row>
    <row r="343" ht="14.25" customHeight="1">
      <c r="B343" s="38"/>
    </row>
    <row r="344" ht="14.25" customHeight="1">
      <c r="B344" s="38"/>
    </row>
    <row r="345" ht="14.25" customHeight="1">
      <c r="B345" s="38"/>
    </row>
    <row r="346" ht="14.25" customHeight="1">
      <c r="B346" s="38"/>
    </row>
    <row r="347" ht="14.25" customHeight="1">
      <c r="B347" s="38"/>
    </row>
    <row r="348" ht="14.25" customHeight="1">
      <c r="B348" s="38"/>
    </row>
    <row r="349" ht="14.25" customHeight="1">
      <c r="B349" s="38"/>
    </row>
    <row r="350" ht="14.25" customHeight="1">
      <c r="B350" s="38"/>
    </row>
    <row r="351" ht="14.25" customHeight="1">
      <c r="B351" s="38"/>
    </row>
    <row r="352" ht="14.25" customHeight="1">
      <c r="B352" s="38"/>
    </row>
    <row r="353" ht="14.25" customHeight="1">
      <c r="B353" s="38"/>
    </row>
    <row r="354" ht="14.25" customHeight="1">
      <c r="B354" s="38"/>
    </row>
    <row r="355" ht="14.25" customHeight="1">
      <c r="B355" s="38"/>
    </row>
    <row r="356" ht="14.25" customHeight="1">
      <c r="B356" s="38"/>
    </row>
    <row r="357" ht="14.25" customHeight="1">
      <c r="B357" s="38"/>
    </row>
    <row r="358" ht="14.25" customHeight="1">
      <c r="B358" s="38"/>
    </row>
    <row r="359" ht="14.25" customHeight="1">
      <c r="B359" s="38"/>
    </row>
    <row r="360" ht="14.25" customHeight="1">
      <c r="B360" s="38"/>
    </row>
    <row r="361" ht="14.25" customHeight="1">
      <c r="B361" s="38"/>
    </row>
    <row r="362" ht="14.25" customHeight="1">
      <c r="B362" s="38"/>
    </row>
    <row r="363" ht="14.25" customHeight="1">
      <c r="B363" s="38"/>
    </row>
    <row r="364" ht="14.25" customHeight="1">
      <c r="B364" s="38"/>
    </row>
    <row r="365" ht="14.25" customHeight="1">
      <c r="B365" s="38"/>
    </row>
    <row r="366" ht="14.25" customHeight="1">
      <c r="B366" s="38"/>
    </row>
    <row r="367" ht="14.25" customHeight="1">
      <c r="B367" s="38"/>
    </row>
    <row r="368" ht="14.25" customHeight="1">
      <c r="B368" s="38"/>
    </row>
    <row r="369" ht="14.25" customHeight="1">
      <c r="B369" s="38"/>
    </row>
    <row r="370" ht="14.25" customHeight="1">
      <c r="B370" s="38"/>
    </row>
    <row r="371" ht="14.25" customHeight="1">
      <c r="B371" s="38"/>
    </row>
    <row r="372" ht="14.25" customHeight="1">
      <c r="B372" s="38"/>
    </row>
    <row r="373" ht="14.25" customHeight="1">
      <c r="B373" s="38"/>
    </row>
    <row r="374" ht="14.25" customHeight="1">
      <c r="B374" s="38"/>
    </row>
    <row r="375" ht="14.25" customHeight="1">
      <c r="B375" s="38"/>
    </row>
    <row r="376" ht="14.25" customHeight="1">
      <c r="B376" s="38"/>
    </row>
    <row r="377" ht="14.25" customHeight="1">
      <c r="B377" s="38"/>
    </row>
    <row r="378" ht="14.25" customHeight="1">
      <c r="B378" s="38"/>
    </row>
    <row r="379" ht="14.25" customHeight="1">
      <c r="B379" s="38"/>
    </row>
    <row r="380" ht="14.25" customHeight="1">
      <c r="B380" s="38"/>
    </row>
    <row r="381" ht="14.25" customHeight="1">
      <c r="B381" s="38"/>
    </row>
    <row r="382" ht="14.25" customHeight="1">
      <c r="B382" s="38"/>
    </row>
    <row r="383" ht="14.25" customHeight="1">
      <c r="B383" s="38"/>
    </row>
    <row r="384" ht="14.25" customHeight="1">
      <c r="B384" s="38"/>
    </row>
    <row r="385" ht="14.25" customHeight="1">
      <c r="B385" s="38"/>
    </row>
    <row r="386" ht="14.25" customHeight="1">
      <c r="B386" s="38"/>
    </row>
    <row r="387" ht="14.25" customHeight="1">
      <c r="B387" s="38"/>
    </row>
    <row r="388" ht="14.25" customHeight="1">
      <c r="B388" s="38"/>
    </row>
    <row r="389" ht="14.25" customHeight="1">
      <c r="B389" s="38"/>
    </row>
    <row r="390" ht="14.25" customHeight="1">
      <c r="B390" s="38"/>
    </row>
    <row r="391" ht="14.25" customHeight="1">
      <c r="B391" s="38"/>
    </row>
    <row r="392" ht="14.25" customHeight="1">
      <c r="B392" s="38"/>
    </row>
    <row r="393" ht="14.25" customHeight="1">
      <c r="B393" s="38"/>
    </row>
    <row r="394" ht="14.25" customHeight="1">
      <c r="B394" s="38"/>
    </row>
    <row r="395" ht="14.25" customHeight="1">
      <c r="B395" s="38"/>
    </row>
    <row r="396" ht="14.25" customHeight="1">
      <c r="B396" s="38"/>
    </row>
    <row r="397" ht="14.25" customHeight="1">
      <c r="B397" s="38"/>
    </row>
    <row r="398" ht="14.25" customHeight="1">
      <c r="B398" s="38"/>
    </row>
    <row r="399" ht="14.25" customHeight="1">
      <c r="B399" s="38"/>
    </row>
    <row r="400" ht="14.25" customHeight="1">
      <c r="B400" s="38"/>
    </row>
    <row r="401" ht="14.25" customHeight="1">
      <c r="B401" s="38"/>
    </row>
    <row r="402" ht="14.25" customHeight="1">
      <c r="B402" s="38"/>
    </row>
    <row r="403" ht="14.25" customHeight="1">
      <c r="B403" s="38"/>
    </row>
    <row r="404" ht="14.25" customHeight="1">
      <c r="B404" s="38"/>
    </row>
    <row r="405" ht="14.25" customHeight="1">
      <c r="B405" s="38"/>
    </row>
    <row r="406" ht="14.25" customHeight="1">
      <c r="B406" s="38"/>
    </row>
    <row r="407" ht="14.25" customHeight="1">
      <c r="B407" s="38"/>
    </row>
    <row r="408" ht="14.25" customHeight="1">
      <c r="B408" s="38"/>
    </row>
    <row r="409" ht="14.25" customHeight="1">
      <c r="B409" s="38"/>
    </row>
    <row r="410" ht="14.25" customHeight="1">
      <c r="B410" s="38"/>
    </row>
    <row r="411" ht="14.25" customHeight="1">
      <c r="B411" s="38"/>
    </row>
    <row r="412" ht="14.25" customHeight="1">
      <c r="B412" s="38"/>
    </row>
    <row r="413" ht="14.25" customHeight="1">
      <c r="B413" s="38"/>
    </row>
    <row r="414" ht="14.25" customHeight="1">
      <c r="B414" s="38"/>
    </row>
    <row r="415" ht="14.25" customHeight="1">
      <c r="B415" s="38"/>
    </row>
    <row r="416" ht="14.25" customHeight="1">
      <c r="B416" s="38"/>
    </row>
    <row r="417" ht="14.25" customHeight="1">
      <c r="B417" s="38"/>
    </row>
    <row r="418" ht="14.25" customHeight="1">
      <c r="B418" s="38"/>
    </row>
    <row r="419" ht="14.25" customHeight="1">
      <c r="B419" s="38"/>
    </row>
    <row r="420" ht="14.25" customHeight="1">
      <c r="B420" s="38"/>
    </row>
    <row r="421" ht="14.25" customHeight="1">
      <c r="B421" s="38"/>
    </row>
    <row r="422" ht="14.25" customHeight="1">
      <c r="B422" s="38"/>
    </row>
    <row r="423" ht="14.25" customHeight="1">
      <c r="B423" s="38"/>
    </row>
    <row r="424" ht="14.25" customHeight="1">
      <c r="B424" s="38"/>
    </row>
    <row r="425" ht="14.25" customHeight="1">
      <c r="B425" s="38"/>
    </row>
    <row r="426" ht="14.25" customHeight="1">
      <c r="B426" s="38"/>
    </row>
    <row r="427" ht="14.25" customHeight="1">
      <c r="B427" s="38"/>
    </row>
    <row r="428" ht="14.25" customHeight="1">
      <c r="B428" s="38"/>
    </row>
    <row r="429" ht="14.25" customHeight="1">
      <c r="B429" s="38"/>
    </row>
    <row r="430" ht="14.25" customHeight="1">
      <c r="B430" s="38"/>
    </row>
    <row r="431" ht="14.25" customHeight="1">
      <c r="B431" s="38"/>
    </row>
    <row r="432" ht="14.25" customHeight="1">
      <c r="B432" s="38"/>
    </row>
    <row r="433" ht="14.25" customHeight="1">
      <c r="B433" s="38"/>
    </row>
    <row r="434" ht="14.25" customHeight="1">
      <c r="B434" s="38"/>
    </row>
    <row r="435" ht="14.25" customHeight="1">
      <c r="B435" s="38"/>
    </row>
    <row r="436" ht="14.25" customHeight="1">
      <c r="B436" s="38"/>
    </row>
    <row r="437" ht="14.25" customHeight="1">
      <c r="B437" s="38"/>
    </row>
    <row r="438" ht="14.25" customHeight="1">
      <c r="B438" s="38"/>
    </row>
    <row r="439" ht="14.25" customHeight="1">
      <c r="B439" s="38"/>
    </row>
    <row r="440" ht="14.25" customHeight="1">
      <c r="B440" s="38"/>
    </row>
    <row r="441" ht="14.25" customHeight="1">
      <c r="B441" s="38"/>
    </row>
    <row r="442" ht="14.25" customHeight="1">
      <c r="B442" s="38"/>
    </row>
    <row r="443" ht="14.25" customHeight="1">
      <c r="B443" s="38"/>
    </row>
    <row r="444" ht="14.25" customHeight="1">
      <c r="B444" s="38"/>
    </row>
    <row r="445" ht="14.25" customHeight="1">
      <c r="B445" s="38"/>
    </row>
    <row r="446" ht="14.25" customHeight="1">
      <c r="B446" s="38"/>
    </row>
    <row r="447" ht="14.25" customHeight="1">
      <c r="B447" s="38"/>
    </row>
    <row r="448" ht="14.25" customHeight="1">
      <c r="B448" s="38"/>
    </row>
    <row r="449" ht="14.25" customHeight="1">
      <c r="B449" s="38"/>
    </row>
    <row r="450" ht="14.25" customHeight="1">
      <c r="B450" s="38"/>
    </row>
    <row r="451" ht="14.25" customHeight="1">
      <c r="B451" s="38"/>
    </row>
    <row r="452" ht="14.25" customHeight="1">
      <c r="B452" s="38"/>
    </row>
    <row r="453" ht="14.25" customHeight="1">
      <c r="B453" s="38"/>
    </row>
    <row r="454" ht="14.25" customHeight="1">
      <c r="B454" s="38"/>
    </row>
    <row r="455" ht="14.25" customHeight="1">
      <c r="B455" s="38"/>
    </row>
    <row r="456" ht="14.25" customHeight="1">
      <c r="B456" s="38"/>
    </row>
    <row r="457" ht="14.25" customHeight="1">
      <c r="B457" s="38"/>
    </row>
    <row r="458" ht="14.25" customHeight="1">
      <c r="B458" s="38"/>
    </row>
    <row r="459" ht="14.25" customHeight="1">
      <c r="B459" s="38"/>
    </row>
    <row r="460" ht="14.25" customHeight="1">
      <c r="B460" s="38"/>
    </row>
    <row r="461" ht="14.25" customHeight="1">
      <c r="B461" s="38"/>
    </row>
    <row r="462" ht="14.25" customHeight="1">
      <c r="B462" s="38"/>
    </row>
    <row r="463" ht="14.25" customHeight="1">
      <c r="B463" s="38"/>
    </row>
    <row r="464" ht="14.25" customHeight="1">
      <c r="B464" s="38"/>
    </row>
    <row r="465" ht="14.25" customHeight="1">
      <c r="B465" s="38"/>
    </row>
    <row r="466" ht="14.25" customHeight="1">
      <c r="B466" s="38"/>
    </row>
    <row r="467" ht="14.25" customHeight="1">
      <c r="B467" s="38"/>
    </row>
    <row r="468" ht="14.25" customHeight="1">
      <c r="B468" s="38"/>
    </row>
    <row r="469" ht="14.25" customHeight="1">
      <c r="B469" s="38"/>
    </row>
    <row r="470" ht="14.25" customHeight="1">
      <c r="B470" s="38"/>
    </row>
    <row r="471" ht="14.25" customHeight="1">
      <c r="B471" s="38"/>
    </row>
    <row r="472" ht="14.25" customHeight="1">
      <c r="B472" s="38"/>
    </row>
    <row r="473" ht="14.25" customHeight="1">
      <c r="B473" s="38"/>
    </row>
    <row r="474" ht="14.25" customHeight="1">
      <c r="B474" s="38"/>
    </row>
    <row r="475" ht="14.25" customHeight="1">
      <c r="B475" s="38"/>
    </row>
    <row r="476" ht="14.25" customHeight="1">
      <c r="B476" s="38"/>
    </row>
    <row r="477" ht="14.25" customHeight="1">
      <c r="B477" s="38"/>
    </row>
    <row r="478" ht="14.25" customHeight="1">
      <c r="B478" s="38"/>
    </row>
    <row r="479" ht="14.25" customHeight="1">
      <c r="B479" s="38"/>
    </row>
    <row r="480" ht="14.25" customHeight="1">
      <c r="B480" s="38"/>
    </row>
    <row r="481" ht="14.25" customHeight="1">
      <c r="B481" s="38"/>
    </row>
    <row r="482" ht="14.25" customHeight="1">
      <c r="B482" s="38"/>
    </row>
    <row r="483" ht="14.25" customHeight="1">
      <c r="B483" s="38"/>
    </row>
    <row r="484" ht="14.25" customHeight="1">
      <c r="B484" s="38"/>
    </row>
    <row r="485" ht="14.25" customHeight="1">
      <c r="B485" s="38"/>
    </row>
    <row r="486" ht="14.25" customHeight="1">
      <c r="B486" s="38"/>
    </row>
    <row r="487" ht="14.25" customHeight="1">
      <c r="B487" s="38"/>
    </row>
    <row r="488" ht="14.25" customHeight="1">
      <c r="B488" s="38"/>
    </row>
    <row r="489" ht="14.25" customHeight="1">
      <c r="B489" s="38"/>
    </row>
    <row r="490" ht="14.25" customHeight="1">
      <c r="B490" s="38"/>
    </row>
    <row r="491" ht="14.25" customHeight="1">
      <c r="B491" s="38"/>
    </row>
    <row r="492" ht="14.25" customHeight="1">
      <c r="B492" s="38"/>
    </row>
    <row r="493" ht="14.25" customHeight="1">
      <c r="B493" s="38"/>
    </row>
    <row r="494" ht="14.25" customHeight="1">
      <c r="B494" s="38"/>
    </row>
    <row r="495" ht="14.25" customHeight="1">
      <c r="B495" s="38"/>
    </row>
    <row r="496" ht="14.25" customHeight="1">
      <c r="B496" s="38"/>
    </row>
    <row r="497" ht="14.25" customHeight="1">
      <c r="B497" s="38"/>
    </row>
    <row r="498" ht="14.25" customHeight="1">
      <c r="B498" s="38"/>
    </row>
    <row r="499" ht="14.25" customHeight="1">
      <c r="B499" s="38"/>
    </row>
    <row r="500" ht="14.25" customHeight="1">
      <c r="B500" s="38"/>
    </row>
    <row r="501" ht="14.25" customHeight="1">
      <c r="B501" s="38"/>
    </row>
    <row r="502" ht="14.25" customHeight="1">
      <c r="B502" s="38"/>
    </row>
    <row r="503" ht="14.25" customHeight="1">
      <c r="B503" s="38"/>
    </row>
    <row r="504" ht="14.25" customHeight="1">
      <c r="B504" s="38"/>
    </row>
    <row r="505" ht="14.25" customHeight="1">
      <c r="B505" s="38"/>
    </row>
    <row r="506" ht="14.25" customHeight="1">
      <c r="B506" s="38"/>
    </row>
    <row r="507" ht="14.25" customHeight="1">
      <c r="B507" s="38"/>
    </row>
    <row r="508" ht="14.25" customHeight="1">
      <c r="B508" s="38"/>
    </row>
    <row r="509" ht="14.25" customHeight="1">
      <c r="B509" s="38"/>
    </row>
    <row r="510" ht="14.25" customHeight="1">
      <c r="B510" s="38"/>
    </row>
    <row r="511" ht="14.25" customHeight="1">
      <c r="B511" s="38"/>
    </row>
    <row r="512" ht="14.25" customHeight="1">
      <c r="B512" s="38"/>
    </row>
    <row r="513" ht="14.25" customHeight="1">
      <c r="B513" s="38"/>
    </row>
    <row r="514" ht="14.25" customHeight="1">
      <c r="B514" s="38"/>
    </row>
    <row r="515" ht="14.25" customHeight="1">
      <c r="B515" s="38"/>
    </row>
    <row r="516" ht="14.25" customHeight="1">
      <c r="B516" s="38"/>
    </row>
    <row r="517" ht="14.25" customHeight="1">
      <c r="B517" s="38"/>
    </row>
    <row r="518" ht="14.25" customHeight="1">
      <c r="B518" s="38"/>
    </row>
    <row r="519" ht="14.25" customHeight="1">
      <c r="B519" s="38"/>
    </row>
    <row r="520" ht="14.25" customHeight="1">
      <c r="B520" s="38"/>
    </row>
    <row r="521" ht="14.25" customHeight="1">
      <c r="B521" s="38"/>
    </row>
    <row r="522" ht="14.25" customHeight="1">
      <c r="B522" s="38"/>
    </row>
    <row r="523" ht="14.25" customHeight="1">
      <c r="B523" s="38"/>
    </row>
    <row r="524" ht="14.25" customHeight="1">
      <c r="B524" s="38"/>
    </row>
    <row r="525" ht="14.25" customHeight="1">
      <c r="B525" s="38"/>
    </row>
    <row r="526" ht="14.25" customHeight="1">
      <c r="B526" s="38"/>
    </row>
    <row r="527" ht="14.25" customHeight="1">
      <c r="B527" s="38"/>
    </row>
    <row r="528" ht="14.25" customHeight="1">
      <c r="B528" s="38"/>
    </row>
    <row r="529" ht="14.25" customHeight="1">
      <c r="B529" s="38"/>
    </row>
    <row r="530" ht="14.25" customHeight="1">
      <c r="B530" s="38"/>
    </row>
    <row r="531" ht="14.25" customHeight="1">
      <c r="B531" s="38"/>
    </row>
    <row r="532" ht="14.25" customHeight="1">
      <c r="B532" s="38"/>
    </row>
    <row r="533" ht="14.25" customHeight="1">
      <c r="B533" s="38"/>
    </row>
    <row r="534" ht="14.25" customHeight="1">
      <c r="B534" s="38"/>
    </row>
    <row r="535" ht="14.25" customHeight="1">
      <c r="B535" s="38"/>
    </row>
    <row r="536" ht="14.25" customHeight="1">
      <c r="B536" s="38"/>
    </row>
    <row r="537" ht="14.25" customHeight="1">
      <c r="B537" s="38"/>
    </row>
    <row r="538" ht="14.25" customHeight="1">
      <c r="B538" s="38"/>
    </row>
    <row r="539" ht="14.25" customHeight="1">
      <c r="B539" s="38"/>
    </row>
    <row r="540" ht="14.25" customHeight="1">
      <c r="B540" s="38"/>
    </row>
    <row r="541" ht="14.25" customHeight="1">
      <c r="B541" s="38"/>
    </row>
    <row r="542" ht="14.25" customHeight="1">
      <c r="B542" s="38"/>
    </row>
    <row r="543" ht="14.25" customHeight="1">
      <c r="B543" s="38"/>
    </row>
    <row r="544" ht="14.25" customHeight="1">
      <c r="B544" s="38"/>
    </row>
    <row r="545" ht="14.25" customHeight="1">
      <c r="B545" s="38"/>
    </row>
    <row r="546" ht="14.25" customHeight="1">
      <c r="B546" s="38"/>
    </row>
    <row r="547" ht="14.25" customHeight="1">
      <c r="B547" s="38"/>
    </row>
    <row r="548" ht="14.25" customHeight="1">
      <c r="B548" s="38"/>
    </row>
    <row r="549" ht="14.25" customHeight="1">
      <c r="B549" s="38"/>
    </row>
    <row r="550" ht="14.25" customHeight="1">
      <c r="B550" s="38"/>
    </row>
    <row r="551" ht="14.25" customHeight="1">
      <c r="B551" s="38"/>
    </row>
    <row r="552" ht="14.25" customHeight="1">
      <c r="B552" s="38"/>
    </row>
    <row r="553" ht="14.25" customHeight="1">
      <c r="B553" s="38"/>
    </row>
    <row r="554" ht="14.25" customHeight="1">
      <c r="B554" s="38"/>
    </row>
    <row r="555" ht="14.25" customHeight="1">
      <c r="B555" s="38"/>
    </row>
    <row r="556" ht="14.25" customHeight="1">
      <c r="B556" s="38"/>
    </row>
    <row r="557" ht="14.25" customHeight="1">
      <c r="B557" s="38"/>
    </row>
    <row r="558" ht="14.25" customHeight="1">
      <c r="B558" s="38"/>
    </row>
    <row r="559" ht="14.25" customHeight="1">
      <c r="B559" s="38"/>
    </row>
    <row r="560" ht="14.25" customHeight="1">
      <c r="B560" s="38"/>
    </row>
    <row r="561" ht="14.25" customHeight="1">
      <c r="B561" s="38"/>
    </row>
    <row r="562" ht="14.25" customHeight="1">
      <c r="B562" s="38"/>
    </row>
    <row r="563" ht="14.25" customHeight="1">
      <c r="B563" s="38"/>
    </row>
    <row r="564" ht="14.25" customHeight="1">
      <c r="B564" s="38"/>
    </row>
    <row r="565" ht="14.25" customHeight="1">
      <c r="B565" s="38"/>
    </row>
    <row r="566" ht="14.25" customHeight="1">
      <c r="B566" s="38"/>
    </row>
    <row r="567" ht="14.25" customHeight="1">
      <c r="B567" s="38"/>
    </row>
    <row r="568" ht="14.25" customHeight="1">
      <c r="B568" s="38"/>
    </row>
    <row r="569" ht="14.25" customHeight="1">
      <c r="B569" s="38"/>
    </row>
    <row r="570" ht="14.25" customHeight="1">
      <c r="B570" s="38"/>
    </row>
    <row r="571" ht="14.25" customHeight="1">
      <c r="B571" s="38"/>
    </row>
    <row r="572" ht="14.25" customHeight="1">
      <c r="B572" s="38"/>
    </row>
    <row r="573" ht="14.25" customHeight="1">
      <c r="B573" s="38"/>
    </row>
    <row r="574" ht="14.25" customHeight="1">
      <c r="B574" s="38"/>
    </row>
    <row r="575" ht="14.25" customHeight="1">
      <c r="B575" s="38"/>
    </row>
    <row r="576" ht="14.25" customHeight="1">
      <c r="B576" s="38"/>
    </row>
    <row r="577" ht="14.25" customHeight="1">
      <c r="B577" s="38"/>
    </row>
    <row r="578" ht="14.25" customHeight="1">
      <c r="B578" s="38"/>
    </row>
    <row r="579" ht="14.25" customHeight="1">
      <c r="B579" s="38"/>
    </row>
    <row r="580" ht="14.25" customHeight="1">
      <c r="B580" s="38"/>
    </row>
    <row r="581" ht="14.25" customHeight="1">
      <c r="B581" s="38"/>
    </row>
    <row r="582" ht="14.25" customHeight="1">
      <c r="B582" s="38"/>
    </row>
    <row r="583" ht="14.25" customHeight="1">
      <c r="B583" s="38"/>
    </row>
    <row r="584" ht="14.25" customHeight="1">
      <c r="B584" s="38"/>
    </row>
    <row r="585" ht="14.25" customHeight="1">
      <c r="B585" s="38"/>
    </row>
    <row r="586" ht="14.25" customHeight="1">
      <c r="B586" s="38"/>
    </row>
    <row r="587" ht="14.25" customHeight="1">
      <c r="B587" s="38"/>
    </row>
    <row r="588" ht="14.25" customHeight="1">
      <c r="B588" s="38"/>
    </row>
    <row r="589" ht="14.25" customHeight="1">
      <c r="B589" s="38"/>
    </row>
    <row r="590" ht="14.25" customHeight="1">
      <c r="B590" s="38"/>
    </row>
    <row r="591" ht="14.25" customHeight="1">
      <c r="B591" s="38"/>
    </row>
    <row r="592" ht="14.25" customHeight="1">
      <c r="B592" s="38"/>
    </row>
    <row r="593" ht="14.25" customHeight="1">
      <c r="B593" s="38"/>
    </row>
    <row r="594" ht="14.25" customHeight="1">
      <c r="B594" s="38"/>
    </row>
    <row r="595" ht="14.25" customHeight="1">
      <c r="B595" s="38"/>
    </row>
    <row r="596" ht="14.25" customHeight="1">
      <c r="B596" s="38"/>
    </row>
    <row r="597" ht="14.25" customHeight="1">
      <c r="B597" s="38"/>
    </row>
    <row r="598" ht="14.25" customHeight="1">
      <c r="B598" s="38"/>
    </row>
    <row r="599" ht="14.25" customHeight="1">
      <c r="B599" s="38"/>
    </row>
    <row r="600" ht="14.25" customHeight="1">
      <c r="B600" s="38"/>
    </row>
    <row r="601" ht="14.25" customHeight="1">
      <c r="B601" s="38"/>
    </row>
    <row r="602" ht="14.25" customHeight="1">
      <c r="B602" s="38"/>
    </row>
    <row r="603" ht="14.25" customHeight="1">
      <c r="B603" s="38"/>
    </row>
    <row r="604" ht="14.25" customHeight="1">
      <c r="B604" s="38"/>
    </row>
    <row r="605" ht="14.25" customHeight="1">
      <c r="B605" s="38"/>
    </row>
    <row r="606" ht="14.25" customHeight="1">
      <c r="B606" s="38"/>
    </row>
    <row r="607" ht="14.25" customHeight="1">
      <c r="B607" s="38"/>
    </row>
    <row r="608" ht="14.25" customHeight="1">
      <c r="B608" s="38"/>
    </row>
    <row r="609" ht="14.25" customHeight="1">
      <c r="B609" s="38"/>
    </row>
    <row r="610" ht="14.25" customHeight="1">
      <c r="B610" s="38"/>
    </row>
    <row r="611" ht="14.25" customHeight="1">
      <c r="B611" s="38"/>
    </row>
    <row r="612" ht="14.25" customHeight="1">
      <c r="B612" s="38"/>
    </row>
    <row r="613" ht="14.25" customHeight="1">
      <c r="B613" s="38"/>
    </row>
    <row r="614" ht="14.25" customHeight="1">
      <c r="B614" s="38"/>
    </row>
    <row r="615" ht="14.25" customHeight="1">
      <c r="B615" s="38"/>
    </row>
    <row r="616" ht="14.25" customHeight="1">
      <c r="B616" s="38"/>
    </row>
    <row r="617" ht="14.25" customHeight="1">
      <c r="B617" s="38"/>
    </row>
    <row r="618" ht="14.25" customHeight="1">
      <c r="B618" s="38"/>
    </row>
    <row r="619" ht="14.25" customHeight="1">
      <c r="B619" s="38"/>
    </row>
    <row r="620" ht="14.25" customHeight="1">
      <c r="B620" s="38"/>
    </row>
    <row r="621" ht="14.25" customHeight="1">
      <c r="B621" s="38"/>
    </row>
    <row r="622" ht="14.25" customHeight="1">
      <c r="B622" s="38"/>
    </row>
    <row r="623" ht="14.25" customHeight="1">
      <c r="B623" s="38"/>
    </row>
    <row r="624" ht="14.25" customHeight="1">
      <c r="B624" s="38"/>
    </row>
    <row r="625" ht="14.25" customHeight="1">
      <c r="B625" s="38"/>
    </row>
    <row r="626" ht="14.25" customHeight="1">
      <c r="B626" s="38"/>
    </row>
    <row r="627" ht="14.25" customHeight="1">
      <c r="B627" s="38"/>
    </row>
    <row r="628" ht="14.25" customHeight="1">
      <c r="B628" s="38"/>
    </row>
    <row r="629" ht="14.25" customHeight="1">
      <c r="B629" s="38"/>
    </row>
    <row r="630" ht="14.25" customHeight="1">
      <c r="B630" s="38"/>
    </row>
    <row r="631" ht="14.25" customHeight="1">
      <c r="B631" s="38"/>
    </row>
    <row r="632" ht="14.25" customHeight="1">
      <c r="B632" s="38"/>
    </row>
    <row r="633" ht="14.25" customHeight="1">
      <c r="B633" s="38"/>
    </row>
    <row r="634" ht="14.25" customHeight="1">
      <c r="B634" s="38"/>
    </row>
    <row r="635" ht="14.25" customHeight="1">
      <c r="B635" s="38"/>
    </row>
    <row r="636" ht="14.25" customHeight="1">
      <c r="B636" s="38"/>
    </row>
    <row r="637" ht="14.25" customHeight="1">
      <c r="B637" s="38"/>
    </row>
    <row r="638" ht="14.25" customHeight="1">
      <c r="B638" s="38"/>
    </row>
    <row r="639" ht="14.25" customHeight="1">
      <c r="B639" s="38"/>
    </row>
    <row r="640" ht="14.25" customHeight="1">
      <c r="B640" s="38"/>
    </row>
    <row r="641" ht="14.25" customHeight="1">
      <c r="B641" s="38"/>
    </row>
    <row r="642" ht="14.25" customHeight="1">
      <c r="B642" s="38"/>
    </row>
    <row r="643" ht="14.25" customHeight="1">
      <c r="B643" s="38"/>
    </row>
    <row r="644" ht="14.25" customHeight="1">
      <c r="B644" s="38"/>
    </row>
    <row r="645" ht="14.25" customHeight="1">
      <c r="B645" s="38"/>
    </row>
    <row r="646" ht="14.25" customHeight="1">
      <c r="B646" s="38"/>
    </row>
    <row r="647" ht="14.25" customHeight="1">
      <c r="B647" s="38"/>
    </row>
    <row r="648" ht="14.25" customHeight="1">
      <c r="B648" s="38"/>
    </row>
    <row r="649" ht="14.25" customHeight="1">
      <c r="B649" s="38"/>
    </row>
    <row r="650" ht="14.25" customHeight="1">
      <c r="B650" s="38"/>
    </row>
    <row r="651" ht="14.25" customHeight="1">
      <c r="B651" s="38"/>
    </row>
    <row r="652" ht="14.25" customHeight="1">
      <c r="B652" s="38"/>
    </row>
    <row r="653" ht="14.25" customHeight="1">
      <c r="B653" s="38"/>
    </row>
    <row r="654" ht="14.25" customHeight="1">
      <c r="B654" s="38"/>
    </row>
    <row r="655" ht="14.25" customHeight="1">
      <c r="B655" s="38"/>
    </row>
    <row r="656" ht="14.25" customHeight="1">
      <c r="B656" s="38"/>
    </row>
    <row r="657" ht="14.25" customHeight="1">
      <c r="B657" s="38"/>
    </row>
    <row r="658" ht="14.25" customHeight="1">
      <c r="B658" s="38"/>
    </row>
    <row r="659" ht="14.25" customHeight="1">
      <c r="B659" s="38"/>
    </row>
    <row r="660" ht="14.25" customHeight="1">
      <c r="B660" s="38"/>
    </row>
    <row r="661" ht="14.25" customHeight="1">
      <c r="B661" s="38"/>
    </row>
    <row r="662" ht="14.25" customHeight="1">
      <c r="B662" s="38"/>
    </row>
    <row r="663" ht="14.25" customHeight="1">
      <c r="B663" s="38"/>
    </row>
    <row r="664" ht="14.25" customHeight="1">
      <c r="B664" s="38"/>
    </row>
    <row r="665" ht="14.25" customHeight="1">
      <c r="B665" s="38"/>
    </row>
    <row r="666" ht="14.25" customHeight="1">
      <c r="B666" s="38"/>
    </row>
    <row r="667" ht="14.25" customHeight="1">
      <c r="B667" s="38"/>
    </row>
    <row r="668" ht="14.25" customHeight="1">
      <c r="B668" s="38"/>
    </row>
    <row r="669" ht="14.25" customHeight="1">
      <c r="B669" s="38"/>
    </row>
    <row r="670" ht="14.25" customHeight="1">
      <c r="B670" s="38"/>
    </row>
    <row r="671" ht="14.25" customHeight="1">
      <c r="B671" s="38"/>
    </row>
    <row r="672" ht="14.25" customHeight="1">
      <c r="B672" s="38"/>
    </row>
    <row r="673" ht="14.25" customHeight="1">
      <c r="B673" s="38"/>
    </row>
    <row r="674" ht="14.25" customHeight="1">
      <c r="B674" s="38"/>
    </row>
    <row r="675" ht="14.25" customHeight="1">
      <c r="B675" s="38"/>
    </row>
    <row r="676" ht="14.25" customHeight="1">
      <c r="B676" s="38"/>
    </row>
    <row r="677" ht="14.25" customHeight="1">
      <c r="B677" s="38"/>
    </row>
    <row r="678" ht="14.25" customHeight="1">
      <c r="B678" s="38"/>
    </row>
    <row r="679" ht="14.25" customHeight="1">
      <c r="B679" s="38"/>
    </row>
    <row r="680" ht="14.25" customHeight="1">
      <c r="B680" s="38"/>
    </row>
    <row r="681" ht="14.25" customHeight="1">
      <c r="B681" s="38"/>
    </row>
    <row r="682" ht="14.25" customHeight="1">
      <c r="B682" s="38"/>
    </row>
    <row r="683" ht="14.25" customHeight="1">
      <c r="B683" s="38"/>
    </row>
    <row r="684" ht="14.25" customHeight="1">
      <c r="B684" s="38"/>
    </row>
    <row r="685" ht="14.25" customHeight="1">
      <c r="B685" s="38"/>
    </row>
    <row r="686" ht="14.25" customHeight="1">
      <c r="B686" s="38"/>
    </row>
    <row r="687" ht="14.25" customHeight="1">
      <c r="B687" s="38"/>
    </row>
    <row r="688" ht="14.25" customHeight="1">
      <c r="B688" s="38"/>
    </row>
    <row r="689" ht="14.25" customHeight="1">
      <c r="B689" s="38"/>
    </row>
    <row r="690" ht="14.25" customHeight="1">
      <c r="B690" s="38"/>
    </row>
    <row r="691" ht="14.25" customHeight="1">
      <c r="B691" s="38"/>
    </row>
    <row r="692" ht="14.25" customHeight="1">
      <c r="B692" s="38"/>
    </row>
    <row r="693" ht="14.25" customHeight="1">
      <c r="B693" s="38"/>
    </row>
    <row r="694" ht="14.25" customHeight="1">
      <c r="B694" s="38"/>
    </row>
    <row r="695" ht="14.25" customHeight="1">
      <c r="B695" s="38"/>
    </row>
    <row r="696" ht="14.25" customHeight="1">
      <c r="B696" s="38"/>
    </row>
    <row r="697" ht="14.25" customHeight="1">
      <c r="B697" s="38"/>
    </row>
    <row r="698" ht="14.25" customHeight="1">
      <c r="B698" s="38"/>
    </row>
    <row r="699" ht="14.25" customHeight="1">
      <c r="B699" s="38"/>
    </row>
    <row r="700" ht="14.25" customHeight="1">
      <c r="B700" s="38"/>
    </row>
    <row r="701" ht="14.25" customHeight="1">
      <c r="B701" s="38"/>
    </row>
    <row r="702" ht="14.25" customHeight="1">
      <c r="B702" s="38"/>
    </row>
    <row r="703" ht="14.25" customHeight="1">
      <c r="B703" s="38"/>
    </row>
    <row r="704" ht="14.25" customHeight="1">
      <c r="B704" s="38"/>
    </row>
    <row r="705" ht="14.25" customHeight="1">
      <c r="B705" s="38"/>
    </row>
    <row r="706" ht="14.25" customHeight="1">
      <c r="B706" s="38"/>
    </row>
    <row r="707" ht="14.25" customHeight="1">
      <c r="B707" s="38"/>
    </row>
    <row r="708" ht="14.25" customHeight="1">
      <c r="B708" s="38"/>
    </row>
    <row r="709" ht="14.25" customHeight="1">
      <c r="B709" s="38"/>
    </row>
    <row r="710" ht="14.25" customHeight="1">
      <c r="B710" s="38"/>
    </row>
    <row r="711" ht="14.25" customHeight="1">
      <c r="B711" s="38"/>
    </row>
    <row r="712" ht="14.25" customHeight="1">
      <c r="B712" s="38"/>
    </row>
    <row r="713" ht="14.25" customHeight="1">
      <c r="B713" s="38"/>
    </row>
    <row r="714" ht="14.25" customHeight="1">
      <c r="B714" s="38"/>
    </row>
    <row r="715" ht="14.25" customHeight="1">
      <c r="B715" s="38"/>
    </row>
    <row r="716" ht="14.25" customHeight="1">
      <c r="B716" s="38"/>
    </row>
    <row r="717" ht="14.25" customHeight="1">
      <c r="B717" s="38"/>
    </row>
    <row r="718" ht="14.25" customHeight="1">
      <c r="B718" s="38"/>
    </row>
    <row r="719" ht="14.25" customHeight="1">
      <c r="B719" s="38"/>
    </row>
    <row r="720" ht="14.25" customHeight="1">
      <c r="B720" s="38"/>
    </row>
    <row r="721" ht="14.25" customHeight="1">
      <c r="B721" s="38"/>
    </row>
    <row r="722" ht="14.25" customHeight="1">
      <c r="B722" s="38"/>
    </row>
    <row r="723" ht="14.25" customHeight="1">
      <c r="B723" s="38"/>
    </row>
    <row r="724" ht="14.25" customHeight="1">
      <c r="B724" s="38"/>
    </row>
    <row r="725" ht="14.25" customHeight="1">
      <c r="B725" s="38"/>
    </row>
    <row r="726" ht="14.25" customHeight="1">
      <c r="B726" s="38"/>
    </row>
    <row r="727" ht="14.25" customHeight="1">
      <c r="B727" s="38"/>
    </row>
    <row r="728" ht="14.25" customHeight="1">
      <c r="B728" s="38"/>
    </row>
    <row r="729" ht="14.25" customHeight="1">
      <c r="B729" s="38"/>
    </row>
    <row r="730" ht="14.25" customHeight="1">
      <c r="B730" s="38"/>
    </row>
    <row r="731" ht="14.25" customHeight="1">
      <c r="B731" s="38"/>
    </row>
    <row r="732" ht="14.25" customHeight="1">
      <c r="B732" s="38"/>
    </row>
    <row r="733" ht="14.25" customHeight="1">
      <c r="B733" s="38"/>
    </row>
    <row r="734" ht="14.25" customHeight="1">
      <c r="B734" s="38"/>
    </row>
    <row r="735" ht="14.25" customHeight="1">
      <c r="B735" s="38"/>
    </row>
    <row r="736" ht="14.25" customHeight="1">
      <c r="B736" s="38"/>
    </row>
    <row r="737" ht="14.25" customHeight="1">
      <c r="B737" s="38"/>
    </row>
    <row r="738" ht="14.25" customHeight="1">
      <c r="B738" s="38"/>
    </row>
    <row r="739" ht="14.25" customHeight="1">
      <c r="B739" s="38"/>
    </row>
    <row r="740" ht="14.25" customHeight="1">
      <c r="B740" s="38"/>
    </row>
    <row r="741" ht="14.25" customHeight="1">
      <c r="B741" s="38"/>
    </row>
    <row r="742" ht="14.25" customHeight="1">
      <c r="B742" s="38"/>
    </row>
    <row r="743" ht="14.25" customHeight="1">
      <c r="B743" s="38"/>
    </row>
    <row r="744" ht="14.25" customHeight="1">
      <c r="B744" s="38"/>
    </row>
    <row r="745" ht="14.25" customHeight="1">
      <c r="B745" s="38"/>
    </row>
    <row r="746" ht="14.25" customHeight="1">
      <c r="B746" s="38"/>
    </row>
    <row r="747" ht="14.25" customHeight="1">
      <c r="B747" s="38"/>
    </row>
    <row r="748" ht="14.25" customHeight="1">
      <c r="B748" s="38"/>
    </row>
    <row r="749" ht="14.25" customHeight="1">
      <c r="B749" s="38"/>
    </row>
    <row r="750" ht="14.25" customHeight="1">
      <c r="B750" s="38"/>
    </row>
    <row r="751" ht="14.25" customHeight="1">
      <c r="B751" s="38"/>
    </row>
    <row r="752" ht="14.25" customHeight="1">
      <c r="B752" s="38"/>
    </row>
    <row r="753" ht="14.25" customHeight="1">
      <c r="B753" s="38"/>
    </row>
    <row r="754" ht="14.25" customHeight="1">
      <c r="B754" s="38"/>
    </row>
    <row r="755" ht="14.25" customHeight="1">
      <c r="B755" s="38"/>
    </row>
    <row r="756" ht="14.25" customHeight="1">
      <c r="B756" s="38"/>
    </row>
    <row r="757" ht="14.25" customHeight="1">
      <c r="B757" s="38"/>
    </row>
    <row r="758" ht="14.25" customHeight="1">
      <c r="B758" s="38"/>
    </row>
    <row r="759" ht="14.25" customHeight="1">
      <c r="B759" s="38"/>
    </row>
    <row r="760" ht="14.25" customHeight="1">
      <c r="B760" s="38"/>
    </row>
    <row r="761" ht="14.25" customHeight="1">
      <c r="B761" s="38"/>
    </row>
    <row r="762" ht="14.25" customHeight="1">
      <c r="B762" s="38"/>
    </row>
    <row r="763" ht="14.25" customHeight="1">
      <c r="B763" s="38"/>
    </row>
    <row r="764" ht="14.25" customHeight="1">
      <c r="B764" s="38"/>
    </row>
    <row r="765" ht="14.25" customHeight="1">
      <c r="B765" s="38"/>
    </row>
    <row r="766" ht="14.25" customHeight="1">
      <c r="B766" s="38"/>
    </row>
    <row r="767" ht="14.25" customHeight="1">
      <c r="B767" s="38"/>
    </row>
    <row r="768" ht="14.25" customHeight="1">
      <c r="B768" s="38"/>
    </row>
    <row r="769" ht="14.25" customHeight="1">
      <c r="B769" s="38"/>
    </row>
    <row r="770" ht="14.25" customHeight="1">
      <c r="B770" s="38"/>
    </row>
    <row r="771" ht="14.25" customHeight="1">
      <c r="B771" s="38"/>
    </row>
    <row r="772" ht="14.25" customHeight="1">
      <c r="B772" s="38"/>
    </row>
    <row r="773" ht="14.25" customHeight="1">
      <c r="B773" s="38"/>
    </row>
    <row r="774" ht="14.25" customHeight="1">
      <c r="B774" s="38"/>
    </row>
    <row r="775" ht="14.25" customHeight="1">
      <c r="B775" s="38"/>
    </row>
    <row r="776" ht="14.25" customHeight="1">
      <c r="B776" s="38"/>
    </row>
    <row r="777" ht="14.25" customHeight="1">
      <c r="B777" s="38"/>
    </row>
    <row r="778" ht="14.25" customHeight="1">
      <c r="B778" s="38"/>
    </row>
    <row r="779" ht="14.25" customHeight="1">
      <c r="B779" s="38"/>
    </row>
    <row r="780" ht="14.25" customHeight="1">
      <c r="B780" s="38"/>
    </row>
    <row r="781" ht="14.25" customHeight="1">
      <c r="B781" s="38"/>
    </row>
    <row r="782" ht="14.25" customHeight="1">
      <c r="B782" s="38"/>
    </row>
    <row r="783" ht="14.25" customHeight="1">
      <c r="B783" s="38"/>
    </row>
    <row r="784" ht="14.25" customHeight="1">
      <c r="B784" s="38"/>
    </row>
    <row r="785" ht="14.25" customHeight="1">
      <c r="B785" s="38"/>
    </row>
    <row r="786" ht="14.25" customHeight="1">
      <c r="B786" s="38"/>
    </row>
    <row r="787" ht="14.25" customHeight="1">
      <c r="B787" s="38"/>
    </row>
    <row r="788" ht="14.25" customHeight="1">
      <c r="B788" s="38"/>
    </row>
    <row r="789" ht="14.25" customHeight="1">
      <c r="B789" s="38"/>
    </row>
    <row r="790" ht="14.25" customHeight="1">
      <c r="B790" s="38"/>
    </row>
    <row r="791" ht="14.25" customHeight="1">
      <c r="B791" s="38"/>
    </row>
    <row r="792" ht="14.25" customHeight="1">
      <c r="B792" s="38"/>
    </row>
    <row r="793" ht="14.25" customHeight="1">
      <c r="B793" s="38"/>
    </row>
    <row r="794" ht="14.25" customHeight="1">
      <c r="B794" s="38"/>
    </row>
    <row r="795" ht="14.25" customHeight="1">
      <c r="B795" s="38"/>
    </row>
    <row r="796" ht="14.25" customHeight="1">
      <c r="B796" s="38"/>
    </row>
    <row r="797" ht="14.25" customHeight="1">
      <c r="B797" s="38"/>
    </row>
    <row r="798" ht="14.25" customHeight="1">
      <c r="B798" s="38"/>
    </row>
    <row r="799" ht="14.25" customHeight="1">
      <c r="B799" s="38"/>
    </row>
    <row r="800" ht="14.25" customHeight="1">
      <c r="B800" s="38"/>
    </row>
    <row r="801" ht="14.25" customHeight="1">
      <c r="B801" s="38"/>
    </row>
    <row r="802" ht="14.25" customHeight="1">
      <c r="B802" s="38"/>
    </row>
    <row r="803" ht="14.25" customHeight="1">
      <c r="B803" s="38"/>
    </row>
    <row r="804" ht="14.25" customHeight="1">
      <c r="B804" s="38"/>
    </row>
    <row r="805" ht="14.25" customHeight="1">
      <c r="B805" s="38"/>
    </row>
    <row r="806" ht="14.25" customHeight="1">
      <c r="B806" s="38"/>
    </row>
    <row r="807" ht="14.25" customHeight="1">
      <c r="B807" s="38"/>
    </row>
    <row r="808" ht="14.25" customHeight="1">
      <c r="B808" s="38"/>
    </row>
    <row r="809" ht="14.25" customHeight="1">
      <c r="B809" s="38"/>
    </row>
    <row r="810" ht="14.25" customHeight="1">
      <c r="B810" s="38"/>
    </row>
    <row r="811" ht="14.25" customHeight="1">
      <c r="B811" s="38"/>
    </row>
    <row r="812" ht="14.25" customHeight="1">
      <c r="B812" s="38"/>
    </row>
    <row r="813" ht="14.25" customHeight="1">
      <c r="B813" s="38"/>
    </row>
    <row r="814" ht="14.25" customHeight="1">
      <c r="B814" s="38"/>
    </row>
    <row r="815" ht="14.25" customHeight="1">
      <c r="B815" s="38"/>
    </row>
    <row r="816" ht="14.25" customHeight="1">
      <c r="B816" s="38"/>
    </row>
    <row r="817" ht="14.25" customHeight="1">
      <c r="B817" s="38"/>
    </row>
    <row r="818" ht="14.25" customHeight="1">
      <c r="B818" s="38"/>
    </row>
    <row r="819" ht="14.25" customHeight="1">
      <c r="B819" s="38"/>
    </row>
    <row r="820" ht="14.25" customHeight="1">
      <c r="B820" s="38"/>
    </row>
    <row r="821" ht="14.25" customHeight="1">
      <c r="B821" s="38"/>
    </row>
    <row r="822" ht="14.25" customHeight="1">
      <c r="B822" s="38"/>
    </row>
    <row r="823" ht="14.25" customHeight="1">
      <c r="B823" s="38"/>
    </row>
    <row r="824" ht="14.25" customHeight="1">
      <c r="B824" s="38"/>
    </row>
    <row r="825" ht="14.25" customHeight="1">
      <c r="B825" s="38"/>
    </row>
    <row r="826" ht="14.25" customHeight="1">
      <c r="B826" s="38"/>
    </row>
    <row r="827" ht="14.25" customHeight="1">
      <c r="B827" s="38"/>
    </row>
    <row r="828" ht="14.25" customHeight="1">
      <c r="B828" s="38"/>
    </row>
    <row r="829" ht="14.25" customHeight="1">
      <c r="B829" s="38"/>
    </row>
    <row r="830" ht="14.25" customHeight="1">
      <c r="B830" s="38"/>
    </row>
    <row r="831" ht="14.25" customHeight="1">
      <c r="B831" s="38"/>
    </row>
    <row r="832" ht="14.25" customHeight="1">
      <c r="B832" s="38"/>
    </row>
    <row r="833" ht="14.25" customHeight="1">
      <c r="B833" s="38"/>
    </row>
    <row r="834" ht="14.25" customHeight="1">
      <c r="B834" s="38"/>
    </row>
    <row r="835" ht="14.25" customHeight="1">
      <c r="B835" s="38"/>
    </row>
    <row r="836" ht="14.25" customHeight="1">
      <c r="B836" s="38"/>
    </row>
    <row r="837" ht="14.25" customHeight="1">
      <c r="B837" s="38"/>
    </row>
    <row r="838" ht="14.25" customHeight="1">
      <c r="B838" s="38"/>
    </row>
    <row r="839" ht="14.25" customHeight="1">
      <c r="B839" s="38"/>
    </row>
    <row r="840" ht="14.25" customHeight="1">
      <c r="B840" s="38"/>
    </row>
    <row r="841" ht="14.25" customHeight="1">
      <c r="B841" s="38"/>
    </row>
    <row r="842" ht="14.25" customHeight="1">
      <c r="B842" s="38"/>
    </row>
    <row r="843" ht="14.25" customHeight="1">
      <c r="B843" s="38"/>
    </row>
    <row r="844" ht="14.25" customHeight="1">
      <c r="B844" s="38"/>
    </row>
    <row r="845" ht="14.25" customHeight="1">
      <c r="B845" s="38"/>
    </row>
    <row r="846" ht="14.25" customHeight="1">
      <c r="B846" s="38"/>
    </row>
    <row r="847" ht="14.25" customHeight="1">
      <c r="B847" s="38"/>
    </row>
    <row r="848" ht="14.25" customHeight="1">
      <c r="B848" s="38"/>
    </row>
    <row r="849" ht="14.25" customHeight="1">
      <c r="B849" s="38"/>
    </row>
    <row r="850" ht="14.25" customHeight="1">
      <c r="B850" s="38"/>
    </row>
    <row r="851" ht="14.25" customHeight="1">
      <c r="B851" s="38"/>
    </row>
    <row r="852" ht="14.25" customHeight="1">
      <c r="B852" s="38"/>
    </row>
    <row r="853" ht="14.25" customHeight="1">
      <c r="B853" s="38"/>
    </row>
    <row r="854" ht="14.25" customHeight="1">
      <c r="B854" s="38"/>
    </row>
    <row r="855" ht="14.25" customHeight="1">
      <c r="B855" s="38"/>
    </row>
    <row r="856" ht="14.25" customHeight="1">
      <c r="B856" s="38"/>
    </row>
    <row r="857" ht="14.25" customHeight="1">
      <c r="B857" s="38"/>
    </row>
    <row r="858" ht="14.25" customHeight="1">
      <c r="B858" s="38"/>
    </row>
    <row r="859" ht="14.25" customHeight="1">
      <c r="B859" s="38"/>
    </row>
    <row r="860" ht="14.25" customHeight="1">
      <c r="B860" s="38"/>
    </row>
    <row r="861" ht="14.25" customHeight="1">
      <c r="B861" s="38"/>
    </row>
    <row r="862" ht="14.25" customHeight="1">
      <c r="B862" s="38"/>
    </row>
    <row r="863" ht="14.25" customHeight="1">
      <c r="B863" s="38"/>
    </row>
    <row r="864" ht="14.25" customHeight="1">
      <c r="B864" s="38"/>
    </row>
    <row r="865" ht="14.25" customHeight="1">
      <c r="B865" s="38"/>
    </row>
    <row r="866" ht="14.25" customHeight="1">
      <c r="B866" s="38"/>
    </row>
    <row r="867" ht="14.25" customHeight="1">
      <c r="B867" s="38"/>
    </row>
    <row r="868" ht="14.25" customHeight="1">
      <c r="B868" s="38"/>
    </row>
    <row r="869" ht="14.25" customHeight="1">
      <c r="B869" s="38"/>
    </row>
    <row r="870" ht="14.25" customHeight="1">
      <c r="B870" s="38"/>
    </row>
    <row r="871" ht="14.25" customHeight="1">
      <c r="B871" s="38"/>
    </row>
    <row r="872" ht="14.25" customHeight="1">
      <c r="B872" s="38"/>
    </row>
    <row r="873" ht="14.25" customHeight="1">
      <c r="B873" s="38"/>
    </row>
    <row r="874" ht="14.25" customHeight="1">
      <c r="B874" s="38"/>
    </row>
    <row r="875" ht="14.25" customHeight="1">
      <c r="B875" s="38"/>
    </row>
    <row r="876" ht="14.25" customHeight="1">
      <c r="B876" s="38"/>
    </row>
    <row r="877" ht="14.25" customHeight="1">
      <c r="B877" s="38"/>
    </row>
    <row r="878" ht="14.25" customHeight="1">
      <c r="B878" s="38"/>
    </row>
    <row r="879" ht="14.25" customHeight="1">
      <c r="B879" s="38"/>
    </row>
    <row r="880" ht="14.25" customHeight="1">
      <c r="B880" s="38"/>
    </row>
    <row r="881" ht="14.25" customHeight="1">
      <c r="B881" s="38"/>
    </row>
    <row r="882" ht="14.25" customHeight="1">
      <c r="B882" s="38"/>
    </row>
    <row r="883" ht="14.25" customHeight="1">
      <c r="B883" s="38"/>
    </row>
    <row r="884" ht="14.25" customHeight="1">
      <c r="B884" s="38"/>
    </row>
    <row r="885" ht="14.25" customHeight="1">
      <c r="B885" s="38"/>
    </row>
    <row r="886" ht="14.25" customHeight="1">
      <c r="B886" s="38"/>
    </row>
    <row r="887" ht="14.25" customHeight="1">
      <c r="B887" s="38"/>
    </row>
    <row r="888" ht="14.25" customHeight="1">
      <c r="B888" s="38"/>
    </row>
    <row r="889" ht="14.25" customHeight="1">
      <c r="B889" s="38"/>
    </row>
    <row r="890" ht="14.25" customHeight="1">
      <c r="B890" s="38"/>
    </row>
    <row r="891" ht="14.25" customHeight="1">
      <c r="B891" s="38"/>
    </row>
    <row r="892" ht="14.25" customHeight="1">
      <c r="B892" s="38"/>
    </row>
    <row r="893" ht="14.25" customHeight="1">
      <c r="B893" s="38"/>
    </row>
    <row r="894" ht="14.25" customHeight="1">
      <c r="B894" s="38"/>
    </row>
    <row r="895" ht="14.25" customHeight="1">
      <c r="B895" s="38"/>
    </row>
    <row r="896" ht="14.25" customHeight="1">
      <c r="B896" s="38"/>
    </row>
    <row r="897" ht="14.25" customHeight="1">
      <c r="B897" s="38"/>
    </row>
    <row r="898" ht="14.25" customHeight="1">
      <c r="B898" s="38"/>
    </row>
    <row r="899" ht="14.25" customHeight="1">
      <c r="B899" s="38"/>
    </row>
    <row r="900" ht="14.25" customHeight="1">
      <c r="B900" s="38"/>
    </row>
    <row r="901" ht="14.25" customHeight="1">
      <c r="B901" s="38"/>
    </row>
    <row r="902" ht="14.25" customHeight="1">
      <c r="B902" s="38"/>
    </row>
    <row r="903" ht="14.25" customHeight="1">
      <c r="B903" s="38"/>
    </row>
    <row r="904" ht="14.25" customHeight="1">
      <c r="B904" s="38"/>
    </row>
    <row r="905" ht="14.25" customHeight="1">
      <c r="B905" s="38"/>
    </row>
    <row r="906" ht="14.25" customHeight="1">
      <c r="B906" s="38"/>
    </row>
    <row r="907" ht="14.25" customHeight="1">
      <c r="B907" s="38"/>
    </row>
    <row r="908" ht="14.25" customHeight="1">
      <c r="B908" s="38"/>
    </row>
    <row r="909" ht="14.25" customHeight="1">
      <c r="B909" s="38"/>
    </row>
    <row r="910" ht="14.25" customHeight="1">
      <c r="B910" s="38"/>
    </row>
    <row r="911" ht="14.25" customHeight="1">
      <c r="B911" s="38"/>
    </row>
    <row r="912" ht="14.25" customHeight="1">
      <c r="B912" s="38"/>
    </row>
    <row r="913" ht="14.25" customHeight="1">
      <c r="B913" s="38"/>
    </row>
    <row r="914" ht="14.25" customHeight="1">
      <c r="B914" s="38"/>
    </row>
    <row r="915" ht="14.25" customHeight="1">
      <c r="B915" s="38"/>
    </row>
    <row r="916" ht="14.25" customHeight="1">
      <c r="B916" s="38"/>
    </row>
    <row r="917" ht="14.25" customHeight="1">
      <c r="B917" s="38"/>
    </row>
    <row r="918" ht="14.25" customHeight="1">
      <c r="B918" s="38"/>
    </row>
    <row r="919" ht="14.25" customHeight="1">
      <c r="B919" s="38"/>
    </row>
    <row r="920" ht="14.25" customHeight="1">
      <c r="B920" s="38"/>
    </row>
    <row r="921" ht="14.25" customHeight="1">
      <c r="B921" s="38"/>
    </row>
    <row r="922" ht="14.25" customHeight="1">
      <c r="B922" s="38"/>
    </row>
    <row r="923" ht="14.25" customHeight="1">
      <c r="B923" s="38"/>
    </row>
    <row r="924" ht="14.25" customHeight="1">
      <c r="B924" s="38"/>
    </row>
    <row r="925" ht="14.25" customHeight="1">
      <c r="B925" s="38"/>
    </row>
    <row r="926" ht="14.25" customHeight="1">
      <c r="B926" s="38"/>
    </row>
    <row r="927" ht="14.25" customHeight="1">
      <c r="B927" s="38"/>
    </row>
    <row r="928" ht="14.25" customHeight="1">
      <c r="B928" s="38"/>
    </row>
    <row r="929" ht="14.25" customHeight="1">
      <c r="B929" s="38"/>
    </row>
    <row r="930" ht="14.25" customHeight="1">
      <c r="B930" s="38"/>
    </row>
    <row r="931" ht="14.25" customHeight="1">
      <c r="B931" s="38"/>
    </row>
    <row r="932" ht="14.25" customHeight="1">
      <c r="B932" s="38"/>
    </row>
    <row r="933" ht="14.25" customHeight="1">
      <c r="B933" s="38"/>
    </row>
    <row r="934" ht="14.25" customHeight="1">
      <c r="B934" s="38"/>
    </row>
    <row r="935" ht="14.25" customHeight="1">
      <c r="B935" s="38"/>
    </row>
    <row r="936" ht="14.25" customHeight="1">
      <c r="B936" s="38"/>
    </row>
    <row r="937" ht="14.25" customHeight="1">
      <c r="B937" s="38"/>
    </row>
    <row r="938" ht="14.25" customHeight="1">
      <c r="B938" s="38"/>
    </row>
    <row r="939" ht="14.25" customHeight="1">
      <c r="B939" s="38"/>
    </row>
    <row r="940" ht="14.25" customHeight="1">
      <c r="B940" s="38"/>
    </row>
    <row r="941" ht="14.25" customHeight="1">
      <c r="B941" s="38"/>
    </row>
    <row r="942" ht="14.25" customHeight="1">
      <c r="B942" s="38"/>
    </row>
    <row r="943" ht="14.25" customHeight="1">
      <c r="B943" s="38"/>
    </row>
    <row r="944" ht="14.25" customHeight="1">
      <c r="B944" s="38"/>
    </row>
    <row r="945" ht="14.25" customHeight="1">
      <c r="B945" s="38"/>
    </row>
    <row r="946" ht="14.25" customHeight="1">
      <c r="B946" s="38"/>
    </row>
    <row r="947" ht="14.25" customHeight="1">
      <c r="B947" s="38"/>
    </row>
    <row r="948" ht="14.25" customHeight="1">
      <c r="B948" s="38"/>
    </row>
    <row r="949" ht="14.25" customHeight="1">
      <c r="B949" s="38"/>
    </row>
    <row r="950" ht="14.25" customHeight="1">
      <c r="B950" s="38"/>
    </row>
    <row r="951" ht="14.25" customHeight="1">
      <c r="B951" s="38"/>
    </row>
    <row r="952" ht="14.25" customHeight="1">
      <c r="B952" s="38"/>
    </row>
    <row r="953" ht="14.25" customHeight="1">
      <c r="B953" s="38"/>
    </row>
    <row r="954" ht="14.25" customHeight="1">
      <c r="B954" s="38"/>
    </row>
    <row r="955" ht="14.25" customHeight="1">
      <c r="B955" s="38"/>
    </row>
    <row r="956" ht="14.25" customHeight="1">
      <c r="B956" s="38"/>
    </row>
    <row r="957" ht="14.25" customHeight="1">
      <c r="B957" s="38"/>
    </row>
    <row r="958" ht="14.25" customHeight="1">
      <c r="B958" s="38"/>
    </row>
    <row r="959" ht="14.25" customHeight="1">
      <c r="B959" s="38"/>
    </row>
    <row r="960" ht="14.25" customHeight="1">
      <c r="B960" s="38"/>
    </row>
    <row r="961" ht="14.25" customHeight="1">
      <c r="B961" s="38"/>
    </row>
    <row r="962" ht="14.25" customHeight="1">
      <c r="B962" s="38"/>
    </row>
    <row r="963" ht="14.25" customHeight="1">
      <c r="B963" s="38"/>
    </row>
    <row r="964" ht="14.25" customHeight="1">
      <c r="B964" s="38"/>
    </row>
    <row r="965" ht="14.25" customHeight="1">
      <c r="B965" s="38"/>
    </row>
    <row r="966" ht="14.25" customHeight="1">
      <c r="B966" s="38"/>
    </row>
    <row r="967" ht="14.25" customHeight="1">
      <c r="B967" s="38"/>
    </row>
    <row r="968" ht="14.25" customHeight="1">
      <c r="B968" s="38"/>
    </row>
    <row r="969" ht="14.25" customHeight="1">
      <c r="B969" s="38"/>
    </row>
    <row r="970" ht="14.25" customHeight="1">
      <c r="B970" s="38"/>
    </row>
    <row r="971" ht="14.25" customHeight="1">
      <c r="B971" s="38"/>
    </row>
    <row r="972" ht="14.25" customHeight="1">
      <c r="B972" s="38"/>
    </row>
    <row r="973" ht="14.25" customHeight="1">
      <c r="B973" s="38"/>
    </row>
    <row r="974" ht="14.25" customHeight="1">
      <c r="B974" s="38"/>
    </row>
    <row r="975" ht="14.25" customHeight="1">
      <c r="B975" s="38"/>
    </row>
    <row r="976" ht="14.25" customHeight="1">
      <c r="B976" s="38"/>
    </row>
    <row r="977" ht="14.25" customHeight="1">
      <c r="B977" s="38"/>
    </row>
    <row r="978" ht="14.25" customHeight="1">
      <c r="B978" s="38"/>
    </row>
    <row r="979" ht="14.25" customHeight="1">
      <c r="B979" s="38"/>
    </row>
    <row r="980" ht="14.25" customHeight="1">
      <c r="B980" s="38"/>
    </row>
    <row r="981" ht="14.25" customHeight="1">
      <c r="B981" s="38"/>
    </row>
    <row r="982" ht="14.25" customHeight="1">
      <c r="B982" s="38"/>
    </row>
    <row r="983" ht="14.25" customHeight="1">
      <c r="B983" s="38"/>
    </row>
    <row r="984" ht="14.25" customHeight="1">
      <c r="B984" s="38"/>
    </row>
    <row r="985" ht="14.25" customHeight="1">
      <c r="B985" s="38"/>
    </row>
    <row r="986" ht="14.25" customHeight="1">
      <c r="B986" s="38"/>
    </row>
    <row r="987" ht="14.25" customHeight="1">
      <c r="B987" s="38"/>
    </row>
    <row r="988" ht="14.25" customHeight="1">
      <c r="B988" s="38"/>
    </row>
    <row r="989" ht="14.25" customHeight="1">
      <c r="B989" s="38"/>
    </row>
    <row r="990" ht="14.25" customHeight="1">
      <c r="B990" s="38"/>
    </row>
    <row r="991" ht="14.25" customHeight="1">
      <c r="B991" s="38"/>
    </row>
    <row r="992" ht="14.25" customHeight="1">
      <c r="B992" s="38"/>
    </row>
    <row r="993" ht="14.25" customHeight="1">
      <c r="B993" s="38"/>
    </row>
    <row r="994" ht="14.25" customHeight="1">
      <c r="B994" s="38"/>
    </row>
    <row r="995" ht="14.25" customHeight="1">
      <c r="B995" s="38"/>
    </row>
    <row r="996" ht="14.25" customHeight="1">
      <c r="B996" s="38"/>
    </row>
    <row r="997" ht="14.25" customHeight="1">
      <c r="B997" s="38"/>
    </row>
    <row r="998" ht="14.25" customHeight="1">
      <c r="B998" s="38"/>
    </row>
    <row r="999" ht="14.25" customHeight="1">
      <c r="B999" s="38"/>
    </row>
    <row r="1000" ht="14.25" customHeight="1">
      <c r="B1000" s="38"/>
    </row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29.14"/>
    <col customWidth="1" min="3" max="3" width="23.71"/>
    <col customWidth="1" min="4" max="4" width="10.57"/>
    <col customWidth="1" min="5" max="5" width="9.29"/>
    <col customWidth="1" min="6" max="7" width="9.86"/>
    <col customWidth="1" min="8" max="8" width="19.43"/>
    <col customWidth="1" min="9" max="9" width="14.0"/>
    <col customWidth="1" min="10" max="10" width="49.29"/>
    <col customWidth="1" min="11" max="26" width="8.71"/>
  </cols>
  <sheetData>
    <row r="1" ht="14.25" customHeight="1">
      <c r="A1" s="10"/>
      <c r="B1" s="10"/>
      <c r="C1" s="10"/>
      <c r="D1" s="60"/>
      <c r="E1" s="61" t="s">
        <v>205</v>
      </c>
      <c r="F1" s="62"/>
      <c r="G1" s="63"/>
      <c r="H1" s="10"/>
      <c r="I1" s="10"/>
      <c r="J1" s="10"/>
    </row>
    <row r="2" ht="14.25" customHeight="1">
      <c r="A2" s="64" t="s">
        <v>206</v>
      </c>
      <c r="B2" s="64" t="s">
        <v>207</v>
      </c>
      <c r="C2" s="64" t="s">
        <v>208</v>
      </c>
      <c r="D2" s="64" t="s">
        <v>209</v>
      </c>
      <c r="E2" s="64" t="s">
        <v>210</v>
      </c>
      <c r="F2" s="64" t="s">
        <v>211</v>
      </c>
      <c r="G2" s="64" t="s">
        <v>212</v>
      </c>
      <c r="H2" s="64" t="s">
        <v>213</v>
      </c>
      <c r="I2" s="64" t="s">
        <v>214</v>
      </c>
      <c r="J2" s="64" t="s">
        <v>215</v>
      </c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14.25" customHeight="1">
      <c r="A3" s="6" t="s">
        <v>15</v>
      </c>
      <c r="B3" s="6" t="s">
        <v>216</v>
      </c>
      <c r="C3" s="6" t="s">
        <v>217</v>
      </c>
      <c r="D3" s="6">
        <v>5.0</v>
      </c>
      <c r="E3" s="9">
        <v>1.00747676874866</v>
      </c>
      <c r="F3" s="9">
        <v>0.682933896523108</v>
      </c>
      <c r="G3" s="9">
        <v>0.00591163918446869</v>
      </c>
      <c r="H3" s="66" t="s">
        <v>218</v>
      </c>
      <c r="I3" s="67">
        <v>2000.0</v>
      </c>
      <c r="J3" s="6" t="s">
        <v>219</v>
      </c>
    </row>
    <row r="4" ht="14.25" customHeight="1">
      <c r="A4" s="6" t="s">
        <v>18</v>
      </c>
      <c r="B4" s="6" t="s">
        <v>220</v>
      </c>
      <c r="C4" s="6" t="s">
        <v>221</v>
      </c>
      <c r="D4" s="6">
        <v>4.0</v>
      </c>
      <c r="E4" s="9">
        <v>3.17361063276128</v>
      </c>
      <c r="F4" s="9">
        <v>1.35069535246938</v>
      </c>
      <c r="G4" s="9">
        <v>0.324646650873003</v>
      </c>
      <c r="H4" s="68" t="s">
        <v>222</v>
      </c>
      <c r="I4" s="6">
        <v>27000.0</v>
      </c>
      <c r="J4" s="6" t="s">
        <v>219</v>
      </c>
    </row>
    <row r="5" ht="14.25" customHeight="1">
      <c r="A5" s="6" t="s">
        <v>21</v>
      </c>
      <c r="B5" s="6" t="s">
        <v>223</v>
      </c>
      <c r="C5" s="6" t="s">
        <v>224</v>
      </c>
      <c r="D5" s="6">
        <v>5.0</v>
      </c>
      <c r="E5" s="9">
        <v>3.85982909716243</v>
      </c>
      <c r="F5" s="9">
        <v>1.83609278740734</v>
      </c>
      <c r="G5" s="9">
        <v>0.17014413962512</v>
      </c>
      <c r="H5" s="68" t="s">
        <v>225</v>
      </c>
      <c r="I5" s="6">
        <v>28000.0</v>
      </c>
      <c r="J5" s="6" t="s">
        <v>219</v>
      </c>
    </row>
    <row r="6" ht="14.25" customHeight="1">
      <c r="A6" s="6" t="s">
        <v>85</v>
      </c>
      <c r="B6" s="38" t="s">
        <v>226</v>
      </c>
      <c r="C6" s="6" t="s">
        <v>227</v>
      </c>
      <c r="D6" s="6">
        <v>5.0</v>
      </c>
      <c r="E6" s="9">
        <v>4.52481399323609</v>
      </c>
      <c r="F6" s="9">
        <v>2.07806735431302</v>
      </c>
      <c r="G6" s="9">
        <v>0.721599550121972</v>
      </c>
      <c r="H6" s="68" t="s">
        <v>228</v>
      </c>
      <c r="I6" s="6">
        <v>35000.0</v>
      </c>
      <c r="J6" s="6" t="s">
        <v>219</v>
      </c>
    </row>
    <row r="7" ht="14.25" customHeight="1">
      <c r="A7" s="6" t="s">
        <v>97</v>
      </c>
      <c r="B7" s="6" t="s">
        <v>229</v>
      </c>
      <c r="C7" s="6" t="s">
        <v>230</v>
      </c>
      <c r="D7" s="6">
        <v>2.0</v>
      </c>
      <c r="E7" s="9">
        <v>2.27941134707572</v>
      </c>
      <c r="F7" s="9">
        <v>3.2724550585586</v>
      </c>
      <c r="G7" s="9">
        <v>0.511034201962443</v>
      </c>
      <c r="H7" s="68" t="s">
        <v>231</v>
      </c>
      <c r="I7" s="6">
        <v>1500.0</v>
      </c>
      <c r="J7" s="6" t="s">
        <v>219</v>
      </c>
    </row>
    <row r="8" ht="14.25" customHeight="1">
      <c r="A8" s="6" t="s">
        <v>24</v>
      </c>
      <c r="B8" s="6" t="s">
        <v>232</v>
      </c>
      <c r="C8" s="6" t="s">
        <v>233</v>
      </c>
      <c r="D8" s="6">
        <v>4.0</v>
      </c>
      <c r="E8" s="9">
        <v>1.38316226112588</v>
      </c>
      <c r="F8" s="9">
        <v>1.0034254615223</v>
      </c>
      <c r="G8" s="9">
        <v>0.016289545843008</v>
      </c>
      <c r="H8" s="68" t="s">
        <v>234</v>
      </c>
      <c r="I8" s="6">
        <v>15000.0</v>
      </c>
      <c r="J8" s="6" t="s">
        <v>219</v>
      </c>
    </row>
    <row r="9" ht="14.25" customHeight="1">
      <c r="A9" s="6" t="s">
        <v>27</v>
      </c>
      <c r="B9" s="6" t="s">
        <v>235</v>
      </c>
      <c r="C9" s="6" t="s">
        <v>236</v>
      </c>
      <c r="D9" s="6">
        <v>4.0</v>
      </c>
      <c r="E9" s="9">
        <v>0.92694894435296</v>
      </c>
      <c r="F9" s="9">
        <v>1.38309699065722</v>
      </c>
      <c r="G9" s="9">
        <v>0.515543712531619</v>
      </c>
      <c r="H9" s="68" t="s">
        <v>237</v>
      </c>
      <c r="I9" s="6">
        <v>21000.0</v>
      </c>
      <c r="J9" s="6" t="s">
        <v>219</v>
      </c>
    </row>
    <row r="10" ht="14.25" customHeight="1">
      <c r="A10" s="6" t="s">
        <v>30</v>
      </c>
      <c r="B10" s="6" t="s">
        <v>238</v>
      </c>
      <c r="C10" s="6" t="s">
        <v>239</v>
      </c>
      <c r="D10" s="6">
        <v>2.0</v>
      </c>
      <c r="E10" s="9">
        <v>1.33732606014841</v>
      </c>
      <c r="F10" s="9">
        <v>1.63553062598981</v>
      </c>
      <c r="G10" s="9">
        <v>1.21277790117263</v>
      </c>
      <c r="H10" s="68" t="s">
        <v>240</v>
      </c>
      <c r="I10" s="6">
        <v>1500.0</v>
      </c>
      <c r="J10" s="6" t="s">
        <v>219</v>
      </c>
    </row>
    <row r="11" ht="14.25" customHeight="1">
      <c r="D11" s="69"/>
    </row>
    <row r="12" ht="14.25" customHeight="1">
      <c r="A12" s="6" t="s">
        <v>241</v>
      </c>
      <c r="C12" s="6" t="s">
        <v>242</v>
      </c>
      <c r="D12" s="6"/>
      <c r="E12" s="6"/>
      <c r="F12" s="6"/>
      <c r="G12" s="6"/>
      <c r="H12" s="6"/>
      <c r="J12" s="6" t="s">
        <v>243</v>
      </c>
    </row>
    <row r="13" ht="14.25" customHeight="1">
      <c r="A13" s="6" t="s">
        <v>244</v>
      </c>
      <c r="B13" s="6" t="s">
        <v>245</v>
      </c>
      <c r="C13" s="6" t="s">
        <v>246</v>
      </c>
      <c r="D13" s="6"/>
      <c r="E13" s="6"/>
      <c r="F13" s="6"/>
      <c r="G13" s="6"/>
      <c r="H13" s="6"/>
      <c r="J13" s="6" t="s">
        <v>247</v>
      </c>
    </row>
    <row r="14" ht="14.25" customHeight="1">
      <c r="A14" s="6" t="s">
        <v>248</v>
      </c>
      <c r="C14" s="6" t="s">
        <v>249</v>
      </c>
      <c r="D14" s="69"/>
    </row>
    <row r="15" ht="14.25" customHeight="1">
      <c r="A15" s="6" t="s">
        <v>250</v>
      </c>
      <c r="B15" s="6" t="s">
        <v>251</v>
      </c>
      <c r="C15" s="6" t="s">
        <v>252</v>
      </c>
      <c r="D15" s="69"/>
      <c r="H15" s="6" t="s">
        <v>253</v>
      </c>
      <c r="J15" s="6" t="s">
        <v>254</v>
      </c>
    </row>
    <row r="16" ht="14.25" customHeight="1">
      <c r="D16" s="69"/>
    </row>
    <row r="17" ht="14.25" customHeight="1">
      <c r="D17" s="69"/>
    </row>
    <row r="18" ht="14.25" customHeight="1">
      <c r="D18" s="69"/>
    </row>
    <row r="19" ht="14.25" customHeight="1">
      <c r="D19" s="70"/>
      <c r="E19" s="6"/>
      <c r="F19" s="6"/>
      <c r="G19" s="6"/>
      <c r="H19" s="71"/>
    </row>
    <row r="20" ht="14.25" customHeight="1">
      <c r="D20" s="69"/>
    </row>
    <row r="21" ht="14.25" customHeight="1">
      <c r="D21" s="69"/>
    </row>
    <row r="22" ht="14.25" customHeight="1">
      <c r="D22" s="69"/>
    </row>
    <row r="23" ht="14.25" customHeight="1">
      <c r="D23" s="69"/>
    </row>
    <row r="24" ht="14.25" customHeight="1">
      <c r="D24" s="69"/>
    </row>
    <row r="25" ht="14.25" customHeight="1">
      <c r="D25" s="69"/>
    </row>
    <row r="26" ht="14.25" customHeight="1">
      <c r="D26" s="69"/>
    </row>
    <row r="27" ht="14.25" customHeight="1">
      <c r="D27" s="69"/>
    </row>
    <row r="28" ht="14.25" customHeight="1">
      <c r="D28" s="69"/>
    </row>
    <row r="29" ht="14.25" customHeight="1">
      <c r="D29" s="69"/>
    </row>
    <row r="30" ht="14.25" customHeight="1">
      <c r="D30" s="69"/>
    </row>
    <row r="31" ht="14.25" customHeight="1">
      <c r="D31" s="69"/>
    </row>
    <row r="32" ht="14.25" customHeight="1">
      <c r="D32" s="69"/>
    </row>
    <row r="33" ht="14.25" customHeight="1">
      <c r="D33" s="69"/>
    </row>
    <row r="34" ht="14.25" customHeight="1">
      <c r="D34" s="69"/>
    </row>
    <row r="35" ht="14.25" customHeight="1">
      <c r="D35" s="69"/>
    </row>
    <row r="36" ht="14.25" customHeight="1">
      <c r="D36" s="69"/>
    </row>
    <row r="37" ht="14.25" customHeight="1">
      <c r="D37" s="69"/>
    </row>
    <row r="38" ht="14.25" customHeight="1">
      <c r="D38" s="69"/>
    </row>
    <row r="39" ht="14.25" customHeight="1">
      <c r="D39" s="69"/>
    </row>
    <row r="40" ht="14.25" customHeight="1">
      <c r="D40" s="69"/>
    </row>
    <row r="41" ht="14.25" customHeight="1">
      <c r="D41" s="69"/>
    </row>
    <row r="42" ht="14.25" customHeight="1">
      <c r="D42" s="69"/>
    </row>
    <row r="43" ht="14.25" customHeight="1">
      <c r="D43" s="69"/>
    </row>
    <row r="44" ht="14.25" customHeight="1">
      <c r="D44" s="69"/>
    </row>
    <row r="45" ht="14.25" customHeight="1">
      <c r="D45" s="69"/>
    </row>
    <row r="46" ht="14.25" customHeight="1">
      <c r="D46" s="69"/>
    </row>
    <row r="47" ht="14.25" customHeight="1">
      <c r="D47" s="69"/>
    </row>
    <row r="48" ht="14.25" customHeight="1">
      <c r="D48" s="69"/>
    </row>
    <row r="49" ht="14.25" customHeight="1">
      <c r="D49" s="69"/>
    </row>
    <row r="50" ht="14.25" customHeight="1">
      <c r="D50" s="69"/>
    </row>
    <row r="51" ht="14.25" customHeight="1">
      <c r="D51" s="69"/>
    </row>
    <row r="52" ht="14.25" customHeight="1">
      <c r="D52" s="69"/>
    </row>
    <row r="53" ht="14.25" customHeight="1">
      <c r="D53" s="69"/>
    </row>
    <row r="54" ht="14.25" customHeight="1">
      <c r="D54" s="69"/>
    </row>
    <row r="55" ht="14.25" customHeight="1">
      <c r="D55" s="69"/>
    </row>
    <row r="56" ht="14.25" customHeight="1">
      <c r="D56" s="69"/>
    </row>
    <row r="57" ht="14.25" customHeight="1">
      <c r="D57" s="69"/>
    </row>
    <row r="58" ht="14.25" customHeight="1">
      <c r="D58" s="69"/>
    </row>
    <row r="59" ht="14.25" customHeight="1">
      <c r="D59" s="69"/>
    </row>
    <row r="60" ht="14.25" customHeight="1">
      <c r="D60" s="69"/>
    </row>
    <row r="61" ht="14.25" customHeight="1">
      <c r="D61" s="69"/>
    </row>
    <row r="62" ht="14.25" customHeight="1">
      <c r="D62" s="69"/>
    </row>
    <row r="63" ht="14.25" customHeight="1">
      <c r="D63" s="69"/>
    </row>
    <row r="64" ht="14.25" customHeight="1">
      <c r="D64" s="69"/>
    </row>
    <row r="65" ht="14.25" customHeight="1">
      <c r="D65" s="69"/>
    </row>
    <row r="66" ht="14.25" customHeight="1">
      <c r="D66" s="69"/>
    </row>
    <row r="67" ht="14.25" customHeight="1">
      <c r="D67" s="69"/>
    </row>
    <row r="68" ht="14.25" customHeight="1">
      <c r="D68" s="69"/>
    </row>
    <row r="69" ht="14.25" customHeight="1">
      <c r="D69" s="69"/>
    </row>
    <row r="70" ht="14.25" customHeight="1">
      <c r="D70" s="69"/>
    </row>
    <row r="71" ht="14.25" customHeight="1">
      <c r="D71" s="69"/>
    </row>
    <row r="72" ht="14.25" customHeight="1">
      <c r="D72" s="69"/>
    </row>
    <row r="73" ht="14.25" customHeight="1">
      <c r="D73" s="69"/>
    </row>
    <row r="74" ht="14.25" customHeight="1">
      <c r="D74" s="69"/>
    </row>
    <row r="75" ht="14.25" customHeight="1">
      <c r="D75" s="69"/>
    </row>
    <row r="76" ht="14.25" customHeight="1">
      <c r="D76" s="69"/>
    </row>
    <row r="77" ht="14.25" customHeight="1">
      <c r="D77" s="69"/>
    </row>
    <row r="78" ht="14.25" customHeight="1">
      <c r="D78" s="69"/>
    </row>
    <row r="79" ht="14.25" customHeight="1">
      <c r="D79" s="69"/>
    </row>
    <row r="80" ht="14.25" customHeight="1">
      <c r="D80" s="69"/>
    </row>
    <row r="81" ht="14.25" customHeight="1">
      <c r="D81" s="69"/>
    </row>
    <row r="82" ht="14.25" customHeight="1">
      <c r="D82" s="69"/>
    </row>
    <row r="83" ht="14.25" customHeight="1">
      <c r="D83" s="69"/>
    </row>
    <row r="84" ht="14.25" customHeight="1">
      <c r="D84" s="69"/>
    </row>
    <row r="85" ht="14.25" customHeight="1">
      <c r="D85" s="69"/>
    </row>
    <row r="86" ht="14.25" customHeight="1">
      <c r="D86" s="69"/>
    </row>
    <row r="87" ht="14.25" customHeight="1">
      <c r="D87" s="69"/>
    </row>
    <row r="88" ht="14.25" customHeight="1">
      <c r="D88" s="69"/>
    </row>
    <row r="89" ht="14.25" customHeight="1">
      <c r="D89" s="69"/>
    </row>
    <row r="90" ht="14.25" customHeight="1">
      <c r="D90" s="69"/>
    </row>
    <row r="91" ht="14.25" customHeight="1">
      <c r="D91" s="69"/>
    </row>
    <row r="92" ht="14.25" customHeight="1">
      <c r="D92" s="69"/>
    </row>
    <row r="93" ht="14.25" customHeight="1">
      <c r="D93" s="69"/>
    </row>
    <row r="94" ht="14.25" customHeight="1">
      <c r="D94" s="69"/>
    </row>
    <row r="95" ht="14.25" customHeight="1">
      <c r="D95" s="69"/>
    </row>
    <row r="96" ht="14.25" customHeight="1">
      <c r="D96" s="69"/>
    </row>
    <row r="97" ht="14.25" customHeight="1">
      <c r="D97" s="69"/>
    </row>
    <row r="98" ht="14.25" customHeight="1">
      <c r="D98" s="69"/>
    </row>
    <row r="99" ht="14.25" customHeight="1">
      <c r="D99" s="69"/>
    </row>
    <row r="100" ht="14.25" customHeight="1">
      <c r="D100" s="69"/>
    </row>
    <row r="101" ht="14.25" customHeight="1">
      <c r="D101" s="69"/>
    </row>
    <row r="102" ht="14.25" customHeight="1">
      <c r="D102" s="69"/>
    </row>
    <row r="103" ht="14.25" customHeight="1">
      <c r="D103" s="69"/>
    </row>
    <row r="104" ht="14.25" customHeight="1">
      <c r="D104" s="69"/>
    </row>
    <row r="105" ht="14.25" customHeight="1">
      <c r="D105" s="69"/>
    </row>
    <row r="106" ht="14.25" customHeight="1">
      <c r="D106" s="69"/>
    </row>
    <row r="107" ht="14.25" customHeight="1">
      <c r="D107" s="69"/>
    </row>
    <row r="108" ht="14.25" customHeight="1">
      <c r="D108" s="69"/>
    </row>
    <row r="109" ht="14.25" customHeight="1">
      <c r="D109" s="69"/>
    </row>
    <row r="110" ht="14.25" customHeight="1">
      <c r="D110" s="69"/>
    </row>
    <row r="111" ht="14.25" customHeight="1">
      <c r="D111" s="69"/>
    </row>
    <row r="112" ht="14.25" customHeight="1">
      <c r="D112" s="69"/>
    </row>
    <row r="113" ht="14.25" customHeight="1">
      <c r="D113" s="69"/>
    </row>
    <row r="114" ht="14.25" customHeight="1">
      <c r="D114" s="69"/>
    </row>
    <row r="115" ht="14.25" customHeight="1">
      <c r="D115" s="69"/>
    </row>
    <row r="116" ht="14.25" customHeight="1">
      <c r="D116" s="69"/>
    </row>
    <row r="117" ht="14.25" customHeight="1">
      <c r="D117" s="69"/>
    </row>
    <row r="118" ht="14.25" customHeight="1">
      <c r="D118" s="69"/>
    </row>
    <row r="119" ht="14.25" customHeight="1">
      <c r="D119" s="69"/>
    </row>
    <row r="120" ht="14.25" customHeight="1">
      <c r="D120" s="69"/>
    </row>
    <row r="121" ht="14.25" customHeight="1">
      <c r="D121" s="69"/>
    </row>
    <row r="122" ht="14.25" customHeight="1">
      <c r="D122" s="69"/>
    </row>
    <row r="123" ht="14.25" customHeight="1">
      <c r="D123" s="69"/>
    </row>
    <row r="124" ht="14.25" customHeight="1">
      <c r="D124" s="69"/>
    </row>
    <row r="125" ht="14.25" customHeight="1">
      <c r="D125" s="69"/>
    </row>
    <row r="126" ht="14.25" customHeight="1">
      <c r="D126" s="69"/>
    </row>
    <row r="127" ht="14.25" customHeight="1">
      <c r="D127" s="69"/>
    </row>
    <row r="128" ht="14.25" customHeight="1">
      <c r="D128" s="69"/>
    </row>
    <row r="129" ht="14.25" customHeight="1">
      <c r="D129" s="69"/>
    </row>
    <row r="130" ht="14.25" customHeight="1">
      <c r="D130" s="69"/>
    </row>
    <row r="131" ht="14.25" customHeight="1">
      <c r="D131" s="69"/>
    </row>
    <row r="132" ht="14.25" customHeight="1">
      <c r="D132" s="69"/>
    </row>
    <row r="133" ht="14.25" customHeight="1">
      <c r="D133" s="69"/>
    </row>
    <row r="134" ht="14.25" customHeight="1">
      <c r="D134" s="69"/>
    </row>
    <row r="135" ht="14.25" customHeight="1">
      <c r="D135" s="69"/>
    </row>
    <row r="136" ht="14.25" customHeight="1">
      <c r="D136" s="69"/>
    </row>
    <row r="137" ht="14.25" customHeight="1">
      <c r="D137" s="69"/>
    </row>
    <row r="138" ht="14.25" customHeight="1">
      <c r="D138" s="69"/>
    </row>
    <row r="139" ht="14.25" customHeight="1">
      <c r="D139" s="69"/>
    </row>
    <row r="140" ht="14.25" customHeight="1">
      <c r="D140" s="69"/>
    </row>
    <row r="141" ht="14.25" customHeight="1">
      <c r="D141" s="69"/>
    </row>
    <row r="142" ht="14.25" customHeight="1">
      <c r="D142" s="69"/>
    </row>
    <row r="143" ht="14.25" customHeight="1">
      <c r="D143" s="69"/>
    </row>
    <row r="144" ht="14.25" customHeight="1">
      <c r="D144" s="69"/>
    </row>
    <row r="145" ht="14.25" customHeight="1">
      <c r="D145" s="69"/>
    </row>
    <row r="146" ht="14.25" customHeight="1">
      <c r="D146" s="69"/>
    </row>
    <row r="147" ht="14.25" customHeight="1">
      <c r="D147" s="69"/>
    </row>
    <row r="148" ht="14.25" customHeight="1">
      <c r="D148" s="69"/>
    </row>
    <row r="149" ht="14.25" customHeight="1">
      <c r="D149" s="69"/>
    </row>
    <row r="150" ht="14.25" customHeight="1">
      <c r="D150" s="69"/>
    </row>
    <row r="151" ht="14.25" customHeight="1">
      <c r="D151" s="69"/>
    </row>
    <row r="152" ht="14.25" customHeight="1">
      <c r="D152" s="69"/>
    </row>
    <row r="153" ht="14.25" customHeight="1">
      <c r="D153" s="69"/>
    </row>
    <row r="154" ht="14.25" customHeight="1">
      <c r="D154" s="69"/>
    </row>
    <row r="155" ht="14.25" customHeight="1">
      <c r="D155" s="69"/>
    </row>
    <row r="156" ht="14.25" customHeight="1">
      <c r="D156" s="69"/>
    </row>
    <row r="157" ht="14.25" customHeight="1">
      <c r="D157" s="69"/>
    </row>
    <row r="158" ht="14.25" customHeight="1">
      <c r="D158" s="69"/>
    </row>
    <row r="159" ht="14.25" customHeight="1">
      <c r="D159" s="69"/>
    </row>
    <row r="160" ht="14.25" customHeight="1">
      <c r="D160" s="69"/>
    </row>
    <row r="161" ht="14.25" customHeight="1">
      <c r="D161" s="69"/>
    </row>
    <row r="162" ht="14.25" customHeight="1">
      <c r="D162" s="69"/>
    </row>
    <row r="163" ht="14.25" customHeight="1">
      <c r="D163" s="69"/>
    </row>
    <row r="164" ht="14.25" customHeight="1">
      <c r="D164" s="69"/>
    </row>
    <row r="165" ht="14.25" customHeight="1">
      <c r="D165" s="69"/>
    </row>
    <row r="166" ht="14.25" customHeight="1">
      <c r="D166" s="69"/>
    </row>
    <row r="167" ht="14.25" customHeight="1">
      <c r="D167" s="69"/>
    </row>
    <row r="168" ht="14.25" customHeight="1">
      <c r="D168" s="69"/>
    </row>
    <row r="169" ht="14.25" customHeight="1">
      <c r="D169" s="69"/>
    </row>
    <row r="170" ht="14.25" customHeight="1">
      <c r="D170" s="69"/>
    </row>
    <row r="171" ht="14.25" customHeight="1">
      <c r="D171" s="69"/>
    </row>
    <row r="172" ht="14.25" customHeight="1">
      <c r="D172" s="69"/>
    </row>
    <row r="173" ht="14.25" customHeight="1">
      <c r="D173" s="69"/>
    </row>
    <row r="174" ht="14.25" customHeight="1">
      <c r="D174" s="69"/>
    </row>
    <row r="175" ht="14.25" customHeight="1">
      <c r="D175" s="69"/>
    </row>
    <row r="176" ht="14.25" customHeight="1">
      <c r="D176" s="69"/>
    </row>
    <row r="177" ht="14.25" customHeight="1">
      <c r="D177" s="69"/>
    </row>
    <row r="178" ht="14.25" customHeight="1">
      <c r="D178" s="69"/>
    </row>
    <row r="179" ht="14.25" customHeight="1">
      <c r="D179" s="69"/>
    </row>
    <row r="180" ht="14.25" customHeight="1">
      <c r="D180" s="69"/>
    </row>
    <row r="181" ht="14.25" customHeight="1">
      <c r="D181" s="69"/>
    </row>
    <row r="182" ht="14.25" customHeight="1">
      <c r="D182" s="69"/>
    </row>
    <row r="183" ht="14.25" customHeight="1">
      <c r="D183" s="69"/>
    </row>
    <row r="184" ht="14.25" customHeight="1">
      <c r="D184" s="69"/>
    </row>
    <row r="185" ht="14.25" customHeight="1">
      <c r="D185" s="69"/>
    </row>
    <row r="186" ht="14.25" customHeight="1">
      <c r="D186" s="69"/>
    </row>
    <row r="187" ht="14.25" customHeight="1">
      <c r="D187" s="69"/>
    </row>
    <row r="188" ht="14.25" customHeight="1">
      <c r="D188" s="69"/>
    </row>
    <row r="189" ht="14.25" customHeight="1">
      <c r="D189" s="69"/>
    </row>
    <row r="190" ht="14.25" customHeight="1">
      <c r="D190" s="69"/>
    </row>
    <row r="191" ht="14.25" customHeight="1">
      <c r="D191" s="69"/>
    </row>
    <row r="192" ht="14.25" customHeight="1">
      <c r="D192" s="69"/>
    </row>
    <row r="193" ht="14.25" customHeight="1">
      <c r="D193" s="69"/>
    </row>
    <row r="194" ht="14.25" customHeight="1">
      <c r="D194" s="69"/>
    </row>
    <row r="195" ht="14.25" customHeight="1">
      <c r="D195" s="69"/>
    </row>
    <row r="196" ht="14.25" customHeight="1">
      <c r="D196" s="69"/>
    </row>
    <row r="197" ht="14.25" customHeight="1">
      <c r="D197" s="69"/>
    </row>
    <row r="198" ht="14.25" customHeight="1">
      <c r="D198" s="69"/>
    </row>
    <row r="199" ht="14.25" customHeight="1">
      <c r="D199" s="69"/>
    </row>
    <row r="200" ht="14.25" customHeight="1">
      <c r="D200" s="69"/>
    </row>
    <row r="201" ht="14.25" customHeight="1">
      <c r="D201" s="69"/>
    </row>
    <row r="202" ht="14.25" customHeight="1">
      <c r="D202" s="69"/>
    </row>
    <row r="203" ht="14.25" customHeight="1">
      <c r="D203" s="69"/>
    </row>
    <row r="204" ht="14.25" customHeight="1">
      <c r="D204" s="69"/>
    </row>
    <row r="205" ht="14.25" customHeight="1">
      <c r="D205" s="69"/>
    </row>
    <row r="206" ht="14.25" customHeight="1">
      <c r="D206" s="69"/>
    </row>
    <row r="207" ht="14.25" customHeight="1">
      <c r="D207" s="69"/>
    </row>
    <row r="208" ht="14.25" customHeight="1">
      <c r="D208" s="69"/>
    </row>
    <row r="209" ht="14.25" customHeight="1">
      <c r="D209" s="69"/>
    </row>
    <row r="210" ht="14.25" customHeight="1">
      <c r="D210" s="69"/>
    </row>
    <row r="211" ht="14.25" customHeight="1">
      <c r="D211" s="69"/>
    </row>
    <row r="212" ht="14.25" customHeight="1">
      <c r="D212" s="69"/>
    </row>
    <row r="213" ht="14.25" customHeight="1">
      <c r="D213" s="69"/>
    </row>
    <row r="214" ht="14.25" customHeight="1">
      <c r="D214" s="69"/>
    </row>
    <row r="215" ht="14.25" customHeight="1">
      <c r="D215" s="69"/>
    </row>
    <row r="216" ht="14.25" customHeight="1">
      <c r="D216" s="69"/>
    </row>
    <row r="217" ht="14.25" customHeight="1">
      <c r="D217" s="69"/>
    </row>
    <row r="218" ht="14.25" customHeight="1">
      <c r="D218" s="69"/>
    </row>
    <row r="219" ht="14.25" customHeight="1">
      <c r="D219" s="69"/>
    </row>
    <row r="220" ht="14.25" customHeight="1">
      <c r="D220" s="69"/>
    </row>
    <row r="221" ht="14.25" customHeight="1">
      <c r="D221" s="69"/>
    </row>
    <row r="222" ht="14.25" customHeight="1">
      <c r="D222" s="69"/>
    </row>
    <row r="223" ht="14.25" customHeight="1">
      <c r="D223" s="69"/>
    </row>
    <row r="224" ht="14.25" customHeight="1">
      <c r="D224" s="69"/>
    </row>
    <row r="225" ht="14.25" customHeight="1">
      <c r="D225" s="69"/>
    </row>
    <row r="226" ht="14.25" customHeight="1">
      <c r="D226" s="69"/>
    </row>
    <row r="227" ht="14.25" customHeight="1">
      <c r="D227" s="69"/>
    </row>
    <row r="228" ht="14.25" customHeight="1">
      <c r="D228" s="69"/>
    </row>
    <row r="229" ht="14.25" customHeight="1">
      <c r="D229" s="69"/>
    </row>
    <row r="230" ht="14.25" customHeight="1">
      <c r="D230" s="69"/>
    </row>
    <row r="231" ht="14.25" customHeight="1">
      <c r="D231" s="69"/>
    </row>
    <row r="232" ht="14.25" customHeight="1">
      <c r="D232" s="69"/>
    </row>
    <row r="233" ht="14.25" customHeight="1">
      <c r="D233" s="69"/>
    </row>
    <row r="234" ht="14.25" customHeight="1">
      <c r="D234" s="69"/>
    </row>
    <row r="235" ht="14.25" customHeight="1">
      <c r="D235" s="69"/>
    </row>
    <row r="236" ht="14.25" customHeight="1">
      <c r="D236" s="69"/>
    </row>
    <row r="237" ht="14.25" customHeight="1">
      <c r="D237" s="69"/>
    </row>
    <row r="238" ht="14.25" customHeight="1">
      <c r="D238" s="69"/>
    </row>
    <row r="239" ht="14.25" customHeight="1">
      <c r="D239" s="69"/>
    </row>
    <row r="240" ht="14.25" customHeight="1">
      <c r="D240" s="69"/>
    </row>
    <row r="241" ht="14.25" customHeight="1">
      <c r="D241" s="69"/>
    </row>
    <row r="242" ht="14.25" customHeight="1">
      <c r="D242" s="69"/>
    </row>
    <row r="243" ht="14.25" customHeight="1">
      <c r="D243" s="69"/>
    </row>
    <row r="244" ht="14.25" customHeight="1">
      <c r="D244" s="69"/>
    </row>
    <row r="245" ht="14.25" customHeight="1">
      <c r="D245" s="69"/>
    </row>
    <row r="246" ht="14.25" customHeight="1">
      <c r="D246" s="69"/>
    </row>
    <row r="247" ht="14.25" customHeight="1">
      <c r="D247" s="69"/>
    </row>
    <row r="248" ht="14.25" customHeight="1">
      <c r="D248" s="69"/>
    </row>
    <row r="249" ht="14.25" customHeight="1">
      <c r="D249" s="69"/>
    </row>
    <row r="250" ht="14.25" customHeight="1">
      <c r="D250" s="69"/>
    </row>
    <row r="251" ht="14.25" customHeight="1">
      <c r="D251" s="69"/>
    </row>
    <row r="252" ht="14.25" customHeight="1">
      <c r="D252" s="69"/>
    </row>
    <row r="253" ht="14.25" customHeight="1">
      <c r="D253" s="69"/>
    </row>
    <row r="254" ht="14.25" customHeight="1">
      <c r="D254" s="69"/>
    </row>
    <row r="255" ht="14.25" customHeight="1">
      <c r="D255" s="69"/>
    </row>
    <row r="256" ht="14.25" customHeight="1">
      <c r="D256" s="69"/>
    </row>
    <row r="257" ht="14.25" customHeight="1">
      <c r="D257" s="69"/>
    </row>
    <row r="258" ht="14.25" customHeight="1">
      <c r="D258" s="69"/>
    </row>
    <row r="259" ht="14.25" customHeight="1">
      <c r="D259" s="69"/>
    </row>
    <row r="260" ht="14.25" customHeight="1">
      <c r="D260" s="69"/>
    </row>
    <row r="261" ht="14.25" customHeight="1">
      <c r="D261" s="69"/>
    </row>
    <row r="262" ht="14.25" customHeight="1">
      <c r="D262" s="69"/>
    </row>
    <row r="263" ht="14.25" customHeight="1">
      <c r="D263" s="69"/>
    </row>
    <row r="264" ht="14.25" customHeight="1">
      <c r="D264" s="69"/>
    </row>
    <row r="265" ht="14.25" customHeight="1">
      <c r="D265" s="69"/>
    </row>
    <row r="266" ht="14.25" customHeight="1">
      <c r="D266" s="69"/>
    </row>
    <row r="267" ht="14.25" customHeight="1">
      <c r="D267" s="69"/>
    </row>
    <row r="268" ht="14.25" customHeight="1">
      <c r="D268" s="69"/>
    </row>
    <row r="269" ht="14.25" customHeight="1">
      <c r="D269" s="69"/>
    </row>
    <row r="270" ht="14.25" customHeight="1">
      <c r="D270" s="69"/>
    </row>
    <row r="271" ht="14.25" customHeight="1">
      <c r="D271" s="69"/>
    </row>
    <row r="272" ht="14.25" customHeight="1">
      <c r="D272" s="69"/>
    </row>
    <row r="273" ht="14.25" customHeight="1">
      <c r="D273" s="69"/>
    </row>
    <row r="274" ht="14.25" customHeight="1">
      <c r="D274" s="69"/>
    </row>
    <row r="275" ht="14.25" customHeight="1">
      <c r="D275" s="69"/>
    </row>
    <row r="276" ht="14.25" customHeight="1">
      <c r="D276" s="69"/>
    </row>
    <row r="277" ht="14.25" customHeight="1">
      <c r="D277" s="69"/>
    </row>
    <row r="278" ht="14.25" customHeight="1">
      <c r="D278" s="69"/>
    </row>
    <row r="279" ht="14.25" customHeight="1">
      <c r="D279" s="69"/>
    </row>
    <row r="280" ht="14.25" customHeight="1">
      <c r="D280" s="69"/>
    </row>
    <row r="281" ht="14.25" customHeight="1">
      <c r="D281" s="69"/>
    </row>
    <row r="282" ht="14.25" customHeight="1">
      <c r="D282" s="69"/>
    </row>
    <row r="283" ht="14.25" customHeight="1">
      <c r="D283" s="69"/>
    </row>
    <row r="284" ht="14.25" customHeight="1">
      <c r="D284" s="69"/>
    </row>
    <row r="285" ht="14.25" customHeight="1">
      <c r="D285" s="69"/>
    </row>
    <row r="286" ht="14.25" customHeight="1">
      <c r="D286" s="69"/>
    </row>
    <row r="287" ht="14.25" customHeight="1">
      <c r="D287" s="69"/>
    </row>
    <row r="288" ht="14.25" customHeight="1">
      <c r="D288" s="69"/>
    </row>
    <row r="289" ht="14.25" customHeight="1">
      <c r="D289" s="69"/>
    </row>
    <row r="290" ht="14.25" customHeight="1">
      <c r="D290" s="69"/>
    </row>
    <row r="291" ht="14.25" customHeight="1">
      <c r="D291" s="69"/>
    </row>
    <row r="292" ht="14.25" customHeight="1">
      <c r="D292" s="69"/>
    </row>
    <row r="293" ht="14.25" customHeight="1">
      <c r="D293" s="69"/>
    </row>
    <row r="294" ht="14.25" customHeight="1">
      <c r="D294" s="69"/>
    </row>
    <row r="295" ht="14.25" customHeight="1">
      <c r="D295" s="69"/>
    </row>
    <row r="296" ht="14.25" customHeight="1">
      <c r="D296" s="69"/>
    </row>
    <row r="297" ht="14.25" customHeight="1">
      <c r="D297" s="69"/>
    </row>
    <row r="298" ht="14.25" customHeight="1">
      <c r="D298" s="69"/>
    </row>
    <row r="299" ht="14.25" customHeight="1">
      <c r="D299" s="69"/>
    </row>
    <row r="300" ht="14.25" customHeight="1">
      <c r="D300" s="69"/>
    </row>
    <row r="301" ht="14.25" customHeight="1">
      <c r="D301" s="69"/>
    </row>
    <row r="302" ht="14.25" customHeight="1">
      <c r="D302" s="69"/>
    </row>
    <row r="303" ht="14.25" customHeight="1">
      <c r="D303" s="69"/>
    </row>
    <row r="304" ht="14.25" customHeight="1">
      <c r="D304" s="69"/>
    </row>
    <row r="305" ht="14.25" customHeight="1">
      <c r="D305" s="69"/>
    </row>
    <row r="306" ht="14.25" customHeight="1">
      <c r="D306" s="69"/>
    </row>
    <row r="307" ht="14.25" customHeight="1">
      <c r="D307" s="69"/>
    </row>
    <row r="308" ht="14.25" customHeight="1">
      <c r="D308" s="69"/>
    </row>
    <row r="309" ht="14.25" customHeight="1">
      <c r="D309" s="69"/>
    </row>
    <row r="310" ht="14.25" customHeight="1">
      <c r="D310" s="69"/>
    </row>
    <row r="311" ht="14.25" customHeight="1">
      <c r="D311" s="69"/>
    </row>
    <row r="312" ht="14.25" customHeight="1">
      <c r="D312" s="69"/>
    </row>
    <row r="313" ht="14.25" customHeight="1">
      <c r="D313" s="69"/>
    </row>
    <row r="314" ht="14.25" customHeight="1">
      <c r="D314" s="69"/>
    </row>
    <row r="315" ht="14.25" customHeight="1">
      <c r="D315" s="69"/>
    </row>
    <row r="316" ht="14.25" customHeight="1">
      <c r="D316" s="69"/>
    </row>
    <row r="317" ht="14.25" customHeight="1">
      <c r="D317" s="69"/>
    </row>
    <row r="318" ht="14.25" customHeight="1">
      <c r="D318" s="69"/>
    </row>
    <row r="319" ht="14.25" customHeight="1">
      <c r="D319" s="69"/>
    </row>
    <row r="320" ht="14.25" customHeight="1">
      <c r="D320" s="69"/>
    </row>
    <row r="321" ht="14.25" customHeight="1">
      <c r="D321" s="69"/>
    </row>
    <row r="322" ht="14.25" customHeight="1">
      <c r="D322" s="69"/>
    </row>
    <row r="323" ht="14.25" customHeight="1">
      <c r="D323" s="69"/>
    </row>
    <row r="324" ht="14.25" customHeight="1">
      <c r="D324" s="69"/>
    </row>
    <row r="325" ht="14.25" customHeight="1">
      <c r="D325" s="69"/>
    </row>
    <row r="326" ht="14.25" customHeight="1">
      <c r="D326" s="69"/>
    </row>
    <row r="327" ht="14.25" customHeight="1">
      <c r="D327" s="69"/>
    </row>
    <row r="328" ht="14.25" customHeight="1">
      <c r="D328" s="69"/>
    </row>
    <row r="329" ht="14.25" customHeight="1">
      <c r="D329" s="69"/>
    </row>
    <row r="330" ht="14.25" customHeight="1">
      <c r="D330" s="69"/>
    </row>
    <row r="331" ht="14.25" customHeight="1">
      <c r="D331" s="69"/>
    </row>
    <row r="332" ht="14.25" customHeight="1">
      <c r="D332" s="69"/>
    </row>
    <row r="333" ht="14.25" customHeight="1">
      <c r="D333" s="69"/>
    </row>
    <row r="334" ht="14.25" customHeight="1">
      <c r="D334" s="69"/>
    </row>
    <row r="335" ht="14.25" customHeight="1">
      <c r="D335" s="69"/>
    </row>
    <row r="336" ht="14.25" customHeight="1">
      <c r="D336" s="69"/>
    </row>
    <row r="337" ht="14.25" customHeight="1">
      <c r="D337" s="69"/>
    </row>
    <row r="338" ht="14.25" customHeight="1">
      <c r="D338" s="69"/>
    </row>
    <row r="339" ht="14.25" customHeight="1">
      <c r="D339" s="69"/>
    </row>
    <row r="340" ht="14.25" customHeight="1">
      <c r="D340" s="69"/>
    </row>
    <row r="341" ht="14.25" customHeight="1">
      <c r="D341" s="69"/>
    </row>
    <row r="342" ht="14.25" customHeight="1">
      <c r="D342" s="69"/>
    </row>
    <row r="343" ht="14.25" customHeight="1">
      <c r="D343" s="69"/>
    </row>
    <row r="344" ht="14.25" customHeight="1">
      <c r="D344" s="69"/>
    </row>
    <row r="345" ht="14.25" customHeight="1">
      <c r="D345" s="69"/>
    </row>
    <row r="346" ht="14.25" customHeight="1">
      <c r="D346" s="69"/>
    </row>
    <row r="347" ht="14.25" customHeight="1">
      <c r="D347" s="69"/>
    </row>
    <row r="348" ht="14.25" customHeight="1">
      <c r="D348" s="69"/>
    </row>
    <row r="349" ht="14.25" customHeight="1">
      <c r="D349" s="69"/>
    </row>
    <row r="350" ht="14.25" customHeight="1">
      <c r="D350" s="69"/>
    </row>
    <row r="351" ht="14.25" customHeight="1">
      <c r="D351" s="69"/>
    </row>
    <row r="352" ht="14.25" customHeight="1">
      <c r="D352" s="69"/>
    </row>
    <row r="353" ht="14.25" customHeight="1">
      <c r="D353" s="69"/>
    </row>
    <row r="354" ht="14.25" customHeight="1">
      <c r="D354" s="69"/>
    </row>
    <row r="355" ht="14.25" customHeight="1">
      <c r="D355" s="69"/>
    </row>
    <row r="356" ht="14.25" customHeight="1">
      <c r="D356" s="69"/>
    </row>
    <row r="357" ht="14.25" customHeight="1">
      <c r="D357" s="69"/>
    </row>
    <row r="358" ht="14.25" customHeight="1">
      <c r="D358" s="69"/>
    </row>
    <row r="359" ht="14.25" customHeight="1">
      <c r="D359" s="69"/>
    </row>
    <row r="360" ht="14.25" customHeight="1">
      <c r="D360" s="69"/>
    </row>
    <row r="361" ht="14.25" customHeight="1">
      <c r="D361" s="69"/>
    </row>
    <row r="362" ht="14.25" customHeight="1">
      <c r="D362" s="69"/>
    </row>
    <row r="363" ht="14.25" customHeight="1">
      <c r="D363" s="69"/>
    </row>
    <row r="364" ht="14.25" customHeight="1">
      <c r="D364" s="69"/>
    </row>
    <row r="365" ht="14.25" customHeight="1">
      <c r="D365" s="69"/>
    </row>
    <row r="366" ht="14.25" customHeight="1">
      <c r="D366" s="69"/>
    </row>
    <row r="367" ht="14.25" customHeight="1">
      <c r="D367" s="69"/>
    </row>
    <row r="368" ht="14.25" customHeight="1">
      <c r="D368" s="69"/>
    </row>
    <row r="369" ht="14.25" customHeight="1">
      <c r="D369" s="69"/>
    </row>
    <row r="370" ht="14.25" customHeight="1">
      <c r="D370" s="69"/>
    </row>
    <row r="371" ht="14.25" customHeight="1">
      <c r="D371" s="69"/>
    </row>
    <row r="372" ht="14.25" customHeight="1">
      <c r="D372" s="69"/>
    </row>
    <row r="373" ht="14.25" customHeight="1">
      <c r="D373" s="69"/>
    </row>
    <row r="374" ht="14.25" customHeight="1">
      <c r="D374" s="69"/>
    </row>
    <row r="375" ht="14.25" customHeight="1">
      <c r="D375" s="69"/>
    </row>
    <row r="376" ht="14.25" customHeight="1">
      <c r="D376" s="69"/>
    </row>
    <row r="377" ht="14.25" customHeight="1">
      <c r="D377" s="69"/>
    </row>
    <row r="378" ht="14.25" customHeight="1">
      <c r="D378" s="69"/>
    </row>
    <row r="379" ht="14.25" customHeight="1">
      <c r="D379" s="69"/>
    </row>
    <row r="380" ht="14.25" customHeight="1">
      <c r="D380" s="69"/>
    </row>
    <row r="381" ht="14.25" customHeight="1">
      <c r="D381" s="69"/>
    </row>
    <row r="382" ht="14.25" customHeight="1">
      <c r="D382" s="69"/>
    </row>
    <row r="383" ht="14.25" customHeight="1">
      <c r="D383" s="69"/>
    </row>
    <row r="384" ht="14.25" customHeight="1">
      <c r="D384" s="69"/>
    </row>
    <row r="385" ht="14.25" customHeight="1">
      <c r="D385" s="69"/>
    </row>
    <row r="386" ht="14.25" customHeight="1">
      <c r="D386" s="69"/>
    </row>
    <row r="387" ht="14.25" customHeight="1">
      <c r="D387" s="69"/>
    </row>
    <row r="388" ht="14.25" customHeight="1">
      <c r="D388" s="69"/>
    </row>
    <row r="389" ht="14.25" customHeight="1">
      <c r="D389" s="69"/>
    </row>
    <row r="390" ht="14.25" customHeight="1">
      <c r="D390" s="69"/>
    </row>
    <row r="391" ht="14.25" customHeight="1">
      <c r="D391" s="69"/>
    </row>
    <row r="392" ht="14.25" customHeight="1">
      <c r="D392" s="69"/>
    </row>
    <row r="393" ht="14.25" customHeight="1">
      <c r="D393" s="69"/>
    </row>
    <row r="394" ht="14.25" customHeight="1">
      <c r="D394" s="69"/>
    </row>
    <row r="395" ht="14.25" customHeight="1">
      <c r="D395" s="69"/>
    </row>
    <row r="396" ht="14.25" customHeight="1">
      <c r="D396" s="69"/>
    </row>
    <row r="397" ht="14.25" customHeight="1">
      <c r="D397" s="69"/>
    </row>
    <row r="398" ht="14.25" customHeight="1">
      <c r="D398" s="69"/>
    </row>
    <row r="399" ht="14.25" customHeight="1">
      <c r="D399" s="69"/>
    </row>
    <row r="400" ht="14.25" customHeight="1">
      <c r="D400" s="69"/>
    </row>
    <row r="401" ht="14.25" customHeight="1">
      <c r="D401" s="69"/>
    </row>
    <row r="402" ht="14.25" customHeight="1">
      <c r="D402" s="69"/>
    </row>
    <row r="403" ht="14.25" customHeight="1">
      <c r="D403" s="69"/>
    </row>
    <row r="404" ht="14.25" customHeight="1">
      <c r="D404" s="69"/>
    </row>
    <row r="405" ht="14.25" customHeight="1">
      <c r="D405" s="69"/>
    </row>
    <row r="406" ht="14.25" customHeight="1">
      <c r="D406" s="69"/>
    </row>
    <row r="407" ht="14.25" customHeight="1">
      <c r="D407" s="69"/>
    </row>
    <row r="408" ht="14.25" customHeight="1">
      <c r="D408" s="69"/>
    </row>
    <row r="409" ht="14.25" customHeight="1">
      <c r="D409" s="69"/>
    </row>
    <row r="410" ht="14.25" customHeight="1">
      <c r="D410" s="69"/>
    </row>
    <row r="411" ht="14.25" customHeight="1">
      <c r="D411" s="69"/>
    </row>
    <row r="412" ht="14.25" customHeight="1">
      <c r="D412" s="69"/>
    </row>
    <row r="413" ht="14.25" customHeight="1">
      <c r="D413" s="69"/>
    </row>
    <row r="414" ht="14.25" customHeight="1">
      <c r="D414" s="69"/>
    </row>
    <row r="415" ht="14.25" customHeight="1">
      <c r="D415" s="69"/>
    </row>
    <row r="416" ht="14.25" customHeight="1">
      <c r="D416" s="69"/>
    </row>
    <row r="417" ht="14.25" customHeight="1">
      <c r="D417" s="69"/>
    </row>
    <row r="418" ht="14.25" customHeight="1">
      <c r="D418" s="69"/>
    </row>
    <row r="419" ht="14.25" customHeight="1">
      <c r="D419" s="69"/>
    </row>
    <row r="420" ht="14.25" customHeight="1">
      <c r="D420" s="69"/>
    </row>
    <row r="421" ht="14.25" customHeight="1">
      <c r="D421" s="69"/>
    </row>
    <row r="422" ht="14.25" customHeight="1">
      <c r="D422" s="69"/>
    </row>
    <row r="423" ht="14.25" customHeight="1">
      <c r="D423" s="69"/>
    </row>
    <row r="424" ht="14.25" customHeight="1">
      <c r="D424" s="69"/>
    </row>
    <row r="425" ht="14.25" customHeight="1">
      <c r="D425" s="69"/>
    </row>
    <row r="426" ht="14.25" customHeight="1">
      <c r="D426" s="69"/>
    </row>
    <row r="427" ht="14.25" customHeight="1">
      <c r="D427" s="69"/>
    </row>
    <row r="428" ht="14.25" customHeight="1">
      <c r="D428" s="69"/>
    </row>
    <row r="429" ht="14.25" customHeight="1">
      <c r="D429" s="69"/>
    </row>
    <row r="430" ht="14.25" customHeight="1">
      <c r="D430" s="69"/>
    </row>
    <row r="431" ht="14.25" customHeight="1">
      <c r="D431" s="69"/>
    </row>
    <row r="432" ht="14.25" customHeight="1">
      <c r="D432" s="69"/>
    </row>
    <row r="433" ht="14.25" customHeight="1">
      <c r="D433" s="69"/>
    </row>
    <row r="434" ht="14.25" customHeight="1">
      <c r="D434" s="69"/>
    </row>
    <row r="435" ht="14.25" customHeight="1">
      <c r="D435" s="69"/>
    </row>
    <row r="436" ht="14.25" customHeight="1">
      <c r="D436" s="69"/>
    </row>
    <row r="437" ht="14.25" customHeight="1">
      <c r="D437" s="69"/>
    </row>
    <row r="438" ht="14.25" customHeight="1">
      <c r="D438" s="69"/>
    </row>
    <row r="439" ht="14.25" customHeight="1">
      <c r="D439" s="69"/>
    </row>
    <row r="440" ht="14.25" customHeight="1">
      <c r="D440" s="69"/>
    </row>
    <row r="441" ht="14.25" customHeight="1">
      <c r="D441" s="69"/>
    </row>
    <row r="442" ht="14.25" customHeight="1">
      <c r="D442" s="69"/>
    </row>
    <row r="443" ht="14.25" customHeight="1">
      <c r="D443" s="69"/>
    </row>
    <row r="444" ht="14.25" customHeight="1">
      <c r="D444" s="69"/>
    </row>
    <row r="445" ht="14.25" customHeight="1">
      <c r="D445" s="69"/>
    </row>
    <row r="446" ht="14.25" customHeight="1">
      <c r="D446" s="69"/>
    </row>
    <row r="447" ht="14.25" customHeight="1">
      <c r="D447" s="69"/>
    </row>
    <row r="448" ht="14.25" customHeight="1">
      <c r="D448" s="69"/>
    </row>
    <row r="449" ht="14.25" customHeight="1">
      <c r="D449" s="69"/>
    </row>
    <row r="450" ht="14.25" customHeight="1">
      <c r="D450" s="69"/>
    </row>
    <row r="451" ht="14.25" customHeight="1">
      <c r="D451" s="69"/>
    </row>
    <row r="452" ht="14.25" customHeight="1">
      <c r="D452" s="69"/>
    </row>
    <row r="453" ht="14.25" customHeight="1">
      <c r="D453" s="69"/>
    </row>
    <row r="454" ht="14.25" customHeight="1">
      <c r="D454" s="69"/>
    </row>
    <row r="455" ht="14.25" customHeight="1">
      <c r="D455" s="69"/>
    </row>
    <row r="456" ht="14.25" customHeight="1">
      <c r="D456" s="69"/>
    </row>
    <row r="457" ht="14.25" customHeight="1">
      <c r="D457" s="69"/>
    </row>
    <row r="458" ht="14.25" customHeight="1">
      <c r="D458" s="69"/>
    </row>
    <row r="459" ht="14.25" customHeight="1">
      <c r="D459" s="69"/>
    </row>
    <row r="460" ht="14.25" customHeight="1">
      <c r="D460" s="69"/>
    </row>
    <row r="461" ht="14.25" customHeight="1">
      <c r="D461" s="69"/>
    </row>
    <row r="462" ht="14.25" customHeight="1">
      <c r="D462" s="69"/>
    </row>
    <row r="463" ht="14.25" customHeight="1">
      <c r="D463" s="69"/>
    </row>
    <row r="464" ht="14.25" customHeight="1">
      <c r="D464" s="69"/>
    </row>
    <row r="465" ht="14.25" customHeight="1">
      <c r="D465" s="69"/>
    </row>
    <row r="466" ht="14.25" customHeight="1">
      <c r="D466" s="69"/>
    </row>
    <row r="467" ht="14.25" customHeight="1">
      <c r="D467" s="69"/>
    </row>
    <row r="468" ht="14.25" customHeight="1">
      <c r="D468" s="69"/>
    </row>
    <row r="469" ht="14.25" customHeight="1">
      <c r="D469" s="69"/>
    </row>
    <row r="470" ht="14.25" customHeight="1">
      <c r="D470" s="69"/>
    </row>
    <row r="471" ht="14.25" customHeight="1">
      <c r="D471" s="69"/>
    </row>
    <row r="472" ht="14.25" customHeight="1">
      <c r="D472" s="69"/>
    </row>
    <row r="473" ht="14.25" customHeight="1">
      <c r="D473" s="69"/>
    </row>
    <row r="474" ht="14.25" customHeight="1">
      <c r="D474" s="69"/>
    </row>
    <row r="475" ht="14.25" customHeight="1">
      <c r="D475" s="69"/>
    </row>
    <row r="476" ht="14.25" customHeight="1">
      <c r="D476" s="69"/>
    </row>
    <row r="477" ht="14.25" customHeight="1">
      <c r="D477" s="69"/>
    </row>
    <row r="478" ht="14.25" customHeight="1">
      <c r="D478" s="69"/>
    </row>
    <row r="479" ht="14.25" customHeight="1">
      <c r="D479" s="69"/>
    </row>
    <row r="480" ht="14.25" customHeight="1">
      <c r="D480" s="69"/>
    </row>
    <row r="481" ht="14.25" customHeight="1">
      <c r="D481" s="69"/>
    </row>
    <row r="482" ht="14.25" customHeight="1">
      <c r="D482" s="69"/>
    </row>
    <row r="483" ht="14.25" customHeight="1">
      <c r="D483" s="69"/>
    </row>
    <row r="484" ht="14.25" customHeight="1">
      <c r="D484" s="69"/>
    </row>
    <row r="485" ht="14.25" customHeight="1">
      <c r="D485" s="69"/>
    </row>
    <row r="486" ht="14.25" customHeight="1">
      <c r="D486" s="69"/>
    </row>
    <row r="487" ht="14.25" customHeight="1">
      <c r="D487" s="69"/>
    </row>
    <row r="488" ht="14.25" customHeight="1">
      <c r="D488" s="69"/>
    </row>
    <row r="489" ht="14.25" customHeight="1">
      <c r="D489" s="69"/>
    </row>
    <row r="490" ht="14.25" customHeight="1">
      <c r="D490" s="69"/>
    </row>
    <row r="491" ht="14.25" customHeight="1">
      <c r="D491" s="69"/>
    </row>
    <row r="492" ht="14.25" customHeight="1">
      <c r="D492" s="69"/>
    </row>
    <row r="493" ht="14.25" customHeight="1">
      <c r="D493" s="69"/>
    </row>
    <row r="494" ht="14.25" customHeight="1">
      <c r="D494" s="69"/>
    </row>
    <row r="495" ht="14.25" customHeight="1">
      <c r="D495" s="69"/>
    </row>
    <row r="496" ht="14.25" customHeight="1">
      <c r="D496" s="69"/>
    </row>
    <row r="497" ht="14.25" customHeight="1">
      <c r="D497" s="69"/>
    </row>
    <row r="498" ht="14.25" customHeight="1">
      <c r="D498" s="69"/>
    </row>
    <row r="499" ht="14.25" customHeight="1">
      <c r="D499" s="69"/>
    </row>
    <row r="500" ht="14.25" customHeight="1">
      <c r="D500" s="69"/>
    </row>
    <row r="501" ht="14.25" customHeight="1">
      <c r="D501" s="69"/>
    </row>
    <row r="502" ht="14.25" customHeight="1">
      <c r="D502" s="69"/>
    </row>
    <row r="503" ht="14.25" customHeight="1">
      <c r="D503" s="69"/>
    </row>
    <row r="504" ht="14.25" customHeight="1">
      <c r="D504" s="69"/>
    </row>
    <row r="505" ht="14.25" customHeight="1">
      <c r="D505" s="69"/>
    </row>
    <row r="506" ht="14.25" customHeight="1">
      <c r="D506" s="69"/>
    </row>
    <row r="507" ht="14.25" customHeight="1">
      <c r="D507" s="69"/>
    </row>
    <row r="508" ht="14.25" customHeight="1">
      <c r="D508" s="69"/>
    </row>
    <row r="509" ht="14.25" customHeight="1">
      <c r="D509" s="69"/>
    </row>
    <row r="510" ht="14.25" customHeight="1">
      <c r="D510" s="69"/>
    </row>
    <row r="511" ht="14.25" customHeight="1">
      <c r="D511" s="69"/>
    </row>
    <row r="512" ht="14.25" customHeight="1">
      <c r="D512" s="69"/>
    </row>
    <row r="513" ht="14.25" customHeight="1">
      <c r="D513" s="69"/>
    </row>
    <row r="514" ht="14.25" customHeight="1">
      <c r="D514" s="69"/>
    </row>
    <row r="515" ht="14.25" customHeight="1">
      <c r="D515" s="69"/>
    </row>
    <row r="516" ht="14.25" customHeight="1">
      <c r="D516" s="69"/>
    </row>
    <row r="517" ht="14.25" customHeight="1">
      <c r="D517" s="69"/>
    </row>
    <row r="518" ht="14.25" customHeight="1">
      <c r="D518" s="69"/>
    </row>
    <row r="519" ht="14.25" customHeight="1">
      <c r="D519" s="69"/>
    </row>
    <row r="520" ht="14.25" customHeight="1">
      <c r="D520" s="69"/>
    </row>
    <row r="521" ht="14.25" customHeight="1">
      <c r="D521" s="69"/>
    </row>
    <row r="522" ht="14.25" customHeight="1">
      <c r="D522" s="69"/>
    </row>
    <row r="523" ht="14.25" customHeight="1">
      <c r="D523" s="69"/>
    </row>
    <row r="524" ht="14.25" customHeight="1">
      <c r="D524" s="69"/>
    </row>
    <row r="525" ht="14.25" customHeight="1">
      <c r="D525" s="69"/>
    </row>
    <row r="526" ht="14.25" customHeight="1">
      <c r="D526" s="69"/>
    </row>
    <row r="527" ht="14.25" customHeight="1">
      <c r="D527" s="69"/>
    </row>
    <row r="528" ht="14.25" customHeight="1">
      <c r="D528" s="69"/>
    </row>
    <row r="529" ht="14.25" customHeight="1">
      <c r="D529" s="69"/>
    </row>
    <row r="530" ht="14.25" customHeight="1">
      <c r="D530" s="69"/>
    </row>
    <row r="531" ht="14.25" customHeight="1">
      <c r="D531" s="69"/>
    </row>
    <row r="532" ht="14.25" customHeight="1">
      <c r="D532" s="69"/>
    </row>
    <row r="533" ht="14.25" customHeight="1">
      <c r="D533" s="69"/>
    </row>
    <row r="534" ht="14.25" customHeight="1">
      <c r="D534" s="69"/>
    </row>
    <row r="535" ht="14.25" customHeight="1">
      <c r="D535" s="69"/>
    </row>
    <row r="536" ht="14.25" customHeight="1">
      <c r="D536" s="69"/>
    </row>
    <row r="537" ht="14.25" customHeight="1">
      <c r="D537" s="69"/>
    </row>
    <row r="538" ht="14.25" customHeight="1">
      <c r="D538" s="69"/>
    </row>
    <row r="539" ht="14.25" customHeight="1">
      <c r="D539" s="69"/>
    </row>
    <row r="540" ht="14.25" customHeight="1">
      <c r="D540" s="69"/>
    </row>
    <row r="541" ht="14.25" customHeight="1">
      <c r="D541" s="69"/>
    </row>
    <row r="542" ht="14.25" customHeight="1">
      <c r="D542" s="69"/>
    </row>
    <row r="543" ht="14.25" customHeight="1">
      <c r="D543" s="69"/>
    </row>
    <row r="544" ht="14.25" customHeight="1">
      <c r="D544" s="69"/>
    </row>
    <row r="545" ht="14.25" customHeight="1">
      <c r="D545" s="69"/>
    </row>
    <row r="546" ht="14.25" customHeight="1">
      <c r="D546" s="69"/>
    </row>
    <row r="547" ht="14.25" customHeight="1">
      <c r="D547" s="69"/>
    </row>
    <row r="548" ht="14.25" customHeight="1">
      <c r="D548" s="69"/>
    </row>
    <row r="549" ht="14.25" customHeight="1">
      <c r="D549" s="69"/>
    </row>
    <row r="550" ht="14.25" customHeight="1">
      <c r="D550" s="69"/>
    </row>
    <row r="551" ht="14.25" customHeight="1">
      <c r="D551" s="69"/>
    </row>
    <row r="552" ht="14.25" customHeight="1">
      <c r="D552" s="69"/>
    </row>
    <row r="553" ht="14.25" customHeight="1">
      <c r="D553" s="69"/>
    </row>
    <row r="554" ht="14.25" customHeight="1">
      <c r="D554" s="69"/>
    </row>
    <row r="555" ht="14.25" customHeight="1">
      <c r="D555" s="69"/>
    </row>
    <row r="556" ht="14.25" customHeight="1">
      <c r="D556" s="69"/>
    </row>
    <row r="557" ht="14.25" customHeight="1">
      <c r="D557" s="69"/>
    </row>
    <row r="558" ht="14.25" customHeight="1">
      <c r="D558" s="69"/>
    </row>
    <row r="559" ht="14.25" customHeight="1">
      <c r="D559" s="69"/>
    </row>
    <row r="560" ht="14.25" customHeight="1">
      <c r="D560" s="69"/>
    </row>
    <row r="561" ht="14.25" customHeight="1">
      <c r="D561" s="69"/>
    </row>
    <row r="562" ht="14.25" customHeight="1">
      <c r="D562" s="69"/>
    </row>
    <row r="563" ht="14.25" customHeight="1">
      <c r="D563" s="69"/>
    </row>
    <row r="564" ht="14.25" customHeight="1">
      <c r="D564" s="69"/>
    </row>
    <row r="565" ht="14.25" customHeight="1">
      <c r="D565" s="69"/>
    </row>
    <row r="566" ht="14.25" customHeight="1">
      <c r="D566" s="69"/>
    </row>
    <row r="567" ht="14.25" customHeight="1">
      <c r="D567" s="69"/>
    </row>
    <row r="568" ht="14.25" customHeight="1">
      <c r="D568" s="69"/>
    </row>
    <row r="569" ht="14.25" customHeight="1">
      <c r="D569" s="69"/>
    </row>
    <row r="570" ht="14.25" customHeight="1">
      <c r="D570" s="69"/>
    </row>
    <row r="571" ht="14.25" customHeight="1">
      <c r="D571" s="69"/>
    </row>
    <row r="572" ht="14.25" customHeight="1">
      <c r="D572" s="69"/>
    </row>
    <row r="573" ht="14.25" customHeight="1">
      <c r="D573" s="69"/>
    </row>
    <row r="574" ht="14.25" customHeight="1">
      <c r="D574" s="69"/>
    </row>
    <row r="575" ht="14.25" customHeight="1">
      <c r="D575" s="69"/>
    </row>
    <row r="576" ht="14.25" customHeight="1">
      <c r="D576" s="69"/>
    </row>
    <row r="577" ht="14.25" customHeight="1">
      <c r="D577" s="69"/>
    </row>
    <row r="578" ht="14.25" customHeight="1">
      <c r="D578" s="69"/>
    </row>
    <row r="579" ht="14.25" customHeight="1">
      <c r="D579" s="69"/>
    </row>
    <row r="580" ht="14.25" customHeight="1">
      <c r="D580" s="69"/>
    </row>
    <row r="581" ht="14.25" customHeight="1">
      <c r="D581" s="69"/>
    </row>
    <row r="582" ht="14.25" customHeight="1">
      <c r="D582" s="69"/>
    </row>
    <row r="583" ht="14.25" customHeight="1">
      <c r="D583" s="69"/>
    </row>
    <row r="584" ht="14.25" customHeight="1">
      <c r="D584" s="69"/>
    </row>
    <row r="585" ht="14.25" customHeight="1">
      <c r="D585" s="69"/>
    </row>
    <row r="586" ht="14.25" customHeight="1">
      <c r="D586" s="69"/>
    </row>
    <row r="587" ht="14.25" customHeight="1">
      <c r="D587" s="69"/>
    </row>
    <row r="588" ht="14.25" customHeight="1">
      <c r="D588" s="69"/>
    </row>
    <row r="589" ht="14.25" customHeight="1">
      <c r="D589" s="69"/>
    </row>
    <row r="590" ht="14.25" customHeight="1">
      <c r="D590" s="69"/>
    </row>
    <row r="591" ht="14.25" customHeight="1">
      <c r="D591" s="69"/>
    </row>
    <row r="592" ht="14.25" customHeight="1">
      <c r="D592" s="69"/>
    </row>
    <row r="593" ht="14.25" customHeight="1">
      <c r="D593" s="69"/>
    </row>
    <row r="594" ht="14.25" customHeight="1">
      <c r="D594" s="69"/>
    </row>
    <row r="595" ht="14.25" customHeight="1">
      <c r="D595" s="69"/>
    </row>
    <row r="596" ht="14.25" customHeight="1">
      <c r="D596" s="69"/>
    </row>
    <row r="597" ht="14.25" customHeight="1">
      <c r="D597" s="69"/>
    </row>
    <row r="598" ht="14.25" customHeight="1">
      <c r="D598" s="69"/>
    </row>
    <row r="599" ht="14.25" customHeight="1">
      <c r="D599" s="69"/>
    </row>
    <row r="600" ht="14.25" customHeight="1">
      <c r="D600" s="69"/>
    </row>
    <row r="601" ht="14.25" customHeight="1">
      <c r="D601" s="69"/>
    </row>
    <row r="602" ht="14.25" customHeight="1">
      <c r="D602" s="69"/>
    </row>
    <row r="603" ht="14.25" customHeight="1">
      <c r="D603" s="69"/>
    </row>
    <row r="604" ht="14.25" customHeight="1">
      <c r="D604" s="69"/>
    </row>
    <row r="605" ht="14.25" customHeight="1">
      <c r="D605" s="69"/>
    </row>
    <row r="606" ht="14.25" customHeight="1">
      <c r="D606" s="69"/>
    </row>
    <row r="607" ht="14.25" customHeight="1">
      <c r="D607" s="69"/>
    </row>
    <row r="608" ht="14.25" customHeight="1">
      <c r="D608" s="69"/>
    </row>
    <row r="609" ht="14.25" customHeight="1">
      <c r="D609" s="69"/>
    </row>
    <row r="610" ht="14.25" customHeight="1">
      <c r="D610" s="69"/>
    </row>
    <row r="611" ht="14.25" customHeight="1">
      <c r="D611" s="69"/>
    </row>
    <row r="612" ht="14.25" customHeight="1">
      <c r="D612" s="69"/>
    </row>
    <row r="613" ht="14.25" customHeight="1">
      <c r="D613" s="69"/>
    </row>
    <row r="614" ht="14.25" customHeight="1">
      <c r="D614" s="69"/>
    </row>
    <row r="615" ht="14.25" customHeight="1">
      <c r="D615" s="69"/>
    </row>
    <row r="616" ht="14.25" customHeight="1">
      <c r="D616" s="69"/>
    </row>
    <row r="617" ht="14.25" customHeight="1">
      <c r="D617" s="69"/>
    </row>
    <row r="618" ht="14.25" customHeight="1">
      <c r="D618" s="69"/>
    </row>
    <row r="619" ht="14.25" customHeight="1">
      <c r="D619" s="69"/>
    </row>
    <row r="620" ht="14.25" customHeight="1">
      <c r="D620" s="69"/>
    </row>
    <row r="621" ht="14.25" customHeight="1">
      <c r="D621" s="69"/>
    </row>
    <row r="622" ht="14.25" customHeight="1">
      <c r="D622" s="69"/>
    </row>
    <row r="623" ht="14.25" customHeight="1">
      <c r="D623" s="69"/>
    </row>
    <row r="624" ht="14.25" customHeight="1">
      <c r="D624" s="69"/>
    </row>
    <row r="625" ht="14.25" customHeight="1">
      <c r="D625" s="69"/>
    </row>
    <row r="626" ht="14.25" customHeight="1">
      <c r="D626" s="69"/>
    </row>
    <row r="627" ht="14.25" customHeight="1">
      <c r="D627" s="69"/>
    </row>
    <row r="628" ht="14.25" customHeight="1">
      <c r="D628" s="69"/>
    </row>
    <row r="629" ht="14.25" customHeight="1">
      <c r="D629" s="69"/>
    </row>
    <row r="630" ht="14.25" customHeight="1">
      <c r="D630" s="69"/>
    </row>
    <row r="631" ht="14.25" customHeight="1">
      <c r="D631" s="69"/>
    </row>
    <row r="632" ht="14.25" customHeight="1">
      <c r="D632" s="69"/>
    </row>
    <row r="633" ht="14.25" customHeight="1">
      <c r="D633" s="69"/>
    </row>
    <row r="634" ht="14.25" customHeight="1">
      <c r="D634" s="69"/>
    </row>
    <row r="635" ht="14.25" customHeight="1">
      <c r="D635" s="69"/>
    </row>
    <row r="636" ht="14.25" customHeight="1">
      <c r="D636" s="69"/>
    </row>
    <row r="637" ht="14.25" customHeight="1">
      <c r="D637" s="69"/>
    </row>
    <row r="638" ht="14.25" customHeight="1">
      <c r="D638" s="69"/>
    </row>
    <row r="639" ht="14.25" customHeight="1">
      <c r="D639" s="69"/>
    </row>
    <row r="640" ht="14.25" customHeight="1">
      <c r="D640" s="69"/>
    </row>
    <row r="641" ht="14.25" customHeight="1">
      <c r="D641" s="69"/>
    </row>
    <row r="642" ht="14.25" customHeight="1">
      <c r="D642" s="69"/>
    </row>
    <row r="643" ht="14.25" customHeight="1">
      <c r="D643" s="69"/>
    </row>
    <row r="644" ht="14.25" customHeight="1">
      <c r="D644" s="69"/>
    </row>
    <row r="645" ht="14.25" customHeight="1">
      <c r="D645" s="69"/>
    </row>
    <row r="646" ht="14.25" customHeight="1">
      <c r="D646" s="69"/>
    </row>
    <row r="647" ht="14.25" customHeight="1">
      <c r="D647" s="69"/>
    </row>
    <row r="648" ht="14.25" customHeight="1">
      <c r="D648" s="69"/>
    </row>
    <row r="649" ht="14.25" customHeight="1">
      <c r="D649" s="69"/>
    </row>
    <row r="650" ht="14.25" customHeight="1">
      <c r="D650" s="69"/>
    </row>
    <row r="651" ht="14.25" customHeight="1">
      <c r="D651" s="69"/>
    </row>
    <row r="652" ht="14.25" customHeight="1">
      <c r="D652" s="69"/>
    </row>
    <row r="653" ht="14.25" customHeight="1">
      <c r="D653" s="69"/>
    </row>
    <row r="654" ht="14.25" customHeight="1">
      <c r="D654" s="69"/>
    </row>
    <row r="655" ht="14.25" customHeight="1">
      <c r="D655" s="69"/>
    </row>
    <row r="656" ht="14.25" customHeight="1">
      <c r="D656" s="69"/>
    </row>
    <row r="657" ht="14.25" customHeight="1">
      <c r="D657" s="69"/>
    </row>
    <row r="658" ht="14.25" customHeight="1">
      <c r="D658" s="69"/>
    </row>
    <row r="659" ht="14.25" customHeight="1">
      <c r="D659" s="69"/>
    </row>
    <row r="660" ht="14.25" customHeight="1">
      <c r="D660" s="69"/>
    </row>
    <row r="661" ht="14.25" customHeight="1">
      <c r="D661" s="69"/>
    </row>
    <row r="662" ht="14.25" customHeight="1">
      <c r="D662" s="69"/>
    </row>
    <row r="663" ht="14.25" customHeight="1">
      <c r="D663" s="69"/>
    </row>
    <row r="664" ht="14.25" customHeight="1">
      <c r="D664" s="69"/>
    </row>
    <row r="665" ht="14.25" customHeight="1">
      <c r="D665" s="69"/>
    </row>
    <row r="666" ht="14.25" customHeight="1">
      <c r="D666" s="69"/>
    </row>
    <row r="667" ht="14.25" customHeight="1">
      <c r="D667" s="69"/>
    </row>
    <row r="668" ht="14.25" customHeight="1">
      <c r="D668" s="69"/>
    </row>
    <row r="669" ht="14.25" customHeight="1">
      <c r="D669" s="69"/>
    </row>
    <row r="670" ht="14.25" customHeight="1">
      <c r="D670" s="69"/>
    </row>
    <row r="671" ht="14.25" customHeight="1">
      <c r="D671" s="69"/>
    </row>
    <row r="672" ht="14.25" customHeight="1">
      <c r="D672" s="69"/>
    </row>
    <row r="673" ht="14.25" customHeight="1">
      <c r="D673" s="69"/>
    </row>
    <row r="674" ht="14.25" customHeight="1">
      <c r="D674" s="69"/>
    </row>
    <row r="675" ht="14.25" customHeight="1">
      <c r="D675" s="69"/>
    </row>
    <row r="676" ht="14.25" customHeight="1">
      <c r="D676" s="69"/>
    </row>
    <row r="677" ht="14.25" customHeight="1">
      <c r="D677" s="69"/>
    </row>
    <row r="678" ht="14.25" customHeight="1">
      <c r="D678" s="69"/>
    </row>
    <row r="679" ht="14.25" customHeight="1">
      <c r="D679" s="69"/>
    </row>
    <row r="680" ht="14.25" customHeight="1">
      <c r="D680" s="69"/>
    </row>
    <row r="681" ht="14.25" customHeight="1">
      <c r="D681" s="69"/>
    </row>
    <row r="682" ht="14.25" customHeight="1">
      <c r="D682" s="69"/>
    </row>
    <row r="683" ht="14.25" customHeight="1">
      <c r="D683" s="69"/>
    </row>
    <row r="684" ht="14.25" customHeight="1">
      <c r="D684" s="69"/>
    </row>
    <row r="685" ht="14.25" customHeight="1">
      <c r="D685" s="69"/>
    </row>
    <row r="686" ht="14.25" customHeight="1">
      <c r="D686" s="69"/>
    </row>
    <row r="687" ht="14.25" customHeight="1">
      <c r="D687" s="69"/>
    </row>
    <row r="688" ht="14.25" customHeight="1">
      <c r="D688" s="69"/>
    </row>
    <row r="689" ht="14.25" customHeight="1">
      <c r="D689" s="69"/>
    </row>
    <row r="690" ht="14.25" customHeight="1">
      <c r="D690" s="69"/>
    </row>
    <row r="691" ht="14.25" customHeight="1">
      <c r="D691" s="69"/>
    </row>
    <row r="692" ht="14.25" customHeight="1">
      <c r="D692" s="69"/>
    </row>
    <row r="693" ht="14.25" customHeight="1">
      <c r="D693" s="69"/>
    </row>
    <row r="694" ht="14.25" customHeight="1">
      <c r="D694" s="69"/>
    </row>
    <row r="695" ht="14.25" customHeight="1">
      <c r="D695" s="69"/>
    </row>
    <row r="696" ht="14.25" customHeight="1">
      <c r="D696" s="69"/>
    </row>
    <row r="697" ht="14.25" customHeight="1">
      <c r="D697" s="69"/>
    </row>
    <row r="698" ht="14.25" customHeight="1">
      <c r="D698" s="69"/>
    </row>
    <row r="699" ht="14.25" customHeight="1">
      <c r="D699" s="69"/>
    </row>
    <row r="700" ht="14.25" customHeight="1">
      <c r="D700" s="69"/>
    </row>
    <row r="701" ht="14.25" customHeight="1">
      <c r="D701" s="69"/>
    </row>
    <row r="702" ht="14.25" customHeight="1">
      <c r="D702" s="69"/>
    </row>
    <row r="703" ht="14.25" customHeight="1">
      <c r="D703" s="69"/>
    </row>
    <row r="704" ht="14.25" customHeight="1">
      <c r="D704" s="69"/>
    </row>
    <row r="705" ht="14.25" customHeight="1">
      <c r="D705" s="69"/>
    </row>
    <row r="706" ht="14.25" customHeight="1">
      <c r="D706" s="69"/>
    </row>
    <row r="707" ht="14.25" customHeight="1">
      <c r="D707" s="69"/>
    </row>
    <row r="708" ht="14.25" customHeight="1">
      <c r="D708" s="69"/>
    </row>
    <row r="709" ht="14.25" customHeight="1">
      <c r="D709" s="69"/>
    </row>
    <row r="710" ht="14.25" customHeight="1">
      <c r="D710" s="69"/>
    </row>
    <row r="711" ht="14.25" customHeight="1">
      <c r="D711" s="69"/>
    </row>
    <row r="712" ht="14.25" customHeight="1">
      <c r="D712" s="69"/>
    </row>
    <row r="713" ht="14.25" customHeight="1">
      <c r="D713" s="69"/>
    </row>
    <row r="714" ht="14.25" customHeight="1">
      <c r="D714" s="69"/>
    </row>
    <row r="715" ht="14.25" customHeight="1">
      <c r="D715" s="69"/>
    </row>
    <row r="716" ht="14.25" customHeight="1">
      <c r="D716" s="69"/>
    </row>
    <row r="717" ht="14.25" customHeight="1">
      <c r="D717" s="69"/>
    </row>
    <row r="718" ht="14.25" customHeight="1">
      <c r="D718" s="69"/>
    </row>
    <row r="719" ht="14.25" customHeight="1">
      <c r="D719" s="69"/>
    </row>
    <row r="720" ht="14.25" customHeight="1">
      <c r="D720" s="69"/>
    </row>
    <row r="721" ht="14.25" customHeight="1">
      <c r="D721" s="69"/>
    </row>
    <row r="722" ht="14.25" customHeight="1">
      <c r="D722" s="69"/>
    </row>
    <row r="723" ht="14.25" customHeight="1">
      <c r="D723" s="69"/>
    </row>
    <row r="724" ht="14.25" customHeight="1">
      <c r="D724" s="69"/>
    </row>
    <row r="725" ht="14.25" customHeight="1">
      <c r="D725" s="69"/>
    </row>
    <row r="726" ht="14.25" customHeight="1">
      <c r="D726" s="69"/>
    </row>
    <row r="727" ht="14.25" customHeight="1">
      <c r="D727" s="69"/>
    </row>
    <row r="728" ht="14.25" customHeight="1">
      <c r="D728" s="69"/>
    </row>
    <row r="729" ht="14.25" customHeight="1">
      <c r="D729" s="69"/>
    </row>
    <row r="730" ht="14.25" customHeight="1">
      <c r="D730" s="69"/>
    </row>
    <row r="731" ht="14.25" customHeight="1">
      <c r="D731" s="69"/>
    </row>
    <row r="732" ht="14.25" customHeight="1">
      <c r="D732" s="69"/>
    </row>
    <row r="733" ht="14.25" customHeight="1">
      <c r="D733" s="69"/>
    </row>
    <row r="734" ht="14.25" customHeight="1">
      <c r="D734" s="69"/>
    </row>
    <row r="735" ht="14.25" customHeight="1">
      <c r="D735" s="69"/>
    </row>
    <row r="736" ht="14.25" customHeight="1">
      <c r="D736" s="69"/>
    </row>
    <row r="737" ht="14.25" customHeight="1">
      <c r="D737" s="69"/>
    </row>
    <row r="738" ht="14.25" customHeight="1">
      <c r="D738" s="69"/>
    </row>
    <row r="739" ht="14.25" customHeight="1">
      <c r="D739" s="69"/>
    </row>
    <row r="740" ht="14.25" customHeight="1">
      <c r="D740" s="69"/>
    </row>
    <row r="741" ht="14.25" customHeight="1">
      <c r="D741" s="69"/>
    </row>
    <row r="742" ht="14.25" customHeight="1">
      <c r="D742" s="69"/>
    </row>
    <row r="743" ht="14.25" customHeight="1">
      <c r="D743" s="69"/>
    </row>
    <row r="744" ht="14.25" customHeight="1">
      <c r="D744" s="69"/>
    </row>
    <row r="745" ht="14.25" customHeight="1">
      <c r="D745" s="69"/>
    </row>
    <row r="746" ht="14.25" customHeight="1">
      <c r="D746" s="69"/>
    </row>
    <row r="747" ht="14.25" customHeight="1">
      <c r="D747" s="69"/>
    </row>
    <row r="748" ht="14.25" customHeight="1">
      <c r="D748" s="69"/>
    </row>
    <row r="749" ht="14.25" customHeight="1">
      <c r="D749" s="69"/>
    </row>
    <row r="750" ht="14.25" customHeight="1">
      <c r="D750" s="69"/>
    </row>
    <row r="751" ht="14.25" customHeight="1">
      <c r="D751" s="69"/>
    </row>
    <row r="752" ht="14.25" customHeight="1">
      <c r="D752" s="69"/>
    </row>
    <row r="753" ht="14.25" customHeight="1">
      <c r="D753" s="69"/>
    </row>
    <row r="754" ht="14.25" customHeight="1">
      <c r="D754" s="69"/>
    </row>
    <row r="755" ht="14.25" customHeight="1">
      <c r="D755" s="69"/>
    </row>
    <row r="756" ht="14.25" customHeight="1">
      <c r="D756" s="69"/>
    </row>
    <row r="757" ht="14.25" customHeight="1">
      <c r="D757" s="69"/>
    </row>
    <row r="758" ht="14.25" customHeight="1">
      <c r="D758" s="69"/>
    </row>
    <row r="759" ht="14.25" customHeight="1">
      <c r="D759" s="69"/>
    </row>
    <row r="760" ht="14.25" customHeight="1">
      <c r="D760" s="69"/>
    </row>
    <row r="761" ht="14.25" customHeight="1">
      <c r="D761" s="69"/>
    </row>
    <row r="762" ht="14.25" customHeight="1">
      <c r="D762" s="69"/>
    </row>
    <row r="763" ht="14.25" customHeight="1">
      <c r="D763" s="69"/>
    </row>
    <row r="764" ht="14.25" customHeight="1">
      <c r="D764" s="69"/>
    </row>
    <row r="765" ht="14.25" customHeight="1">
      <c r="D765" s="69"/>
    </row>
    <row r="766" ht="14.25" customHeight="1">
      <c r="D766" s="69"/>
    </row>
    <row r="767" ht="14.25" customHeight="1">
      <c r="D767" s="69"/>
    </row>
    <row r="768" ht="14.25" customHeight="1">
      <c r="D768" s="69"/>
    </row>
    <row r="769" ht="14.25" customHeight="1">
      <c r="D769" s="69"/>
    </row>
    <row r="770" ht="14.25" customHeight="1">
      <c r="D770" s="69"/>
    </row>
    <row r="771" ht="14.25" customHeight="1">
      <c r="D771" s="69"/>
    </row>
    <row r="772" ht="14.25" customHeight="1">
      <c r="D772" s="69"/>
    </row>
    <row r="773" ht="14.25" customHeight="1">
      <c r="D773" s="69"/>
    </row>
    <row r="774" ht="14.25" customHeight="1">
      <c r="D774" s="69"/>
    </row>
    <row r="775" ht="14.25" customHeight="1">
      <c r="D775" s="69"/>
    </row>
    <row r="776" ht="14.25" customHeight="1">
      <c r="D776" s="69"/>
    </row>
    <row r="777" ht="14.25" customHeight="1">
      <c r="D777" s="69"/>
    </row>
    <row r="778" ht="14.25" customHeight="1">
      <c r="D778" s="69"/>
    </row>
    <row r="779" ht="14.25" customHeight="1">
      <c r="D779" s="69"/>
    </row>
    <row r="780" ht="14.25" customHeight="1">
      <c r="D780" s="69"/>
    </row>
    <row r="781" ht="14.25" customHeight="1">
      <c r="D781" s="69"/>
    </row>
    <row r="782" ht="14.25" customHeight="1">
      <c r="D782" s="69"/>
    </row>
    <row r="783" ht="14.25" customHeight="1">
      <c r="D783" s="69"/>
    </row>
    <row r="784" ht="14.25" customHeight="1">
      <c r="D784" s="69"/>
    </row>
    <row r="785" ht="14.25" customHeight="1">
      <c r="D785" s="69"/>
    </row>
    <row r="786" ht="14.25" customHeight="1">
      <c r="D786" s="69"/>
    </row>
    <row r="787" ht="14.25" customHeight="1">
      <c r="D787" s="69"/>
    </row>
    <row r="788" ht="14.25" customHeight="1">
      <c r="D788" s="69"/>
    </row>
    <row r="789" ht="14.25" customHeight="1">
      <c r="D789" s="69"/>
    </row>
    <row r="790" ht="14.25" customHeight="1">
      <c r="D790" s="69"/>
    </row>
    <row r="791" ht="14.25" customHeight="1">
      <c r="D791" s="69"/>
    </row>
    <row r="792" ht="14.25" customHeight="1">
      <c r="D792" s="69"/>
    </row>
    <row r="793" ht="14.25" customHeight="1">
      <c r="D793" s="69"/>
    </row>
    <row r="794" ht="14.25" customHeight="1">
      <c r="D794" s="69"/>
    </row>
    <row r="795" ht="14.25" customHeight="1">
      <c r="D795" s="69"/>
    </row>
    <row r="796" ht="14.25" customHeight="1">
      <c r="D796" s="69"/>
    </row>
    <row r="797" ht="14.25" customHeight="1">
      <c r="D797" s="69"/>
    </row>
    <row r="798" ht="14.25" customHeight="1">
      <c r="D798" s="69"/>
    </row>
    <row r="799" ht="14.25" customHeight="1">
      <c r="D799" s="69"/>
    </row>
    <row r="800" ht="14.25" customHeight="1">
      <c r="D800" s="69"/>
    </row>
    <row r="801" ht="14.25" customHeight="1">
      <c r="D801" s="69"/>
    </row>
    <row r="802" ht="14.25" customHeight="1">
      <c r="D802" s="69"/>
    </row>
    <row r="803" ht="14.25" customHeight="1">
      <c r="D803" s="69"/>
    </row>
    <row r="804" ht="14.25" customHeight="1">
      <c r="D804" s="69"/>
    </row>
    <row r="805" ht="14.25" customHeight="1">
      <c r="D805" s="69"/>
    </row>
    <row r="806" ht="14.25" customHeight="1">
      <c r="D806" s="69"/>
    </row>
    <row r="807" ht="14.25" customHeight="1">
      <c r="D807" s="69"/>
    </row>
    <row r="808" ht="14.25" customHeight="1">
      <c r="D808" s="69"/>
    </row>
    <row r="809" ht="14.25" customHeight="1">
      <c r="D809" s="69"/>
    </row>
    <row r="810" ht="14.25" customHeight="1">
      <c r="D810" s="69"/>
    </row>
    <row r="811" ht="14.25" customHeight="1">
      <c r="D811" s="69"/>
    </row>
    <row r="812" ht="14.25" customHeight="1">
      <c r="D812" s="69"/>
    </row>
    <row r="813" ht="14.25" customHeight="1">
      <c r="D813" s="69"/>
    </row>
    <row r="814" ht="14.25" customHeight="1">
      <c r="D814" s="69"/>
    </row>
    <row r="815" ht="14.25" customHeight="1">
      <c r="D815" s="69"/>
    </row>
    <row r="816" ht="14.25" customHeight="1">
      <c r="D816" s="69"/>
    </row>
    <row r="817" ht="14.25" customHeight="1">
      <c r="D817" s="69"/>
    </row>
    <row r="818" ht="14.25" customHeight="1">
      <c r="D818" s="69"/>
    </row>
    <row r="819" ht="14.25" customHeight="1">
      <c r="D819" s="69"/>
    </row>
    <row r="820" ht="14.25" customHeight="1">
      <c r="D820" s="69"/>
    </row>
    <row r="821" ht="14.25" customHeight="1">
      <c r="D821" s="69"/>
    </row>
    <row r="822" ht="14.25" customHeight="1">
      <c r="D822" s="69"/>
    </row>
    <row r="823" ht="14.25" customHeight="1">
      <c r="D823" s="69"/>
    </row>
    <row r="824" ht="14.25" customHeight="1">
      <c r="D824" s="69"/>
    </row>
    <row r="825" ht="14.25" customHeight="1">
      <c r="D825" s="69"/>
    </row>
    <row r="826" ht="14.25" customHeight="1">
      <c r="D826" s="69"/>
    </row>
    <row r="827" ht="14.25" customHeight="1">
      <c r="D827" s="69"/>
    </row>
    <row r="828" ht="14.25" customHeight="1">
      <c r="D828" s="69"/>
    </row>
    <row r="829" ht="14.25" customHeight="1">
      <c r="D829" s="69"/>
    </row>
    <row r="830" ht="14.25" customHeight="1">
      <c r="D830" s="69"/>
    </row>
    <row r="831" ht="14.25" customHeight="1">
      <c r="D831" s="69"/>
    </row>
    <row r="832" ht="14.25" customHeight="1">
      <c r="D832" s="69"/>
    </row>
    <row r="833" ht="14.25" customHeight="1">
      <c r="D833" s="69"/>
    </row>
    <row r="834" ht="14.25" customHeight="1">
      <c r="D834" s="69"/>
    </row>
    <row r="835" ht="14.25" customHeight="1">
      <c r="D835" s="69"/>
    </row>
    <row r="836" ht="14.25" customHeight="1">
      <c r="D836" s="69"/>
    </row>
    <row r="837" ht="14.25" customHeight="1">
      <c r="D837" s="69"/>
    </row>
    <row r="838" ht="14.25" customHeight="1">
      <c r="D838" s="69"/>
    </row>
    <row r="839" ht="14.25" customHeight="1">
      <c r="D839" s="69"/>
    </row>
    <row r="840" ht="14.25" customHeight="1">
      <c r="D840" s="69"/>
    </row>
    <row r="841" ht="14.25" customHeight="1">
      <c r="D841" s="69"/>
    </row>
    <row r="842" ht="14.25" customHeight="1">
      <c r="D842" s="69"/>
    </row>
    <row r="843" ht="14.25" customHeight="1">
      <c r="D843" s="69"/>
    </row>
    <row r="844" ht="14.25" customHeight="1">
      <c r="D844" s="69"/>
    </row>
    <row r="845" ht="14.25" customHeight="1">
      <c r="D845" s="69"/>
    </row>
    <row r="846" ht="14.25" customHeight="1">
      <c r="D846" s="69"/>
    </row>
    <row r="847" ht="14.25" customHeight="1">
      <c r="D847" s="69"/>
    </row>
    <row r="848" ht="14.25" customHeight="1">
      <c r="D848" s="69"/>
    </row>
    <row r="849" ht="14.25" customHeight="1">
      <c r="D849" s="69"/>
    </row>
    <row r="850" ht="14.25" customHeight="1">
      <c r="D850" s="69"/>
    </row>
    <row r="851" ht="14.25" customHeight="1">
      <c r="D851" s="69"/>
    </row>
    <row r="852" ht="14.25" customHeight="1">
      <c r="D852" s="69"/>
    </row>
    <row r="853" ht="14.25" customHeight="1">
      <c r="D853" s="69"/>
    </row>
    <row r="854" ht="14.25" customHeight="1">
      <c r="D854" s="69"/>
    </row>
    <row r="855" ht="14.25" customHeight="1">
      <c r="D855" s="69"/>
    </row>
    <row r="856" ht="14.25" customHeight="1">
      <c r="D856" s="69"/>
    </row>
    <row r="857" ht="14.25" customHeight="1">
      <c r="D857" s="69"/>
    </row>
    <row r="858" ht="14.25" customHeight="1">
      <c r="D858" s="69"/>
    </row>
    <row r="859" ht="14.25" customHeight="1">
      <c r="D859" s="69"/>
    </row>
    <row r="860" ht="14.25" customHeight="1">
      <c r="D860" s="69"/>
    </row>
    <row r="861" ht="14.25" customHeight="1">
      <c r="D861" s="69"/>
    </row>
    <row r="862" ht="14.25" customHeight="1">
      <c r="D862" s="69"/>
    </row>
    <row r="863" ht="14.25" customHeight="1">
      <c r="D863" s="69"/>
    </row>
    <row r="864" ht="14.25" customHeight="1">
      <c r="D864" s="69"/>
    </row>
    <row r="865" ht="14.25" customHeight="1">
      <c r="D865" s="69"/>
    </row>
    <row r="866" ht="14.25" customHeight="1">
      <c r="D866" s="69"/>
    </row>
    <row r="867" ht="14.25" customHeight="1">
      <c r="D867" s="69"/>
    </row>
    <row r="868" ht="14.25" customHeight="1">
      <c r="D868" s="69"/>
    </row>
    <row r="869" ht="14.25" customHeight="1">
      <c r="D869" s="69"/>
    </row>
    <row r="870" ht="14.25" customHeight="1">
      <c r="D870" s="69"/>
    </row>
    <row r="871" ht="14.25" customHeight="1">
      <c r="D871" s="69"/>
    </row>
    <row r="872" ht="14.25" customHeight="1">
      <c r="D872" s="69"/>
    </row>
    <row r="873" ht="14.25" customHeight="1">
      <c r="D873" s="69"/>
    </row>
    <row r="874" ht="14.25" customHeight="1">
      <c r="D874" s="69"/>
    </row>
    <row r="875" ht="14.25" customHeight="1">
      <c r="D875" s="69"/>
    </row>
    <row r="876" ht="14.25" customHeight="1">
      <c r="D876" s="69"/>
    </row>
    <row r="877" ht="14.25" customHeight="1">
      <c r="D877" s="69"/>
    </row>
    <row r="878" ht="14.25" customHeight="1">
      <c r="D878" s="69"/>
    </row>
    <row r="879" ht="14.25" customHeight="1">
      <c r="D879" s="69"/>
    </row>
    <row r="880" ht="14.25" customHeight="1">
      <c r="D880" s="69"/>
    </row>
    <row r="881" ht="14.25" customHeight="1">
      <c r="D881" s="69"/>
    </row>
    <row r="882" ht="14.25" customHeight="1">
      <c r="D882" s="69"/>
    </row>
    <row r="883" ht="14.25" customHeight="1">
      <c r="D883" s="69"/>
    </row>
    <row r="884" ht="14.25" customHeight="1">
      <c r="D884" s="69"/>
    </row>
    <row r="885" ht="14.25" customHeight="1">
      <c r="D885" s="69"/>
    </row>
    <row r="886" ht="14.25" customHeight="1">
      <c r="D886" s="69"/>
    </row>
    <row r="887" ht="14.25" customHeight="1">
      <c r="D887" s="69"/>
    </row>
    <row r="888" ht="14.25" customHeight="1">
      <c r="D888" s="69"/>
    </row>
    <row r="889" ht="14.25" customHeight="1">
      <c r="D889" s="69"/>
    </row>
    <row r="890" ht="14.25" customHeight="1">
      <c r="D890" s="69"/>
    </row>
    <row r="891" ht="14.25" customHeight="1">
      <c r="D891" s="69"/>
    </row>
    <row r="892" ht="14.25" customHeight="1">
      <c r="D892" s="69"/>
    </row>
    <row r="893" ht="14.25" customHeight="1">
      <c r="D893" s="69"/>
    </row>
    <row r="894" ht="14.25" customHeight="1">
      <c r="D894" s="69"/>
    </row>
    <row r="895" ht="14.25" customHeight="1">
      <c r="D895" s="69"/>
    </row>
    <row r="896" ht="14.25" customHeight="1">
      <c r="D896" s="69"/>
    </row>
    <row r="897" ht="14.25" customHeight="1">
      <c r="D897" s="69"/>
    </row>
    <row r="898" ht="14.25" customHeight="1">
      <c r="D898" s="69"/>
    </row>
    <row r="899" ht="14.25" customHeight="1">
      <c r="D899" s="69"/>
    </row>
    <row r="900" ht="14.25" customHeight="1">
      <c r="D900" s="69"/>
    </row>
    <row r="901" ht="14.25" customHeight="1">
      <c r="D901" s="69"/>
    </row>
    <row r="902" ht="14.25" customHeight="1">
      <c r="D902" s="69"/>
    </row>
    <row r="903" ht="14.25" customHeight="1">
      <c r="D903" s="69"/>
    </row>
    <row r="904" ht="14.25" customHeight="1">
      <c r="D904" s="69"/>
    </row>
    <row r="905" ht="14.25" customHeight="1">
      <c r="D905" s="69"/>
    </row>
    <row r="906" ht="14.25" customHeight="1">
      <c r="D906" s="69"/>
    </row>
    <row r="907" ht="14.25" customHeight="1">
      <c r="D907" s="69"/>
    </row>
    <row r="908" ht="14.25" customHeight="1">
      <c r="D908" s="69"/>
    </row>
    <row r="909" ht="14.25" customHeight="1">
      <c r="D909" s="69"/>
    </row>
    <row r="910" ht="14.25" customHeight="1">
      <c r="D910" s="69"/>
    </row>
    <row r="911" ht="14.25" customHeight="1">
      <c r="D911" s="69"/>
    </row>
    <row r="912" ht="14.25" customHeight="1">
      <c r="D912" s="69"/>
    </row>
    <row r="913" ht="14.25" customHeight="1">
      <c r="D913" s="69"/>
    </row>
    <row r="914" ht="14.25" customHeight="1">
      <c r="D914" s="69"/>
    </row>
    <row r="915" ht="14.25" customHeight="1">
      <c r="D915" s="69"/>
    </row>
    <row r="916" ht="14.25" customHeight="1">
      <c r="D916" s="69"/>
    </row>
    <row r="917" ht="14.25" customHeight="1">
      <c r="D917" s="69"/>
    </row>
    <row r="918" ht="14.25" customHeight="1">
      <c r="D918" s="69"/>
    </row>
    <row r="919" ht="14.25" customHeight="1">
      <c r="D919" s="69"/>
    </row>
    <row r="920" ht="14.25" customHeight="1">
      <c r="D920" s="69"/>
    </row>
    <row r="921" ht="14.25" customHeight="1">
      <c r="D921" s="69"/>
    </row>
    <row r="922" ht="14.25" customHeight="1">
      <c r="D922" s="69"/>
    </row>
    <row r="923" ht="14.25" customHeight="1">
      <c r="D923" s="69"/>
    </row>
    <row r="924" ht="14.25" customHeight="1">
      <c r="D924" s="69"/>
    </row>
    <row r="925" ht="14.25" customHeight="1">
      <c r="D925" s="69"/>
    </row>
    <row r="926" ht="14.25" customHeight="1">
      <c r="D926" s="69"/>
    </row>
    <row r="927" ht="14.25" customHeight="1">
      <c r="D927" s="69"/>
    </row>
    <row r="928" ht="14.25" customHeight="1">
      <c r="D928" s="69"/>
    </row>
    <row r="929" ht="14.25" customHeight="1">
      <c r="D929" s="69"/>
    </row>
    <row r="930" ht="14.25" customHeight="1">
      <c r="D930" s="69"/>
    </row>
    <row r="931" ht="14.25" customHeight="1">
      <c r="D931" s="69"/>
    </row>
    <row r="932" ht="14.25" customHeight="1">
      <c r="D932" s="69"/>
    </row>
    <row r="933" ht="14.25" customHeight="1">
      <c r="D933" s="69"/>
    </row>
    <row r="934" ht="14.25" customHeight="1">
      <c r="D934" s="69"/>
    </row>
    <row r="935" ht="14.25" customHeight="1">
      <c r="D935" s="69"/>
    </row>
    <row r="936" ht="14.25" customHeight="1">
      <c r="D936" s="69"/>
    </row>
    <row r="937" ht="14.25" customHeight="1">
      <c r="D937" s="69"/>
    </row>
    <row r="938" ht="14.25" customHeight="1">
      <c r="D938" s="69"/>
    </row>
    <row r="939" ht="14.25" customHeight="1">
      <c r="D939" s="69"/>
    </row>
    <row r="940" ht="14.25" customHeight="1">
      <c r="D940" s="69"/>
    </row>
    <row r="941" ht="14.25" customHeight="1">
      <c r="D941" s="69"/>
    </row>
    <row r="942" ht="14.25" customHeight="1">
      <c r="D942" s="69"/>
    </row>
    <row r="943" ht="14.25" customHeight="1">
      <c r="D943" s="69"/>
    </row>
    <row r="944" ht="14.25" customHeight="1">
      <c r="D944" s="69"/>
    </row>
    <row r="945" ht="14.25" customHeight="1">
      <c r="D945" s="69"/>
    </row>
    <row r="946" ht="14.25" customHeight="1">
      <c r="D946" s="69"/>
    </row>
    <row r="947" ht="14.25" customHeight="1">
      <c r="D947" s="69"/>
    </row>
    <row r="948" ht="14.25" customHeight="1">
      <c r="D948" s="69"/>
    </row>
    <row r="949" ht="14.25" customHeight="1">
      <c r="D949" s="69"/>
    </row>
    <row r="950" ht="14.25" customHeight="1">
      <c r="D950" s="69"/>
    </row>
    <row r="951" ht="14.25" customHeight="1">
      <c r="D951" s="69"/>
    </row>
    <row r="952" ht="14.25" customHeight="1">
      <c r="D952" s="69"/>
    </row>
    <row r="953" ht="14.25" customHeight="1">
      <c r="D953" s="69"/>
    </row>
    <row r="954" ht="14.25" customHeight="1">
      <c r="D954" s="69"/>
    </row>
    <row r="955" ht="14.25" customHeight="1">
      <c r="D955" s="69"/>
    </row>
    <row r="956" ht="14.25" customHeight="1">
      <c r="D956" s="69"/>
    </row>
    <row r="957" ht="14.25" customHeight="1">
      <c r="D957" s="69"/>
    </row>
    <row r="958" ht="14.25" customHeight="1">
      <c r="D958" s="69"/>
    </row>
    <row r="959" ht="14.25" customHeight="1">
      <c r="D959" s="69"/>
    </row>
    <row r="960" ht="14.25" customHeight="1">
      <c r="D960" s="69"/>
    </row>
    <row r="961" ht="14.25" customHeight="1">
      <c r="D961" s="69"/>
    </row>
    <row r="962" ht="14.25" customHeight="1">
      <c r="D962" s="69"/>
    </row>
    <row r="963" ht="14.25" customHeight="1">
      <c r="D963" s="69"/>
    </row>
    <row r="964" ht="14.25" customHeight="1">
      <c r="D964" s="69"/>
    </row>
    <row r="965" ht="14.25" customHeight="1">
      <c r="D965" s="69"/>
    </row>
    <row r="966" ht="14.25" customHeight="1">
      <c r="D966" s="69"/>
    </row>
    <row r="967" ht="14.25" customHeight="1">
      <c r="D967" s="69"/>
    </row>
    <row r="968" ht="14.25" customHeight="1">
      <c r="D968" s="69"/>
    </row>
    <row r="969" ht="14.25" customHeight="1">
      <c r="D969" s="69"/>
    </row>
    <row r="970" ht="14.25" customHeight="1">
      <c r="D970" s="69"/>
    </row>
    <row r="971" ht="14.25" customHeight="1">
      <c r="D971" s="69"/>
    </row>
    <row r="972" ht="14.25" customHeight="1">
      <c r="D972" s="69"/>
    </row>
    <row r="973" ht="14.25" customHeight="1">
      <c r="D973" s="69"/>
    </row>
    <row r="974" ht="14.25" customHeight="1">
      <c r="D974" s="69"/>
    </row>
    <row r="975" ht="14.25" customHeight="1">
      <c r="D975" s="69"/>
    </row>
    <row r="976" ht="14.25" customHeight="1">
      <c r="D976" s="69"/>
    </row>
    <row r="977" ht="14.25" customHeight="1">
      <c r="D977" s="69"/>
    </row>
    <row r="978" ht="14.25" customHeight="1">
      <c r="D978" s="69"/>
    </row>
    <row r="979" ht="14.25" customHeight="1">
      <c r="D979" s="69"/>
    </row>
    <row r="980" ht="14.25" customHeight="1">
      <c r="D980" s="69"/>
    </row>
    <row r="981" ht="14.25" customHeight="1">
      <c r="D981" s="69"/>
    </row>
    <row r="982" ht="14.25" customHeight="1">
      <c r="D982" s="69"/>
    </row>
    <row r="983" ht="14.25" customHeight="1">
      <c r="D983" s="69"/>
    </row>
    <row r="984" ht="14.25" customHeight="1">
      <c r="D984" s="69"/>
    </row>
    <row r="985" ht="14.25" customHeight="1">
      <c r="D985" s="69"/>
    </row>
    <row r="986" ht="14.25" customHeight="1">
      <c r="D986" s="69"/>
    </row>
    <row r="987" ht="14.25" customHeight="1">
      <c r="D987" s="69"/>
    </row>
    <row r="988" ht="14.25" customHeight="1">
      <c r="D988" s="69"/>
    </row>
    <row r="989" ht="14.25" customHeight="1">
      <c r="D989" s="69"/>
    </row>
    <row r="990" ht="14.25" customHeight="1">
      <c r="D990" s="69"/>
    </row>
    <row r="991" ht="14.25" customHeight="1">
      <c r="D991" s="69"/>
    </row>
    <row r="992" ht="14.25" customHeight="1">
      <c r="D992" s="69"/>
    </row>
    <row r="993" ht="14.25" customHeight="1">
      <c r="D993" s="69"/>
    </row>
    <row r="994" ht="14.25" customHeight="1">
      <c r="D994" s="69"/>
    </row>
    <row r="995" ht="14.25" customHeight="1">
      <c r="D995" s="69"/>
    </row>
    <row r="996" ht="14.25" customHeight="1">
      <c r="D996" s="69"/>
    </row>
    <row r="997" ht="14.25" customHeight="1">
      <c r="D997" s="69"/>
    </row>
    <row r="998" ht="14.25" customHeight="1">
      <c r="D998" s="69"/>
    </row>
    <row r="999" ht="14.25" customHeight="1">
      <c r="D999" s="69"/>
    </row>
    <row r="1000" ht="14.25" customHeight="1">
      <c r="D1000" s="69"/>
    </row>
  </sheetData>
  <mergeCells count="1">
    <mergeCell ref="E1:G1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8.0"/>
    <col customWidth="1" min="3" max="3" width="16.57"/>
    <col customWidth="1" min="4" max="4" width="17.57"/>
    <col customWidth="1" min="5" max="5" width="26.14"/>
    <col customWidth="1" min="6" max="26" width="8.71"/>
  </cols>
  <sheetData>
    <row r="1" ht="14.25" customHeight="1">
      <c r="A1" s="72" t="s">
        <v>206</v>
      </c>
      <c r="B1" s="72" t="s">
        <v>207</v>
      </c>
      <c r="C1" s="72" t="s">
        <v>255</v>
      </c>
      <c r="D1" s="72" t="s">
        <v>256</v>
      </c>
      <c r="E1" s="72" t="s">
        <v>257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14.25" customHeight="1">
      <c r="A2" s="6" t="s">
        <v>15</v>
      </c>
      <c r="B2" s="6" t="s">
        <v>216</v>
      </c>
      <c r="C2" s="6">
        <v>1.5</v>
      </c>
      <c r="D2" s="6">
        <v>4.0</v>
      </c>
      <c r="E2" s="6">
        <v>0.15</v>
      </c>
    </row>
    <row r="3" ht="14.25" customHeight="1">
      <c r="A3" s="6" t="s">
        <v>18</v>
      </c>
      <c r="B3" s="6" t="s">
        <v>220</v>
      </c>
      <c r="C3" s="6">
        <v>2.0</v>
      </c>
      <c r="D3" s="6">
        <v>5.0</v>
      </c>
      <c r="E3" s="6">
        <v>0.2</v>
      </c>
    </row>
    <row r="4" ht="14.25" customHeight="1">
      <c r="A4" s="6" t="s">
        <v>21</v>
      </c>
      <c r="B4" s="6" t="s">
        <v>223</v>
      </c>
      <c r="C4" s="6">
        <v>2.0</v>
      </c>
      <c r="D4" s="6">
        <v>5.0</v>
      </c>
      <c r="E4" s="6">
        <v>0.2</v>
      </c>
    </row>
    <row r="5" ht="14.25" customHeight="1">
      <c r="A5" s="6" t="s">
        <v>85</v>
      </c>
      <c r="B5" s="6" t="s">
        <v>226</v>
      </c>
      <c r="C5" s="6">
        <v>4.0</v>
      </c>
      <c r="D5" s="6">
        <v>10.0</v>
      </c>
      <c r="E5" s="6">
        <v>0.35</v>
      </c>
    </row>
    <row r="6" ht="14.25" customHeight="1">
      <c r="A6" s="6" t="s">
        <v>97</v>
      </c>
      <c r="B6" s="6" t="s">
        <v>229</v>
      </c>
      <c r="C6" s="6">
        <v>2.0</v>
      </c>
      <c r="D6" s="6">
        <v>5.0</v>
      </c>
      <c r="E6" s="6">
        <v>0.2</v>
      </c>
    </row>
    <row r="7" ht="14.25" customHeight="1">
      <c r="A7" s="6" t="s">
        <v>24</v>
      </c>
      <c r="B7" s="6" t="s">
        <v>232</v>
      </c>
      <c r="C7" s="6">
        <v>1.5</v>
      </c>
      <c r="D7" s="6">
        <v>4.0</v>
      </c>
      <c r="E7" s="6">
        <v>0.15</v>
      </c>
    </row>
    <row r="8" ht="14.25" customHeight="1">
      <c r="A8" s="6" t="s">
        <v>27</v>
      </c>
      <c r="B8" s="6" t="s">
        <v>235</v>
      </c>
      <c r="C8" s="6">
        <v>1.5</v>
      </c>
      <c r="D8" s="6">
        <v>4.0</v>
      </c>
      <c r="E8" s="6">
        <v>0.1</v>
      </c>
    </row>
    <row r="9" ht="14.25" customHeight="1">
      <c r="C9" s="7"/>
    </row>
    <row r="10" ht="14.25" customHeight="1">
      <c r="B10" s="6" t="s">
        <v>258</v>
      </c>
    </row>
    <row r="11" ht="14.25" customHeight="1">
      <c r="B11" s="6" t="s">
        <v>259</v>
      </c>
      <c r="C11" s="6">
        <v>1300.0</v>
      </c>
      <c r="D11" s="74" t="s">
        <v>260</v>
      </c>
    </row>
    <row r="12" ht="14.25" customHeight="1">
      <c r="B12" s="6" t="s">
        <v>261</v>
      </c>
      <c r="C12" s="9"/>
    </row>
    <row r="13" ht="14.25" customHeight="1">
      <c r="B13" s="6" t="s">
        <v>262</v>
      </c>
      <c r="C13" s="6">
        <v>3900.0</v>
      </c>
      <c r="D13" s="74" t="s">
        <v>263</v>
      </c>
    </row>
    <row r="14" ht="14.25" customHeight="1">
      <c r="B14" s="6" t="s">
        <v>264</v>
      </c>
      <c r="C14" s="6" t="s">
        <v>265</v>
      </c>
      <c r="D14" s="74"/>
    </row>
    <row r="15" ht="14.25" customHeight="1">
      <c r="B15" s="75" t="s">
        <v>266</v>
      </c>
      <c r="C15" s="9"/>
    </row>
    <row r="16" ht="14.25" customHeight="1">
      <c r="C16" s="9"/>
    </row>
    <row r="17" ht="14.25" customHeight="1">
      <c r="C17" s="9"/>
    </row>
    <row r="18" ht="14.25" customHeight="1">
      <c r="C18" s="9"/>
    </row>
    <row r="19" ht="14.25" customHeight="1">
      <c r="C19" s="9"/>
    </row>
    <row r="20" ht="14.25" customHeight="1">
      <c r="C20" s="9"/>
    </row>
    <row r="21" ht="14.25" customHeight="1">
      <c r="C21" s="9"/>
    </row>
    <row r="22" ht="14.25" customHeight="1">
      <c r="C22" s="7"/>
    </row>
    <row r="23" ht="14.25" customHeight="1">
      <c r="C23" s="7"/>
    </row>
    <row r="24" ht="14.25" customHeight="1">
      <c r="C24" s="9"/>
    </row>
    <row r="25" ht="14.25" customHeight="1">
      <c r="C25" s="9"/>
    </row>
    <row r="26" ht="14.25" customHeight="1">
      <c r="C26" s="9"/>
    </row>
    <row r="27" ht="14.25" customHeight="1">
      <c r="C27" s="9"/>
    </row>
    <row r="28" ht="14.25" customHeight="1">
      <c r="C28" s="9"/>
    </row>
    <row r="29" ht="14.25" customHeight="1">
      <c r="C29" s="9"/>
    </row>
    <row r="30" ht="14.25" customHeight="1">
      <c r="C30" s="9"/>
    </row>
    <row r="31" ht="14.25" customHeight="1">
      <c r="C31" s="9"/>
    </row>
    <row r="32" ht="14.25" customHeight="1">
      <c r="C32" s="7"/>
    </row>
    <row r="33" ht="14.25" customHeight="1">
      <c r="C33" s="7"/>
    </row>
    <row r="34" ht="14.25" customHeight="1">
      <c r="C34" s="9"/>
    </row>
    <row r="35" ht="14.25" customHeight="1">
      <c r="C35" s="9"/>
    </row>
    <row r="36" ht="14.25" customHeight="1">
      <c r="C36" s="9"/>
    </row>
    <row r="37" ht="14.25" customHeight="1">
      <c r="C37" s="9"/>
    </row>
    <row r="38" ht="14.25" customHeight="1">
      <c r="C38" s="9"/>
    </row>
    <row r="39" ht="14.25" customHeight="1">
      <c r="C39" s="9"/>
    </row>
    <row r="40" ht="14.25" customHeight="1">
      <c r="C40" s="9"/>
    </row>
    <row r="41" ht="14.25" customHeight="1">
      <c r="C41" s="9"/>
    </row>
    <row r="42" ht="14.25" customHeight="1">
      <c r="C42" s="7"/>
    </row>
    <row r="43" ht="14.25" customHeight="1">
      <c r="C43" s="7"/>
    </row>
    <row r="44" ht="14.25" customHeight="1">
      <c r="C44" s="9"/>
    </row>
    <row r="45" ht="14.25" customHeight="1">
      <c r="C45" s="9"/>
    </row>
    <row r="46" ht="14.25" customHeight="1">
      <c r="C46" s="9"/>
    </row>
    <row r="47" ht="14.25" customHeight="1">
      <c r="C47" s="9"/>
    </row>
    <row r="48" ht="14.25" customHeight="1">
      <c r="C48" s="9"/>
    </row>
    <row r="49" ht="14.25" customHeight="1">
      <c r="C49" s="9"/>
    </row>
    <row r="50" ht="14.25" customHeight="1">
      <c r="C50" s="9"/>
    </row>
    <row r="51" ht="14.25" customHeight="1">
      <c r="C51" s="9"/>
    </row>
    <row r="52" ht="14.25" customHeight="1">
      <c r="C52" s="7"/>
    </row>
    <row r="53" ht="14.25" customHeight="1">
      <c r="C53" s="76"/>
    </row>
    <row r="54" ht="14.25" customHeight="1">
      <c r="C54" s="9"/>
    </row>
    <row r="55" ht="14.25" customHeight="1">
      <c r="C55" s="9"/>
    </row>
    <row r="56" ht="14.25" customHeight="1">
      <c r="C56" s="9"/>
    </row>
    <row r="57" ht="14.25" customHeight="1">
      <c r="C57" s="9"/>
    </row>
    <row r="58" ht="14.25" customHeight="1">
      <c r="C58" s="9"/>
    </row>
    <row r="59" ht="14.25" customHeight="1">
      <c r="C59" s="9"/>
    </row>
    <row r="60" ht="14.25" customHeight="1">
      <c r="C60" s="9"/>
    </row>
    <row r="61" ht="14.25" customHeight="1">
      <c r="C61" s="9"/>
    </row>
    <row r="62" ht="14.25" customHeight="1">
      <c r="C62" s="7"/>
    </row>
    <row r="63" ht="14.25" customHeight="1">
      <c r="C63" s="76"/>
    </row>
    <row r="64" ht="14.25" customHeight="1">
      <c r="C64" s="9"/>
    </row>
    <row r="65" ht="14.25" customHeight="1">
      <c r="C65" s="9"/>
    </row>
    <row r="66" ht="14.25" customHeight="1">
      <c r="C66" s="9"/>
    </row>
    <row r="67" ht="14.25" customHeight="1">
      <c r="C67" s="9"/>
    </row>
    <row r="68" ht="14.25" customHeight="1">
      <c r="C68" s="9"/>
    </row>
    <row r="69" ht="14.25" customHeight="1">
      <c r="C69" s="9"/>
    </row>
    <row r="70" ht="14.25" customHeight="1">
      <c r="C70" s="9"/>
    </row>
    <row r="71" ht="14.25" customHeight="1">
      <c r="C71" s="9"/>
    </row>
    <row r="72" ht="14.25" customHeight="1">
      <c r="C72" s="7"/>
    </row>
    <row r="73" ht="14.25" customHeight="1">
      <c r="C73" s="76"/>
    </row>
    <row r="74" ht="14.25" customHeight="1">
      <c r="C74" s="9"/>
    </row>
    <row r="75" ht="14.25" customHeight="1">
      <c r="C75" s="9"/>
    </row>
    <row r="76" ht="14.25" customHeight="1">
      <c r="C76" s="9"/>
    </row>
    <row r="77" ht="14.25" customHeight="1">
      <c r="C77" s="9"/>
    </row>
    <row r="78" ht="14.25" customHeight="1">
      <c r="C78" s="9"/>
    </row>
    <row r="79" ht="14.25" customHeight="1">
      <c r="C79" s="9"/>
    </row>
    <row r="80" ht="14.25" customHeight="1">
      <c r="C80" s="9"/>
    </row>
    <row r="81" ht="14.25" customHeight="1">
      <c r="C81" s="9"/>
    </row>
    <row r="82" ht="14.25" customHeight="1">
      <c r="C82" s="7"/>
    </row>
    <row r="83" ht="14.25" customHeight="1">
      <c r="C83" s="76"/>
    </row>
    <row r="84" ht="14.25" customHeight="1">
      <c r="C84" s="9"/>
    </row>
    <row r="85" ht="14.25" customHeight="1">
      <c r="C85" s="9"/>
    </row>
    <row r="86" ht="14.25" customHeight="1">
      <c r="C86" s="9"/>
    </row>
    <row r="87" ht="14.25" customHeight="1">
      <c r="C87" s="9"/>
    </row>
    <row r="88" ht="14.25" customHeight="1">
      <c r="C88" s="9"/>
    </row>
    <row r="89" ht="14.25" customHeight="1">
      <c r="C89" s="9"/>
    </row>
    <row r="90" ht="14.25" customHeight="1">
      <c r="C90" s="9"/>
    </row>
    <row r="91" ht="14.25" customHeight="1">
      <c r="C91" s="9"/>
    </row>
    <row r="92" ht="14.25" customHeight="1">
      <c r="C92" s="7"/>
    </row>
    <row r="93" ht="14.25" customHeight="1">
      <c r="C93" s="76"/>
    </row>
    <row r="94" ht="14.25" customHeight="1">
      <c r="C94" s="9"/>
    </row>
    <row r="95" ht="14.25" customHeight="1">
      <c r="C95" s="9"/>
    </row>
    <row r="96" ht="14.25" customHeight="1">
      <c r="C96" s="9"/>
    </row>
    <row r="97" ht="14.25" customHeight="1">
      <c r="C97" s="9"/>
    </row>
    <row r="98" ht="14.25" customHeight="1">
      <c r="C98" s="9"/>
    </row>
    <row r="99" ht="14.25" customHeight="1">
      <c r="C99" s="9"/>
    </row>
    <row r="100" ht="14.25" customHeight="1">
      <c r="C100" s="9"/>
    </row>
    <row r="101" ht="14.25" customHeight="1">
      <c r="C101" s="9"/>
    </row>
    <row r="102" ht="14.25" customHeight="1">
      <c r="C102" s="7"/>
    </row>
    <row r="103" ht="14.25" customHeight="1">
      <c r="C103" s="76"/>
    </row>
    <row r="104" ht="14.25" customHeight="1">
      <c r="C104" s="9"/>
    </row>
    <row r="105" ht="14.25" customHeight="1">
      <c r="C105" s="9"/>
    </row>
    <row r="106" ht="14.25" customHeight="1">
      <c r="C106" s="9"/>
    </row>
    <row r="107" ht="14.25" customHeight="1">
      <c r="C107" s="9"/>
    </row>
    <row r="108" ht="14.25" customHeight="1">
      <c r="C108" s="9"/>
    </row>
    <row r="109" ht="14.25" customHeight="1">
      <c r="C109" s="9"/>
    </row>
    <row r="110" ht="14.25" customHeight="1">
      <c r="C110" s="9"/>
    </row>
    <row r="111" ht="14.25" customHeight="1">
      <c r="C111" s="9"/>
    </row>
    <row r="112" ht="14.25" customHeight="1">
      <c r="C112" s="7"/>
    </row>
    <row r="113" ht="14.25" customHeight="1">
      <c r="C113" s="76"/>
    </row>
    <row r="114" ht="14.25" customHeight="1">
      <c r="C114" s="9"/>
    </row>
    <row r="115" ht="14.25" customHeight="1">
      <c r="C115" s="9"/>
    </row>
    <row r="116" ht="14.25" customHeight="1">
      <c r="C116" s="9"/>
    </row>
    <row r="117" ht="14.25" customHeight="1">
      <c r="C117" s="9"/>
    </row>
    <row r="118" ht="14.25" customHeight="1">
      <c r="C118" s="9"/>
    </row>
    <row r="119" ht="14.25" customHeight="1">
      <c r="C119" s="9"/>
    </row>
    <row r="120" ht="14.25" customHeight="1">
      <c r="C120" s="9"/>
    </row>
    <row r="121" ht="14.25" customHeight="1">
      <c r="C121" s="9"/>
    </row>
    <row r="122" ht="14.25" customHeight="1">
      <c r="C122" s="7"/>
    </row>
    <row r="123" ht="14.25" customHeight="1">
      <c r="C123" s="76"/>
    </row>
    <row r="124" ht="14.25" customHeight="1">
      <c r="C124" s="9"/>
    </row>
    <row r="125" ht="14.25" customHeight="1">
      <c r="C125" s="9"/>
    </row>
    <row r="126" ht="14.25" customHeight="1">
      <c r="C126" s="9"/>
    </row>
    <row r="127" ht="14.25" customHeight="1">
      <c r="C127" s="9"/>
    </row>
    <row r="128" ht="14.25" customHeight="1">
      <c r="C128" s="9"/>
    </row>
    <row r="129" ht="14.25" customHeight="1">
      <c r="C129" s="9"/>
    </row>
    <row r="130" ht="14.25" customHeight="1">
      <c r="C130" s="9"/>
    </row>
    <row r="131" ht="14.25" customHeight="1">
      <c r="C131" s="9"/>
    </row>
    <row r="132" ht="14.25" customHeight="1">
      <c r="C132" s="7"/>
    </row>
    <row r="133" ht="14.25" customHeight="1">
      <c r="C133" s="76"/>
    </row>
    <row r="134" ht="14.25" customHeight="1">
      <c r="C134" s="9"/>
    </row>
    <row r="135" ht="14.25" customHeight="1">
      <c r="C135" s="9"/>
    </row>
    <row r="136" ht="14.25" customHeight="1">
      <c r="C136" s="9"/>
    </row>
    <row r="137" ht="14.25" customHeight="1">
      <c r="C137" s="9"/>
    </row>
    <row r="138" ht="14.25" customHeight="1">
      <c r="C138" s="9"/>
    </row>
    <row r="139" ht="14.25" customHeight="1">
      <c r="C139" s="9"/>
    </row>
    <row r="140" ht="14.25" customHeight="1">
      <c r="C140" s="9"/>
    </row>
    <row r="141" ht="14.25" customHeight="1">
      <c r="C141" s="9"/>
    </row>
    <row r="142" ht="14.25" customHeight="1">
      <c r="C142" s="7"/>
    </row>
    <row r="143" ht="14.25" customHeight="1">
      <c r="C143" s="76"/>
    </row>
    <row r="144" ht="14.25" customHeight="1">
      <c r="C144" s="9"/>
    </row>
    <row r="145" ht="14.25" customHeight="1">
      <c r="C145" s="9"/>
    </row>
    <row r="146" ht="14.25" customHeight="1">
      <c r="C146" s="9"/>
    </row>
    <row r="147" ht="14.25" customHeight="1">
      <c r="C147" s="9"/>
    </row>
    <row r="148" ht="14.25" customHeight="1">
      <c r="C148" s="9"/>
    </row>
    <row r="149" ht="14.25" customHeight="1">
      <c r="C149" s="9"/>
    </row>
    <row r="150" ht="14.25" customHeight="1">
      <c r="C150" s="9"/>
    </row>
    <row r="151" ht="14.25" customHeight="1">
      <c r="C151" s="9"/>
    </row>
    <row r="152" ht="14.25" customHeight="1">
      <c r="C152" s="7"/>
    </row>
    <row r="153" ht="14.25" customHeight="1">
      <c r="C153" s="76"/>
    </row>
    <row r="154" ht="14.25" customHeight="1">
      <c r="C154" s="9"/>
    </row>
    <row r="155" ht="14.25" customHeight="1">
      <c r="C155" s="9"/>
    </row>
    <row r="156" ht="14.25" customHeight="1">
      <c r="C156" s="9"/>
    </row>
    <row r="157" ht="14.25" customHeight="1">
      <c r="C157" s="9"/>
    </row>
    <row r="158" ht="14.25" customHeight="1">
      <c r="C158" s="9"/>
    </row>
    <row r="159" ht="14.25" customHeight="1">
      <c r="C159" s="9"/>
    </row>
    <row r="160" ht="14.25" customHeight="1">
      <c r="C160" s="9"/>
    </row>
    <row r="161" ht="14.25" customHeight="1">
      <c r="C161" s="9"/>
    </row>
    <row r="162" ht="14.25" customHeight="1">
      <c r="C162" s="7"/>
    </row>
    <row r="163" ht="14.25" customHeight="1">
      <c r="C163" s="76"/>
    </row>
    <row r="164" ht="14.25" customHeight="1">
      <c r="C164" s="9"/>
    </row>
    <row r="165" ht="14.25" customHeight="1">
      <c r="C165" s="9"/>
    </row>
    <row r="166" ht="14.25" customHeight="1">
      <c r="C166" s="9"/>
    </row>
    <row r="167" ht="14.25" customHeight="1">
      <c r="C167" s="9"/>
    </row>
    <row r="168" ht="14.25" customHeight="1">
      <c r="C168" s="9"/>
    </row>
    <row r="169" ht="14.25" customHeight="1">
      <c r="C169" s="9"/>
    </row>
    <row r="170" ht="14.25" customHeight="1">
      <c r="C170" s="9"/>
    </row>
    <row r="171" ht="14.25" customHeight="1">
      <c r="C171" s="9"/>
    </row>
    <row r="172" ht="14.25" customHeight="1">
      <c r="C172" s="7"/>
    </row>
    <row r="173" ht="14.25" customHeight="1">
      <c r="C173" s="76"/>
    </row>
    <row r="174" ht="14.25" customHeight="1">
      <c r="C174" s="9"/>
    </row>
    <row r="175" ht="14.25" customHeight="1">
      <c r="C175" s="9"/>
    </row>
    <row r="176" ht="14.25" customHeight="1">
      <c r="C176" s="9"/>
    </row>
    <row r="177" ht="14.25" customHeight="1">
      <c r="C177" s="9"/>
    </row>
    <row r="178" ht="14.25" customHeight="1">
      <c r="C178" s="9"/>
    </row>
    <row r="179" ht="14.25" customHeight="1">
      <c r="C179" s="9"/>
    </row>
    <row r="180" ht="14.25" customHeight="1">
      <c r="C180" s="9"/>
    </row>
    <row r="181" ht="14.25" customHeight="1">
      <c r="C181" s="9"/>
    </row>
    <row r="182" ht="14.25" customHeight="1">
      <c r="C182" s="7"/>
    </row>
    <row r="183" ht="14.25" customHeight="1">
      <c r="C183" s="76"/>
    </row>
    <row r="184" ht="14.25" customHeight="1">
      <c r="C184" s="9"/>
    </row>
    <row r="185" ht="14.25" customHeight="1">
      <c r="C185" s="9"/>
    </row>
    <row r="186" ht="14.25" customHeight="1">
      <c r="C186" s="9"/>
    </row>
    <row r="187" ht="14.25" customHeight="1">
      <c r="C187" s="9"/>
    </row>
    <row r="188" ht="14.25" customHeight="1">
      <c r="C188" s="9"/>
    </row>
    <row r="189" ht="14.25" customHeight="1">
      <c r="C189" s="9"/>
    </row>
    <row r="190" ht="14.25" customHeight="1">
      <c r="C190" s="9"/>
    </row>
    <row r="191" ht="14.25" customHeight="1">
      <c r="C191" s="9"/>
    </row>
    <row r="192" ht="14.25" customHeight="1">
      <c r="C192" s="7"/>
    </row>
    <row r="193" ht="14.25" customHeight="1">
      <c r="C193" s="76"/>
    </row>
    <row r="194" ht="14.25" customHeight="1">
      <c r="C194" s="9"/>
    </row>
    <row r="195" ht="14.25" customHeight="1">
      <c r="C195" s="9"/>
    </row>
    <row r="196" ht="14.25" customHeight="1">
      <c r="C196" s="9"/>
    </row>
    <row r="197" ht="14.25" customHeight="1">
      <c r="C197" s="9"/>
    </row>
    <row r="198" ht="14.25" customHeight="1">
      <c r="C198" s="9"/>
    </row>
    <row r="199" ht="14.25" customHeight="1">
      <c r="C199" s="9"/>
    </row>
    <row r="200" ht="14.25" customHeight="1">
      <c r="C200" s="9"/>
    </row>
    <row r="201" ht="14.25" customHeight="1">
      <c r="C201" s="9"/>
    </row>
    <row r="202" ht="14.25" customHeight="1">
      <c r="C202" s="7"/>
    </row>
    <row r="203" ht="14.25" customHeight="1">
      <c r="C203" s="76"/>
    </row>
    <row r="204" ht="14.25" customHeight="1">
      <c r="C204" s="9"/>
    </row>
    <row r="205" ht="14.25" customHeight="1">
      <c r="C205" s="9"/>
    </row>
    <row r="206" ht="14.25" customHeight="1">
      <c r="C206" s="9"/>
    </row>
    <row r="207" ht="14.25" customHeight="1">
      <c r="C207" s="9"/>
    </row>
    <row r="208" ht="14.25" customHeight="1">
      <c r="C208" s="9"/>
    </row>
    <row r="209" ht="14.25" customHeight="1">
      <c r="C209" s="9"/>
    </row>
    <row r="210" ht="14.25" customHeight="1">
      <c r="C210" s="7"/>
    </row>
    <row r="211" ht="14.25" customHeight="1">
      <c r="C211" s="9"/>
    </row>
    <row r="212" ht="14.25" customHeight="1">
      <c r="C212" s="9"/>
    </row>
    <row r="213" ht="14.25" customHeight="1">
      <c r="C213" s="9"/>
    </row>
    <row r="214" ht="14.25" customHeight="1">
      <c r="C214" s="9"/>
    </row>
    <row r="215" ht="14.25" customHeight="1">
      <c r="C215" s="9"/>
    </row>
    <row r="216" ht="14.25" customHeight="1">
      <c r="C216" s="9"/>
    </row>
    <row r="217" ht="14.25" customHeight="1">
      <c r="C217" s="7"/>
    </row>
    <row r="218" ht="14.25" customHeight="1">
      <c r="C218" s="76"/>
    </row>
    <row r="219" ht="14.25" customHeight="1">
      <c r="C219" s="9"/>
    </row>
    <row r="220" ht="14.25" customHeight="1">
      <c r="C220" s="9"/>
    </row>
    <row r="221" ht="14.25" customHeight="1">
      <c r="C221" s="9"/>
    </row>
    <row r="222" ht="14.25" customHeight="1">
      <c r="C222" s="9"/>
    </row>
    <row r="223" ht="14.25" customHeight="1">
      <c r="C223" s="9"/>
    </row>
    <row r="224" ht="14.25" customHeight="1">
      <c r="C224" s="9"/>
    </row>
    <row r="225" ht="14.25" customHeight="1">
      <c r="C225" s="9"/>
    </row>
    <row r="226" ht="14.25" customHeight="1">
      <c r="C226" s="9"/>
    </row>
    <row r="227" ht="14.25" customHeight="1">
      <c r="C227" s="9"/>
    </row>
    <row r="228" ht="14.25" customHeight="1">
      <c r="C228" s="9"/>
    </row>
    <row r="229" ht="14.25" customHeight="1">
      <c r="C229" s="9"/>
    </row>
    <row r="230" ht="14.25" customHeight="1">
      <c r="C230" s="9"/>
    </row>
    <row r="231" ht="14.25" customHeight="1">
      <c r="C231" s="9"/>
    </row>
    <row r="232" ht="14.25" customHeight="1">
      <c r="C232" s="9"/>
    </row>
    <row r="233" ht="14.25" customHeight="1">
      <c r="C233" s="9"/>
    </row>
    <row r="234" ht="14.25" customHeight="1">
      <c r="C234" s="9"/>
    </row>
    <row r="235" ht="14.25" customHeight="1">
      <c r="C235" s="9"/>
    </row>
    <row r="236" ht="14.25" customHeight="1">
      <c r="C236" s="9"/>
    </row>
    <row r="237" ht="14.25" customHeight="1">
      <c r="C237" s="9"/>
    </row>
    <row r="238" ht="14.25" customHeight="1">
      <c r="C238" s="9"/>
    </row>
    <row r="239" ht="14.25" customHeight="1">
      <c r="C239" s="9"/>
    </row>
    <row r="240" ht="14.25" customHeight="1">
      <c r="C240" s="9"/>
    </row>
    <row r="241" ht="14.25" customHeight="1">
      <c r="C241" s="9"/>
    </row>
    <row r="242" ht="14.25" customHeight="1">
      <c r="C242" s="9"/>
    </row>
    <row r="243" ht="14.25" customHeight="1">
      <c r="C243" s="9"/>
    </row>
    <row r="244" ht="14.25" customHeight="1">
      <c r="C244" s="9"/>
    </row>
    <row r="245" ht="14.25" customHeight="1">
      <c r="C245" s="9"/>
    </row>
    <row r="246" ht="14.25" customHeight="1">
      <c r="C246" s="9"/>
    </row>
    <row r="247" ht="14.25" customHeight="1">
      <c r="C247" s="9"/>
    </row>
    <row r="248" ht="14.25" customHeight="1">
      <c r="C248" s="9"/>
    </row>
    <row r="249" ht="14.25" customHeight="1">
      <c r="C249" s="9"/>
    </row>
    <row r="250" ht="14.25" customHeight="1">
      <c r="C250" s="9"/>
    </row>
    <row r="251" ht="14.25" customHeight="1">
      <c r="C251" s="9"/>
    </row>
    <row r="252" ht="14.25" customHeight="1">
      <c r="C252" s="9"/>
    </row>
    <row r="253" ht="14.25" customHeight="1">
      <c r="C253" s="9"/>
    </row>
    <row r="254" ht="14.25" customHeight="1">
      <c r="C254" s="9"/>
    </row>
    <row r="255" ht="14.25" customHeight="1">
      <c r="C255" s="9"/>
    </row>
    <row r="256" ht="14.25" customHeight="1">
      <c r="C256" s="9"/>
    </row>
    <row r="257" ht="14.25" customHeight="1">
      <c r="C257" s="9"/>
    </row>
    <row r="258" ht="14.25" customHeight="1">
      <c r="C258" s="9"/>
    </row>
    <row r="259" ht="14.25" customHeight="1">
      <c r="C259" s="9"/>
    </row>
    <row r="260" ht="14.25" customHeight="1">
      <c r="C260" s="9"/>
    </row>
    <row r="261" ht="14.25" customHeight="1">
      <c r="C261" s="9"/>
    </row>
    <row r="262" ht="14.25" customHeight="1">
      <c r="C262" s="9"/>
    </row>
    <row r="263" ht="14.25" customHeight="1">
      <c r="C263" s="9"/>
    </row>
    <row r="264" ht="14.25" customHeight="1">
      <c r="C264" s="9"/>
    </row>
    <row r="265" ht="14.25" customHeight="1">
      <c r="C265" s="9"/>
    </row>
    <row r="266" ht="14.25" customHeight="1">
      <c r="C266" s="9"/>
    </row>
    <row r="267" ht="14.25" customHeight="1">
      <c r="C267" s="9"/>
    </row>
    <row r="268" ht="14.25" customHeight="1">
      <c r="C268" s="9"/>
    </row>
    <row r="269" ht="14.25" customHeight="1">
      <c r="C269" s="9"/>
    </row>
    <row r="270" ht="14.25" customHeight="1">
      <c r="C270" s="9"/>
    </row>
    <row r="271" ht="14.25" customHeight="1">
      <c r="C271" s="9"/>
    </row>
    <row r="272" ht="14.25" customHeight="1">
      <c r="C272" s="9"/>
    </row>
    <row r="273" ht="14.25" customHeight="1">
      <c r="C273" s="9"/>
    </row>
    <row r="274" ht="14.25" customHeight="1">
      <c r="C274" s="9"/>
    </row>
    <row r="275" ht="14.25" customHeight="1">
      <c r="C275" s="9"/>
    </row>
    <row r="276" ht="14.25" customHeight="1">
      <c r="C276" s="9"/>
    </row>
    <row r="277" ht="14.25" customHeight="1">
      <c r="C277" s="9"/>
    </row>
    <row r="278" ht="14.25" customHeight="1">
      <c r="C278" s="9"/>
    </row>
    <row r="279" ht="14.25" customHeight="1">
      <c r="C279" s="9"/>
    </row>
    <row r="280" ht="14.25" customHeight="1">
      <c r="C280" s="9"/>
    </row>
    <row r="281" ht="14.25" customHeight="1">
      <c r="C281" s="9"/>
    </row>
    <row r="282" ht="14.25" customHeight="1">
      <c r="C282" s="9"/>
    </row>
    <row r="283" ht="14.25" customHeight="1">
      <c r="C283" s="9"/>
    </row>
    <row r="284" ht="14.25" customHeight="1">
      <c r="C284" s="9"/>
    </row>
    <row r="285" ht="14.25" customHeight="1">
      <c r="C285" s="9"/>
    </row>
    <row r="286" ht="14.25" customHeight="1">
      <c r="C286" s="9"/>
    </row>
    <row r="287" ht="14.25" customHeight="1">
      <c r="C287" s="9"/>
    </row>
    <row r="288" ht="14.25" customHeight="1">
      <c r="C288" s="9"/>
    </row>
    <row r="289" ht="14.25" customHeight="1">
      <c r="C289" s="9"/>
    </row>
    <row r="290" ht="14.25" customHeight="1">
      <c r="C290" s="9"/>
    </row>
    <row r="291" ht="14.25" customHeight="1">
      <c r="C291" s="9"/>
    </row>
    <row r="292" ht="14.25" customHeight="1">
      <c r="C292" s="9"/>
    </row>
    <row r="293" ht="14.25" customHeight="1">
      <c r="C293" s="9"/>
    </row>
    <row r="294" ht="14.25" customHeight="1">
      <c r="C294" s="9"/>
    </row>
    <row r="295" ht="14.25" customHeight="1">
      <c r="C295" s="9"/>
    </row>
    <row r="296" ht="14.25" customHeight="1">
      <c r="C296" s="9"/>
    </row>
    <row r="297" ht="14.25" customHeight="1">
      <c r="C297" s="9"/>
    </row>
    <row r="298" ht="14.25" customHeight="1">
      <c r="C298" s="9"/>
    </row>
    <row r="299" ht="14.25" customHeight="1">
      <c r="C299" s="9"/>
    </row>
    <row r="300" ht="14.25" customHeight="1">
      <c r="C300" s="9"/>
    </row>
    <row r="301" ht="14.25" customHeight="1">
      <c r="C301" s="9"/>
    </row>
    <row r="302" ht="14.25" customHeight="1">
      <c r="C302" s="9"/>
    </row>
    <row r="303" ht="14.25" customHeight="1">
      <c r="C303" s="9"/>
    </row>
    <row r="304" ht="14.25" customHeight="1">
      <c r="C304" s="9"/>
    </row>
    <row r="305" ht="14.25" customHeight="1">
      <c r="C305" s="9"/>
    </row>
    <row r="306" ht="14.25" customHeight="1">
      <c r="C306" s="9"/>
    </row>
    <row r="307" ht="14.25" customHeight="1">
      <c r="C307" s="9"/>
    </row>
    <row r="308" ht="14.25" customHeight="1">
      <c r="C308" s="9"/>
    </row>
    <row r="309" ht="14.25" customHeight="1">
      <c r="C309" s="9"/>
    </row>
    <row r="310" ht="14.25" customHeight="1">
      <c r="C310" s="9"/>
    </row>
    <row r="311" ht="14.25" customHeight="1">
      <c r="C311" s="9"/>
    </row>
    <row r="312" ht="14.25" customHeight="1">
      <c r="C312" s="9"/>
    </row>
    <row r="313" ht="14.25" customHeight="1">
      <c r="C313" s="9"/>
    </row>
    <row r="314" ht="14.25" customHeight="1">
      <c r="C314" s="9"/>
    </row>
    <row r="315" ht="14.25" customHeight="1">
      <c r="C315" s="9"/>
    </row>
    <row r="316" ht="14.25" customHeight="1">
      <c r="C316" s="9"/>
    </row>
    <row r="317" ht="14.25" customHeight="1">
      <c r="C317" s="9"/>
    </row>
    <row r="318" ht="14.25" customHeight="1">
      <c r="C318" s="9"/>
    </row>
    <row r="319" ht="14.25" customHeight="1">
      <c r="C319" s="9"/>
    </row>
    <row r="320" ht="14.25" customHeight="1">
      <c r="C320" s="9"/>
    </row>
    <row r="321" ht="14.25" customHeight="1">
      <c r="C321" s="9"/>
    </row>
    <row r="322" ht="14.25" customHeight="1">
      <c r="C322" s="9"/>
    </row>
    <row r="323" ht="14.25" customHeight="1">
      <c r="C323" s="9"/>
    </row>
    <row r="324" ht="14.25" customHeight="1">
      <c r="C324" s="9"/>
    </row>
    <row r="325" ht="14.25" customHeight="1">
      <c r="C325" s="9"/>
    </row>
    <row r="326" ht="14.25" customHeight="1">
      <c r="C326" s="9"/>
    </row>
    <row r="327" ht="14.25" customHeight="1">
      <c r="C327" s="9"/>
    </row>
    <row r="328" ht="14.25" customHeight="1">
      <c r="C328" s="9"/>
    </row>
    <row r="329" ht="14.25" customHeight="1">
      <c r="C329" s="9"/>
    </row>
    <row r="330" ht="14.25" customHeight="1">
      <c r="C330" s="9"/>
    </row>
    <row r="331" ht="14.25" customHeight="1">
      <c r="C331" s="9"/>
    </row>
    <row r="332" ht="14.25" customHeight="1">
      <c r="C332" s="9"/>
    </row>
    <row r="333" ht="14.25" customHeight="1">
      <c r="C333" s="9"/>
    </row>
    <row r="334" ht="14.25" customHeight="1">
      <c r="C334" s="9"/>
    </row>
    <row r="335" ht="14.25" customHeight="1">
      <c r="C335" s="9"/>
    </row>
    <row r="336" ht="14.25" customHeight="1">
      <c r="C336" s="9"/>
    </row>
    <row r="337" ht="14.25" customHeight="1">
      <c r="C337" s="9"/>
    </row>
    <row r="338" ht="14.25" customHeight="1">
      <c r="C338" s="9"/>
    </row>
    <row r="339" ht="14.25" customHeight="1">
      <c r="C339" s="9"/>
    </row>
    <row r="340" ht="14.25" customHeight="1">
      <c r="C340" s="9"/>
    </row>
    <row r="341" ht="14.25" customHeight="1">
      <c r="C341" s="9"/>
    </row>
    <row r="342" ht="14.25" customHeight="1">
      <c r="C342" s="9"/>
    </row>
    <row r="343" ht="14.25" customHeight="1">
      <c r="C343" s="9"/>
    </row>
    <row r="344" ht="14.25" customHeight="1">
      <c r="C344" s="9"/>
    </row>
    <row r="345" ht="14.25" customHeight="1">
      <c r="C345" s="9"/>
    </row>
    <row r="346" ht="14.25" customHeight="1">
      <c r="C346" s="9"/>
    </row>
    <row r="347" ht="14.25" customHeight="1">
      <c r="C347" s="9"/>
    </row>
    <row r="348" ht="14.25" customHeight="1">
      <c r="C348" s="9"/>
    </row>
    <row r="349" ht="14.25" customHeight="1">
      <c r="C349" s="9"/>
    </row>
    <row r="350" ht="14.25" customHeight="1">
      <c r="C350" s="9"/>
    </row>
    <row r="351" ht="14.25" customHeight="1">
      <c r="C351" s="9"/>
    </row>
    <row r="352" ht="14.25" customHeight="1">
      <c r="C352" s="9"/>
    </row>
    <row r="353" ht="14.25" customHeight="1">
      <c r="C353" s="9"/>
    </row>
    <row r="354" ht="14.25" customHeight="1">
      <c r="C354" s="9"/>
    </row>
    <row r="355" ht="14.25" customHeight="1">
      <c r="C355" s="9"/>
    </row>
    <row r="356" ht="14.25" customHeight="1">
      <c r="C356" s="9"/>
    </row>
    <row r="357" ht="14.25" customHeight="1">
      <c r="C357" s="9"/>
    </row>
    <row r="358" ht="14.25" customHeight="1">
      <c r="C358" s="9"/>
    </row>
    <row r="359" ht="14.25" customHeight="1">
      <c r="C359" s="9"/>
    </row>
    <row r="360" ht="14.25" customHeight="1">
      <c r="C360" s="9"/>
    </row>
    <row r="361" ht="14.25" customHeight="1">
      <c r="C361" s="9"/>
    </row>
    <row r="362" ht="14.25" customHeight="1">
      <c r="C362" s="9"/>
    </row>
    <row r="363" ht="14.25" customHeight="1">
      <c r="C363" s="9"/>
    </row>
    <row r="364" ht="14.25" customHeight="1">
      <c r="C364" s="9"/>
    </row>
    <row r="365" ht="14.25" customHeight="1">
      <c r="C365" s="9"/>
    </row>
    <row r="366" ht="14.25" customHeight="1">
      <c r="C366" s="9"/>
    </row>
    <row r="367" ht="14.25" customHeight="1">
      <c r="C367" s="9"/>
    </row>
    <row r="368" ht="14.25" customHeight="1">
      <c r="C368" s="9"/>
    </row>
    <row r="369" ht="14.25" customHeight="1">
      <c r="C369" s="9"/>
    </row>
    <row r="370" ht="14.25" customHeight="1">
      <c r="C370" s="9"/>
    </row>
    <row r="371" ht="14.25" customHeight="1">
      <c r="C371" s="9"/>
    </row>
    <row r="372" ht="14.25" customHeight="1">
      <c r="C372" s="9"/>
    </row>
    <row r="373" ht="14.25" customHeight="1">
      <c r="C373" s="9"/>
    </row>
    <row r="374" ht="14.25" customHeight="1">
      <c r="C374" s="9"/>
    </row>
    <row r="375" ht="14.25" customHeight="1">
      <c r="C375" s="9"/>
    </row>
    <row r="376" ht="14.25" customHeight="1">
      <c r="C376" s="9"/>
    </row>
    <row r="377" ht="14.25" customHeight="1">
      <c r="C377" s="9"/>
    </row>
    <row r="378" ht="14.25" customHeight="1">
      <c r="C378" s="9"/>
    </row>
    <row r="379" ht="14.25" customHeight="1">
      <c r="C379" s="9"/>
    </row>
    <row r="380" ht="14.25" customHeight="1">
      <c r="C380" s="9"/>
    </row>
    <row r="381" ht="14.25" customHeight="1">
      <c r="C381" s="9"/>
    </row>
    <row r="382" ht="14.25" customHeight="1">
      <c r="C382" s="9"/>
    </row>
    <row r="383" ht="14.25" customHeight="1">
      <c r="C383" s="9"/>
    </row>
    <row r="384" ht="14.25" customHeight="1">
      <c r="C384" s="9"/>
    </row>
    <row r="385" ht="14.25" customHeight="1">
      <c r="C385" s="9"/>
    </row>
    <row r="386" ht="14.25" customHeight="1">
      <c r="C386" s="9"/>
    </row>
    <row r="387" ht="14.25" customHeight="1">
      <c r="C387" s="9"/>
    </row>
    <row r="388" ht="14.25" customHeight="1">
      <c r="C388" s="9"/>
    </row>
    <row r="389" ht="14.25" customHeight="1">
      <c r="C389" s="9"/>
    </row>
    <row r="390" ht="14.25" customHeight="1">
      <c r="C390" s="9"/>
    </row>
    <row r="391" ht="14.25" customHeight="1">
      <c r="C391" s="9"/>
    </row>
    <row r="392" ht="14.25" customHeight="1">
      <c r="C392" s="9"/>
    </row>
    <row r="393" ht="14.25" customHeight="1">
      <c r="C393" s="9"/>
    </row>
    <row r="394" ht="14.25" customHeight="1">
      <c r="C394" s="9"/>
    </row>
    <row r="395" ht="14.25" customHeight="1">
      <c r="C395" s="9"/>
    </row>
    <row r="396" ht="14.25" customHeight="1">
      <c r="C396" s="9"/>
    </row>
    <row r="397" ht="14.25" customHeight="1">
      <c r="C397" s="9"/>
    </row>
    <row r="398" ht="14.25" customHeight="1">
      <c r="C398" s="9"/>
    </row>
    <row r="399" ht="14.25" customHeight="1">
      <c r="C399" s="9"/>
    </row>
    <row r="400" ht="14.25" customHeight="1">
      <c r="C400" s="9"/>
    </row>
    <row r="401" ht="14.25" customHeight="1">
      <c r="C401" s="9"/>
    </row>
    <row r="402" ht="14.25" customHeight="1">
      <c r="C402" s="9"/>
    </row>
    <row r="403" ht="14.25" customHeight="1">
      <c r="C403" s="9"/>
    </row>
    <row r="404" ht="14.25" customHeight="1">
      <c r="C404" s="9"/>
    </row>
    <row r="405" ht="14.25" customHeight="1">
      <c r="C405" s="9"/>
    </row>
    <row r="406" ht="14.25" customHeight="1">
      <c r="C406" s="9"/>
    </row>
    <row r="407" ht="14.25" customHeight="1">
      <c r="C407" s="9"/>
    </row>
    <row r="408" ht="14.25" customHeight="1">
      <c r="C408" s="9"/>
    </row>
    <row r="409" ht="14.25" customHeight="1">
      <c r="C409" s="9"/>
    </row>
    <row r="410" ht="14.25" customHeight="1">
      <c r="C410" s="9"/>
    </row>
    <row r="411" ht="14.25" customHeight="1">
      <c r="C411" s="9"/>
    </row>
    <row r="412" ht="14.25" customHeight="1">
      <c r="C412" s="9"/>
    </row>
    <row r="413" ht="14.25" customHeight="1">
      <c r="C413" s="9"/>
    </row>
    <row r="414" ht="14.25" customHeight="1">
      <c r="C414" s="9"/>
    </row>
    <row r="415" ht="14.25" customHeight="1">
      <c r="C415" s="9"/>
    </row>
    <row r="416" ht="14.25" customHeight="1">
      <c r="C416" s="9"/>
    </row>
    <row r="417" ht="14.25" customHeight="1">
      <c r="C417" s="9"/>
    </row>
    <row r="418" ht="14.25" customHeight="1">
      <c r="C418" s="9"/>
    </row>
    <row r="419" ht="14.25" customHeight="1">
      <c r="C419" s="9"/>
    </row>
    <row r="420" ht="14.25" customHeight="1">
      <c r="C420" s="9"/>
    </row>
    <row r="421" ht="14.25" customHeight="1">
      <c r="C421" s="9"/>
    </row>
    <row r="422" ht="14.25" customHeight="1">
      <c r="C422" s="9"/>
    </row>
    <row r="423" ht="14.25" customHeight="1">
      <c r="C423" s="9"/>
    </row>
    <row r="424" ht="14.25" customHeight="1">
      <c r="C424" s="9"/>
    </row>
    <row r="425" ht="14.25" customHeight="1">
      <c r="C425" s="9"/>
    </row>
    <row r="426" ht="14.25" customHeight="1">
      <c r="C426" s="9"/>
    </row>
    <row r="427" ht="14.25" customHeight="1">
      <c r="C427" s="9"/>
    </row>
    <row r="428" ht="14.25" customHeight="1">
      <c r="C428" s="9"/>
    </row>
    <row r="429" ht="14.25" customHeight="1">
      <c r="C429" s="9"/>
    </row>
    <row r="430" ht="14.25" customHeight="1">
      <c r="C430" s="9"/>
    </row>
    <row r="431" ht="14.25" customHeight="1">
      <c r="C431" s="9"/>
    </row>
    <row r="432" ht="14.25" customHeight="1">
      <c r="C432" s="9"/>
    </row>
    <row r="433" ht="14.25" customHeight="1">
      <c r="C433" s="9"/>
    </row>
    <row r="434" ht="14.25" customHeight="1">
      <c r="C434" s="9"/>
    </row>
    <row r="435" ht="14.25" customHeight="1">
      <c r="C435" s="9"/>
    </row>
    <row r="436" ht="14.25" customHeight="1">
      <c r="C436" s="9"/>
    </row>
    <row r="437" ht="14.25" customHeight="1">
      <c r="C437" s="9"/>
    </row>
    <row r="438" ht="14.25" customHeight="1">
      <c r="C438" s="9"/>
    </row>
    <row r="439" ht="14.25" customHeight="1">
      <c r="C439" s="9"/>
    </row>
    <row r="440" ht="14.25" customHeight="1">
      <c r="C440" s="9"/>
    </row>
    <row r="441" ht="14.25" customHeight="1">
      <c r="C441" s="9"/>
    </row>
    <row r="442" ht="14.25" customHeight="1">
      <c r="C442" s="9"/>
    </row>
    <row r="443" ht="14.25" customHeight="1">
      <c r="C443" s="9"/>
    </row>
    <row r="444" ht="14.25" customHeight="1">
      <c r="C444" s="9"/>
    </row>
    <row r="445" ht="14.25" customHeight="1">
      <c r="C445" s="9"/>
    </row>
    <row r="446" ht="14.25" customHeight="1">
      <c r="C446" s="9"/>
    </row>
    <row r="447" ht="14.25" customHeight="1">
      <c r="C447" s="9"/>
    </row>
    <row r="448" ht="14.25" customHeight="1">
      <c r="C448" s="9"/>
    </row>
    <row r="449" ht="14.25" customHeight="1">
      <c r="C449" s="9"/>
    </row>
    <row r="450" ht="14.25" customHeight="1">
      <c r="C450" s="9"/>
    </row>
    <row r="451" ht="14.25" customHeight="1">
      <c r="C451" s="9"/>
    </row>
    <row r="452" ht="14.25" customHeight="1">
      <c r="C452" s="9"/>
    </row>
    <row r="453" ht="14.25" customHeight="1">
      <c r="C453" s="9"/>
    </row>
    <row r="454" ht="14.25" customHeight="1">
      <c r="C454" s="9"/>
    </row>
    <row r="455" ht="14.25" customHeight="1">
      <c r="C455" s="9"/>
    </row>
    <row r="456" ht="14.25" customHeight="1">
      <c r="C456" s="9"/>
    </row>
    <row r="457" ht="14.25" customHeight="1">
      <c r="C457" s="9"/>
    </row>
    <row r="458" ht="14.25" customHeight="1">
      <c r="C458" s="9"/>
    </row>
    <row r="459" ht="14.25" customHeight="1">
      <c r="C459" s="9"/>
    </row>
    <row r="460" ht="14.25" customHeight="1">
      <c r="C460" s="9"/>
    </row>
    <row r="461" ht="14.25" customHeight="1">
      <c r="C461" s="9"/>
    </row>
    <row r="462" ht="14.25" customHeight="1">
      <c r="C462" s="9"/>
    </row>
    <row r="463" ht="14.25" customHeight="1">
      <c r="C463" s="9"/>
    </row>
    <row r="464" ht="14.25" customHeight="1">
      <c r="C464" s="9"/>
    </row>
    <row r="465" ht="14.25" customHeight="1">
      <c r="C465" s="9"/>
    </row>
    <row r="466" ht="14.25" customHeight="1">
      <c r="C466" s="9"/>
    </row>
    <row r="467" ht="14.25" customHeight="1">
      <c r="C467" s="9"/>
    </row>
    <row r="468" ht="14.25" customHeight="1">
      <c r="C468" s="9"/>
    </row>
    <row r="469" ht="14.25" customHeight="1">
      <c r="C469" s="9"/>
    </row>
    <row r="470" ht="14.25" customHeight="1">
      <c r="C470" s="9"/>
    </row>
    <row r="471" ht="14.25" customHeight="1">
      <c r="C471" s="9"/>
    </row>
    <row r="472" ht="14.25" customHeight="1">
      <c r="C472" s="9"/>
    </row>
    <row r="473" ht="14.25" customHeight="1">
      <c r="C473" s="9"/>
    </row>
    <row r="474" ht="14.25" customHeight="1">
      <c r="C474" s="9"/>
    </row>
    <row r="475" ht="14.25" customHeight="1">
      <c r="C475" s="9"/>
    </row>
    <row r="476" ht="14.25" customHeight="1">
      <c r="C476" s="9"/>
    </row>
    <row r="477" ht="14.25" customHeight="1">
      <c r="C477" s="9"/>
    </row>
    <row r="478" ht="14.25" customHeight="1">
      <c r="C478" s="9"/>
    </row>
    <row r="479" ht="14.25" customHeight="1">
      <c r="C479" s="9"/>
    </row>
    <row r="480" ht="14.25" customHeight="1">
      <c r="C480" s="9"/>
    </row>
    <row r="481" ht="14.25" customHeight="1">
      <c r="C481" s="9"/>
    </row>
    <row r="482" ht="14.25" customHeight="1">
      <c r="C482" s="9"/>
    </row>
    <row r="483" ht="14.25" customHeight="1">
      <c r="C483" s="9"/>
    </row>
    <row r="484" ht="14.25" customHeight="1">
      <c r="C484" s="9"/>
    </row>
    <row r="485" ht="14.25" customHeight="1">
      <c r="C485" s="9"/>
    </row>
    <row r="486" ht="14.25" customHeight="1">
      <c r="C486" s="9"/>
    </row>
    <row r="487" ht="14.25" customHeight="1">
      <c r="C487" s="9"/>
    </row>
    <row r="488" ht="14.25" customHeight="1">
      <c r="C488" s="9"/>
    </row>
    <row r="489" ht="14.25" customHeight="1">
      <c r="C489" s="9"/>
    </row>
    <row r="490" ht="14.25" customHeight="1">
      <c r="C490" s="9"/>
    </row>
    <row r="491" ht="14.25" customHeight="1">
      <c r="C491" s="9"/>
    </row>
    <row r="492" ht="14.25" customHeight="1">
      <c r="C492" s="9"/>
    </row>
    <row r="493" ht="14.25" customHeight="1">
      <c r="C493" s="9"/>
    </row>
    <row r="494" ht="14.25" customHeight="1">
      <c r="C494" s="9"/>
    </row>
    <row r="495" ht="14.25" customHeight="1">
      <c r="C495" s="9"/>
    </row>
    <row r="496" ht="14.25" customHeight="1">
      <c r="C496" s="9"/>
    </row>
    <row r="497" ht="14.25" customHeight="1">
      <c r="C497" s="9"/>
    </row>
    <row r="498" ht="14.25" customHeight="1">
      <c r="C498" s="9"/>
    </row>
    <row r="499" ht="14.25" customHeight="1">
      <c r="C499" s="9"/>
    </row>
    <row r="500" ht="14.25" customHeight="1">
      <c r="C500" s="9"/>
    </row>
    <row r="501" ht="14.25" customHeight="1">
      <c r="C501" s="9"/>
    </row>
    <row r="502" ht="14.25" customHeight="1">
      <c r="C502" s="9"/>
    </row>
    <row r="503" ht="14.25" customHeight="1">
      <c r="C503" s="9"/>
    </row>
    <row r="504" ht="14.25" customHeight="1">
      <c r="C504" s="9"/>
    </row>
    <row r="505" ht="14.25" customHeight="1">
      <c r="C505" s="9"/>
    </row>
    <row r="506" ht="14.25" customHeight="1">
      <c r="C506" s="9"/>
    </row>
    <row r="507" ht="14.25" customHeight="1">
      <c r="C507" s="9"/>
    </row>
    <row r="508" ht="14.25" customHeight="1">
      <c r="C508" s="9"/>
    </row>
    <row r="509" ht="14.25" customHeight="1">
      <c r="C509" s="9"/>
    </row>
    <row r="510" ht="14.25" customHeight="1">
      <c r="C510" s="9"/>
    </row>
    <row r="511" ht="14.25" customHeight="1">
      <c r="C511" s="9"/>
    </row>
    <row r="512" ht="14.25" customHeight="1">
      <c r="C512" s="9"/>
    </row>
    <row r="513" ht="14.25" customHeight="1">
      <c r="C513" s="9"/>
    </row>
    <row r="514" ht="14.25" customHeight="1">
      <c r="C514" s="9"/>
    </row>
    <row r="515" ht="14.25" customHeight="1">
      <c r="C515" s="9"/>
    </row>
    <row r="516" ht="14.25" customHeight="1">
      <c r="C516" s="9"/>
    </row>
    <row r="517" ht="14.25" customHeight="1">
      <c r="C517" s="9"/>
    </row>
    <row r="518" ht="14.25" customHeight="1">
      <c r="C518" s="9"/>
    </row>
    <row r="519" ht="14.25" customHeight="1">
      <c r="C519" s="9"/>
    </row>
    <row r="520" ht="14.25" customHeight="1">
      <c r="C520" s="9"/>
    </row>
    <row r="521" ht="14.25" customHeight="1">
      <c r="C521" s="9"/>
    </row>
    <row r="522" ht="14.25" customHeight="1">
      <c r="C522" s="9"/>
    </row>
    <row r="523" ht="14.25" customHeight="1">
      <c r="C523" s="9"/>
    </row>
    <row r="524" ht="14.25" customHeight="1">
      <c r="C524" s="9"/>
    </row>
    <row r="525" ht="14.25" customHeight="1">
      <c r="C525" s="9"/>
    </row>
    <row r="526" ht="14.25" customHeight="1">
      <c r="C526" s="9"/>
    </row>
    <row r="527" ht="14.25" customHeight="1">
      <c r="C527" s="9"/>
    </row>
    <row r="528" ht="14.25" customHeight="1">
      <c r="C528" s="9"/>
    </row>
    <row r="529" ht="14.25" customHeight="1">
      <c r="C529" s="9"/>
    </row>
    <row r="530" ht="14.25" customHeight="1">
      <c r="C530" s="9"/>
    </row>
    <row r="531" ht="14.25" customHeight="1">
      <c r="C531" s="9"/>
    </row>
    <row r="532" ht="14.25" customHeight="1">
      <c r="C532" s="9"/>
    </row>
    <row r="533" ht="14.25" customHeight="1">
      <c r="C533" s="9"/>
    </row>
    <row r="534" ht="14.25" customHeight="1">
      <c r="C534" s="9"/>
    </row>
    <row r="535" ht="14.25" customHeight="1">
      <c r="C535" s="9"/>
    </row>
    <row r="536" ht="14.25" customHeight="1">
      <c r="C536" s="9"/>
    </row>
    <row r="537" ht="14.25" customHeight="1">
      <c r="C537" s="9"/>
    </row>
    <row r="538" ht="14.25" customHeight="1">
      <c r="C538" s="9"/>
    </row>
    <row r="539" ht="14.25" customHeight="1">
      <c r="C539" s="9"/>
    </row>
    <row r="540" ht="14.25" customHeight="1">
      <c r="C540" s="9"/>
    </row>
    <row r="541" ht="14.25" customHeight="1">
      <c r="C541" s="9"/>
    </row>
    <row r="542" ht="14.25" customHeight="1">
      <c r="C542" s="9"/>
    </row>
    <row r="543" ht="14.25" customHeight="1">
      <c r="C543" s="9"/>
    </row>
    <row r="544" ht="14.25" customHeight="1">
      <c r="C544" s="9"/>
    </row>
    <row r="545" ht="14.25" customHeight="1">
      <c r="C545" s="9"/>
    </row>
    <row r="546" ht="14.25" customHeight="1">
      <c r="C546" s="9"/>
    </row>
    <row r="547" ht="14.25" customHeight="1">
      <c r="C547" s="9"/>
    </row>
    <row r="548" ht="14.25" customHeight="1">
      <c r="C548" s="9"/>
    </row>
    <row r="549" ht="14.25" customHeight="1">
      <c r="C549" s="9"/>
    </row>
    <row r="550" ht="14.25" customHeight="1">
      <c r="C550" s="9"/>
    </row>
    <row r="551" ht="14.25" customHeight="1">
      <c r="C551" s="9"/>
    </row>
    <row r="552" ht="14.25" customHeight="1">
      <c r="C552" s="9"/>
    </row>
    <row r="553" ht="14.25" customHeight="1">
      <c r="C553" s="9"/>
    </row>
    <row r="554" ht="14.25" customHeight="1">
      <c r="C554" s="9"/>
    </row>
    <row r="555" ht="14.25" customHeight="1">
      <c r="C555" s="9"/>
    </row>
    <row r="556" ht="14.25" customHeight="1">
      <c r="C556" s="9"/>
    </row>
    <row r="557" ht="14.25" customHeight="1">
      <c r="C557" s="9"/>
    </row>
    <row r="558" ht="14.25" customHeight="1">
      <c r="C558" s="9"/>
    </row>
    <row r="559" ht="14.25" customHeight="1">
      <c r="C559" s="9"/>
    </row>
    <row r="560" ht="14.25" customHeight="1">
      <c r="C560" s="9"/>
    </row>
    <row r="561" ht="14.25" customHeight="1">
      <c r="C561" s="9"/>
    </row>
    <row r="562" ht="14.25" customHeight="1">
      <c r="C562" s="9"/>
    </row>
    <row r="563" ht="14.25" customHeight="1">
      <c r="C563" s="9"/>
    </row>
    <row r="564" ht="14.25" customHeight="1">
      <c r="C564" s="9"/>
    </row>
    <row r="565" ht="14.25" customHeight="1">
      <c r="C565" s="9"/>
    </row>
    <row r="566" ht="14.25" customHeight="1">
      <c r="C566" s="9"/>
    </row>
    <row r="567" ht="14.25" customHeight="1">
      <c r="C567" s="9"/>
    </row>
    <row r="568" ht="14.25" customHeight="1">
      <c r="C568" s="9"/>
    </row>
    <row r="569" ht="14.25" customHeight="1">
      <c r="C569" s="9"/>
    </row>
    <row r="570" ht="14.25" customHeight="1">
      <c r="C570" s="9"/>
    </row>
    <row r="571" ht="14.25" customHeight="1">
      <c r="C571" s="9"/>
    </row>
    <row r="572" ht="14.25" customHeight="1">
      <c r="C572" s="9"/>
    </row>
    <row r="573" ht="14.25" customHeight="1">
      <c r="C573" s="9"/>
    </row>
    <row r="574" ht="14.25" customHeight="1">
      <c r="C574" s="9"/>
    </row>
    <row r="575" ht="14.25" customHeight="1">
      <c r="C575" s="9"/>
    </row>
    <row r="576" ht="14.25" customHeight="1">
      <c r="C576" s="9"/>
    </row>
    <row r="577" ht="14.25" customHeight="1">
      <c r="C577" s="9"/>
    </row>
    <row r="578" ht="14.25" customHeight="1">
      <c r="C578" s="9"/>
    </row>
    <row r="579" ht="14.25" customHeight="1">
      <c r="C579" s="9"/>
    </row>
    <row r="580" ht="14.25" customHeight="1">
      <c r="C580" s="9"/>
    </row>
    <row r="581" ht="14.25" customHeight="1">
      <c r="C581" s="9"/>
    </row>
    <row r="582" ht="14.25" customHeight="1">
      <c r="C582" s="9"/>
    </row>
    <row r="583" ht="14.25" customHeight="1">
      <c r="C583" s="9"/>
    </row>
    <row r="584" ht="14.25" customHeight="1">
      <c r="C584" s="9"/>
    </row>
    <row r="585" ht="14.25" customHeight="1">
      <c r="C585" s="9"/>
    </row>
    <row r="586" ht="14.25" customHeight="1">
      <c r="C586" s="9"/>
    </row>
    <row r="587" ht="14.25" customHeight="1">
      <c r="C587" s="9"/>
    </row>
    <row r="588" ht="14.25" customHeight="1">
      <c r="C588" s="9"/>
    </row>
    <row r="589" ht="14.25" customHeight="1">
      <c r="C589" s="9"/>
    </row>
    <row r="590" ht="14.25" customHeight="1">
      <c r="C590" s="9"/>
    </row>
    <row r="591" ht="14.25" customHeight="1">
      <c r="C591" s="9"/>
    </row>
    <row r="592" ht="14.25" customHeight="1">
      <c r="C592" s="9"/>
    </row>
    <row r="593" ht="14.25" customHeight="1">
      <c r="C593" s="9"/>
    </row>
    <row r="594" ht="14.25" customHeight="1">
      <c r="C594" s="9"/>
    </row>
    <row r="595" ht="14.25" customHeight="1">
      <c r="C595" s="9"/>
    </row>
    <row r="596" ht="14.25" customHeight="1">
      <c r="C596" s="9"/>
    </row>
    <row r="597" ht="14.25" customHeight="1">
      <c r="C597" s="9"/>
    </row>
    <row r="598" ht="14.25" customHeight="1">
      <c r="C598" s="9"/>
    </row>
    <row r="599" ht="14.25" customHeight="1">
      <c r="C599" s="9"/>
    </row>
    <row r="600" ht="14.25" customHeight="1">
      <c r="C600" s="9"/>
    </row>
    <row r="601" ht="14.25" customHeight="1">
      <c r="C601" s="9"/>
    </row>
    <row r="602" ht="14.25" customHeight="1">
      <c r="C602" s="9"/>
    </row>
    <row r="603" ht="14.25" customHeight="1">
      <c r="C603" s="9"/>
    </row>
    <row r="604" ht="14.25" customHeight="1">
      <c r="C604" s="9"/>
    </row>
    <row r="605" ht="14.25" customHeight="1">
      <c r="C605" s="9"/>
    </row>
    <row r="606" ht="14.25" customHeight="1">
      <c r="C606" s="9"/>
    </row>
    <row r="607" ht="14.25" customHeight="1">
      <c r="C607" s="9"/>
    </row>
    <row r="608" ht="14.25" customHeight="1">
      <c r="C608" s="9"/>
    </row>
    <row r="609" ht="14.25" customHeight="1">
      <c r="C609" s="9"/>
    </row>
    <row r="610" ht="14.25" customHeight="1">
      <c r="C610" s="9"/>
    </row>
    <row r="611" ht="14.25" customHeight="1">
      <c r="C611" s="9"/>
    </row>
    <row r="612" ht="14.25" customHeight="1">
      <c r="C612" s="9"/>
    </row>
    <row r="613" ht="14.25" customHeight="1">
      <c r="C613" s="9"/>
    </row>
    <row r="614" ht="14.25" customHeight="1">
      <c r="C614" s="9"/>
    </row>
    <row r="615" ht="14.25" customHeight="1">
      <c r="C615" s="9"/>
    </row>
    <row r="616" ht="14.25" customHeight="1">
      <c r="C616" s="9"/>
    </row>
    <row r="617" ht="14.25" customHeight="1">
      <c r="C617" s="9"/>
    </row>
    <row r="618" ht="14.25" customHeight="1">
      <c r="C618" s="9"/>
    </row>
    <row r="619" ht="14.25" customHeight="1">
      <c r="C619" s="9"/>
    </row>
    <row r="620" ht="14.25" customHeight="1">
      <c r="C620" s="9"/>
    </row>
    <row r="621" ht="14.25" customHeight="1">
      <c r="C621" s="9"/>
    </row>
    <row r="622" ht="14.25" customHeight="1">
      <c r="C622" s="9"/>
    </row>
    <row r="623" ht="14.25" customHeight="1">
      <c r="C623" s="9"/>
    </row>
    <row r="624" ht="14.25" customHeight="1">
      <c r="C624" s="9"/>
    </row>
    <row r="625" ht="14.25" customHeight="1">
      <c r="C625" s="9"/>
    </row>
    <row r="626" ht="14.25" customHeight="1">
      <c r="C626" s="9"/>
    </row>
    <row r="627" ht="14.25" customHeight="1">
      <c r="C627" s="9"/>
    </row>
    <row r="628" ht="14.25" customHeight="1">
      <c r="C628" s="9"/>
    </row>
    <row r="629" ht="14.25" customHeight="1">
      <c r="C629" s="9"/>
    </row>
    <row r="630" ht="14.25" customHeight="1">
      <c r="C630" s="9"/>
    </row>
    <row r="631" ht="14.25" customHeight="1">
      <c r="C631" s="9"/>
    </row>
    <row r="632" ht="14.25" customHeight="1">
      <c r="C632" s="9"/>
    </row>
    <row r="633" ht="14.25" customHeight="1">
      <c r="C633" s="9"/>
    </row>
    <row r="634" ht="14.25" customHeight="1">
      <c r="C634" s="9"/>
    </row>
    <row r="635" ht="14.25" customHeight="1">
      <c r="C635" s="9"/>
    </row>
    <row r="636" ht="14.25" customHeight="1">
      <c r="C636" s="9"/>
    </row>
    <row r="637" ht="14.25" customHeight="1">
      <c r="C637" s="9"/>
    </row>
    <row r="638" ht="14.25" customHeight="1">
      <c r="C638" s="9"/>
    </row>
    <row r="639" ht="14.25" customHeight="1">
      <c r="C639" s="9"/>
    </row>
    <row r="640" ht="14.25" customHeight="1">
      <c r="C640" s="9"/>
    </row>
    <row r="641" ht="14.25" customHeight="1">
      <c r="C641" s="9"/>
    </row>
    <row r="642" ht="14.25" customHeight="1">
      <c r="C642" s="9"/>
    </row>
    <row r="643" ht="14.25" customHeight="1">
      <c r="C643" s="9"/>
    </row>
    <row r="644" ht="14.25" customHeight="1">
      <c r="C644" s="9"/>
    </row>
    <row r="645" ht="14.25" customHeight="1">
      <c r="C645" s="9"/>
    </row>
    <row r="646" ht="14.25" customHeight="1">
      <c r="C646" s="9"/>
    </row>
    <row r="647" ht="14.25" customHeight="1">
      <c r="C647" s="9"/>
    </row>
    <row r="648" ht="14.25" customHeight="1">
      <c r="C648" s="9"/>
    </row>
    <row r="649" ht="14.25" customHeight="1">
      <c r="C649" s="9"/>
    </row>
    <row r="650" ht="14.25" customHeight="1">
      <c r="C650" s="9"/>
    </row>
    <row r="651" ht="14.25" customHeight="1">
      <c r="C651" s="9"/>
    </row>
    <row r="652" ht="14.25" customHeight="1">
      <c r="C652" s="9"/>
    </row>
    <row r="653" ht="14.25" customHeight="1">
      <c r="C653" s="9"/>
    </row>
    <row r="654" ht="14.25" customHeight="1">
      <c r="C654" s="9"/>
    </row>
    <row r="655" ht="14.25" customHeight="1">
      <c r="C655" s="9"/>
    </row>
    <row r="656" ht="14.25" customHeight="1">
      <c r="C656" s="9"/>
    </row>
    <row r="657" ht="14.25" customHeight="1">
      <c r="C657" s="9"/>
    </row>
    <row r="658" ht="14.25" customHeight="1">
      <c r="C658" s="9"/>
    </row>
    <row r="659" ht="14.25" customHeight="1">
      <c r="C659" s="9"/>
    </row>
    <row r="660" ht="14.25" customHeight="1">
      <c r="C660" s="9"/>
    </row>
    <row r="661" ht="14.25" customHeight="1">
      <c r="C661" s="9"/>
    </row>
    <row r="662" ht="14.25" customHeight="1">
      <c r="C662" s="9"/>
    </row>
    <row r="663" ht="14.25" customHeight="1">
      <c r="C663" s="9"/>
    </row>
    <row r="664" ht="14.25" customHeight="1">
      <c r="C664" s="9"/>
    </row>
    <row r="665" ht="14.25" customHeight="1">
      <c r="C665" s="9"/>
    </row>
    <row r="666" ht="14.25" customHeight="1">
      <c r="C666" s="9"/>
    </row>
    <row r="667" ht="14.25" customHeight="1">
      <c r="C667" s="9"/>
    </row>
    <row r="668" ht="14.25" customHeight="1">
      <c r="C668" s="9"/>
    </row>
    <row r="669" ht="14.25" customHeight="1">
      <c r="C669" s="9"/>
    </row>
    <row r="670" ht="14.25" customHeight="1">
      <c r="C670" s="9"/>
    </row>
    <row r="671" ht="14.25" customHeight="1">
      <c r="C671" s="9"/>
    </row>
    <row r="672" ht="14.25" customHeight="1">
      <c r="C672" s="9"/>
    </row>
    <row r="673" ht="14.25" customHeight="1">
      <c r="C673" s="9"/>
    </row>
    <row r="674" ht="14.25" customHeight="1">
      <c r="C674" s="9"/>
    </row>
    <row r="675" ht="14.25" customHeight="1">
      <c r="C675" s="9"/>
    </row>
    <row r="676" ht="14.25" customHeight="1">
      <c r="C676" s="9"/>
    </row>
    <row r="677" ht="14.25" customHeight="1">
      <c r="C677" s="9"/>
    </row>
    <row r="678" ht="14.25" customHeight="1">
      <c r="C678" s="9"/>
    </row>
    <row r="679" ht="14.25" customHeight="1">
      <c r="C679" s="9"/>
    </row>
    <row r="680" ht="14.25" customHeight="1">
      <c r="C680" s="9"/>
    </row>
    <row r="681" ht="14.25" customHeight="1">
      <c r="C681" s="9"/>
    </row>
    <row r="682" ht="14.25" customHeight="1">
      <c r="C682" s="9"/>
    </row>
    <row r="683" ht="14.25" customHeight="1">
      <c r="C683" s="9"/>
    </row>
    <row r="684" ht="14.25" customHeight="1">
      <c r="C684" s="9"/>
    </row>
    <row r="685" ht="14.25" customHeight="1">
      <c r="C685" s="9"/>
    </row>
    <row r="686" ht="14.25" customHeight="1">
      <c r="C686" s="9"/>
    </row>
    <row r="687" ht="14.25" customHeight="1">
      <c r="C687" s="9"/>
    </row>
    <row r="688" ht="14.25" customHeight="1">
      <c r="C688" s="9"/>
    </row>
    <row r="689" ht="14.25" customHeight="1">
      <c r="C689" s="9"/>
    </row>
    <row r="690" ht="14.25" customHeight="1">
      <c r="C690" s="9"/>
    </row>
    <row r="691" ht="14.25" customHeight="1">
      <c r="C691" s="9"/>
    </row>
    <row r="692" ht="14.25" customHeight="1">
      <c r="C692" s="9"/>
    </row>
    <row r="693" ht="14.25" customHeight="1">
      <c r="C693" s="9"/>
    </row>
    <row r="694" ht="14.25" customHeight="1">
      <c r="C694" s="9"/>
    </row>
    <row r="695" ht="14.25" customHeight="1">
      <c r="C695" s="9"/>
    </row>
    <row r="696" ht="14.25" customHeight="1">
      <c r="C696" s="9"/>
    </row>
    <row r="697" ht="14.25" customHeight="1">
      <c r="C697" s="9"/>
    </row>
    <row r="698" ht="14.25" customHeight="1">
      <c r="C698" s="9"/>
    </row>
    <row r="699" ht="14.25" customHeight="1">
      <c r="C699" s="9"/>
    </row>
    <row r="700" ht="14.25" customHeight="1">
      <c r="C700" s="9"/>
    </row>
    <row r="701" ht="14.25" customHeight="1">
      <c r="C701" s="9"/>
    </row>
    <row r="702" ht="14.25" customHeight="1">
      <c r="C702" s="9"/>
    </row>
    <row r="703" ht="14.25" customHeight="1">
      <c r="C703" s="9"/>
    </row>
    <row r="704" ht="14.25" customHeight="1">
      <c r="C704" s="9"/>
    </row>
    <row r="705" ht="14.25" customHeight="1">
      <c r="C705" s="9"/>
    </row>
    <row r="706" ht="14.25" customHeight="1">
      <c r="C706" s="9"/>
    </row>
    <row r="707" ht="14.25" customHeight="1">
      <c r="C707" s="9"/>
    </row>
    <row r="708" ht="14.25" customHeight="1">
      <c r="C708" s="9"/>
    </row>
    <row r="709" ht="14.25" customHeight="1">
      <c r="C709" s="9"/>
    </row>
    <row r="710" ht="14.25" customHeight="1">
      <c r="C710" s="9"/>
    </row>
    <row r="711" ht="14.25" customHeight="1">
      <c r="C711" s="9"/>
    </row>
    <row r="712" ht="14.25" customHeight="1">
      <c r="C712" s="9"/>
    </row>
    <row r="713" ht="14.25" customHeight="1">
      <c r="C713" s="9"/>
    </row>
    <row r="714" ht="14.25" customHeight="1">
      <c r="C714" s="9"/>
    </row>
    <row r="715" ht="14.25" customHeight="1">
      <c r="C715" s="9"/>
    </row>
    <row r="716" ht="14.25" customHeight="1">
      <c r="C716" s="9"/>
    </row>
    <row r="717" ht="14.25" customHeight="1">
      <c r="C717" s="9"/>
    </row>
    <row r="718" ht="14.25" customHeight="1">
      <c r="C718" s="9"/>
    </row>
    <row r="719" ht="14.25" customHeight="1">
      <c r="C719" s="9"/>
    </row>
    <row r="720" ht="14.25" customHeight="1">
      <c r="C720" s="9"/>
    </row>
    <row r="721" ht="14.25" customHeight="1">
      <c r="C721" s="9"/>
    </row>
    <row r="722" ht="14.25" customHeight="1">
      <c r="C722" s="9"/>
    </row>
    <row r="723" ht="14.25" customHeight="1">
      <c r="C723" s="9"/>
    </row>
    <row r="724" ht="14.25" customHeight="1">
      <c r="C724" s="9"/>
    </row>
    <row r="725" ht="14.25" customHeight="1">
      <c r="C725" s="9"/>
    </row>
    <row r="726" ht="14.25" customHeight="1">
      <c r="C726" s="9"/>
    </row>
    <row r="727" ht="14.25" customHeight="1">
      <c r="C727" s="9"/>
    </row>
    <row r="728" ht="14.25" customHeight="1">
      <c r="C728" s="9"/>
    </row>
    <row r="729" ht="14.25" customHeight="1">
      <c r="C729" s="9"/>
    </row>
    <row r="730" ht="14.25" customHeight="1">
      <c r="C730" s="9"/>
    </row>
    <row r="731" ht="14.25" customHeight="1">
      <c r="C731" s="9"/>
    </row>
    <row r="732" ht="14.25" customHeight="1">
      <c r="C732" s="9"/>
    </row>
    <row r="733" ht="14.25" customHeight="1">
      <c r="C733" s="9"/>
    </row>
    <row r="734" ht="14.25" customHeight="1">
      <c r="C734" s="9"/>
    </row>
    <row r="735" ht="14.25" customHeight="1">
      <c r="C735" s="9"/>
    </row>
    <row r="736" ht="14.25" customHeight="1">
      <c r="C736" s="9"/>
    </row>
    <row r="737" ht="14.25" customHeight="1">
      <c r="C737" s="9"/>
    </row>
    <row r="738" ht="14.25" customHeight="1">
      <c r="C738" s="9"/>
    </row>
    <row r="739" ht="14.25" customHeight="1">
      <c r="C739" s="9"/>
    </row>
    <row r="740" ht="14.25" customHeight="1">
      <c r="C740" s="9"/>
    </row>
    <row r="741" ht="14.25" customHeight="1">
      <c r="C741" s="9"/>
    </row>
    <row r="742" ht="14.25" customHeight="1">
      <c r="C742" s="9"/>
    </row>
    <row r="743" ht="14.25" customHeight="1">
      <c r="C743" s="9"/>
    </row>
    <row r="744" ht="14.25" customHeight="1">
      <c r="C744" s="9"/>
    </row>
    <row r="745" ht="14.25" customHeight="1">
      <c r="C745" s="9"/>
    </row>
    <row r="746" ht="14.25" customHeight="1">
      <c r="C746" s="9"/>
    </row>
    <row r="747" ht="14.25" customHeight="1">
      <c r="C747" s="9"/>
    </row>
    <row r="748" ht="14.25" customHeight="1">
      <c r="C748" s="9"/>
    </row>
    <row r="749" ht="14.25" customHeight="1">
      <c r="C749" s="9"/>
    </row>
    <row r="750" ht="14.25" customHeight="1">
      <c r="C750" s="9"/>
    </row>
    <row r="751" ht="14.25" customHeight="1">
      <c r="C751" s="9"/>
    </row>
    <row r="752" ht="14.25" customHeight="1">
      <c r="C752" s="9"/>
    </row>
    <row r="753" ht="14.25" customHeight="1">
      <c r="C753" s="9"/>
    </row>
    <row r="754" ht="14.25" customHeight="1">
      <c r="C754" s="9"/>
    </row>
    <row r="755" ht="14.25" customHeight="1">
      <c r="C755" s="9"/>
    </row>
    <row r="756" ht="14.25" customHeight="1">
      <c r="C756" s="9"/>
    </row>
    <row r="757" ht="14.25" customHeight="1">
      <c r="C757" s="9"/>
    </row>
    <row r="758" ht="14.25" customHeight="1">
      <c r="C758" s="9"/>
    </row>
    <row r="759" ht="14.25" customHeight="1">
      <c r="C759" s="9"/>
    </row>
    <row r="760" ht="14.25" customHeight="1">
      <c r="C760" s="9"/>
    </row>
    <row r="761" ht="14.25" customHeight="1">
      <c r="C761" s="9"/>
    </row>
    <row r="762" ht="14.25" customHeight="1">
      <c r="C762" s="9"/>
    </row>
    <row r="763" ht="14.25" customHeight="1">
      <c r="C763" s="9"/>
    </row>
    <row r="764" ht="14.25" customHeight="1">
      <c r="C764" s="9"/>
    </row>
    <row r="765" ht="14.25" customHeight="1">
      <c r="C765" s="9"/>
    </row>
    <row r="766" ht="14.25" customHeight="1">
      <c r="C766" s="9"/>
    </row>
    <row r="767" ht="14.25" customHeight="1">
      <c r="C767" s="9"/>
    </row>
    <row r="768" ht="14.25" customHeight="1">
      <c r="C768" s="9"/>
    </row>
    <row r="769" ht="14.25" customHeight="1">
      <c r="C769" s="9"/>
    </row>
    <row r="770" ht="14.25" customHeight="1">
      <c r="C770" s="9"/>
    </row>
    <row r="771" ht="14.25" customHeight="1">
      <c r="C771" s="9"/>
    </row>
    <row r="772" ht="14.25" customHeight="1">
      <c r="C772" s="9"/>
    </row>
    <row r="773" ht="14.25" customHeight="1">
      <c r="C773" s="9"/>
    </row>
    <row r="774" ht="14.25" customHeight="1">
      <c r="C774" s="9"/>
    </row>
    <row r="775" ht="14.25" customHeight="1">
      <c r="C775" s="9"/>
    </row>
    <row r="776" ht="14.25" customHeight="1">
      <c r="C776" s="9"/>
    </row>
    <row r="777" ht="14.25" customHeight="1">
      <c r="C777" s="9"/>
    </row>
    <row r="778" ht="14.25" customHeight="1">
      <c r="C778" s="9"/>
    </row>
    <row r="779" ht="14.25" customHeight="1">
      <c r="C779" s="9"/>
    </row>
    <row r="780" ht="14.25" customHeight="1">
      <c r="C780" s="9"/>
    </row>
    <row r="781" ht="14.25" customHeight="1">
      <c r="C781" s="9"/>
    </row>
    <row r="782" ht="14.25" customHeight="1">
      <c r="C782" s="9"/>
    </row>
    <row r="783" ht="14.25" customHeight="1">
      <c r="C783" s="9"/>
    </row>
    <row r="784" ht="14.25" customHeight="1">
      <c r="C784" s="9"/>
    </row>
    <row r="785" ht="14.25" customHeight="1">
      <c r="C785" s="9"/>
    </row>
    <row r="786" ht="14.25" customHeight="1">
      <c r="C786" s="9"/>
    </row>
    <row r="787" ht="14.25" customHeight="1">
      <c r="C787" s="9"/>
    </row>
    <row r="788" ht="14.25" customHeight="1">
      <c r="C788" s="9"/>
    </row>
    <row r="789" ht="14.25" customHeight="1">
      <c r="C789" s="9"/>
    </row>
    <row r="790" ht="14.25" customHeight="1">
      <c r="C790" s="9"/>
    </row>
    <row r="791" ht="14.25" customHeight="1">
      <c r="C791" s="9"/>
    </row>
    <row r="792" ht="14.25" customHeight="1">
      <c r="C792" s="9"/>
    </row>
    <row r="793" ht="14.25" customHeight="1">
      <c r="C793" s="9"/>
    </row>
    <row r="794" ht="14.25" customHeight="1">
      <c r="C794" s="9"/>
    </row>
    <row r="795" ht="14.25" customHeight="1">
      <c r="C795" s="9"/>
    </row>
    <row r="796" ht="14.25" customHeight="1">
      <c r="C796" s="9"/>
    </row>
    <row r="797" ht="14.25" customHeight="1">
      <c r="C797" s="9"/>
    </row>
    <row r="798" ht="14.25" customHeight="1">
      <c r="C798" s="9"/>
    </row>
    <row r="799" ht="14.25" customHeight="1">
      <c r="C799" s="9"/>
    </row>
    <row r="800" ht="14.25" customHeight="1">
      <c r="C800" s="9"/>
    </row>
    <row r="801" ht="14.25" customHeight="1">
      <c r="C801" s="9"/>
    </row>
    <row r="802" ht="14.25" customHeight="1">
      <c r="C802" s="9"/>
    </row>
    <row r="803" ht="14.25" customHeight="1">
      <c r="C803" s="9"/>
    </row>
    <row r="804" ht="14.25" customHeight="1">
      <c r="C804" s="9"/>
    </row>
    <row r="805" ht="14.25" customHeight="1">
      <c r="C805" s="9"/>
    </row>
    <row r="806" ht="14.25" customHeight="1">
      <c r="C806" s="9"/>
    </row>
    <row r="807" ht="14.25" customHeight="1">
      <c r="C807" s="9"/>
    </row>
    <row r="808" ht="14.25" customHeight="1">
      <c r="C808" s="9"/>
    </row>
    <row r="809" ht="14.25" customHeight="1">
      <c r="C809" s="9"/>
    </row>
    <row r="810" ht="14.25" customHeight="1">
      <c r="C810" s="9"/>
    </row>
    <row r="811" ht="14.25" customHeight="1">
      <c r="C811" s="9"/>
    </row>
    <row r="812" ht="14.25" customHeight="1">
      <c r="C812" s="9"/>
    </row>
    <row r="813" ht="14.25" customHeight="1">
      <c r="C813" s="9"/>
    </row>
    <row r="814" ht="14.25" customHeight="1">
      <c r="C814" s="9"/>
    </row>
    <row r="815" ht="14.25" customHeight="1">
      <c r="C815" s="9"/>
    </row>
    <row r="816" ht="14.25" customHeight="1">
      <c r="C816" s="9"/>
    </row>
    <row r="817" ht="14.25" customHeight="1">
      <c r="C817" s="9"/>
    </row>
    <row r="818" ht="14.25" customHeight="1">
      <c r="C818" s="9"/>
    </row>
    <row r="819" ht="14.25" customHeight="1">
      <c r="C819" s="9"/>
    </row>
    <row r="820" ht="14.25" customHeight="1">
      <c r="C820" s="9"/>
    </row>
    <row r="821" ht="14.25" customHeight="1">
      <c r="C821" s="9"/>
    </row>
    <row r="822" ht="14.25" customHeight="1">
      <c r="C822" s="9"/>
    </row>
    <row r="823" ht="14.25" customHeight="1">
      <c r="C823" s="9"/>
    </row>
    <row r="824" ht="14.25" customHeight="1">
      <c r="C824" s="9"/>
    </row>
    <row r="825" ht="14.25" customHeight="1">
      <c r="C825" s="9"/>
    </row>
    <row r="826" ht="14.25" customHeight="1">
      <c r="C826" s="9"/>
    </row>
    <row r="827" ht="14.25" customHeight="1">
      <c r="C827" s="9"/>
    </row>
    <row r="828" ht="14.25" customHeight="1">
      <c r="C828" s="9"/>
    </row>
    <row r="829" ht="14.25" customHeight="1">
      <c r="C829" s="9"/>
    </row>
    <row r="830" ht="14.25" customHeight="1">
      <c r="C830" s="9"/>
    </row>
    <row r="831" ht="14.25" customHeight="1">
      <c r="C831" s="9"/>
    </row>
    <row r="832" ht="14.25" customHeight="1">
      <c r="C832" s="9"/>
    </row>
    <row r="833" ht="14.25" customHeight="1">
      <c r="C833" s="9"/>
    </row>
    <row r="834" ht="14.25" customHeight="1">
      <c r="C834" s="9"/>
    </row>
    <row r="835" ht="14.25" customHeight="1">
      <c r="C835" s="9"/>
    </row>
    <row r="836" ht="14.25" customHeight="1">
      <c r="C836" s="9"/>
    </row>
    <row r="837" ht="14.25" customHeight="1">
      <c r="C837" s="9"/>
    </row>
    <row r="838" ht="14.25" customHeight="1">
      <c r="C838" s="9"/>
    </row>
    <row r="839" ht="14.25" customHeight="1">
      <c r="C839" s="9"/>
    </row>
    <row r="840" ht="14.25" customHeight="1">
      <c r="C840" s="9"/>
    </row>
    <row r="841" ht="14.25" customHeight="1">
      <c r="C841" s="9"/>
    </row>
    <row r="842" ht="14.25" customHeight="1">
      <c r="C842" s="9"/>
    </row>
    <row r="843" ht="14.25" customHeight="1">
      <c r="C843" s="9"/>
    </row>
    <row r="844" ht="14.25" customHeight="1">
      <c r="C844" s="9"/>
    </row>
    <row r="845" ht="14.25" customHeight="1">
      <c r="C845" s="9"/>
    </row>
    <row r="846" ht="14.25" customHeight="1">
      <c r="C846" s="9"/>
    </row>
    <row r="847" ht="14.25" customHeight="1">
      <c r="C847" s="9"/>
    </row>
    <row r="848" ht="14.25" customHeight="1">
      <c r="C848" s="9"/>
    </row>
    <row r="849" ht="14.25" customHeight="1">
      <c r="C849" s="9"/>
    </row>
    <row r="850" ht="14.25" customHeight="1">
      <c r="C850" s="9"/>
    </row>
    <row r="851" ht="14.25" customHeight="1">
      <c r="C851" s="9"/>
    </row>
    <row r="852" ht="14.25" customHeight="1">
      <c r="C852" s="9"/>
    </row>
    <row r="853" ht="14.25" customHeight="1">
      <c r="C853" s="9"/>
    </row>
    <row r="854" ht="14.25" customHeight="1">
      <c r="C854" s="9"/>
    </row>
    <row r="855" ht="14.25" customHeight="1">
      <c r="C855" s="9"/>
    </row>
    <row r="856" ht="14.25" customHeight="1">
      <c r="C856" s="9"/>
    </row>
    <row r="857" ht="14.25" customHeight="1">
      <c r="C857" s="9"/>
    </row>
    <row r="858" ht="14.25" customHeight="1">
      <c r="C858" s="9"/>
    </row>
    <row r="859" ht="14.25" customHeight="1">
      <c r="C859" s="9"/>
    </row>
    <row r="860" ht="14.25" customHeight="1">
      <c r="C860" s="9"/>
    </row>
    <row r="861" ht="14.25" customHeight="1">
      <c r="C861" s="9"/>
    </row>
    <row r="862" ht="14.25" customHeight="1">
      <c r="C862" s="9"/>
    </row>
    <row r="863" ht="14.25" customHeight="1">
      <c r="C863" s="9"/>
    </row>
    <row r="864" ht="14.25" customHeight="1">
      <c r="C864" s="9"/>
    </row>
    <row r="865" ht="14.25" customHeight="1">
      <c r="C865" s="9"/>
    </row>
    <row r="866" ht="14.25" customHeight="1">
      <c r="C866" s="9"/>
    </row>
    <row r="867" ht="14.25" customHeight="1">
      <c r="C867" s="9"/>
    </row>
    <row r="868" ht="14.25" customHeight="1">
      <c r="C868" s="9"/>
    </row>
    <row r="869" ht="14.25" customHeight="1">
      <c r="C869" s="9"/>
    </row>
    <row r="870" ht="14.25" customHeight="1">
      <c r="C870" s="9"/>
    </row>
    <row r="871" ht="14.25" customHeight="1">
      <c r="C871" s="9"/>
    </row>
    <row r="872" ht="14.25" customHeight="1">
      <c r="C872" s="9"/>
    </row>
    <row r="873" ht="14.25" customHeight="1">
      <c r="C873" s="9"/>
    </row>
    <row r="874" ht="14.25" customHeight="1">
      <c r="C874" s="9"/>
    </row>
    <row r="875" ht="14.25" customHeight="1">
      <c r="C875" s="9"/>
    </row>
    <row r="876" ht="14.25" customHeight="1">
      <c r="C876" s="9"/>
    </row>
    <row r="877" ht="14.25" customHeight="1">
      <c r="C877" s="9"/>
    </row>
    <row r="878" ht="14.25" customHeight="1">
      <c r="C878" s="9"/>
    </row>
    <row r="879" ht="14.25" customHeight="1">
      <c r="C879" s="9"/>
    </row>
    <row r="880" ht="14.25" customHeight="1">
      <c r="C880" s="9"/>
    </row>
    <row r="881" ht="14.25" customHeight="1">
      <c r="C881" s="9"/>
    </row>
    <row r="882" ht="14.25" customHeight="1">
      <c r="C882" s="9"/>
    </row>
    <row r="883" ht="14.25" customHeight="1">
      <c r="C883" s="9"/>
    </row>
    <row r="884" ht="14.25" customHeight="1">
      <c r="C884" s="9"/>
    </row>
    <row r="885" ht="14.25" customHeight="1">
      <c r="C885" s="9"/>
    </row>
    <row r="886" ht="14.25" customHeight="1">
      <c r="C886" s="9"/>
    </row>
    <row r="887" ht="14.25" customHeight="1">
      <c r="C887" s="9"/>
    </row>
    <row r="888" ht="14.25" customHeight="1">
      <c r="C888" s="9"/>
    </row>
    <row r="889" ht="14.25" customHeight="1">
      <c r="C889" s="9"/>
    </row>
    <row r="890" ht="14.25" customHeight="1">
      <c r="C890" s="9"/>
    </row>
    <row r="891" ht="14.25" customHeight="1">
      <c r="C891" s="9"/>
    </row>
    <row r="892" ht="14.25" customHeight="1">
      <c r="C892" s="9"/>
    </row>
    <row r="893" ht="14.25" customHeight="1">
      <c r="C893" s="9"/>
    </row>
    <row r="894" ht="14.25" customHeight="1">
      <c r="C894" s="9"/>
    </row>
    <row r="895" ht="14.25" customHeight="1">
      <c r="C895" s="9"/>
    </row>
    <row r="896" ht="14.25" customHeight="1">
      <c r="C896" s="9"/>
    </row>
    <row r="897" ht="14.25" customHeight="1">
      <c r="C897" s="9"/>
    </row>
    <row r="898" ht="14.25" customHeight="1">
      <c r="C898" s="9"/>
    </row>
    <row r="899" ht="14.25" customHeight="1">
      <c r="C899" s="9"/>
    </row>
    <row r="900" ht="14.25" customHeight="1">
      <c r="C900" s="9"/>
    </row>
    <row r="901" ht="14.25" customHeight="1">
      <c r="C901" s="9"/>
    </row>
    <row r="902" ht="14.25" customHeight="1">
      <c r="C902" s="9"/>
    </row>
    <row r="903" ht="14.25" customHeight="1">
      <c r="C903" s="9"/>
    </row>
    <row r="904" ht="14.25" customHeight="1">
      <c r="C904" s="9"/>
    </row>
    <row r="905" ht="14.25" customHeight="1">
      <c r="C905" s="9"/>
    </row>
    <row r="906" ht="14.25" customHeight="1">
      <c r="C906" s="9"/>
    </row>
    <row r="907" ht="14.25" customHeight="1">
      <c r="C907" s="9"/>
    </row>
    <row r="908" ht="14.25" customHeight="1">
      <c r="C908" s="9"/>
    </row>
    <row r="909" ht="14.25" customHeight="1">
      <c r="C909" s="9"/>
    </row>
    <row r="910" ht="14.25" customHeight="1">
      <c r="C910" s="9"/>
    </row>
    <row r="911" ht="14.25" customHeight="1">
      <c r="C911" s="9"/>
    </row>
    <row r="912" ht="14.25" customHeight="1">
      <c r="C912" s="9"/>
    </row>
    <row r="913" ht="14.25" customHeight="1">
      <c r="C913" s="9"/>
    </row>
    <row r="914" ht="14.25" customHeight="1">
      <c r="C914" s="9"/>
    </row>
    <row r="915" ht="14.25" customHeight="1">
      <c r="C915" s="9"/>
    </row>
    <row r="916" ht="14.25" customHeight="1">
      <c r="C916" s="9"/>
    </row>
    <row r="917" ht="14.25" customHeight="1">
      <c r="C917" s="9"/>
    </row>
    <row r="918" ht="14.25" customHeight="1">
      <c r="C918" s="9"/>
    </row>
    <row r="919" ht="14.25" customHeight="1">
      <c r="C919" s="9"/>
    </row>
    <row r="920" ht="14.25" customHeight="1">
      <c r="C920" s="9"/>
    </row>
    <row r="921" ht="14.25" customHeight="1">
      <c r="C921" s="9"/>
    </row>
    <row r="922" ht="14.25" customHeight="1">
      <c r="C922" s="9"/>
    </row>
    <row r="923" ht="14.25" customHeight="1">
      <c r="C923" s="9"/>
    </row>
    <row r="924" ht="14.25" customHeight="1">
      <c r="C924" s="9"/>
    </row>
    <row r="925" ht="14.25" customHeight="1">
      <c r="C925" s="9"/>
    </row>
    <row r="926" ht="14.25" customHeight="1">
      <c r="C926" s="9"/>
    </row>
    <row r="927" ht="14.25" customHeight="1">
      <c r="C927" s="9"/>
    </row>
    <row r="928" ht="14.25" customHeight="1">
      <c r="C928" s="9"/>
    </row>
    <row r="929" ht="14.25" customHeight="1">
      <c r="C929" s="9"/>
    </row>
    <row r="930" ht="14.25" customHeight="1">
      <c r="C930" s="9"/>
    </row>
    <row r="931" ht="14.25" customHeight="1">
      <c r="C931" s="9"/>
    </row>
    <row r="932" ht="14.25" customHeight="1">
      <c r="C932" s="9"/>
    </row>
    <row r="933" ht="14.25" customHeight="1">
      <c r="C933" s="9"/>
    </row>
    <row r="934" ht="14.25" customHeight="1">
      <c r="C934" s="9"/>
    </row>
    <row r="935" ht="14.25" customHeight="1">
      <c r="C935" s="9"/>
    </row>
    <row r="936" ht="14.25" customHeight="1">
      <c r="C936" s="9"/>
    </row>
    <row r="937" ht="14.25" customHeight="1">
      <c r="C937" s="9"/>
    </row>
    <row r="938" ht="14.25" customHeight="1">
      <c r="C938" s="9"/>
    </row>
    <row r="939" ht="14.25" customHeight="1">
      <c r="C939" s="9"/>
    </row>
    <row r="940" ht="14.25" customHeight="1">
      <c r="C940" s="9"/>
    </row>
    <row r="941" ht="14.25" customHeight="1">
      <c r="C941" s="9"/>
    </row>
    <row r="942" ht="14.25" customHeight="1">
      <c r="C942" s="9"/>
    </row>
    <row r="943" ht="14.25" customHeight="1">
      <c r="C943" s="9"/>
    </row>
    <row r="944" ht="14.25" customHeight="1">
      <c r="C944" s="9"/>
    </row>
    <row r="945" ht="14.25" customHeight="1">
      <c r="C945" s="9"/>
    </row>
    <row r="946" ht="14.25" customHeight="1">
      <c r="C946" s="9"/>
    </row>
    <row r="947" ht="14.25" customHeight="1">
      <c r="C947" s="9"/>
    </row>
    <row r="948" ht="14.25" customHeight="1">
      <c r="C948" s="9"/>
    </row>
    <row r="949" ht="14.25" customHeight="1">
      <c r="C949" s="9"/>
    </row>
    <row r="950" ht="14.25" customHeight="1">
      <c r="C950" s="9"/>
    </row>
    <row r="951" ht="14.25" customHeight="1">
      <c r="C951" s="9"/>
    </row>
    <row r="952" ht="14.25" customHeight="1">
      <c r="C952" s="9"/>
    </row>
    <row r="953" ht="14.25" customHeight="1">
      <c r="C953" s="9"/>
    </row>
    <row r="954" ht="14.25" customHeight="1">
      <c r="C954" s="9"/>
    </row>
    <row r="955" ht="14.25" customHeight="1">
      <c r="C955" s="9"/>
    </row>
    <row r="956" ht="14.25" customHeight="1">
      <c r="C956" s="9"/>
    </row>
    <row r="957" ht="14.25" customHeight="1">
      <c r="C957" s="9"/>
    </row>
    <row r="958" ht="14.25" customHeight="1">
      <c r="C958" s="9"/>
    </row>
    <row r="959" ht="14.25" customHeight="1">
      <c r="C959" s="9"/>
    </row>
    <row r="960" ht="14.25" customHeight="1">
      <c r="C960" s="9"/>
    </row>
    <row r="961" ht="14.25" customHeight="1">
      <c r="C961" s="9"/>
    </row>
    <row r="962" ht="14.25" customHeight="1">
      <c r="C962" s="9"/>
    </row>
    <row r="963" ht="14.25" customHeight="1">
      <c r="C963" s="9"/>
    </row>
    <row r="964" ht="14.25" customHeight="1">
      <c r="C964" s="9"/>
    </row>
    <row r="965" ht="14.25" customHeight="1">
      <c r="C965" s="9"/>
    </row>
    <row r="966" ht="14.25" customHeight="1">
      <c r="C966" s="9"/>
    </row>
    <row r="967" ht="14.25" customHeight="1">
      <c r="C967" s="9"/>
    </row>
    <row r="968" ht="14.25" customHeight="1">
      <c r="C968" s="9"/>
    </row>
    <row r="969" ht="14.25" customHeight="1">
      <c r="C969" s="9"/>
    </row>
    <row r="970" ht="14.25" customHeight="1">
      <c r="C970" s="9"/>
    </row>
    <row r="971" ht="14.25" customHeight="1">
      <c r="C971" s="9"/>
    </row>
    <row r="972" ht="14.25" customHeight="1">
      <c r="C972" s="9"/>
    </row>
    <row r="973" ht="14.25" customHeight="1">
      <c r="C973" s="9"/>
    </row>
    <row r="974" ht="14.25" customHeight="1">
      <c r="C974" s="9"/>
    </row>
    <row r="975" ht="14.25" customHeight="1">
      <c r="C975" s="9"/>
    </row>
    <row r="976" ht="14.25" customHeight="1">
      <c r="C976" s="9"/>
    </row>
    <row r="977" ht="14.25" customHeight="1">
      <c r="C977" s="9"/>
    </row>
    <row r="978" ht="14.25" customHeight="1">
      <c r="C978" s="9"/>
    </row>
    <row r="979" ht="14.25" customHeight="1">
      <c r="C979" s="9"/>
    </row>
    <row r="980" ht="14.25" customHeight="1">
      <c r="C980" s="9"/>
    </row>
    <row r="981" ht="14.25" customHeight="1">
      <c r="C981" s="9"/>
    </row>
    <row r="982" ht="14.25" customHeight="1">
      <c r="C982" s="9"/>
    </row>
    <row r="983" ht="14.25" customHeight="1">
      <c r="C983" s="9"/>
    </row>
    <row r="984" ht="14.25" customHeight="1">
      <c r="C984" s="9"/>
    </row>
    <row r="985" ht="14.25" customHeight="1">
      <c r="C985" s="9"/>
    </row>
    <row r="986" ht="14.25" customHeight="1">
      <c r="C986" s="9"/>
    </row>
    <row r="987" ht="14.25" customHeight="1">
      <c r="C987" s="9"/>
    </row>
    <row r="988" ht="14.25" customHeight="1">
      <c r="C988" s="9"/>
    </row>
    <row r="989" ht="14.25" customHeight="1">
      <c r="C989" s="9"/>
    </row>
    <row r="990" ht="14.25" customHeight="1">
      <c r="C990" s="9"/>
    </row>
    <row r="991" ht="14.25" customHeight="1">
      <c r="C991" s="9"/>
    </row>
    <row r="992" ht="14.25" customHeight="1">
      <c r="C992" s="9"/>
    </row>
    <row r="993" ht="14.25" customHeight="1">
      <c r="C993" s="9"/>
    </row>
    <row r="994" ht="14.25" customHeight="1">
      <c r="C994" s="9"/>
    </row>
    <row r="995" ht="14.25" customHeight="1">
      <c r="C995" s="9"/>
    </row>
    <row r="996" ht="14.25" customHeight="1">
      <c r="C996" s="9"/>
    </row>
    <row r="997" ht="14.25" customHeight="1">
      <c r="C997" s="9"/>
    </row>
    <row r="998" ht="14.25" customHeight="1">
      <c r="C998" s="9"/>
    </row>
    <row r="999" ht="14.25" customHeight="1">
      <c r="C999" s="9"/>
    </row>
    <row r="1000" ht="14.25" customHeight="1">
      <c r="C1000" s="9"/>
    </row>
  </sheetData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0"/>
    <col customWidth="1" min="4" max="4" width="11.71"/>
    <col customWidth="1" min="5" max="26" width="8.71"/>
  </cols>
  <sheetData>
    <row r="1" ht="14.25" customHeight="1">
      <c r="A1" s="6" t="s">
        <v>267</v>
      </c>
    </row>
    <row r="2" ht="14.25" customHeight="1">
      <c r="A2" s="6" t="s">
        <v>268</v>
      </c>
    </row>
    <row r="3" ht="14.25" customHeight="1">
      <c r="A3" s="6" t="s">
        <v>269</v>
      </c>
    </row>
    <row r="4" ht="14.25" customHeight="1">
      <c r="A4" s="6" t="s">
        <v>270</v>
      </c>
    </row>
    <row r="5" ht="14.25" customHeight="1">
      <c r="A5" s="6" t="s">
        <v>271</v>
      </c>
    </row>
    <row r="6" ht="14.25" customHeight="1"/>
    <row r="7" ht="14.25" customHeight="1">
      <c r="A7" s="6" t="s">
        <v>272</v>
      </c>
      <c r="C7" s="6" t="s">
        <v>273</v>
      </c>
    </row>
    <row r="8" ht="14.25" customHeight="1">
      <c r="A8" s="6" t="s">
        <v>274</v>
      </c>
      <c r="C8" s="6" t="s">
        <v>275</v>
      </c>
    </row>
    <row r="9" ht="14.25" customHeight="1"/>
    <row r="10" ht="14.25" customHeight="1">
      <c r="A10" s="6" t="s">
        <v>276</v>
      </c>
      <c r="B10" s="6" t="s">
        <v>277</v>
      </c>
      <c r="C10" s="6" t="s">
        <v>278</v>
      </c>
      <c r="D10" s="6" t="s">
        <v>274</v>
      </c>
    </row>
    <row r="11" ht="14.25" customHeight="1">
      <c r="A11" s="6">
        <v>601.4</v>
      </c>
      <c r="B11" s="6">
        <v>598.0</v>
      </c>
      <c r="C11" s="6">
        <v>601.6</v>
      </c>
      <c r="D11" s="6">
        <v>1.0</v>
      </c>
    </row>
    <row r="12" ht="14.25" customHeight="1">
      <c r="A12" s="6">
        <v>601.6</v>
      </c>
      <c r="B12" s="6">
        <v>599.8</v>
      </c>
      <c r="C12" s="6">
        <v>600.4</v>
      </c>
      <c r="D12" s="6">
        <v>1.0</v>
      </c>
    </row>
    <row r="13" ht="14.25" customHeight="1">
      <c r="A13" s="6">
        <v>598.0</v>
      </c>
      <c r="B13" s="6">
        <v>600.0</v>
      </c>
      <c r="C13" s="6">
        <v>598.4</v>
      </c>
      <c r="D13" s="6">
        <v>1.0</v>
      </c>
    </row>
    <row r="14" ht="14.25" customHeight="1">
      <c r="A14" s="6">
        <v>601.4</v>
      </c>
      <c r="B14" s="6">
        <v>599.8</v>
      </c>
      <c r="C14" s="6">
        <v>600.0</v>
      </c>
      <c r="D14" s="6">
        <v>1.0</v>
      </c>
    </row>
    <row r="15" ht="14.25" customHeight="1">
      <c r="A15" s="6">
        <v>599.4</v>
      </c>
      <c r="B15" s="6">
        <v>600.0</v>
      </c>
      <c r="C15" s="6">
        <v>596.8</v>
      </c>
      <c r="D15" s="6">
        <v>1.0</v>
      </c>
    </row>
    <row r="16" ht="14.25" customHeight="1">
      <c r="A16" s="6">
        <v>600.0</v>
      </c>
      <c r="B16" s="6">
        <v>600.0</v>
      </c>
      <c r="C16" s="6">
        <v>602.8</v>
      </c>
      <c r="D16" s="6">
        <v>2.0</v>
      </c>
    </row>
    <row r="17" ht="14.25" customHeight="1">
      <c r="A17" s="6">
        <v>600.2</v>
      </c>
      <c r="B17" s="6">
        <v>598.8</v>
      </c>
      <c r="C17" s="6">
        <v>600.8</v>
      </c>
      <c r="D17" s="6">
        <v>2.0</v>
      </c>
    </row>
    <row r="18" ht="14.25" customHeight="1">
      <c r="A18" s="6">
        <v>601.2</v>
      </c>
      <c r="B18" s="6">
        <v>598.2</v>
      </c>
      <c r="C18" s="6">
        <v>603.6</v>
      </c>
      <c r="D18" s="6">
        <v>2.0</v>
      </c>
    </row>
    <row r="19" ht="14.25" customHeight="1">
      <c r="A19" s="6">
        <v>598.4</v>
      </c>
      <c r="B19" s="6">
        <v>599.4</v>
      </c>
      <c r="C19" s="6">
        <v>604.2</v>
      </c>
      <c r="D19" s="6">
        <v>2.0</v>
      </c>
    </row>
    <row r="20" ht="14.25" customHeight="1">
      <c r="A20" s="6">
        <v>599.0</v>
      </c>
      <c r="B20" s="6">
        <v>599.6</v>
      </c>
      <c r="C20" s="6">
        <v>602.4</v>
      </c>
      <c r="D20" s="6">
        <v>2.0</v>
      </c>
    </row>
    <row r="21" ht="14.25" customHeight="1">
      <c r="A21" s="6">
        <v>601.2</v>
      </c>
      <c r="B21" s="6">
        <v>599.4</v>
      </c>
      <c r="C21" s="6">
        <v>598.4</v>
      </c>
      <c r="D21" s="6">
        <v>3.0</v>
      </c>
    </row>
    <row r="22" ht="14.25" customHeight="1">
      <c r="A22" s="6">
        <v>601.0</v>
      </c>
      <c r="B22" s="6">
        <v>599.4</v>
      </c>
      <c r="C22" s="6">
        <v>599.6</v>
      </c>
      <c r="D22" s="6">
        <v>3.0</v>
      </c>
    </row>
    <row r="23" ht="14.25" customHeight="1">
      <c r="A23" s="6">
        <v>600.8</v>
      </c>
      <c r="B23" s="6">
        <v>600.0</v>
      </c>
      <c r="C23" s="6">
        <v>603.4</v>
      </c>
      <c r="D23" s="6">
        <v>3.0</v>
      </c>
    </row>
    <row r="24" ht="14.25" customHeight="1">
      <c r="A24" s="6">
        <v>597.6</v>
      </c>
      <c r="B24" s="6">
        <v>598.8</v>
      </c>
      <c r="C24" s="6">
        <v>600.6</v>
      </c>
      <c r="D24" s="6">
        <v>3.0</v>
      </c>
    </row>
    <row r="25" ht="14.25" customHeight="1">
      <c r="A25" s="6">
        <v>601.6</v>
      </c>
      <c r="B25" s="6">
        <v>599.2</v>
      </c>
      <c r="C25" s="6">
        <v>598.4</v>
      </c>
      <c r="D25" s="6">
        <v>3.0</v>
      </c>
    </row>
    <row r="26" ht="14.25" customHeight="1">
      <c r="A26" s="6">
        <v>599.4</v>
      </c>
      <c r="B26" s="6">
        <v>599.4</v>
      </c>
      <c r="C26" s="6">
        <v>598.2</v>
      </c>
      <c r="D26" s="6">
        <v>4.0</v>
      </c>
    </row>
    <row r="27" ht="14.25" customHeight="1">
      <c r="A27" s="6">
        <v>601.2</v>
      </c>
      <c r="B27" s="6">
        <v>599.6</v>
      </c>
      <c r="C27" s="6">
        <v>602.0</v>
      </c>
      <c r="D27" s="6">
        <v>4.0</v>
      </c>
    </row>
    <row r="28" ht="14.25" customHeight="1">
      <c r="A28" s="6">
        <v>598.4</v>
      </c>
      <c r="B28" s="6">
        <v>599.0</v>
      </c>
      <c r="C28" s="6">
        <v>599.4</v>
      </c>
      <c r="D28" s="6">
        <v>4.0</v>
      </c>
    </row>
    <row r="29" ht="14.25" customHeight="1">
      <c r="A29" s="6">
        <v>599.2</v>
      </c>
      <c r="B29" s="6">
        <v>599.2</v>
      </c>
      <c r="C29" s="6">
        <v>599.4</v>
      </c>
      <c r="D29" s="6">
        <v>4.0</v>
      </c>
    </row>
    <row r="30" ht="14.25" customHeight="1">
      <c r="A30" s="6">
        <v>598.8</v>
      </c>
      <c r="B30" s="6">
        <v>600.6</v>
      </c>
      <c r="C30" s="6">
        <v>600.8</v>
      </c>
      <c r="D30" s="6">
        <v>4.0</v>
      </c>
    </row>
    <row r="31" ht="14.25" customHeight="1">
      <c r="A31" s="6">
        <v>601.4</v>
      </c>
      <c r="B31" s="6">
        <v>598.8</v>
      </c>
      <c r="C31" s="6">
        <v>600.8</v>
      </c>
      <c r="D31" s="6">
        <v>5.0</v>
      </c>
    </row>
    <row r="32" ht="14.25" customHeight="1">
      <c r="A32" s="6">
        <v>599.0</v>
      </c>
      <c r="B32" s="6">
        <v>598.8</v>
      </c>
      <c r="C32" s="6">
        <v>598.6</v>
      </c>
      <c r="D32" s="6">
        <v>5.0</v>
      </c>
    </row>
    <row r="33" ht="14.25" customHeight="1">
      <c r="A33" s="6">
        <v>601.0</v>
      </c>
      <c r="B33" s="6">
        <v>599.8</v>
      </c>
      <c r="C33" s="6">
        <v>600.0</v>
      </c>
      <c r="D33" s="6">
        <v>5.0</v>
      </c>
    </row>
    <row r="34" ht="14.25" customHeight="1">
      <c r="A34" s="6">
        <v>601.6</v>
      </c>
      <c r="B34" s="6">
        <v>599.2</v>
      </c>
      <c r="C34" s="6">
        <v>600.4</v>
      </c>
      <c r="D34" s="6">
        <v>5.0</v>
      </c>
    </row>
    <row r="35" ht="14.25" customHeight="1">
      <c r="A35" s="6">
        <v>601.4</v>
      </c>
      <c r="B35" s="6">
        <v>599.4</v>
      </c>
      <c r="C35" s="6">
        <v>600.8</v>
      </c>
      <c r="D35" s="6">
        <v>5.0</v>
      </c>
    </row>
    <row r="36" ht="14.25" customHeight="1">
      <c r="A36" s="6">
        <v>601.4</v>
      </c>
      <c r="B36" s="6">
        <v>600.0</v>
      </c>
      <c r="C36" s="6">
        <v>600.8</v>
      </c>
      <c r="D36" s="6">
        <v>6.0</v>
      </c>
    </row>
    <row r="37" ht="14.25" customHeight="1">
      <c r="A37" s="6">
        <v>598.8</v>
      </c>
      <c r="B37" s="6">
        <v>600.2</v>
      </c>
      <c r="C37" s="6">
        <v>597.2</v>
      </c>
      <c r="D37" s="6">
        <v>6.0</v>
      </c>
    </row>
    <row r="38" ht="14.25" customHeight="1">
      <c r="A38" s="6">
        <v>601.4</v>
      </c>
      <c r="B38" s="6">
        <v>600.2</v>
      </c>
      <c r="C38" s="6">
        <v>600.4</v>
      </c>
      <c r="D38" s="6">
        <v>6.0</v>
      </c>
    </row>
    <row r="39" ht="14.25" customHeight="1">
      <c r="A39" s="6">
        <v>598.4</v>
      </c>
      <c r="B39" s="6">
        <v>599.6</v>
      </c>
      <c r="C39" s="6">
        <v>599.8</v>
      </c>
      <c r="D39" s="6">
        <v>6.0</v>
      </c>
    </row>
    <row r="40" ht="14.25" customHeight="1">
      <c r="A40" s="6">
        <v>601.6</v>
      </c>
      <c r="B40" s="6">
        <v>599.0</v>
      </c>
      <c r="C40" s="6">
        <v>596.4</v>
      </c>
      <c r="D40" s="6">
        <v>6.0</v>
      </c>
    </row>
    <row r="41" ht="14.25" customHeight="1">
      <c r="A41" s="6">
        <v>598.8</v>
      </c>
      <c r="B41" s="6">
        <v>599.0</v>
      </c>
      <c r="C41" s="6">
        <v>600.4</v>
      </c>
      <c r="D41" s="6">
        <v>7.0</v>
      </c>
    </row>
    <row r="42" ht="14.25" customHeight="1">
      <c r="A42" s="6">
        <v>601.2</v>
      </c>
      <c r="B42" s="6">
        <v>599.8</v>
      </c>
      <c r="C42" s="6">
        <v>598.2</v>
      </c>
      <c r="D42" s="6">
        <v>7.0</v>
      </c>
    </row>
    <row r="43" ht="14.25" customHeight="1">
      <c r="A43" s="6">
        <v>599.6</v>
      </c>
      <c r="B43" s="6">
        <v>600.8</v>
      </c>
      <c r="C43" s="6">
        <v>598.6</v>
      </c>
      <c r="D43" s="6">
        <v>7.0</v>
      </c>
    </row>
    <row r="44" ht="14.25" customHeight="1">
      <c r="A44" s="6">
        <v>601.2</v>
      </c>
      <c r="B44" s="6">
        <v>598.8</v>
      </c>
      <c r="C44" s="6">
        <v>599.6</v>
      </c>
      <c r="D44" s="6">
        <v>7.0</v>
      </c>
    </row>
    <row r="45" ht="14.25" customHeight="1">
      <c r="A45" s="6">
        <v>598.2</v>
      </c>
      <c r="B45" s="6">
        <v>598.2</v>
      </c>
      <c r="C45" s="6">
        <v>599.0</v>
      </c>
      <c r="D45" s="6">
        <v>7.0</v>
      </c>
    </row>
    <row r="46" ht="14.25" customHeight="1">
      <c r="A46" s="6">
        <v>598.8</v>
      </c>
      <c r="B46" s="6">
        <v>600.0</v>
      </c>
      <c r="C46" s="6">
        <v>598.2</v>
      </c>
      <c r="D46" s="6">
        <v>8.0</v>
      </c>
    </row>
    <row r="47" ht="14.25" customHeight="1">
      <c r="A47" s="6">
        <v>597.8</v>
      </c>
      <c r="B47" s="6">
        <v>599.2</v>
      </c>
      <c r="C47" s="6">
        <v>599.4</v>
      </c>
      <c r="D47" s="6">
        <v>8.0</v>
      </c>
    </row>
    <row r="48" ht="14.25" customHeight="1">
      <c r="A48" s="6">
        <v>598.2</v>
      </c>
      <c r="B48" s="6">
        <v>599.8</v>
      </c>
      <c r="C48" s="6">
        <v>599.4</v>
      </c>
      <c r="D48" s="6">
        <v>8.0</v>
      </c>
    </row>
    <row r="49" ht="14.25" customHeight="1">
      <c r="A49" s="6">
        <v>598.2</v>
      </c>
      <c r="B49" s="6">
        <v>601.2</v>
      </c>
      <c r="C49" s="6">
        <v>600.2</v>
      </c>
      <c r="D49" s="6">
        <v>8.0</v>
      </c>
    </row>
    <row r="50" ht="14.25" customHeight="1">
      <c r="A50" s="6">
        <v>598.2</v>
      </c>
      <c r="B50" s="6">
        <v>600.4</v>
      </c>
      <c r="C50" s="6">
        <v>599.0</v>
      </c>
      <c r="D50" s="6">
        <v>8.0</v>
      </c>
    </row>
    <row r="51" ht="14.25" customHeight="1">
      <c r="A51" s="6">
        <v>601.2</v>
      </c>
      <c r="B51" s="6">
        <v>600.2</v>
      </c>
      <c r="C51" s="6">
        <v>599.4</v>
      </c>
      <c r="D51" s="6">
        <v>9.0</v>
      </c>
    </row>
    <row r="52" ht="14.25" customHeight="1">
      <c r="A52" s="6">
        <v>600.0</v>
      </c>
      <c r="B52" s="6">
        <v>599.6</v>
      </c>
      <c r="C52" s="6">
        <v>598.0</v>
      </c>
      <c r="D52" s="6">
        <v>9.0</v>
      </c>
    </row>
    <row r="53" ht="14.25" customHeight="1">
      <c r="A53" s="6">
        <v>598.8</v>
      </c>
      <c r="B53" s="6">
        <v>599.6</v>
      </c>
      <c r="C53" s="6">
        <v>597.6</v>
      </c>
      <c r="D53" s="6">
        <v>9.0</v>
      </c>
    </row>
    <row r="54" ht="14.25" customHeight="1">
      <c r="A54" s="6">
        <v>599.4</v>
      </c>
      <c r="B54" s="6">
        <v>599.6</v>
      </c>
      <c r="C54" s="6">
        <v>598.0</v>
      </c>
      <c r="D54" s="6">
        <v>9.0</v>
      </c>
    </row>
    <row r="55" ht="14.25" customHeight="1">
      <c r="A55" s="6">
        <v>597.2</v>
      </c>
      <c r="B55" s="6">
        <v>600.2</v>
      </c>
      <c r="C55" s="6">
        <v>597.6</v>
      </c>
      <c r="D55" s="6">
        <v>9.0</v>
      </c>
    </row>
    <row r="56" ht="14.25" customHeight="1">
      <c r="A56" s="6">
        <v>600.8</v>
      </c>
      <c r="B56" s="6">
        <v>599.2</v>
      </c>
      <c r="C56" s="6">
        <v>601.2</v>
      </c>
      <c r="D56" s="6">
        <v>10.0</v>
      </c>
    </row>
    <row r="57" ht="14.25" customHeight="1">
      <c r="A57" s="6">
        <v>600.6</v>
      </c>
      <c r="B57" s="6">
        <v>599.0</v>
      </c>
      <c r="C57" s="6">
        <v>599.0</v>
      </c>
      <c r="D57" s="6">
        <v>10.0</v>
      </c>
    </row>
    <row r="58" ht="14.25" customHeight="1">
      <c r="A58" s="6">
        <v>599.6</v>
      </c>
      <c r="B58" s="6">
        <v>599.6</v>
      </c>
      <c r="C58" s="6">
        <v>600.4</v>
      </c>
      <c r="D58" s="6">
        <v>10.0</v>
      </c>
    </row>
    <row r="59" ht="14.25" customHeight="1">
      <c r="A59" s="6">
        <v>599.4</v>
      </c>
      <c r="B59" s="6">
        <v>600.4</v>
      </c>
      <c r="C59" s="6">
        <v>600.6</v>
      </c>
      <c r="D59" s="6">
        <v>10.0</v>
      </c>
    </row>
    <row r="60" ht="14.25" customHeight="1">
      <c r="A60" s="6">
        <v>598.0</v>
      </c>
      <c r="B60" s="6">
        <v>600.0</v>
      </c>
      <c r="C60" s="6">
        <v>599.0</v>
      </c>
      <c r="D60" s="6">
        <v>10.0</v>
      </c>
    </row>
    <row r="61" ht="14.25" customHeight="1">
      <c r="A61" s="6">
        <v>600.8</v>
      </c>
      <c r="B61" s="6">
        <v>599.0</v>
      </c>
      <c r="C61" s="6">
        <v>602.2</v>
      </c>
      <c r="D61" s="6">
        <v>11.0</v>
      </c>
    </row>
    <row r="62" ht="14.25" customHeight="1">
      <c r="A62" s="6">
        <v>597.8</v>
      </c>
      <c r="B62" s="6">
        <v>599.6</v>
      </c>
      <c r="C62" s="6">
        <v>599.8</v>
      </c>
      <c r="D62" s="6">
        <v>11.0</v>
      </c>
    </row>
    <row r="63" ht="14.25" customHeight="1">
      <c r="A63" s="6">
        <v>599.2</v>
      </c>
      <c r="B63" s="6">
        <v>599.4</v>
      </c>
      <c r="C63" s="6">
        <v>599.8</v>
      </c>
      <c r="D63" s="6">
        <v>11.0</v>
      </c>
    </row>
    <row r="64" ht="14.25" customHeight="1">
      <c r="A64" s="6">
        <v>599.2</v>
      </c>
      <c r="B64" s="6">
        <v>599.2</v>
      </c>
      <c r="C64" s="6">
        <v>601.0</v>
      </c>
      <c r="D64" s="6">
        <v>11.0</v>
      </c>
    </row>
    <row r="65" ht="14.25" customHeight="1">
      <c r="A65" s="6">
        <v>600.6</v>
      </c>
      <c r="B65" s="6">
        <v>597.8</v>
      </c>
      <c r="C65" s="6">
        <v>601.6</v>
      </c>
      <c r="D65" s="6">
        <v>11.0</v>
      </c>
    </row>
    <row r="66" ht="14.25" customHeight="1">
      <c r="A66" s="6">
        <v>598.0</v>
      </c>
      <c r="B66" s="6">
        <v>600.4</v>
      </c>
      <c r="C66" s="6">
        <v>601.6</v>
      </c>
      <c r="D66" s="6">
        <v>12.0</v>
      </c>
    </row>
    <row r="67" ht="14.25" customHeight="1">
      <c r="A67" s="6">
        <v>598.0</v>
      </c>
      <c r="B67" s="6">
        <v>599.6</v>
      </c>
      <c r="C67" s="6">
        <v>600.2</v>
      </c>
      <c r="D67" s="6">
        <v>12.0</v>
      </c>
    </row>
    <row r="68" ht="14.25" customHeight="1">
      <c r="A68" s="6">
        <v>598.8</v>
      </c>
      <c r="B68" s="6">
        <v>600.0</v>
      </c>
      <c r="C68" s="6">
        <v>601.8</v>
      </c>
      <c r="D68" s="6">
        <v>12.0</v>
      </c>
    </row>
    <row r="69" ht="14.25" customHeight="1">
      <c r="A69" s="6">
        <v>601.0</v>
      </c>
      <c r="B69" s="6">
        <v>600.8</v>
      </c>
      <c r="C69" s="6">
        <v>601.2</v>
      </c>
      <c r="D69" s="6">
        <v>12.0</v>
      </c>
    </row>
    <row r="70" ht="14.25" customHeight="1">
      <c r="A70" s="6">
        <v>600.8</v>
      </c>
      <c r="B70" s="6">
        <v>600.4</v>
      </c>
      <c r="C70" s="6">
        <v>597.6</v>
      </c>
      <c r="D70" s="6">
        <v>12.0</v>
      </c>
    </row>
    <row r="71" ht="14.25" customHeight="1">
      <c r="A71" s="6">
        <v>598.8</v>
      </c>
      <c r="B71" s="6">
        <v>599.4</v>
      </c>
      <c r="C71" s="6">
        <v>599.8</v>
      </c>
      <c r="D71" s="6">
        <v>13.0</v>
      </c>
    </row>
    <row r="72" ht="14.25" customHeight="1">
      <c r="A72" s="6">
        <v>599.4</v>
      </c>
      <c r="B72" s="6">
        <v>599.0</v>
      </c>
      <c r="C72" s="6">
        <v>602.8</v>
      </c>
      <c r="D72" s="6">
        <v>13.0</v>
      </c>
    </row>
    <row r="73" ht="14.25" customHeight="1">
      <c r="A73" s="6">
        <v>601.0</v>
      </c>
      <c r="B73" s="6">
        <v>598.4</v>
      </c>
      <c r="C73" s="6">
        <v>600.0</v>
      </c>
      <c r="D73" s="6">
        <v>13.0</v>
      </c>
    </row>
    <row r="74" ht="14.25" customHeight="1">
      <c r="A74" s="6">
        <v>598.8</v>
      </c>
      <c r="B74" s="6">
        <v>599.0</v>
      </c>
      <c r="C74" s="6">
        <v>599.6</v>
      </c>
      <c r="D74" s="6">
        <v>13.0</v>
      </c>
    </row>
    <row r="75" ht="14.25" customHeight="1">
      <c r="A75" s="6">
        <v>599.6</v>
      </c>
      <c r="B75" s="6">
        <v>599.6</v>
      </c>
      <c r="C75" s="6">
        <v>602.2</v>
      </c>
      <c r="D75" s="6">
        <v>13.0</v>
      </c>
    </row>
    <row r="76" ht="14.25" customHeight="1">
      <c r="A76" s="6">
        <v>599.0</v>
      </c>
      <c r="B76" s="6">
        <v>598.8</v>
      </c>
      <c r="C76" s="6">
        <v>603.8</v>
      </c>
      <c r="D76" s="6">
        <v>14.0</v>
      </c>
    </row>
    <row r="77" ht="14.25" customHeight="1">
      <c r="A77" s="6">
        <v>600.4</v>
      </c>
      <c r="B77" s="6">
        <v>599.2</v>
      </c>
      <c r="C77" s="6">
        <v>603.6</v>
      </c>
      <c r="D77" s="6">
        <v>14.0</v>
      </c>
    </row>
    <row r="78" ht="14.25" customHeight="1">
      <c r="A78" s="6">
        <v>598.4</v>
      </c>
      <c r="B78" s="6">
        <v>599.6</v>
      </c>
      <c r="C78" s="6">
        <v>601.8</v>
      </c>
      <c r="D78" s="6">
        <v>14.0</v>
      </c>
    </row>
    <row r="79" ht="14.25" customHeight="1">
      <c r="A79" s="6">
        <v>602.2</v>
      </c>
      <c r="B79" s="6">
        <v>598.6</v>
      </c>
      <c r="C79" s="6">
        <v>602.0</v>
      </c>
      <c r="D79" s="6">
        <v>14.0</v>
      </c>
    </row>
    <row r="80" ht="14.25" customHeight="1">
      <c r="A80" s="6">
        <v>601.0</v>
      </c>
      <c r="B80" s="6">
        <v>599.8</v>
      </c>
      <c r="C80" s="6">
        <v>603.6</v>
      </c>
      <c r="D80" s="6">
        <v>14.0</v>
      </c>
    </row>
    <row r="81" ht="14.25" customHeight="1">
      <c r="A81" s="6">
        <v>601.4</v>
      </c>
      <c r="B81" s="6">
        <v>599.6</v>
      </c>
      <c r="C81" s="6">
        <v>600.8</v>
      </c>
      <c r="D81" s="6">
        <v>15.0</v>
      </c>
    </row>
    <row r="82" ht="14.25" customHeight="1">
      <c r="A82" s="6">
        <v>601.0</v>
      </c>
      <c r="B82" s="6">
        <v>599.2</v>
      </c>
      <c r="C82" s="6">
        <v>600.2</v>
      </c>
      <c r="D82" s="6">
        <v>15.0</v>
      </c>
    </row>
    <row r="83" ht="14.25" customHeight="1">
      <c r="A83" s="6">
        <v>601.2</v>
      </c>
      <c r="B83" s="6">
        <v>599.6</v>
      </c>
      <c r="C83" s="6">
        <v>600.4</v>
      </c>
      <c r="D83" s="6">
        <v>15.0</v>
      </c>
    </row>
    <row r="84" ht="14.25" customHeight="1">
      <c r="A84" s="6">
        <v>601.4</v>
      </c>
      <c r="B84" s="6">
        <v>600.2</v>
      </c>
      <c r="C84" s="6">
        <v>600.2</v>
      </c>
      <c r="D84" s="6">
        <v>15.0</v>
      </c>
    </row>
    <row r="85" ht="14.25" customHeight="1">
      <c r="A85" s="6">
        <v>601.8</v>
      </c>
      <c r="B85" s="6">
        <v>599.8</v>
      </c>
      <c r="C85" s="6">
        <v>602.2</v>
      </c>
      <c r="D85" s="6">
        <v>15.0</v>
      </c>
    </row>
    <row r="86" ht="14.25" customHeight="1">
      <c r="A86" s="6">
        <v>601.6</v>
      </c>
      <c r="B86" s="6">
        <v>599.6</v>
      </c>
      <c r="C86" s="6">
        <v>598.0</v>
      </c>
      <c r="D86" s="6">
        <v>16.0</v>
      </c>
    </row>
    <row r="87" ht="14.25" customHeight="1">
      <c r="A87" s="6">
        <v>601.0</v>
      </c>
      <c r="B87" s="6">
        <v>600.0</v>
      </c>
      <c r="C87" s="6">
        <v>598.4</v>
      </c>
      <c r="D87" s="6">
        <v>16.0</v>
      </c>
    </row>
    <row r="88" ht="14.25" customHeight="1">
      <c r="A88" s="6">
        <v>600.2</v>
      </c>
      <c r="B88" s="6">
        <v>599.6</v>
      </c>
      <c r="C88" s="6">
        <v>600.8</v>
      </c>
      <c r="D88" s="6">
        <v>16.0</v>
      </c>
    </row>
    <row r="89" ht="14.25" customHeight="1">
      <c r="A89" s="6">
        <v>599.0</v>
      </c>
      <c r="B89" s="6">
        <v>599.2</v>
      </c>
      <c r="C89" s="6">
        <v>602.8</v>
      </c>
      <c r="D89" s="6">
        <v>16.0</v>
      </c>
    </row>
    <row r="90" ht="14.25" customHeight="1">
      <c r="A90" s="6">
        <v>601.2</v>
      </c>
      <c r="B90" s="6">
        <v>598.6</v>
      </c>
      <c r="C90" s="6">
        <v>597.6</v>
      </c>
      <c r="D90" s="6">
        <v>16.0</v>
      </c>
    </row>
    <row r="91" ht="14.25" customHeight="1">
      <c r="A91" s="6">
        <v>601.2</v>
      </c>
      <c r="B91" s="6">
        <v>599.6</v>
      </c>
      <c r="C91" s="6">
        <v>601.6</v>
      </c>
      <c r="D91" s="6">
        <v>17.0</v>
      </c>
    </row>
    <row r="92" ht="14.25" customHeight="1">
      <c r="A92" s="6">
        <v>601.2</v>
      </c>
      <c r="B92" s="6">
        <v>601.2</v>
      </c>
      <c r="C92" s="6">
        <v>603.4</v>
      </c>
      <c r="D92" s="6">
        <v>17.0</v>
      </c>
    </row>
    <row r="93" ht="14.25" customHeight="1">
      <c r="A93" s="6">
        <v>601.2</v>
      </c>
      <c r="B93" s="6">
        <v>599.6</v>
      </c>
      <c r="C93" s="6">
        <v>597.0</v>
      </c>
      <c r="D93" s="6">
        <v>17.0</v>
      </c>
    </row>
    <row r="94" ht="14.25" customHeight="1">
      <c r="A94" s="6">
        <v>601.0</v>
      </c>
      <c r="B94" s="6">
        <v>600.2</v>
      </c>
      <c r="C94" s="6">
        <v>599.8</v>
      </c>
      <c r="D94" s="6">
        <v>17.0</v>
      </c>
    </row>
    <row r="95" ht="14.25" customHeight="1">
      <c r="A95" s="6">
        <v>601.0</v>
      </c>
      <c r="B95" s="6">
        <v>600.0</v>
      </c>
      <c r="C95" s="6">
        <v>597.8</v>
      </c>
      <c r="D95" s="6">
        <v>17.0</v>
      </c>
    </row>
    <row r="96" ht="14.25" customHeight="1">
      <c r="A96" s="6">
        <v>601.4</v>
      </c>
      <c r="B96" s="6">
        <v>600.0</v>
      </c>
      <c r="C96" s="6">
        <v>602.4</v>
      </c>
      <c r="D96" s="6">
        <v>18.0</v>
      </c>
    </row>
    <row r="97" ht="14.25" customHeight="1">
      <c r="A97" s="6">
        <v>601.4</v>
      </c>
      <c r="B97" s="6">
        <v>599.4</v>
      </c>
      <c r="C97" s="6">
        <v>602.2</v>
      </c>
      <c r="D97" s="6">
        <v>18.0</v>
      </c>
    </row>
    <row r="98" ht="14.25" customHeight="1">
      <c r="A98" s="6">
        <v>598.8</v>
      </c>
      <c r="B98" s="6">
        <v>599.8</v>
      </c>
      <c r="C98" s="6">
        <v>600.6</v>
      </c>
      <c r="D98" s="6">
        <v>18.0</v>
      </c>
    </row>
    <row r="99" ht="14.25" customHeight="1">
      <c r="A99" s="6">
        <v>598.8</v>
      </c>
      <c r="B99" s="6">
        <v>599.2</v>
      </c>
      <c r="C99" s="6">
        <v>596.2</v>
      </c>
      <c r="D99" s="6">
        <v>18.0</v>
      </c>
    </row>
    <row r="100" ht="14.25" customHeight="1">
      <c r="A100" s="6">
        <v>598.8</v>
      </c>
      <c r="B100" s="6">
        <v>599.6</v>
      </c>
      <c r="C100" s="6">
        <v>602.4</v>
      </c>
      <c r="D100" s="6">
        <v>18.0</v>
      </c>
    </row>
    <row r="101" ht="14.25" customHeight="1">
      <c r="A101" s="6">
        <v>598.2</v>
      </c>
      <c r="B101" s="6">
        <v>599.4</v>
      </c>
      <c r="C101" s="6">
        <v>601.4</v>
      </c>
      <c r="D101" s="6">
        <v>19.0</v>
      </c>
    </row>
    <row r="102" ht="14.25" customHeight="1">
      <c r="A102" s="6">
        <v>601.8</v>
      </c>
      <c r="B102" s="6">
        <v>600.0</v>
      </c>
      <c r="C102" s="6">
        <v>599.2</v>
      </c>
      <c r="D102" s="6">
        <v>19.0</v>
      </c>
    </row>
    <row r="103" ht="14.25" customHeight="1">
      <c r="A103" s="6">
        <v>601.0</v>
      </c>
      <c r="B103" s="6">
        <v>600.0</v>
      </c>
      <c r="C103" s="6">
        <v>601.6</v>
      </c>
      <c r="D103" s="6">
        <v>19.0</v>
      </c>
    </row>
    <row r="104" ht="14.25" customHeight="1">
      <c r="A104" s="6">
        <v>601.4</v>
      </c>
      <c r="B104" s="6">
        <v>599.2</v>
      </c>
      <c r="C104" s="6">
        <v>600.4</v>
      </c>
      <c r="D104" s="6">
        <v>19.0</v>
      </c>
    </row>
    <row r="105" ht="14.25" customHeight="1">
      <c r="A105" s="6">
        <v>601.4</v>
      </c>
      <c r="B105" s="6">
        <v>599.4</v>
      </c>
      <c r="C105" s="6">
        <v>598.0</v>
      </c>
      <c r="D105" s="6">
        <v>19.0</v>
      </c>
    </row>
    <row r="106" ht="14.25" customHeight="1">
      <c r="A106" s="6">
        <v>599.0</v>
      </c>
      <c r="B106" s="6">
        <v>599.6</v>
      </c>
      <c r="C106" s="6">
        <v>601.2</v>
      </c>
      <c r="D106" s="6">
        <v>20.0</v>
      </c>
    </row>
    <row r="107" ht="14.25" customHeight="1">
      <c r="A107" s="6">
        <v>601.4</v>
      </c>
      <c r="B107" s="6">
        <v>599.8</v>
      </c>
      <c r="C107" s="6">
        <v>604.2</v>
      </c>
      <c r="D107" s="6">
        <v>20.0</v>
      </c>
    </row>
    <row r="108" ht="14.25" customHeight="1">
      <c r="A108" s="6">
        <v>601.8</v>
      </c>
      <c r="B108" s="6">
        <v>599.0</v>
      </c>
      <c r="C108" s="6">
        <v>600.2</v>
      </c>
      <c r="D108" s="6">
        <v>20.0</v>
      </c>
    </row>
    <row r="109" ht="14.25" customHeight="1">
      <c r="A109" s="6">
        <v>601.6</v>
      </c>
      <c r="B109" s="6">
        <v>599.6</v>
      </c>
      <c r="C109" s="6">
        <v>600.0</v>
      </c>
      <c r="D109" s="6">
        <v>20.0</v>
      </c>
    </row>
    <row r="110" ht="14.25" customHeight="1">
      <c r="A110" s="6">
        <v>601.2</v>
      </c>
      <c r="B110" s="6">
        <v>599.4</v>
      </c>
      <c r="C110" s="6">
        <v>596.8</v>
      </c>
      <c r="D110" s="6">
        <v>20.0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0" customHeight="1">
      <c r="A1" s="12" t="s">
        <v>113</v>
      </c>
      <c r="D1" s="12" t="s">
        <v>114</v>
      </c>
      <c r="F1" s="12" t="s">
        <v>115</v>
      </c>
      <c r="G1" s="12" t="s">
        <v>91</v>
      </c>
      <c r="H1" s="12" t="s">
        <v>62</v>
      </c>
    </row>
    <row r="2">
      <c r="A2" s="6"/>
      <c r="B2" s="6">
        <v>10.0</v>
      </c>
      <c r="C2" s="6" t="s">
        <v>18</v>
      </c>
      <c r="D2" s="23">
        <v>1.0</v>
      </c>
      <c r="F2" s="12" t="s">
        <v>116</v>
      </c>
      <c r="G2" s="12">
        <v>67.0</v>
      </c>
      <c r="H2" s="12">
        <v>697.0</v>
      </c>
    </row>
    <row r="3" ht="15.0" customHeight="1">
      <c r="B3" s="6">
        <v>20.0</v>
      </c>
      <c r="C3" s="6" t="s">
        <v>27</v>
      </c>
      <c r="D3" s="23">
        <v>1.0</v>
      </c>
      <c r="F3" s="12" t="s">
        <v>117</v>
      </c>
      <c r="G3" s="24">
        <v>44846.0</v>
      </c>
      <c r="H3" s="24">
        <v>44869.0</v>
      </c>
    </row>
    <row r="4" ht="15.0" customHeight="1">
      <c r="B4" s="6">
        <v>30.0</v>
      </c>
      <c r="C4" s="6" t="s">
        <v>18</v>
      </c>
      <c r="D4" s="23">
        <v>1.0</v>
      </c>
    </row>
    <row r="5" ht="15.0" customHeight="1">
      <c r="B5" s="6">
        <v>40.0</v>
      </c>
      <c r="C5" s="6" t="s">
        <v>24</v>
      </c>
      <c r="D5" s="12">
        <v>2.0</v>
      </c>
    </row>
    <row r="6" ht="15.0" customHeight="1">
      <c r="B6" s="6">
        <v>50.0</v>
      </c>
      <c r="C6" s="6" t="s">
        <v>27</v>
      </c>
      <c r="D6" s="25">
        <v>1.0</v>
      </c>
    </row>
    <row r="7" ht="15.0" customHeight="1">
      <c r="B7" s="6">
        <v>60.0</v>
      </c>
      <c r="C7" s="6" t="s">
        <v>21</v>
      </c>
      <c r="D7" s="12">
        <v>1.0</v>
      </c>
    </row>
    <row r="8" ht="15.0" customHeight="1">
      <c r="B8" s="6">
        <v>70.0</v>
      </c>
      <c r="C8" s="6" t="s">
        <v>27</v>
      </c>
      <c r="D8" s="23">
        <v>1.0</v>
      </c>
    </row>
    <row r="12" ht="15.0" customHeight="1">
      <c r="A12" s="26"/>
      <c r="B12" s="27">
        <v>44774.0</v>
      </c>
      <c r="C12" s="27">
        <f t="shared" ref="C12:T12" si="1">B12+7</f>
        <v>44781</v>
      </c>
      <c r="D12" s="27">
        <f t="shared" si="1"/>
        <v>44788</v>
      </c>
      <c r="E12" s="27">
        <f t="shared" si="1"/>
        <v>44795</v>
      </c>
      <c r="F12" s="27">
        <f t="shared" si="1"/>
        <v>44802</v>
      </c>
      <c r="G12" s="27">
        <f t="shared" si="1"/>
        <v>44809</v>
      </c>
      <c r="H12" s="27">
        <f t="shared" si="1"/>
        <v>44816</v>
      </c>
      <c r="I12" s="27">
        <f t="shared" si="1"/>
        <v>44823</v>
      </c>
      <c r="J12" s="27">
        <f t="shared" si="1"/>
        <v>44830</v>
      </c>
      <c r="K12" s="27">
        <f t="shared" si="1"/>
        <v>44837</v>
      </c>
      <c r="L12" s="27">
        <f t="shared" si="1"/>
        <v>44844</v>
      </c>
      <c r="M12" s="27">
        <f t="shared" si="1"/>
        <v>44851</v>
      </c>
      <c r="N12" s="27">
        <f t="shared" si="1"/>
        <v>44858</v>
      </c>
      <c r="O12" s="27">
        <f t="shared" si="1"/>
        <v>44865</v>
      </c>
      <c r="P12" s="27">
        <f t="shared" si="1"/>
        <v>44872</v>
      </c>
      <c r="Q12" s="27">
        <f t="shared" si="1"/>
        <v>44879</v>
      </c>
      <c r="R12" s="27">
        <f t="shared" si="1"/>
        <v>44886</v>
      </c>
      <c r="S12" s="27">
        <f t="shared" si="1"/>
        <v>44893</v>
      </c>
      <c r="T12" s="27">
        <f t="shared" si="1"/>
        <v>44900</v>
      </c>
      <c r="U12" s="24"/>
      <c r="V12" s="24"/>
      <c r="W12" s="24"/>
      <c r="X12" s="24"/>
      <c r="Y12" s="24"/>
      <c r="Z12" s="24"/>
      <c r="AA12" s="24"/>
    </row>
    <row r="13" ht="15.0" customHeight="1">
      <c r="A13" s="26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ht="15.0" customHeight="1">
      <c r="A14" s="26" t="s">
        <v>27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ht="15.0" customHeight="1">
      <c r="A15" s="26" t="s">
        <v>18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ht="15.0" customHeight="1">
      <c r="A16" s="26" t="s">
        <v>24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ht="15.0" customHeight="1">
      <c r="A17" s="26" t="s">
        <v>27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ht="15.0" customHeight="1">
      <c r="A18" s="26" t="s">
        <v>21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ht="15.0" customHeight="1">
      <c r="A19" s="26" t="s">
        <v>27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ht="15.0" customHeight="1">
      <c r="D20" s="24">
        <v>44791.0</v>
      </c>
      <c r="F20" s="24">
        <v>44805.0</v>
      </c>
      <c r="L20" s="29"/>
      <c r="N20" s="24">
        <v>44860.0</v>
      </c>
      <c r="P20" s="24">
        <v>44874.0</v>
      </c>
    </row>
    <row r="24" ht="15.0" customHeight="1">
      <c r="F24" s="30"/>
      <c r="G24" s="31"/>
      <c r="H24" s="31"/>
      <c r="I24" s="31"/>
      <c r="J24" s="32"/>
      <c r="K24" s="33"/>
      <c r="L24" s="34"/>
      <c r="M24" s="34"/>
    </row>
    <row r="25" ht="15.0" customHeight="1">
      <c r="A25" s="6" t="s">
        <v>118</v>
      </c>
      <c r="C25" s="6" t="s">
        <v>119</v>
      </c>
      <c r="F25" s="35" t="s">
        <v>103</v>
      </c>
      <c r="G25" s="36" t="s">
        <v>104</v>
      </c>
      <c r="H25" s="36" t="s">
        <v>104</v>
      </c>
      <c r="I25" s="36" t="s">
        <v>104</v>
      </c>
      <c r="J25" s="36" t="s">
        <v>105</v>
      </c>
      <c r="K25" s="36" t="s">
        <v>106</v>
      </c>
      <c r="L25" s="36" t="s">
        <v>107</v>
      </c>
      <c r="M25" s="36" t="s">
        <v>107</v>
      </c>
    </row>
    <row r="26" ht="15.0" customHeight="1">
      <c r="B26" s="36" t="s">
        <v>15</v>
      </c>
      <c r="C26" s="12">
        <v>2.0</v>
      </c>
      <c r="E26" s="6" t="s">
        <v>120</v>
      </c>
      <c r="F26" s="6">
        <v>65.0</v>
      </c>
      <c r="G26" s="12">
        <v>67.0</v>
      </c>
      <c r="H26" s="12">
        <v>71.0</v>
      </c>
      <c r="I26" s="12">
        <v>45.0</v>
      </c>
      <c r="J26" s="12">
        <v>137.0</v>
      </c>
      <c r="K26" s="12">
        <v>97.0</v>
      </c>
      <c r="L26" s="12">
        <v>181.0</v>
      </c>
      <c r="M26" s="12">
        <v>63.0</v>
      </c>
    </row>
    <row r="27" ht="15.0" customHeight="1">
      <c r="B27" s="36" t="s">
        <v>18</v>
      </c>
      <c r="C27" s="23">
        <v>1.0</v>
      </c>
      <c r="E27" s="6" t="s">
        <v>121</v>
      </c>
      <c r="F27" s="37">
        <v>44875.0</v>
      </c>
      <c r="G27" s="24">
        <v>44813.0</v>
      </c>
      <c r="H27" s="24">
        <v>44853.0</v>
      </c>
      <c r="I27" s="24">
        <v>44870.0</v>
      </c>
      <c r="J27" s="24">
        <v>44786.0</v>
      </c>
      <c r="K27" s="24">
        <v>44805.0</v>
      </c>
      <c r="L27" s="24">
        <v>44844.0</v>
      </c>
      <c r="M27" s="24">
        <v>44868.0</v>
      </c>
    </row>
    <row r="28" ht="15.0" customHeight="1">
      <c r="B28" s="36" t="s">
        <v>21</v>
      </c>
      <c r="C28" s="12">
        <v>2.0</v>
      </c>
      <c r="F28" s="38"/>
    </row>
    <row r="29" ht="15.0" customHeight="1">
      <c r="B29" s="36" t="s">
        <v>18</v>
      </c>
      <c r="C29" s="23">
        <v>1.0</v>
      </c>
      <c r="F29" s="38"/>
    </row>
    <row r="30" ht="15.0" customHeight="1">
      <c r="B30" s="36" t="s">
        <v>24</v>
      </c>
      <c r="C30" s="12">
        <v>1.0</v>
      </c>
      <c r="F30" s="38"/>
    </row>
    <row r="31" ht="15.0" customHeight="1">
      <c r="B31" s="36" t="s">
        <v>97</v>
      </c>
      <c r="C31" s="6">
        <v>2.0</v>
      </c>
      <c r="F31" s="38"/>
    </row>
    <row r="32" ht="15.0" customHeight="1">
      <c r="B32" s="36" t="s">
        <v>27</v>
      </c>
      <c r="C32" s="12">
        <v>1.0</v>
      </c>
      <c r="F32" s="6"/>
    </row>
    <row r="33" ht="15.0" customHeight="1">
      <c r="B33" s="39" t="s">
        <v>30</v>
      </c>
      <c r="C33" s="6">
        <v>1.0</v>
      </c>
      <c r="F33" s="6"/>
    </row>
    <row r="34" ht="15.0" customHeight="1">
      <c r="F34" s="38"/>
    </row>
    <row r="35" ht="15.0" customHeight="1">
      <c r="F35" s="38"/>
    </row>
    <row r="36" ht="15.0" customHeight="1">
      <c r="C36" s="27">
        <v>44774.0</v>
      </c>
      <c r="D36" s="27">
        <f t="shared" ref="D36:U36" si="2">C36+7</f>
        <v>44781</v>
      </c>
      <c r="E36" s="27">
        <f t="shared" si="2"/>
        <v>44788</v>
      </c>
      <c r="F36" s="27">
        <f t="shared" si="2"/>
        <v>44795</v>
      </c>
      <c r="G36" s="27">
        <f t="shared" si="2"/>
        <v>44802</v>
      </c>
      <c r="H36" s="27">
        <f t="shared" si="2"/>
        <v>44809</v>
      </c>
      <c r="I36" s="27">
        <f t="shared" si="2"/>
        <v>44816</v>
      </c>
      <c r="J36" s="27">
        <f t="shared" si="2"/>
        <v>44823</v>
      </c>
      <c r="K36" s="27">
        <f t="shared" si="2"/>
        <v>44830</v>
      </c>
      <c r="L36" s="27">
        <f t="shared" si="2"/>
        <v>44837</v>
      </c>
      <c r="M36" s="27">
        <f t="shared" si="2"/>
        <v>44844</v>
      </c>
      <c r="N36" s="27">
        <f t="shared" si="2"/>
        <v>44851</v>
      </c>
      <c r="O36" s="27">
        <f t="shared" si="2"/>
        <v>44858</v>
      </c>
      <c r="P36" s="27">
        <f t="shared" si="2"/>
        <v>44865</v>
      </c>
      <c r="Q36" s="27">
        <f t="shared" si="2"/>
        <v>44872</v>
      </c>
      <c r="R36" s="27">
        <f t="shared" si="2"/>
        <v>44879</v>
      </c>
      <c r="S36" s="27">
        <f t="shared" si="2"/>
        <v>44886</v>
      </c>
      <c r="T36" s="27">
        <f t="shared" si="2"/>
        <v>44893</v>
      </c>
      <c r="U36" s="27">
        <f t="shared" si="2"/>
        <v>44900</v>
      </c>
    </row>
    <row r="37" ht="15.0" customHeight="1">
      <c r="B37" s="36" t="s">
        <v>15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ht="15.0" customHeight="1">
      <c r="B38" s="36" t="s">
        <v>18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ht="15.0" customHeight="1">
      <c r="B39" s="36" t="s">
        <v>21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</row>
    <row r="40" ht="15.0" customHeight="1">
      <c r="B40" s="36" t="s">
        <v>18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ht="15.0" customHeight="1">
      <c r="B41" s="36" t="s">
        <v>24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</row>
    <row r="42" ht="15.0" customHeight="1">
      <c r="B42" s="36" t="s">
        <v>97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ht="15.0" customHeight="1">
      <c r="B43" s="36" t="s">
        <v>27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</row>
    <row r="44" ht="15.0" customHeight="1">
      <c r="B44" s="39" t="s">
        <v>30</v>
      </c>
      <c r="C44" s="28"/>
      <c r="D44" s="28"/>
      <c r="E44" s="28"/>
      <c r="F44" s="41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ht="15.0" customHeight="1">
      <c r="E45" s="24">
        <v>44794.0</v>
      </c>
      <c r="F45" s="38"/>
      <c r="G45" s="29">
        <v>44805.0</v>
      </c>
      <c r="H45" s="42">
        <v>44810.0</v>
      </c>
      <c r="K45" s="24">
        <v>44834.0</v>
      </c>
      <c r="P45" s="24">
        <v>44868.0</v>
      </c>
    </row>
    <row r="46" ht="15.0" customHeight="1">
      <c r="F46" s="38"/>
    </row>
    <row r="47" ht="15.0" customHeight="1">
      <c r="A47" s="6" t="s">
        <v>122</v>
      </c>
      <c r="F47" s="38"/>
      <c r="I47" s="34"/>
    </row>
    <row r="48" ht="15.0" customHeight="1">
      <c r="B48" s="6" t="s">
        <v>114</v>
      </c>
      <c r="E48" s="36" t="s">
        <v>100</v>
      </c>
      <c r="F48" s="36" t="s">
        <v>81</v>
      </c>
      <c r="G48" s="36" t="s">
        <v>78</v>
      </c>
      <c r="H48" s="36" t="s">
        <v>101</v>
      </c>
      <c r="I48" s="36" t="s">
        <v>102</v>
      </c>
    </row>
    <row r="49" ht="15.0" customHeight="1">
      <c r="A49" s="36" t="s">
        <v>15</v>
      </c>
      <c r="B49" s="12">
        <v>4.0</v>
      </c>
      <c r="D49" s="6" t="s">
        <v>120</v>
      </c>
      <c r="E49" s="6"/>
      <c r="F49" s="6"/>
      <c r="I49" s="12">
        <v>159.0</v>
      </c>
    </row>
    <row r="50" ht="15.0" customHeight="1">
      <c r="A50" s="36" t="s">
        <v>85</v>
      </c>
      <c r="B50" s="12">
        <v>5.0</v>
      </c>
      <c r="D50" s="6" t="s">
        <v>121</v>
      </c>
      <c r="I50" s="24">
        <v>44812.0</v>
      </c>
    </row>
    <row r="51" ht="15.0" customHeight="1">
      <c r="A51" s="36" t="s">
        <v>24</v>
      </c>
      <c r="B51" s="12">
        <v>5.0</v>
      </c>
    </row>
    <row r="52" ht="15.0" customHeight="1">
      <c r="A52" s="36" t="s">
        <v>27</v>
      </c>
      <c r="B52" s="12">
        <v>2.0</v>
      </c>
    </row>
    <row r="53" ht="15.0" customHeight="1">
      <c r="A53" s="36" t="s">
        <v>30</v>
      </c>
      <c r="B53" s="12">
        <v>3.0</v>
      </c>
    </row>
    <row r="54" ht="15.0" customHeight="1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ht="15.0" customHeight="1">
      <c r="B55" s="27">
        <v>44774.0</v>
      </c>
      <c r="C55" s="27">
        <f t="shared" ref="C55:T55" si="3">B55+7</f>
        <v>44781</v>
      </c>
      <c r="D55" s="27">
        <f t="shared" si="3"/>
        <v>44788</v>
      </c>
      <c r="E55" s="27">
        <f t="shared" si="3"/>
        <v>44795</v>
      </c>
      <c r="F55" s="27">
        <f t="shared" si="3"/>
        <v>44802</v>
      </c>
      <c r="G55" s="27">
        <f t="shared" si="3"/>
        <v>44809</v>
      </c>
      <c r="H55" s="27">
        <f t="shared" si="3"/>
        <v>44816</v>
      </c>
      <c r="I55" s="27">
        <f t="shared" si="3"/>
        <v>44823</v>
      </c>
      <c r="J55" s="27">
        <f t="shared" si="3"/>
        <v>44830</v>
      </c>
      <c r="K55" s="27">
        <f t="shared" si="3"/>
        <v>44837</v>
      </c>
      <c r="L55" s="27">
        <f t="shared" si="3"/>
        <v>44844</v>
      </c>
      <c r="M55" s="27">
        <f t="shared" si="3"/>
        <v>44851</v>
      </c>
      <c r="N55" s="27">
        <f t="shared" si="3"/>
        <v>44858</v>
      </c>
      <c r="O55" s="27">
        <f t="shared" si="3"/>
        <v>44865</v>
      </c>
      <c r="P55" s="27">
        <f t="shared" si="3"/>
        <v>44872</v>
      </c>
      <c r="Q55" s="27">
        <f t="shared" si="3"/>
        <v>44879</v>
      </c>
      <c r="R55" s="27">
        <f t="shared" si="3"/>
        <v>44886</v>
      </c>
      <c r="S55" s="27">
        <f t="shared" si="3"/>
        <v>44893</v>
      </c>
      <c r="T55" s="27">
        <f t="shared" si="3"/>
        <v>44900</v>
      </c>
    </row>
    <row r="56" ht="15.0" customHeight="1">
      <c r="A56" s="36" t="s">
        <v>15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</row>
    <row r="57" ht="15.0" customHeight="1">
      <c r="A57" s="36" t="s">
        <v>85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58" ht="15.0" customHeight="1">
      <c r="A58" s="36" t="s">
        <v>24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ht="15.0" customHeight="1">
      <c r="A59" s="36" t="s">
        <v>27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</row>
    <row r="60" ht="15.0" customHeight="1">
      <c r="A60" s="36" t="s">
        <v>30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</row>
    <row r="61" ht="15.0" customHeight="1"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</row>
    <row r="62" ht="15.0" customHeight="1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ht="15.0" customHeight="1">
      <c r="F63" s="38"/>
    </row>
    <row r="64" ht="15.0" customHeight="1">
      <c r="E64" s="36"/>
      <c r="F64" s="38"/>
    </row>
    <row r="65" ht="15.0" customHeight="1">
      <c r="E65" s="36"/>
      <c r="F65" s="38"/>
    </row>
    <row r="66" ht="15.0" customHeight="1">
      <c r="E66" s="36"/>
      <c r="F66" s="38"/>
    </row>
    <row r="67" ht="15.0" customHeight="1">
      <c r="E67" s="36"/>
      <c r="F67" s="6"/>
    </row>
    <row r="68" ht="15.0" customHeight="1">
      <c r="F68" s="6"/>
    </row>
    <row r="69" ht="15.0" customHeight="1">
      <c r="E69" s="36"/>
      <c r="F69" s="6"/>
    </row>
    <row r="70" ht="15.0" customHeight="1">
      <c r="E70" s="36"/>
      <c r="F70" s="6"/>
    </row>
    <row r="71" ht="15.0" customHeight="1">
      <c r="E71" s="36"/>
      <c r="F71" s="6"/>
    </row>
    <row r="72" ht="15.0" customHeight="1">
      <c r="E72" s="36"/>
      <c r="F72" s="6"/>
    </row>
    <row r="73" ht="15.0" customHeight="1">
      <c r="F73" s="6"/>
    </row>
    <row r="74" ht="15.0" customHeight="1">
      <c r="E74" s="36"/>
      <c r="F74" s="6"/>
    </row>
    <row r="75" ht="15.0" customHeight="1">
      <c r="E75" s="36"/>
      <c r="F75" s="6"/>
    </row>
    <row r="76" ht="15.0" customHeight="1">
      <c r="E76" s="36"/>
      <c r="F76" s="6"/>
    </row>
    <row r="77" ht="15.0" customHeight="1">
      <c r="E77" s="36"/>
      <c r="F77" s="6"/>
    </row>
    <row r="78" ht="15.0" customHeight="1">
      <c r="F78" s="6"/>
    </row>
    <row r="79" ht="15.0" customHeight="1">
      <c r="E79" s="36"/>
      <c r="F79" s="6"/>
    </row>
    <row r="80" ht="15.0" customHeight="1">
      <c r="E80" s="36"/>
      <c r="F80" s="6"/>
    </row>
    <row r="81" ht="15.0" customHeight="1">
      <c r="E81" s="36"/>
      <c r="F81" s="6"/>
    </row>
    <row r="82" ht="15.0" customHeight="1">
      <c r="E82" s="36"/>
      <c r="F82" s="6"/>
    </row>
    <row r="83" ht="15.0" customHeight="1">
      <c r="F83" s="6"/>
    </row>
    <row r="84" ht="15.0" customHeight="1">
      <c r="F84" s="6"/>
    </row>
    <row r="85" ht="15.0" customHeight="1">
      <c r="F85" s="6"/>
    </row>
    <row r="86" ht="15.0" customHeight="1">
      <c r="F86" s="6"/>
    </row>
    <row r="87" ht="15.0" customHeight="1">
      <c r="F87" s="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.86"/>
    <col customWidth="1" min="4" max="70" width="8.71"/>
  </cols>
  <sheetData>
    <row r="1" ht="14.25" customHeight="1">
      <c r="A1" s="11">
        <v>8213.0</v>
      </c>
      <c r="B1" s="6" t="s">
        <v>123</v>
      </c>
      <c r="E1" s="6" t="s">
        <v>124</v>
      </c>
      <c r="G1" s="43" t="s">
        <v>14</v>
      </c>
      <c r="I1" s="44" t="s">
        <v>34</v>
      </c>
      <c r="M1" s="45" t="s">
        <v>50</v>
      </c>
      <c r="O1" s="33" t="s">
        <v>59</v>
      </c>
      <c r="P1" s="46"/>
      <c r="R1" s="47" t="s">
        <v>60</v>
      </c>
      <c r="U1" s="6" t="s">
        <v>125</v>
      </c>
      <c r="W1" s="32" t="s">
        <v>64</v>
      </c>
      <c r="Y1" s="6" t="s">
        <v>65</v>
      </c>
      <c r="AB1" s="6" t="s">
        <v>67</v>
      </c>
      <c r="AE1" s="48" t="s">
        <v>68</v>
      </c>
      <c r="AI1" s="6" t="s">
        <v>70</v>
      </c>
      <c r="AL1" s="6" t="s">
        <v>71</v>
      </c>
      <c r="AO1" s="6" t="s">
        <v>74</v>
      </c>
      <c r="AR1" s="30" t="s">
        <v>75</v>
      </c>
      <c r="AT1" s="6" t="s">
        <v>76</v>
      </c>
      <c r="AW1" s="6" t="s">
        <v>77</v>
      </c>
      <c r="AY1" s="34" t="s">
        <v>79</v>
      </c>
      <c r="BB1" s="49" t="s">
        <v>80</v>
      </c>
      <c r="BE1" s="6" t="s">
        <v>82</v>
      </c>
      <c r="BH1" s="6" t="s">
        <v>83</v>
      </c>
    </row>
    <row r="2" ht="14.25" customHeight="1">
      <c r="F2" s="6" t="s">
        <v>120</v>
      </c>
      <c r="G2" s="12">
        <v>70.0</v>
      </c>
      <c r="H2" s="12">
        <v>12.0</v>
      </c>
      <c r="I2" s="12">
        <v>52.0</v>
      </c>
      <c r="J2" s="12">
        <v>53.0</v>
      </c>
      <c r="K2" s="12">
        <v>95.0</v>
      </c>
      <c r="L2" s="12">
        <v>157.0</v>
      </c>
      <c r="M2" s="12">
        <v>11.0</v>
      </c>
      <c r="N2" s="12">
        <v>2.0</v>
      </c>
      <c r="O2" s="12">
        <v>104.0</v>
      </c>
      <c r="P2" s="12">
        <v>35.0</v>
      </c>
      <c r="Q2" s="12">
        <v>26.0</v>
      </c>
      <c r="R2" s="12">
        <v>76.0</v>
      </c>
      <c r="S2" s="12">
        <v>156.0</v>
      </c>
      <c r="T2" s="12">
        <v>158.0</v>
      </c>
      <c r="U2" s="12">
        <v>96.0</v>
      </c>
      <c r="V2" s="12">
        <v>59.0</v>
      </c>
      <c r="W2" s="12">
        <v>59.0</v>
      </c>
      <c r="X2" s="12">
        <v>60.0</v>
      </c>
      <c r="Y2" s="12">
        <v>106.0</v>
      </c>
      <c r="Z2" s="12">
        <v>45.0</v>
      </c>
      <c r="AA2" s="12">
        <v>25.0</v>
      </c>
      <c r="AB2" s="12">
        <v>30.0</v>
      </c>
      <c r="AC2" s="12">
        <v>227.0</v>
      </c>
      <c r="AD2" s="12">
        <v>14.0</v>
      </c>
      <c r="AE2" s="12">
        <v>75.0</v>
      </c>
      <c r="AF2" s="12">
        <v>25.0</v>
      </c>
      <c r="AG2" s="12">
        <v>114.0</v>
      </c>
      <c r="AH2" s="12">
        <v>165.0</v>
      </c>
      <c r="AI2" s="12">
        <v>21.0</v>
      </c>
      <c r="AJ2" s="12">
        <v>130.0</v>
      </c>
      <c r="AK2" s="12">
        <v>280.0</v>
      </c>
      <c r="AL2" s="12">
        <v>38.0</v>
      </c>
      <c r="AM2" s="12">
        <v>143.0</v>
      </c>
      <c r="AN2" s="12">
        <v>43.0</v>
      </c>
      <c r="AO2" s="12">
        <v>71.0</v>
      </c>
      <c r="AP2" s="12">
        <v>77.0</v>
      </c>
      <c r="AQ2" s="12">
        <v>116.0</v>
      </c>
      <c r="AR2" s="12">
        <v>33.0</v>
      </c>
      <c r="AS2" s="12">
        <v>116.0</v>
      </c>
      <c r="AT2" s="12">
        <v>95.0</v>
      </c>
      <c r="AU2" s="12">
        <v>84.0</v>
      </c>
      <c r="AV2" s="12">
        <v>181.0</v>
      </c>
      <c r="AW2" s="12">
        <v>84.0</v>
      </c>
      <c r="AX2" s="12">
        <v>92.0</v>
      </c>
      <c r="AY2" s="12">
        <v>106.0</v>
      </c>
      <c r="AZ2" s="12">
        <v>12.0</v>
      </c>
      <c r="BA2" s="12">
        <v>25.0</v>
      </c>
      <c r="BB2" s="12">
        <v>133.0</v>
      </c>
      <c r="BC2" s="12">
        <v>144.0</v>
      </c>
      <c r="BD2" s="12">
        <v>136.0</v>
      </c>
      <c r="BE2" s="12">
        <v>57.0</v>
      </c>
      <c r="BF2" s="12">
        <v>130.0</v>
      </c>
      <c r="BG2" s="12">
        <v>154.0</v>
      </c>
      <c r="BH2" s="12">
        <v>67.0</v>
      </c>
      <c r="BI2" s="12">
        <v>30.0</v>
      </c>
      <c r="BJ2" s="12">
        <f>SUM(G2:BI2)</f>
        <v>4705</v>
      </c>
    </row>
    <row r="3" ht="14.25" customHeight="1">
      <c r="F3" s="6" t="s">
        <v>121</v>
      </c>
      <c r="G3" s="24">
        <v>44811.0</v>
      </c>
      <c r="H3" s="24">
        <v>44861.0</v>
      </c>
      <c r="I3" s="24">
        <v>44820.0</v>
      </c>
      <c r="J3" s="24">
        <v>44783.0</v>
      </c>
      <c r="K3" s="24">
        <v>44838.0</v>
      </c>
      <c r="L3" s="24">
        <v>44874.0</v>
      </c>
      <c r="M3" s="24">
        <v>44783.0</v>
      </c>
      <c r="N3" s="24">
        <v>44874.0</v>
      </c>
      <c r="O3" s="24">
        <v>44783.0</v>
      </c>
      <c r="P3" s="24">
        <v>44839.0</v>
      </c>
      <c r="Q3" s="24">
        <v>44873.0</v>
      </c>
      <c r="R3" s="24">
        <v>44790.0</v>
      </c>
      <c r="S3" s="24">
        <v>44841.0</v>
      </c>
      <c r="T3" s="24">
        <v>44880.0</v>
      </c>
      <c r="U3" s="24">
        <v>44800.0</v>
      </c>
      <c r="V3" s="24">
        <v>44874.0</v>
      </c>
      <c r="W3" s="24">
        <v>44783.0</v>
      </c>
      <c r="X3" s="24">
        <v>44827.0</v>
      </c>
      <c r="Y3" s="24">
        <v>44811.0</v>
      </c>
      <c r="Z3" s="24">
        <v>44846.0</v>
      </c>
      <c r="AA3" s="24">
        <v>44889.0</v>
      </c>
      <c r="AB3" s="24">
        <v>44790.0</v>
      </c>
      <c r="AC3" s="24">
        <v>44833.0</v>
      </c>
      <c r="AD3" s="24">
        <v>44866.0</v>
      </c>
      <c r="AE3" s="24">
        <v>44783.0</v>
      </c>
      <c r="AF3" s="24">
        <v>44807.0</v>
      </c>
      <c r="AG3" s="24">
        <v>44847.0</v>
      </c>
      <c r="AH3" s="24">
        <v>44881.0</v>
      </c>
      <c r="AI3" s="24">
        <v>44799.0</v>
      </c>
      <c r="AJ3" s="24">
        <v>44832.0</v>
      </c>
      <c r="AK3" s="24">
        <v>44853.0</v>
      </c>
      <c r="AL3" s="24">
        <v>44790.0</v>
      </c>
      <c r="AM3" s="24">
        <v>44814.0</v>
      </c>
      <c r="AN3" s="24">
        <v>44854.0</v>
      </c>
      <c r="AO3" s="24">
        <v>44786.0</v>
      </c>
      <c r="AP3" s="24">
        <v>44806.0</v>
      </c>
      <c r="AQ3" s="24">
        <v>44849.0</v>
      </c>
      <c r="AR3" s="24">
        <v>44783.0</v>
      </c>
      <c r="AS3" s="24">
        <v>44869.0</v>
      </c>
      <c r="AT3" s="24">
        <v>44790.0</v>
      </c>
      <c r="AU3" s="24">
        <v>44810.0</v>
      </c>
      <c r="AV3" s="24">
        <v>44867.0</v>
      </c>
      <c r="AW3" s="24">
        <v>44793.0</v>
      </c>
      <c r="AX3" s="24">
        <v>44881.0</v>
      </c>
      <c r="AY3" s="24">
        <v>44783.0</v>
      </c>
      <c r="AZ3" s="24">
        <v>44825.0</v>
      </c>
      <c r="BA3" s="24">
        <v>44855.0</v>
      </c>
      <c r="BB3" s="24">
        <v>44790.0</v>
      </c>
      <c r="BC3" s="24">
        <v>44827.0</v>
      </c>
      <c r="BD3" s="24">
        <v>44847.0</v>
      </c>
      <c r="BE3" s="24">
        <v>44804.0</v>
      </c>
      <c r="BF3" s="24">
        <v>44814.0</v>
      </c>
      <c r="BG3" s="24">
        <v>44847.0</v>
      </c>
      <c r="BH3" s="24">
        <v>44818.0</v>
      </c>
      <c r="BI3" s="24">
        <v>44888.0</v>
      </c>
    </row>
    <row r="4" ht="14.25" customHeight="1">
      <c r="G4" s="6" t="s">
        <v>126</v>
      </c>
      <c r="H4" s="6" t="s">
        <v>126</v>
      </c>
      <c r="I4" s="6" t="s">
        <v>126</v>
      </c>
      <c r="J4" s="6" t="s">
        <v>127</v>
      </c>
      <c r="K4" s="6" t="s">
        <v>126</v>
      </c>
      <c r="L4" s="6" t="s">
        <v>126</v>
      </c>
      <c r="M4" s="6" t="s">
        <v>128</v>
      </c>
      <c r="N4" s="6" t="s">
        <v>126</v>
      </c>
      <c r="O4" s="6" t="s">
        <v>128</v>
      </c>
      <c r="P4" s="6" t="s">
        <v>126</v>
      </c>
      <c r="Q4" s="6" t="s">
        <v>126</v>
      </c>
      <c r="R4" s="6" t="s">
        <v>129</v>
      </c>
      <c r="V4" s="6" t="s">
        <v>126</v>
      </c>
      <c r="W4" s="6" t="s">
        <v>128</v>
      </c>
      <c r="AB4" s="6" t="s">
        <v>129</v>
      </c>
      <c r="AE4" s="6" t="s">
        <v>130</v>
      </c>
      <c r="AL4" s="6" t="s">
        <v>129</v>
      </c>
      <c r="AR4" s="6" t="s">
        <v>130</v>
      </c>
      <c r="AT4" s="6" t="s">
        <v>129</v>
      </c>
      <c r="AY4" s="6" t="s">
        <v>130</v>
      </c>
      <c r="BB4" s="6" t="s">
        <v>129</v>
      </c>
    </row>
    <row r="5" ht="14.25" customHeight="1">
      <c r="C5" s="12" t="s">
        <v>114</v>
      </c>
    </row>
    <row r="6" ht="14.25" customHeight="1">
      <c r="B6" s="12" t="s">
        <v>15</v>
      </c>
      <c r="C6" s="12">
        <v>3.0</v>
      </c>
      <c r="E6" s="6" t="s">
        <v>131</v>
      </c>
      <c r="F6" s="6"/>
      <c r="G6" s="35" t="s">
        <v>103</v>
      </c>
      <c r="H6" s="36" t="s">
        <v>104</v>
      </c>
      <c r="I6" s="36"/>
      <c r="J6" s="36"/>
      <c r="K6" s="36" t="s">
        <v>105</v>
      </c>
      <c r="L6" s="36" t="s">
        <v>106</v>
      </c>
      <c r="M6" s="36" t="s">
        <v>107</v>
      </c>
      <c r="N6" s="36"/>
    </row>
    <row r="7" ht="14.25" customHeight="1">
      <c r="B7" s="12" t="s">
        <v>18</v>
      </c>
      <c r="C7" s="12">
        <v>4.0</v>
      </c>
      <c r="F7" s="6" t="s">
        <v>120</v>
      </c>
      <c r="G7" s="6">
        <v>65.0</v>
      </c>
      <c r="H7" s="6">
        <v>67.0</v>
      </c>
      <c r="I7" s="6">
        <v>71.0</v>
      </c>
      <c r="J7" s="6">
        <v>45.0</v>
      </c>
      <c r="K7" s="6">
        <v>137.0</v>
      </c>
      <c r="L7" s="6">
        <v>97.0</v>
      </c>
      <c r="M7" s="6">
        <v>181.0</v>
      </c>
      <c r="N7" s="6">
        <v>63.0</v>
      </c>
      <c r="P7" s="24">
        <v>44811.0</v>
      </c>
      <c r="Q7" s="24">
        <v>44861.0</v>
      </c>
      <c r="R7" s="24">
        <v>44820.0</v>
      </c>
      <c r="S7" s="24">
        <v>44783.0</v>
      </c>
      <c r="T7" s="24">
        <v>44838.0</v>
      </c>
      <c r="U7" s="24">
        <v>44874.0</v>
      </c>
      <c r="V7" s="24">
        <v>44783.0</v>
      </c>
      <c r="W7" s="24">
        <v>44874.0</v>
      </c>
      <c r="X7" s="24">
        <v>44783.0</v>
      </c>
      <c r="Y7" s="24">
        <v>44839.0</v>
      </c>
      <c r="Z7" s="24">
        <v>44873.0</v>
      </c>
      <c r="AA7" s="24">
        <v>44790.0</v>
      </c>
      <c r="AB7" s="24">
        <v>44841.0</v>
      </c>
      <c r="AC7" s="24">
        <v>44880.0</v>
      </c>
      <c r="AD7" s="24">
        <v>44800.0</v>
      </c>
      <c r="AE7" s="24">
        <v>44874.0</v>
      </c>
      <c r="AF7" s="24">
        <v>44783.0</v>
      </c>
      <c r="AG7" s="24">
        <v>44827.0</v>
      </c>
      <c r="AH7" s="24">
        <v>44811.0</v>
      </c>
      <c r="AI7" s="24">
        <v>44846.0</v>
      </c>
      <c r="AJ7" s="24">
        <v>44889.0</v>
      </c>
      <c r="AK7" s="24">
        <v>44790.0</v>
      </c>
      <c r="AL7" s="24">
        <v>44833.0</v>
      </c>
      <c r="AM7" s="24">
        <v>44866.0</v>
      </c>
      <c r="AN7" s="24">
        <v>44783.0</v>
      </c>
      <c r="AO7" s="24">
        <v>44807.0</v>
      </c>
      <c r="AP7" s="24">
        <v>44847.0</v>
      </c>
      <c r="AQ7" s="24">
        <v>44881.0</v>
      </c>
      <c r="AR7" s="24">
        <v>44799.0</v>
      </c>
      <c r="AS7" s="24">
        <v>44832.0</v>
      </c>
      <c r="AT7" s="24">
        <v>44853.0</v>
      </c>
      <c r="AU7" s="24">
        <v>44790.0</v>
      </c>
      <c r="AV7" s="24">
        <v>44814.0</v>
      </c>
      <c r="AW7" s="24">
        <v>44854.0</v>
      </c>
      <c r="AX7" s="24">
        <v>44786.0</v>
      </c>
      <c r="AY7" s="24">
        <v>44806.0</v>
      </c>
      <c r="AZ7" s="24">
        <v>44849.0</v>
      </c>
      <c r="BA7" s="24">
        <v>44783.0</v>
      </c>
      <c r="BB7" s="24">
        <v>44869.0</v>
      </c>
      <c r="BC7" s="24">
        <v>44790.0</v>
      </c>
      <c r="BD7" s="24">
        <v>44810.0</v>
      </c>
      <c r="BE7" s="24">
        <v>44867.0</v>
      </c>
      <c r="BF7" s="24">
        <v>44793.0</v>
      </c>
      <c r="BG7" s="24">
        <v>44881.0</v>
      </c>
      <c r="BH7" s="24">
        <v>44783.0</v>
      </c>
      <c r="BI7" s="24">
        <v>44825.0</v>
      </c>
      <c r="BJ7" s="24">
        <v>44855.0</v>
      </c>
      <c r="BK7" s="24">
        <v>44790.0</v>
      </c>
      <c r="BL7" s="24">
        <v>44827.0</v>
      </c>
      <c r="BM7" s="24">
        <v>44847.0</v>
      </c>
      <c r="BN7" s="24">
        <v>44804.0</v>
      </c>
      <c r="BO7" s="24">
        <v>44814.0</v>
      </c>
      <c r="BP7" s="24">
        <v>44847.0</v>
      </c>
      <c r="BQ7" s="24">
        <v>44818.0</v>
      </c>
      <c r="BR7" s="24">
        <v>44888.0</v>
      </c>
    </row>
    <row r="8" ht="14.25" customHeight="1">
      <c r="B8" s="12" t="s">
        <v>21</v>
      </c>
      <c r="C8" s="12">
        <v>3.0</v>
      </c>
      <c r="F8" s="6" t="s">
        <v>121</v>
      </c>
      <c r="G8" s="37">
        <v>44875.0</v>
      </c>
      <c r="H8" s="24">
        <v>44813.0</v>
      </c>
      <c r="I8" s="24">
        <v>44853.0</v>
      </c>
      <c r="J8" s="24">
        <v>44870.0</v>
      </c>
      <c r="K8" s="24">
        <v>44786.0</v>
      </c>
      <c r="L8" s="24">
        <v>44805.0</v>
      </c>
      <c r="M8" s="24">
        <v>44844.0</v>
      </c>
      <c r="N8" s="24">
        <v>44868.0</v>
      </c>
    </row>
    <row r="9" ht="14.25" customHeight="1">
      <c r="B9" s="12" t="s">
        <v>97</v>
      </c>
      <c r="C9" s="12">
        <v>1.0</v>
      </c>
      <c r="X9" s="24">
        <v>44783.0</v>
      </c>
    </row>
    <row r="10" ht="14.25" customHeight="1">
      <c r="B10" s="12" t="s">
        <v>24</v>
      </c>
      <c r="C10" s="12">
        <v>4.0</v>
      </c>
      <c r="E10" s="6" t="s">
        <v>132</v>
      </c>
      <c r="G10" s="6" t="s">
        <v>91</v>
      </c>
      <c r="H10" s="6" t="s">
        <v>62</v>
      </c>
      <c r="J10" s="12">
        <v>4705.0</v>
      </c>
      <c r="K10" s="9"/>
      <c r="L10" s="9"/>
      <c r="M10" s="9"/>
      <c r="X10" s="24">
        <v>44783.0</v>
      </c>
    </row>
    <row r="11" ht="14.25" customHeight="1">
      <c r="B11" s="12" t="s">
        <v>27</v>
      </c>
      <c r="C11" s="12">
        <v>2.0</v>
      </c>
      <c r="F11" s="6" t="s">
        <v>120</v>
      </c>
      <c r="G11" s="6">
        <v>67.0</v>
      </c>
      <c r="H11" s="6">
        <v>697.0</v>
      </c>
      <c r="J11" s="12">
        <f>SUM(G7:N7)</f>
        <v>726</v>
      </c>
      <c r="X11" s="24">
        <v>44783.0</v>
      </c>
    </row>
    <row r="12" ht="14.25" customHeight="1">
      <c r="B12" s="12" t="s">
        <v>30</v>
      </c>
      <c r="C12" s="12">
        <v>3.0</v>
      </c>
      <c r="F12" s="6" t="s">
        <v>121</v>
      </c>
      <c r="G12" s="24">
        <v>44846.0</v>
      </c>
      <c r="H12" s="24">
        <v>44869.0</v>
      </c>
      <c r="J12" s="12">
        <f>SUM(G11:H11)</f>
        <v>764</v>
      </c>
      <c r="X12" s="24">
        <v>44783.0</v>
      </c>
    </row>
    <row r="13" ht="14.25" customHeight="1">
      <c r="J13" s="12">
        <f>SUM(J10:J12)</f>
        <v>6195</v>
      </c>
      <c r="X13" s="24">
        <v>44783.0</v>
      </c>
    </row>
    <row r="14" ht="14.25" customHeight="1">
      <c r="X14" s="24">
        <v>44783.0</v>
      </c>
    </row>
    <row r="15" ht="14.25" customHeight="1">
      <c r="X15" s="24">
        <v>44783.0</v>
      </c>
    </row>
    <row r="16" ht="14.25" customHeight="1">
      <c r="X16" s="24">
        <v>44786.0</v>
      </c>
    </row>
    <row r="17" ht="14.25" customHeight="1">
      <c r="C17" s="50"/>
      <c r="D17" s="27">
        <v>44774.0</v>
      </c>
      <c r="E17" s="27">
        <v>44781.0</v>
      </c>
      <c r="F17" s="27">
        <v>44788.0</v>
      </c>
      <c r="G17" s="27">
        <v>44795.0</v>
      </c>
      <c r="H17" s="27">
        <v>44802.0</v>
      </c>
      <c r="I17" s="27">
        <v>44809.0</v>
      </c>
      <c r="J17" s="27">
        <v>44816.0</v>
      </c>
      <c r="K17" s="27">
        <v>44823.0</v>
      </c>
      <c r="L17" s="27">
        <v>44830.0</v>
      </c>
      <c r="M17" s="27">
        <v>44837.0</v>
      </c>
      <c r="N17" s="27">
        <v>44844.0</v>
      </c>
      <c r="O17" s="27">
        <v>44851.0</v>
      </c>
      <c r="P17" s="27">
        <v>44858.0</v>
      </c>
      <c r="Q17" s="27">
        <v>44865.0</v>
      </c>
      <c r="R17" s="27">
        <v>44872.0</v>
      </c>
      <c r="S17" s="27">
        <v>44879.0</v>
      </c>
      <c r="T17" s="27">
        <v>44886.0</v>
      </c>
      <c r="U17" s="27">
        <v>44893.0</v>
      </c>
      <c r="V17" s="51">
        <v>44900.0</v>
      </c>
      <c r="X17" s="24">
        <v>44790.0</v>
      </c>
    </row>
    <row r="18" ht="14.25" customHeight="1">
      <c r="C18" s="50" t="s">
        <v>15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6"/>
      <c r="X18" s="24">
        <v>44790.0</v>
      </c>
    </row>
    <row r="19" ht="14.25" customHeight="1">
      <c r="C19" s="50" t="s">
        <v>18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6"/>
      <c r="X19" s="24">
        <v>44790.0</v>
      </c>
    </row>
    <row r="20" ht="14.25" customHeight="1">
      <c r="C20" s="50" t="s">
        <v>21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6"/>
      <c r="X20" s="24">
        <v>44790.0</v>
      </c>
    </row>
    <row r="21" ht="14.25" customHeight="1">
      <c r="C21" s="50" t="s">
        <v>97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6"/>
      <c r="X21" s="24">
        <v>44790.0</v>
      </c>
    </row>
    <row r="22" ht="14.25" customHeight="1">
      <c r="C22" s="50" t="s">
        <v>24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6"/>
      <c r="X22" s="24">
        <v>44793.0</v>
      </c>
    </row>
    <row r="23" ht="14.25" customHeight="1">
      <c r="C23" s="50" t="s">
        <v>27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6"/>
      <c r="X23" s="24">
        <v>44799.0</v>
      </c>
    </row>
    <row r="24" ht="14.25" customHeight="1">
      <c r="C24" s="50" t="s">
        <v>30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6"/>
      <c r="X24" s="24">
        <v>44800.0</v>
      </c>
    </row>
    <row r="25" ht="14.25" customHeight="1">
      <c r="X25" s="24">
        <v>44804.0</v>
      </c>
    </row>
    <row r="26" ht="14.25" customHeight="1">
      <c r="L26" s="6"/>
      <c r="R26" s="6"/>
      <c r="X26" s="24">
        <v>44806.0</v>
      </c>
    </row>
    <row r="27" ht="14.25" customHeight="1">
      <c r="E27" s="6"/>
      <c r="X27" s="24">
        <v>44807.0</v>
      </c>
    </row>
    <row r="28" ht="14.25" customHeight="1">
      <c r="X28" s="24">
        <v>44810.0</v>
      </c>
    </row>
    <row r="29" ht="14.25" customHeight="1">
      <c r="E29" s="11" t="s">
        <v>133</v>
      </c>
      <c r="G29" s="52" t="s">
        <v>134</v>
      </c>
      <c r="H29" s="52" t="s">
        <v>42</v>
      </c>
      <c r="I29" s="52" t="s">
        <v>98</v>
      </c>
      <c r="K29" s="52" t="s">
        <v>72</v>
      </c>
      <c r="L29" s="52" t="s">
        <v>69</v>
      </c>
      <c r="M29" s="52" t="s">
        <v>73</v>
      </c>
      <c r="N29" s="52" t="s">
        <v>47</v>
      </c>
      <c r="O29" s="52" t="s">
        <v>93</v>
      </c>
      <c r="P29" s="52" t="s">
        <v>99</v>
      </c>
      <c r="S29" s="52" t="s">
        <v>66</v>
      </c>
      <c r="X29" s="24">
        <v>44811.0</v>
      </c>
    </row>
    <row r="30" ht="14.25" customHeight="1">
      <c r="F30" s="11" t="s">
        <v>135</v>
      </c>
      <c r="H30" s="11">
        <v>0.0</v>
      </c>
      <c r="I30" s="11">
        <v>111.0</v>
      </c>
      <c r="J30" s="11">
        <v>34.0</v>
      </c>
      <c r="K30" s="11">
        <v>0.0</v>
      </c>
      <c r="L30" s="11">
        <v>0.0</v>
      </c>
      <c r="M30" s="11">
        <v>0.0</v>
      </c>
      <c r="N30" s="11">
        <v>0.0</v>
      </c>
      <c r="O30" s="11">
        <v>0.0</v>
      </c>
      <c r="P30" s="11">
        <v>74.0</v>
      </c>
      <c r="Q30" s="11">
        <v>131.0</v>
      </c>
      <c r="R30" s="11">
        <v>205.0</v>
      </c>
      <c r="S30" s="11">
        <v>0.0</v>
      </c>
      <c r="X30" s="24">
        <v>44811.0</v>
      </c>
    </row>
    <row r="31" ht="14.25" customHeight="1">
      <c r="F31" s="11" t="s">
        <v>121</v>
      </c>
      <c r="I31" s="53">
        <v>44790.0</v>
      </c>
      <c r="J31" s="54">
        <v>44875.0</v>
      </c>
      <c r="P31" s="55">
        <v>44790.0</v>
      </c>
      <c r="Q31" s="11" t="s">
        <v>136</v>
      </c>
      <c r="R31" s="53">
        <v>44853.0</v>
      </c>
      <c r="X31" s="24">
        <v>44814.0</v>
      </c>
    </row>
    <row r="32" ht="14.25" customHeight="1">
      <c r="X32" s="24">
        <v>44814.0</v>
      </c>
    </row>
    <row r="33" ht="14.25" customHeight="1">
      <c r="X33" s="24">
        <v>44818.0</v>
      </c>
    </row>
    <row r="34" ht="14.25" customHeight="1">
      <c r="X34" s="24">
        <v>44820.0</v>
      </c>
    </row>
    <row r="35" ht="14.25" customHeight="1">
      <c r="X35" s="24">
        <v>44825.0</v>
      </c>
    </row>
    <row r="36" ht="14.25" customHeight="1">
      <c r="X36" s="24">
        <v>44827.0</v>
      </c>
    </row>
    <row r="37" ht="14.25" customHeight="1">
      <c r="X37" s="24">
        <v>44827.0</v>
      </c>
    </row>
    <row r="38" ht="14.25" customHeight="1">
      <c r="X38" s="24">
        <v>44832.0</v>
      </c>
    </row>
    <row r="39" ht="14.25" customHeight="1">
      <c r="X39" s="24">
        <v>44833.0</v>
      </c>
    </row>
    <row r="40" ht="14.25" customHeight="1">
      <c r="X40" s="24">
        <v>44838.0</v>
      </c>
    </row>
    <row r="41" ht="14.25" customHeight="1">
      <c r="X41" s="24">
        <v>44839.0</v>
      </c>
    </row>
    <row r="42" ht="14.25" customHeight="1">
      <c r="X42" s="24">
        <v>44841.0</v>
      </c>
    </row>
    <row r="43" ht="14.25" customHeight="1">
      <c r="X43" s="24">
        <v>44846.0</v>
      </c>
    </row>
    <row r="44" ht="14.25" customHeight="1">
      <c r="X44" s="24">
        <v>44847.0</v>
      </c>
    </row>
    <row r="45" ht="14.25" customHeight="1">
      <c r="X45" s="24">
        <v>44847.0</v>
      </c>
    </row>
    <row r="46" ht="14.25" customHeight="1">
      <c r="X46" s="24">
        <v>44847.0</v>
      </c>
    </row>
    <row r="47" ht="14.25" customHeight="1">
      <c r="X47" s="24">
        <v>44849.0</v>
      </c>
    </row>
    <row r="48" ht="14.25" customHeight="1">
      <c r="X48" s="24">
        <v>44853.0</v>
      </c>
    </row>
    <row r="49" ht="14.25" customHeight="1">
      <c r="X49" s="24">
        <v>44854.0</v>
      </c>
    </row>
    <row r="50" ht="14.25" customHeight="1">
      <c r="X50" s="24">
        <v>44855.0</v>
      </c>
    </row>
    <row r="51" ht="14.25" customHeight="1">
      <c r="X51" s="24">
        <v>44861.0</v>
      </c>
    </row>
    <row r="52" ht="14.25" customHeight="1">
      <c r="X52" s="24">
        <v>44866.0</v>
      </c>
    </row>
    <row r="53" ht="14.25" customHeight="1">
      <c r="X53" s="24">
        <v>44867.0</v>
      </c>
    </row>
    <row r="54" ht="14.25" customHeight="1">
      <c r="X54" s="24">
        <v>44869.0</v>
      </c>
    </row>
    <row r="55" ht="14.25" customHeight="1">
      <c r="X55" s="24">
        <v>44873.0</v>
      </c>
    </row>
    <row r="56" ht="14.25" customHeight="1">
      <c r="X56" s="24">
        <v>44874.0</v>
      </c>
    </row>
    <row r="57" ht="14.25" customHeight="1">
      <c r="X57" s="24">
        <v>44874.0</v>
      </c>
    </row>
    <row r="58" ht="14.25" customHeight="1">
      <c r="X58" s="24">
        <v>44874.0</v>
      </c>
    </row>
    <row r="59" ht="14.25" customHeight="1">
      <c r="X59" s="24">
        <v>44880.0</v>
      </c>
    </row>
    <row r="60" ht="14.25" customHeight="1">
      <c r="X60" s="24">
        <v>44881.0</v>
      </c>
    </row>
    <row r="61" ht="14.25" customHeight="1">
      <c r="X61" s="24">
        <v>44881.0</v>
      </c>
    </row>
    <row r="62" ht="14.25" customHeight="1">
      <c r="X62" s="24">
        <v>44888.0</v>
      </c>
    </row>
    <row r="63" ht="14.25" customHeight="1">
      <c r="X63" s="24">
        <v>44889.0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" t="s">
        <v>137</v>
      </c>
    </row>
    <row r="2" ht="14.25" customHeight="1"/>
    <row r="3" ht="14.25" customHeight="1">
      <c r="A3" s="6" t="s">
        <v>138</v>
      </c>
      <c r="C3" s="6" t="s">
        <v>139</v>
      </c>
    </row>
    <row r="4" ht="14.25" customHeight="1">
      <c r="A4" s="6" t="s">
        <v>14</v>
      </c>
      <c r="C4" s="6">
        <v>20.0</v>
      </c>
    </row>
    <row r="5" ht="14.25" customHeight="1"/>
    <row r="6" ht="14.25" customHeight="1">
      <c r="A6" s="6" t="s">
        <v>34</v>
      </c>
      <c r="C6" s="6">
        <v>40.0</v>
      </c>
    </row>
    <row r="7" ht="14.25" customHeight="1"/>
    <row r="8" ht="14.25" customHeight="1">
      <c r="A8" s="6" t="s">
        <v>67</v>
      </c>
      <c r="C8" s="6">
        <v>9.0</v>
      </c>
    </row>
    <row r="9" ht="14.25" customHeight="1"/>
    <row r="10" ht="14.25" customHeight="1">
      <c r="A10" s="6" t="s">
        <v>68</v>
      </c>
      <c r="C10" s="6">
        <v>25.0</v>
      </c>
    </row>
    <row r="11" ht="14.25" customHeight="1"/>
    <row r="12" ht="14.25" customHeight="1">
      <c r="A12" s="6" t="s">
        <v>74</v>
      </c>
    </row>
    <row r="13" ht="14.25" customHeight="1">
      <c r="A13" s="6" t="s">
        <v>14</v>
      </c>
    </row>
    <row r="14" ht="14.25" customHeight="1">
      <c r="A14" s="6" t="s">
        <v>140</v>
      </c>
      <c r="B14" s="38"/>
      <c r="F14" s="6" t="s">
        <v>141</v>
      </c>
      <c r="H14" s="6" t="s">
        <v>142</v>
      </c>
      <c r="J14" s="6" t="s">
        <v>143</v>
      </c>
      <c r="N14" s="6" t="s">
        <v>144</v>
      </c>
    </row>
    <row r="15" ht="14.25" customHeight="1">
      <c r="A15" s="6" t="s">
        <v>15</v>
      </c>
      <c r="F15" s="6">
        <v>0.4</v>
      </c>
      <c r="H15" s="6">
        <v>0.0</v>
      </c>
      <c r="J15" s="6">
        <f t="shared" ref="J15:J20" si="1">F15*20</f>
        <v>8</v>
      </c>
      <c r="N15" s="6">
        <f t="shared" ref="N15:N20" si="2">H15*20</f>
        <v>0</v>
      </c>
    </row>
    <row r="16" ht="14.25" customHeight="1">
      <c r="A16" s="6" t="s">
        <v>18</v>
      </c>
      <c r="F16" s="6">
        <v>0.1</v>
      </c>
      <c r="H16" s="6">
        <v>1.1</v>
      </c>
      <c r="J16" s="6">
        <f t="shared" si="1"/>
        <v>2</v>
      </c>
      <c r="N16" s="6">
        <f t="shared" si="2"/>
        <v>22</v>
      </c>
    </row>
    <row r="17" ht="14.25" customHeight="1">
      <c r="A17" s="6" t="s">
        <v>21</v>
      </c>
      <c r="F17" s="6">
        <v>0.5</v>
      </c>
      <c r="H17" s="6">
        <v>0.5</v>
      </c>
      <c r="J17" s="6">
        <f t="shared" si="1"/>
        <v>10</v>
      </c>
      <c r="N17" s="6">
        <f t="shared" si="2"/>
        <v>10</v>
      </c>
    </row>
    <row r="18" ht="14.25" customHeight="1">
      <c r="A18" s="6" t="s">
        <v>24</v>
      </c>
      <c r="F18" s="6">
        <v>0.3</v>
      </c>
      <c r="H18" s="6">
        <v>0.0</v>
      </c>
      <c r="J18" s="6">
        <f t="shared" si="1"/>
        <v>6</v>
      </c>
      <c r="N18" s="6">
        <f t="shared" si="2"/>
        <v>0</v>
      </c>
    </row>
    <row r="19" ht="14.25" customHeight="1">
      <c r="A19" s="6" t="s">
        <v>27</v>
      </c>
      <c r="F19" s="6">
        <v>0.1</v>
      </c>
      <c r="H19" s="6">
        <v>1.5</v>
      </c>
      <c r="J19" s="6">
        <f t="shared" si="1"/>
        <v>2</v>
      </c>
      <c r="N19" s="6">
        <f t="shared" si="2"/>
        <v>30</v>
      </c>
    </row>
    <row r="20" ht="14.25" customHeight="1">
      <c r="A20" s="6" t="s">
        <v>30</v>
      </c>
      <c r="F20" s="6">
        <v>0.5</v>
      </c>
      <c r="H20" s="6">
        <v>0.0</v>
      </c>
      <c r="J20" s="6">
        <f t="shared" si="1"/>
        <v>10</v>
      </c>
      <c r="N20" s="6">
        <f t="shared" si="2"/>
        <v>0</v>
      </c>
    </row>
    <row r="21" ht="14.25" customHeight="1"/>
    <row r="22" ht="14.25" customHeight="1">
      <c r="A22" s="6" t="s">
        <v>34</v>
      </c>
    </row>
    <row r="23" ht="14.25" customHeight="1">
      <c r="A23" s="6" t="str">
        <f t="shared" ref="A23:A28" si="3">A15</f>
        <v>SM</v>
      </c>
      <c r="F23" s="6">
        <v>0.2</v>
      </c>
      <c r="H23" s="6">
        <v>1.3</v>
      </c>
      <c r="J23" s="6">
        <f t="shared" ref="J23:J28" si="4">F23*40</f>
        <v>8</v>
      </c>
      <c r="N23" s="6">
        <f t="shared" ref="N23:N28" si="5">H23*40</f>
        <v>52</v>
      </c>
    </row>
    <row r="24" ht="14.25" customHeight="1">
      <c r="A24" s="6" t="str">
        <f t="shared" si="3"/>
        <v>TM</v>
      </c>
      <c r="F24" s="6">
        <v>1.0</v>
      </c>
      <c r="H24" s="6">
        <v>1.2</v>
      </c>
      <c r="J24" s="6">
        <f t="shared" si="4"/>
        <v>40</v>
      </c>
      <c r="N24" s="6">
        <f t="shared" si="5"/>
        <v>48</v>
      </c>
    </row>
    <row r="25" ht="14.25" customHeight="1">
      <c r="A25" s="6" t="str">
        <f t="shared" si="3"/>
        <v>MM</v>
      </c>
      <c r="F25" s="6">
        <v>0.9</v>
      </c>
      <c r="H25" s="6">
        <v>1.4</v>
      </c>
      <c r="J25" s="6">
        <f t="shared" si="4"/>
        <v>36</v>
      </c>
      <c r="N25" s="6">
        <f t="shared" si="5"/>
        <v>56</v>
      </c>
    </row>
    <row r="26" ht="14.25" customHeight="1">
      <c r="A26" s="6" t="str">
        <f t="shared" si="3"/>
        <v>GM</v>
      </c>
      <c r="F26" s="6">
        <v>1.1</v>
      </c>
      <c r="H26" s="6">
        <v>0.6</v>
      </c>
      <c r="J26" s="6">
        <f t="shared" si="4"/>
        <v>44</v>
      </c>
      <c r="N26" s="6">
        <f t="shared" si="5"/>
        <v>24</v>
      </c>
    </row>
    <row r="27" ht="14.25" customHeight="1">
      <c r="A27" s="6" t="str">
        <f t="shared" si="3"/>
        <v>CMM</v>
      </c>
      <c r="F27" s="6">
        <v>0.2</v>
      </c>
      <c r="H27" s="6">
        <v>1.4</v>
      </c>
      <c r="J27" s="6">
        <f t="shared" si="4"/>
        <v>8</v>
      </c>
      <c r="N27" s="6">
        <f t="shared" si="5"/>
        <v>56</v>
      </c>
    </row>
    <row r="28" ht="14.25" customHeight="1">
      <c r="A28" s="6" t="str">
        <f t="shared" si="3"/>
        <v>A</v>
      </c>
      <c r="F28" s="6">
        <v>0.8</v>
      </c>
      <c r="H28" s="6">
        <v>0.2</v>
      </c>
      <c r="J28" s="6">
        <f t="shared" si="4"/>
        <v>32</v>
      </c>
      <c r="N28" s="6">
        <f t="shared" si="5"/>
        <v>8</v>
      </c>
    </row>
    <row r="29" ht="14.25" customHeight="1"/>
    <row r="30" ht="14.25" customHeight="1"/>
    <row r="31" ht="14.25" customHeight="1">
      <c r="A31" s="6" t="s">
        <v>67</v>
      </c>
    </row>
    <row r="32" ht="14.25" customHeight="1">
      <c r="A32" s="6" t="str">
        <f t="shared" ref="A32:A37" si="6">A23</f>
        <v>SM</v>
      </c>
      <c r="F32" s="6">
        <v>0.8</v>
      </c>
      <c r="H32" s="6">
        <v>0.3</v>
      </c>
      <c r="J32" s="6">
        <f t="shared" ref="J32:J37" si="7">F32*9</f>
        <v>7.2</v>
      </c>
      <c r="N32" s="6">
        <f t="shared" ref="N32:N37" si="8">H32*9</f>
        <v>2.7</v>
      </c>
    </row>
    <row r="33" ht="14.25" customHeight="1">
      <c r="A33" s="6" t="str">
        <f t="shared" si="6"/>
        <v>TM</v>
      </c>
      <c r="F33" s="6">
        <v>0.2</v>
      </c>
      <c r="H33" s="6">
        <v>1.1</v>
      </c>
      <c r="J33" s="6">
        <f t="shared" si="7"/>
        <v>1.8</v>
      </c>
      <c r="N33" s="6">
        <f t="shared" si="8"/>
        <v>9.9</v>
      </c>
    </row>
    <row r="34" ht="14.25" customHeight="1">
      <c r="A34" s="6" t="str">
        <f t="shared" si="6"/>
        <v>MM</v>
      </c>
      <c r="F34" s="6">
        <v>0.9</v>
      </c>
      <c r="H34" s="6">
        <v>0.4</v>
      </c>
      <c r="J34" s="6">
        <f t="shared" si="7"/>
        <v>8.1</v>
      </c>
      <c r="N34" s="6">
        <f t="shared" si="8"/>
        <v>3.6</v>
      </c>
    </row>
    <row r="35" ht="14.25" customHeight="1">
      <c r="A35" s="6" t="str">
        <f t="shared" si="6"/>
        <v>GM</v>
      </c>
      <c r="F35" s="6">
        <v>0.4</v>
      </c>
      <c r="H35" s="6">
        <v>0.3</v>
      </c>
      <c r="J35" s="6">
        <f t="shared" si="7"/>
        <v>3.6</v>
      </c>
      <c r="N35" s="6">
        <f t="shared" si="8"/>
        <v>2.7</v>
      </c>
    </row>
    <row r="36" ht="14.25" customHeight="1">
      <c r="A36" s="6" t="str">
        <f t="shared" si="6"/>
        <v>CMM</v>
      </c>
      <c r="F36" s="6">
        <v>0.2</v>
      </c>
      <c r="H36" s="6">
        <v>0.6</v>
      </c>
      <c r="J36" s="6">
        <f t="shared" si="7"/>
        <v>1.8</v>
      </c>
      <c r="N36" s="6">
        <f t="shared" si="8"/>
        <v>5.4</v>
      </c>
    </row>
    <row r="37" ht="14.25" customHeight="1">
      <c r="A37" s="6" t="str">
        <f t="shared" si="6"/>
        <v>A</v>
      </c>
      <c r="F37" s="6">
        <v>0.1</v>
      </c>
      <c r="H37" s="6">
        <v>1.7</v>
      </c>
      <c r="J37" s="6">
        <f t="shared" si="7"/>
        <v>0.9</v>
      </c>
      <c r="N37" s="6">
        <f t="shared" si="8"/>
        <v>15.3</v>
      </c>
    </row>
    <row r="38" ht="14.25" customHeight="1"/>
    <row r="39" ht="14.25" customHeight="1">
      <c r="A39" s="6" t="s">
        <v>68</v>
      </c>
    </row>
    <row r="40" ht="14.25" customHeight="1">
      <c r="A40" s="6" t="str">
        <f t="shared" ref="A40:A45" si="9">A32</f>
        <v>SM</v>
      </c>
      <c r="F40" s="7">
        <v>0.22094990592839714</v>
      </c>
      <c r="H40" s="7">
        <v>1.0375645603295347</v>
      </c>
      <c r="J40" s="6">
        <f t="shared" ref="J40:J45" si="10">F40*25</f>
        <v>5.523747648</v>
      </c>
      <c r="N40" s="6">
        <f t="shared" ref="N40:N45" si="11">H40*25</f>
        <v>25.93911401</v>
      </c>
    </row>
    <row r="41" ht="14.25" customHeight="1">
      <c r="A41" s="6" t="str">
        <f t="shared" si="9"/>
        <v>TM</v>
      </c>
      <c r="F41" s="7">
        <v>0.2626847492034481</v>
      </c>
      <c r="H41" s="7">
        <v>1.8371399523116025</v>
      </c>
      <c r="J41" s="6">
        <f t="shared" si="10"/>
        <v>6.56711873</v>
      </c>
      <c r="N41" s="6">
        <f t="shared" si="11"/>
        <v>45.92849881</v>
      </c>
    </row>
    <row r="42" ht="14.25" customHeight="1">
      <c r="A42" s="6" t="str">
        <f t="shared" si="9"/>
        <v>MM</v>
      </c>
      <c r="F42" s="7">
        <v>0.483215898461011</v>
      </c>
      <c r="H42" s="7">
        <v>0.285953284064466</v>
      </c>
      <c r="J42" s="6">
        <f t="shared" si="10"/>
        <v>12.08039746</v>
      </c>
      <c r="N42" s="6">
        <f t="shared" si="11"/>
        <v>7.148832102</v>
      </c>
    </row>
    <row r="43" ht="14.25" customHeight="1">
      <c r="A43" s="6" t="str">
        <f t="shared" si="9"/>
        <v>GM</v>
      </c>
      <c r="F43" s="7">
        <v>0.5278255595693038</v>
      </c>
      <c r="H43" s="7">
        <v>1.330678573920686</v>
      </c>
      <c r="J43" s="6">
        <f t="shared" si="10"/>
        <v>13.19563899</v>
      </c>
      <c r="N43" s="6">
        <f t="shared" si="11"/>
        <v>33.26696435</v>
      </c>
    </row>
    <row r="44" ht="14.25" customHeight="1">
      <c r="A44" s="6" t="str">
        <f t="shared" si="9"/>
        <v>CMM</v>
      </c>
      <c r="F44" s="7">
        <v>0.25</v>
      </c>
      <c r="H44" s="7">
        <v>1.9209419666168617</v>
      </c>
      <c r="J44" s="6">
        <f t="shared" si="10"/>
        <v>6.25</v>
      </c>
      <c r="N44" s="6">
        <f t="shared" si="11"/>
        <v>48.02354917</v>
      </c>
    </row>
    <row r="45" ht="14.25" customHeight="1">
      <c r="A45" s="6" t="str">
        <f t="shared" si="9"/>
        <v>A</v>
      </c>
      <c r="F45" s="7">
        <v>0.5660132853157734</v>
      </c>
      <c r="H45" s="7">
        <v>0.5597133003130754</v>
      </c>
      <c r="J45" s="6">
        <f t="shared" si="10"/>
        <v>14.15033213</v>
      </c>
      <c r="N45" s="6">
        <f t="shared" si="11"/>
        <v>13.99283251</v>
      </c>
    </row>
    <row r="46" ht="14.25" customHeight="1">
      <c r="A46" s="6" t="s">
        <v>18</v>
      </c>
    </row>
    <row r="47" ht="14.25" customHeight="1"/>
    <row r="48" ht="14.25" customHeight="1"/>
    <row r="49" ht="14.25" customHeight="1">
      <c r="A49" s="6" t="s">
        <v>145</v>
      </c>
      <c r="G49" s="6" t="s">
        <v>146</v>
      </c>
    </row>
    <row r="50" ht="14.25" customHeight="1">
      <c r="A50" s="6" t="s">
        <v>15</v>
      </c>
      <c r="B50" s="6">
        <f>J15+J40+J32+J23+J88+J96+J104+J112+J157+J164+J171+J181</f>
        <v>698.8768787</v>
      </c>
      <c r="G50" s="6">
        <f>B50/5</f>
        <v>139.7753757</v>
      </c>
    </row>
    <row r="51" ht="14.25" customHeight="1">
      <c r="A51" s="6" t="s">
        <v>147</v>
      </c>
      <c r="B51" s="6">
        <f>J41+J33+J24+J16+J89+J97+J105+J113+J172+J174+J182+J184</f>
        <v>573.9898903</v>
      </c>
      <c r="G51" s="6">
        <f>B51/4</f>
        <v>143.4974726</v>
      </c>
    </row>
    <row r="52" ht="14.25" customHeight="1">
      <c r="A52" s="6" t="s">
        <v>21</v>
      </c>
      <c r="B52" s="6">
        <f>J42+J34+J25+J17+J90+J98+J106+J114+J173+J183</f>
        <v>478.0678344</v>
      </c>
      <c r="G52" s="6">
        <f t="shared" ref="G52:G54" si="12">B52/5</f>
        <v>95.61356689</v>
      </c>
    </row>
    <row r="53" ht="14.25" customHeight="1">
      <c r="A53" s="6" t="s">
        <v>24</v>
      </c>
      <c r="B53" s="6">
        <f>J43+J35+J26+J18+J91+J99+J107+J115+J121+J127+J134+J140+J146+J152+J159+J166+J175+J185</f>
        <v>1227.355744</v>
      </c>
      <c r="G53" s="6">
        <f t="shared" si="12"/>
        <v>245.4711489</v>
      </c>
    </row>
    <row r="54" ht="14.25" customHeight="1">
      <c r="A54" s="6" t="s">
        <v>27</v>
      </c>
      <c r="B54" s="6">
        <f>J44+J36+J27+J19+J92+J100+J108+J116+J122+J128+J135+J141+J147+J160+J167+J177+J187</f>
        <v>363.5163788</v>
      </c>
      <c r="G54" s="6">
        <f t="shared" si="12"/>
        <v>72.70327576</v>
      </c>
    </row>
    <row r="55" ht="14.25" customHeight="1">
      <c r="A55" s="6" t="s">
        <v>30</v>
      </c>
      <c r="B55" s="6">
        <f>J45+J37+J28+J20+J93+J101+J109+J117+J123+J129+J136+J142+J148+J154+J161+J168+J178+J188</f>
        <v>1448.687484</v>
      </c>
      <c r="G55" s="6">
        <f>B55/2</f>
        <v>724.3437422</v>
      </c>
      <c r="I55" s="6" t="s">
        <v>147</v>
      </c>
    </row>
    <row r="56" ht="14.25" customHeight="1">
      <c r="B56" s="6">
        <f>SUM(B50:B55)</f>
        <v>4790.494211</v>
      </c>
    </row>
    <row r="57" ht="14.25" customHeight="1"/>
    <row r="58" ht="14.25" customHeight="1"/>
    <row r="59" ht="14.25" customHeight="1">
      <c r="A59" s="6" t="s">
        <v>148</v>
      </c>
    </row>
    <row r="60" ht="14.25" customHeight="1">
      <c r="A60" s="6" t="s">
        <v>15</v>
      </c>
      <c r="B60" s="7">
        <f>N40+N32+N23+N15+H88+H96+H104+H112+H157+H164+H171+H181</f>
        <v>668.7490458</v>
      </c>
      <c r="G60" s="6">
        <f>B60/5</f>
        <v>133.7498092</v>
      </c>
    </row>
    <row r="61" ht="14.25" customHeight="1">
      <c r="A61" s="6" t="s">
        <v>18</v>
      </c>
      <c r="B61" s="6">
        <f>N41+N33+N24+N16+H89+H97+H105+H113+H172+H174+H182+H184</f>
        <v>1180.681702</v>
      </c>
      <c r="G61" s="6">
        <f>B61/4</f>
        <v>295.1704255</v>
      </c>
    </row>
    <row r="62" ht="14.25" customHeight="1">
      <c r="A62" s="6" t="s">
        <v>21</v>
      </c>
      <c r="B62" s="6">
        <f>N42+N34+N25+N17+H90+H98+H106+H114+H173+H183</f>
        <v>837.678632</v>
      </c>
      <c r="G62" s="6">
        <f t="shared" ref="G62:G63" si="13">B62/5</f>
        <v>167.5357264</v>
      </c>
    </row>
    <row r="63" ht="14.25" customHeight="1">
      <c r="A63" s="6" t="s">
        <v>24</v>
      </c>
      <c r="B63" s="6">
        <f t="shared" ref="B63:B64" si="14">N43+N35+N26+N18</f>
        <v>59.96696435</v>
      </c>
      <c r="G63" s="6">
        <f t="shared" si="13"/>
        <v>11.99339287</v>
      </c>
    </row>
    <row r="64" ht="14.25" customHeight="1">
      <c r="A64" s="6" t="s">
        <v>27</v>
      </c>
      <c r="B64" s="6">
        <f t="shared" si="14"/>
        <v>139.4235492</v>
      </c>
      <c r="G64" s="6">
        <f>B64/4</f>
        <v>34.85588729</v>
      </c>
    </row>
    <row r="65" ht="14.25" customHeight="1">
      <c r="A65" s="6" t="s">
        <v>30</v>
      </c>
      <c r="B65" s="6">
        <f>N45+N37+N28+N20+H93+H101+H109+H117+H123+H129+H136+H142+H148+H154+H161+H168+H178+H188</f>
        <v>792.4974115</v>
      </c>
      <c r="G65" s="6">
        <f>B65/2</f>
        <v>396.2487058</v>
      </c>
    </row>
    <row r="66" ht="14.25" customHeight="1"/>
    <row r="67" ht="14.25" customHeight="1">
      <c r="A67" s="6" t="s">
        <v>74</v>
      </c>
      <c r="C67" s="6">
        <f>58+71</f>
        <v>129</v>
      </c>
    </row>
    <row r="68" ht="14.25" customHeight="1">
      <c r="A68" s="6" t="s">
        <v>75</v>
      </c>
      <c r="C68" s="6">
        <f>74+17+16</f>
        <v>107</v>
      </c>
    </row>
    <row r="69" ht="14.25" customHeight="1">
      <c r="A69" s="6" t="s">
        <v>77</v>
      </c>
      <c r="C69" s="6">
        <f>92+84</f>
        <v>176</v>
      </c>
    </row>
    <row r="70" ht="14.25" customHeight="1">
      <c r="A70" s="6" t="s">
        <v>79</v>
      </c>
      <c r="C70" s="6">
        <f>65+3+22</f>
        <v>90</v>
      </c>
    </row>
    <row r="71" ht="14.25" customHeight="1">
      <c r="A71" s="6" t="s">
        <v>87</v>
      </c>
      <c r="C71" s="6">
        <f>29+32+29</f>
        <v>90</v>
      </c>
    </row>
    <row r="72" ht="14.25" customHeight="1">
      <c r="A72" s="6" t="s">
        <v>88</v>
      </c>
      <c r="C72" s="6">
        <f>5+81+48</f>
        <v>134</v>
      </c>
    </row>
    <row r="73" ht="14.25" customHeight="1">
      <c r="A73" s="6" t="s">
        <v>92</v>
      </c>
      <c r="C73" s="6">
        <f>24+6+98</f>
        <v>128</v>
      </c>
    </row>
    <row r="74" ht="14.25" customHeight="1">
      <c r="A74" s="6" t="s">
        <v>94</v>
      </c>
      <c r="C74" s="6">
        <f>16+85+54+68</f>
        <v>223</v>
      </c>
    </row>
    <row r="75" ht="14.25" customHeight="1">
      <c r="A75" s="6" t="s">
        <v>95</v>
      </c>
      <c r="C75" s="6">
        <f>50+90+59</f>
        <v>199</v>
      </c>
    </row>
    <row r="76" ht="14.25" customHeight="1">
      <c r="A76" s="6" t="s">
        <v>96</v>
      </c>
      <c r="C76" s="6">
        <f>50+13</f>
        <v>63</v>
      </c>
    </row>
    <row r="77" ht="14.25" customHeight="1">
      <c r="A77" s="6" t="s">
        <v>42</v>
      </c>
      <c r="C77" s="6" t="s">
        <v>149</v>
      </c>
    </row>
    <row r="78" ht="14.25" customHeight="1">
      <c r="A78" s="6" t="s">
        <v>47</v>
      </c>
      <c r="C78" s="6" t="s">
        <v>149</v>
      </c>
    </row>
    <row r="79" ht="14.25" customHeight="1">
      <c r="A79" s="6" t="s">
        <v>93</v>
      </c>
      <c r="C79" s="6" t="s">
        <v>149</v>
      </c>
    </row>
    <row r="80" ht="14.25" customHeight="1">
      <c r="A80" s="6" t="s">
        <v>78</v>
      </c>
      <c r="C80" s="6" t="s">
        <v>149</v>
      </c>
    </row>
    <row r="81" ht="14.25" customHeight="1">
      <c r="A81" s="6" t="s">
        <v>102</v>
      </c>
      <c r="C81" s="6">
        <f>38+46+75</f>
        <v>159</v>
      </c>
    </row>
    <row r="82" ht="14.25" customHeight="1">
      <c r="A82" s="6" t="s">
        <v>101</v>
      </c>
      <c r="C82" s="6">
        <f>83+58+2+20</f>
        <v>163</v>
      </c>
    </row>
    <row r="83" ht="14.25" customHeight="1">
      <c r="A83" s="6" t="s">
        <v>104</v>
      </c>
      <c r="C83" s="6">
        <f>56+1+71</f>
        <v>128</v>
      </c>
    </row>
    <row r="84" ht="14.25" customHeight="1">
      <c r="A84" s="6" t="s">
        <v>106</v>
      </c>
      <c r="C84" s="6">
        <f>45+85+28</f>
        <v>158</v>
      </c>
    </row>
    <row r="85" ht="14.25" customHeight="1"/>
    <row r="86" ht="14.25" customHeight="1"/>
    <row r="87" ht="14.25" customHeight="1">
      <c r="A87" s="6" t="s">
        <v>74</v>
      </c>
      <c r="D87" s="6" t="s">
        <v>150</v>
      </c>
      <c r="F87" s="6" t="s">
        <v>151</v>
      </c>
      <c r="H87" s="6" t="s">
        <v>152</v>
      </c>
      <c r="J87" s="6" t="s">
        <v>153</v>
      </c>
    </row>
    <row r="88" ht="14.25" customHeight="1">
      <c r="A88" s="6" t="s">
        <v>15</v>
      </c>
      <c r="D88" s="7">
        <v>0.49964462596401016</v>
      </c>
      <c r="F88" s="7">
        <v>0.7364119207840953</v>
      </c>
      <c r="H88" s="6">
        <f t="shared" ref="H88:H91" si="15">129*D88</f>
        <v>64.45415675</v>
      </c>
      <c r="J88" s="6">
        <f t="shared" ref="J88:J93" si="16">129*F88</f>
        <v>94.99713778</v>
      </c>
    </row>
    <row r="89" ht="14.25" customHeight="1">
      <c r="A89" s="6" t="s">
        <v>18</v>
      </c>
      <c r="D89" s="7">
        <v>0.03835798776646393</v>
      </c>
      <c r="F89" s="7">
        <v>0.5362407882156427</v>
      </c>
      <c r="H89" s="6">
        <f t="shared" si="15"/>
        <v>4.948180422</v>
      </c>
      <c r="J89" s="6">
        <f t="shared" si="16"/>
        <v>69.17506168</v>
      </c>
    </row>
    <row r="90" ht="14.25" customHeight="1">
      <c r="A90" s="6" t="s">
        <v>21</v>
      </c>
      <c r="D90" s="7">
        <v>1.4872293456057835</v>
      </c>
      <c r="F90" s="7">
        <v>0.45810164397099107</v>
      </c>
      <c r="H90" s="6">
        <f t="shared" si="15"/>
        <v>191.8525856</v>
      </c>
      <c r="J90" s="6">
        <f t="shared" si="16"/>
        <v>59.09511207</v>
      </c>
    </row>
    <row r="91" ht="14.25" customHeight="1">
      <c r="A91" s="6" t="s">
        <v>24</v>
      </c>
      <c r="D91" s="7">
        <v>0.19949974104580392</v>
      </c>
      <c r="F91" s="7">
        <v>1.08</v>
      </c>
      <c r="H91" s="6">
        <f t="shared" si="15"/>
        <v>25.73546659</v>
      </c>
      <c r="J91" s="6">
        <f t="shared" si="16"/>
        <v>139.32</v>
      </c>
    </row>
    <row r="92" ht="14.25" customHeight="1">
      <c r="A92" s="6" t="s">
        <v>27</v>
      </c>
      <c r="D92" s="7">
        <v>0.7036891145200421</v>
      </c>
      <c r="F92" s="7">
        <v>0.2</v>
      </c>
      <c r="H92" s="6">
        <f>B64</f>
        <v>139.4235492</v>
      </c>
      <c r="J92" s="6">
        <f t="shared" si="16"/>
        <v>25.8</v>
      </c>
    </row>
    <row r="93" ht="14.25" customHeight="1">
      <c r="A93" s="6" t="s">
        <v>30</v>
      </c>
      <c r="D93" s="7">
        <v>0.15978755971069702</v>
      </c>
      <c r="F93" s="7">
        <v>0.9190525318431018</v>
      </c>
      <c r="H93" s="6">
        <f>129*D93</f>
        <v>20.6125952</v>
      </c>
      <c r="J93" s="6">
        <f t="shared" si="16"/>
        <v>118.5577766</v>
      </c>
    </row>
    <row r="94" ht="14.25" customHeight="1"/>
    <row r="95" ht="14.25" customHeight="1">
      <c r="A95" s="6" t="s">
        <v>75</v>
      </c>
    </row>
    <row r="96" ht="14.25" customHeight="1">
      <c r="A96" s="6" t="s">
        <v>15</v>
      </c>
      <c r="D96" s="7">
        <v>0.4</v>
      </c>
      <c r="F96" s="7">
        <v>0.9769663732447329</v>
      </c>
      <c r="H96" s="6">
        <f t="shared" ref="H96:H101" si="17">107*D96</f>
        <v>42.8</v>
      </c>
      <c r="J96" s="6">
        <f t="shared" ref="J96:J101" si="18">107*F96</f>
        <v>104.5354019</v>
      </c>
    </row>
    <row r="97" ht="14.25" customHeight="1">
      <c r="A97" s="6" t="s">
        <v>18</v>
      </c>
      <c r="D97" s="7">
        <v>0.4016900593769568</v>
      </c>
      <c r="F97" s="7">
        <v>0.7587385568445294</v>
      </c>
      <c r="H97" s="6">
        <f t="shared" si="17"/>
        <v>42.98083635</v>
      </c>
      <c r="J97" s="6">
        <f t="shared" si="18"/>
        <v>81.18502558</v>
      </c>
    </row>
    <row r="98" ht="14.25" customHeight="1">
      <c r="A98" s="6" t="s">
        <v>21</v>
      </c>
      <c r="D98" s="7">
        <v>1.2172174296564762</v>
      </c>
      <c r="F98" s="7">
        <v>0.45447073273187444</v>
      </c>
      <c r="H98" s="6">
        <f t="shared" si="17"/>
        <v>130.242265</v>
      </c>
      <c r="J98" s="6">
        <f t="shared" si="18"/>
        <v>48.6283684</v>
      </c>
    </row>
    <row r="99" ht="14.25" customHeight="1">
      <c r="A99" s="6" t="s">
        <v>24</v>
      </c>
      <c r="D99" s="7">
        <v>0.26089735483909404</v>
      </c>
      <c r="F99" s="7">
        <v>0.8357778018518573</v>
      </c>
      <c r="H99" s="6">
        <f t="shared" si="17"/>
        <v>27.91601697</v>
      </c>
      <c r="J99" s="6">
        <f t="shared" si="18"/>
        <v>89.4282248</v>
      </c>
    </row>
    <row r="100" ht="14.25" customHeight="1">
      <c r="A100" s="6" t="s">
        <v>27</v>
      </c>
      <c r="D100" s="7">
        <v>1.1812689860085959</v>
      </c>
      <c r="F100" s="7">
        <v>0.23</v>
      </c>
      <c r="H100" s="6">
        <f t="shared" si="17"/>
        <v>126.3957815</v>
      </c>
      <c r="J100" s="6">
        <f t="shared" si="18"/>
        <v>24.61</v>
      </c>
    </row>
    <row r="101" ht="14.25" customHeight="1">
      <c r="A101" s="6" t="s">
        <v>30</v>
      </c>
      <c r="D101" s="7">
        <v>0.3</v>
      </c>
      <c r="F101" s="7">
        <v>0.5841093162922272</v>
      </c>
      <c r="H101" s="6">
        <f t="shared" si="17"/>
        <v>32.1</v>
      </c>
      <c r="J101" s="6">
        <f t="shared" si="18"/>
        <v>62.49969684</v>
      </c>
    </row>
    <row r="102" ht="14.25" customHeight="1"/>
    <row r="103" ht="14.25" customHeight="1">
      <c r="A103" s="6" t="s">
        <v>77</v>
      </c>
    </row>
    <row r="104" ht="14.25" customHeight="1">
      <c r="A104" s="6" t="s">
        <v>15</v>
      </c>
      <c r="D104" s="7">
        <v>0.2291638706296375</v>
      </c>
      <c r="F104" s="7">
        <v>0.7473292549320537</v>
      </c>
      <c r="H104" s="6">
        <f t="shared" ref="H104:H109" si="19">176*D104</f>
        <v>40.33284123</v>
      </c>
      <c r="J104" s="6">
        <f t="shared" ref="J104:J109" si="20">176*F104</f>
        <v>131.5299489</v>
      </c>
    </row>
    <row r="105" ht="14.25" customHeight="1">
      <c r="A105" s="6" t="s">
        <v>18</v>
      </c>
      <c r="D105" s="7">
        <v>0.827128148989962</v>
      </c>
      <c r="F105" s="7">
        <v>0.5713659425064722</v>
      </c>
      <c r="H105" s="6">
        <f t="shared" si="19"/>
        <v>145.5745542</v>
      </c>
      <c r="J105" s="6">
        <f t="shared" si="20"/>
        <v>100.5604059</v>
      </c>
    </row>
    <row r="106" ht="14.25" customHeight="1">
      <c r="A106" s="6" t="s">
        <v>21</v>
      </c>
      <c r="D106" s="7">
        <v>1.2631975169755727</v>
      </c>
      <c r="F106" s="7">
        <v>0.7674677434502912</v>
      </c>
      <c r="H106" s="6">
        <f t="shared" si="19"/>
        <v>222.322763</v>
      </c>
      <c r="J106" s="6">
        <f t="shared" si="20"/>
        <v>135.0743228</v>
      </c>
    </row>
    <row r="107" ht="14.25" customHeight="1">
      <c r="A107" s="6" t="s">
        <v>24</v>
      </c>
      <c r="D107" s="7">
        <v>0.7459695454023225</v>
      </c>
      <c r="F107" s="7">
        <v>0.6238354101636879</v>
      </c>
      <c r="H107" s="6">
        <f t="shared" si="19"/>
        <v>131.29064</v>
      </c>
      <c r="J107" s="6">
        <f t="shared" si="20"/>
        <v>109.7950322</v>
      </c>
    </row>
    <row r="108" ht="14.25" customHeight="1">
      <c r="A108" s="6" t="s">
        <v>27</v>
      </c>
      <c r="D108" s="7">
        <v>0.14758239807283102</v>
      </c>
      <c r="F108" s="7">
        <v>0.27338535521656504</v>
      </c>
      <c r="H108" s="6">
        <f t="shared" si="19"/>
        <v>25.97450206</v>
      </c>
      <c r="J108" s="6">
        <f t="shared" si="20"/>
        <v>48.11582252</v>
      </c>
    </row>
    <row r="109" ht="14.25" customHeight="1">
      <c r="A109" s="6" t="s">
        <v>30</v>
      </c>
      <c r="D109" s="7">
        <v>0.2</v>
      </c>
      <c r="F109" s="7">
        <v>0.8149295972639586</v>
      </c>
      <c r="H109" s="6">
        <f t="shared" si="19"/>
        <v>35.2</v>
      </c>
      <c r="J109" s="6">
        <f t="shared" si="20"/>
        <v>143.4276091</v>
      </c>
    </row>
    <row r="110" ht="14.25" customHeight="1"/>
    <row r="111" ht="14.25" customHeight="1">
      <c r="A111" s="6" t="s">
        <v>79</v>
      </c>
    </row>
    <row r="112" ht="14.25" customHeight="1">
      <c r="A112" s="6" t="s">
        <v>15</v>
      </c>
      <c r="D112" s="7">
        <v>0.6101087874161646</v>
      </c>
      <c r="F112" s="7">
        <v>0.228787256129048</v>
      </c>
      <c r="H112" s="6">
        <f t="shared" ref="H112:H117" si="21">90*D112</f>
        <v>54.90979087</v>
      </c>
      <c r="J112" s="6">
        <f t="shared" ref="J112:J117" si="22">90*F112</f>
        <v>20.59085305</v>
      </c>
    </row>
    <row r="113" ht="14.25" customHeight="1">
      <c r="A113" s="6" t="s">
        <v>18</v>
      </c>
      <c r="D113" s="7">
        <v>1.9128704659985332</v>
      </c>
      <c r="F113" s="7">
        <v>0.8617491452810819</v>
      </c>
      <c r="H113" s="6">
        <f t="shared" si="21"/>
        <v>172.1583419</v>
      </c>
      <c r="J113" s="6">
        <f t="shared" si="22"/>
        <v>77.55742308</v>
      </c>
    </row>
    <row r="114" ht="14.25" customHeight="1">
      <c r="A114" s="6" t="s">
        <v>21</v>
      </c>
      <c r="D114" s="7">
        <v>0.3686680517534586</v>
      </c>
      <c r="F114" s="7">
        <v>0.423555282396332</v>
      </c>
      <c r="H114" s="6">
        <f t="shared" si="21"/>
        <v>33.18012466</v>
      </c>
      <c r="J114" s="6">
        <f t="shared" si="22"/>
        <v>38.11997542</v>
      </c>
    </row>
    <row r="115" ht="14.25" customHeight="1">
      <c r="A115" s="6" t="s">
        <v>24</v>
      </c>
      <c r="D115" s="7">
        <v>0.3766228581655815</v>
      </c>
      <c r="F115" s="7">
        <v>0.49315144176719394</v>
      </c>
      <c r="H115" s="6">
        <f t="shared" si="21"/>
        <v>33.89605723</v>
      </c>
      <c r="J115" s="6">
        <f t="shared" si="22"/>
        <v>44.38362976</v>
      </c>
    </row>
    <row r="116" ht="14.25" customHeight="1">
      <c r="A116" s="6" t="s">
        <v>27</v>
      </c>
      <c r="D116" s="7">
        <v>1.5428896741655245</v>
      </c>
      <c r="F116" s="7">
        <v>0.17</v>
      </c>
      <c r="H116" s="6">
        <f t="shared" si="21"/>
        <v>138.8600707</v>
      </c>
      <c r="J116" s="6">
        <f t="shared" si="22"/>
        <v>15.3</v>
      </c>
    </row>
    <row r="117" ht="14.25" customHeight="1">
      <c r="A117" s="6" t="s">
        <v>30</v>
      </c>
      <c r="D117" s="7">
        <v>0.8088993346959539</v>
      </c>
      <c r="F117" s="7">
        <v>0.7702985905184736</v>
      </c>
      <c r="H117" s="6">
        <f t="shared" si="21"/>
        <v>72.80094012</v>
      </c>
      <c r="J117" s="6">
        <f t="shared" si="22"/>
        <v>69.32687315</v>
      </c>
    </row>
    <row r="118" ht="14.25" customHeight="1"/>
    <row r="119" ht="14.25" customHeight="1">
      <c r="A119" s="6" t="s">
        <v>87</v>
      </c>
    </row>
    <row r="120" ht="14.25" customHeight="1">
      <c r="A120" s="6" t="s">
        <v>85</v>
      </c>
      <c r="D120" s="7">
        <v>2.6</v>
      </c>
      <c r="F120" s="7">
        <v>1.5</v>
      </c>
      <c r="H120" s="6">
        <f t="shared" ref="H120:H123" si="23">90*D120</f>
        <v>234</v>
      </c>
      <c r="J120" s="6">
        <f t="shared" ref="J120:J123" si="24">90*F120</f>
        <v>135</v>
      </c>
    </row>
    <row r="121" ht="14.25" customHeight="1">
      <c r="A121" s="6" t="s">
        <v>24</v>
      </c>
      <c r="D121" s="7">
        <v>0.23775178665535046</v>
      </c>
      <c r="F121" s="7">
        <v>0.82231073615602</v>
      </c>
      <c r="H121" s="6">
        <f t="shared" si="23"/>
        <v>21.3976608</v>
      </c>
      <c r="J121" s="6">
        <f t="shared" si="24"/>
        <v>74.00796625</v>
      </c>
    </row>
    <row r="122" ht="14.25" customHeight="1">
      <c r="A122" s="6" t="s">
        <v>27</v>
      </c>
      <c r="D122" s="7">
        <v>1.2998174378296978</v>
      </c>
      <c r="F122" s="7">
        <v>0.13</v>
      </c>
      <c r="H122" s="6">
        <f t="shared" si="23"/>
        <v>116.9835694</v>
      </c>
      <c r="J122" s="6">
        <f t="shared" si="24"/>
        <v>11.7</v>
      </c>
    </row>
    <row r="123" ht="14.25" customHeight="1">
      <c r="A123" s="6" t="s">
        <v>30</v>
      </c>
      <c r="D123" s="7">
        <v>0.7812836969403087</v>
      </c>
      <c r="F123" s="7">
        <v>0.9956999946814064</v>
      </c>
      <c r="H123" s="6">
        <f t="shared" si="23"/>
        <v>70.31553272</v>
      </c>
      <c r="J123" s="6">
        <f t="shared" si="24"/>
        <v>89.61299952</v>
      </c>
    </row>
    <row r="124" ht="14.25" customHeight="1"/>
    <row r="125" ht="14.25" customHeight="1">
      <c r="A125" s="6" t="s">
        <v>88</v>
      </c>
    </row>
    <row r="126" ht="14.25" customHeight="1">
      <c r="A126" s="6" t="s">
        <v>85</v>
      </c>
      <c r="D126" s="7">
        <v>2.9</v>
      </c>
      <c r="F126" s="7">
        <v>1.7</v>
      </c>
      <c r="H126" s="6">
        <f t="shared" ref="H126:H129" si="25">90*D126</f>
        <v>261</v>
      </c>
      <c r="J126" s="6">
        <f t="shared" ref="J126:J129" si="26">90*F126</f>
        <v>153</v>
      </c>
    </row>
    <row r="127" ht="14.25" customHeight="1">
      <c r="A127" s="6" t="s">
        <v>24</v>
      </c>
      <c r="D127" s="7">
        <v>0.4823961246537176</v>
      </c>
      <c r="F127" s="7">
        <v>0.34758935709680794</v>
      </c>
      <c r="H127" s="6">
        <f t="shared" si="25"/>
        <v>43.41565122</v>
      </c>
      <c r="J127" s="6">
        <f t="shared" si="26"/>
        <v>31.28304214</v>
      </c>
    </row>
    <row r="128" ht="14.25" customHeight="1">
      <c r="A128" s="6" t="s">
        <v>27</v>
      </c>
      <c r="D128" s="7">
        <v>0.5551467499352647</v>
      </c>
      <c r="F128" s="7">
        <v>0.1685743335020179</v>
      </c>
      <c r="H128" s="6">
        <f t="shared" si="25"/>
        <v>49.96320749</v>
      </c>
      <c r="J128" s="6">
        <f t="shared" si="26"/>
        <v>15.17169002</v>
      </c>
    </row>
    <row r="129" ht="14.25" customHeight="1">
      <c r="A129" s="6" t="s">
        <v>30</v>
      </c>
      <c r="D129" s="7">
        <v>0.3</v>
      </c>
      <c r="F129" s="7">
        <v>0.7043669050057063</v>
      </c>
      <c r="H129" s="6">
        <f t="shared" si="25"/>
        <v>27</v>
      </c>
      <c r="J129" s="6">
        <f t="shared" si="26"/>
        <v>63.39302145</v>
      </c>
    </row>
    <row r="130" ht="14.25" customHeight="1"/>
    <row r="131" ht="14.25" customHeight="1"/>
    <row r="132" ht="14.25" customHeight="1">
      <c r="A132" s="6" t="s">
        <v>92</v>
      </c>
    </row>
    <row r="133" ht="14.25" customHeight="1">
      <c r="A133" s="6" t="s">
        <v>85</v>
      </c>
      <c r="D133" s="7">
        <v>1.7335843072766137</v>
      </c>
      <c r="F133" s="7">
        <v>0.9854665085387753</v>
      </c>
      <c r="H133" s="6">
        <f t="shared" ref="H133:H136" si="27">128*D133</f>
        <v>221.8987913</v>
      </c>
      <c r="J133" s="6">
        <f t="shared" ref="J133:J136" si="28">128*F133</f>
        <v>126.1397131</v>
      </c>
    </row>
    <row r="134" ht="14.25" customHeight="1">
      <c r="A134" s="6" t="s">
        <v>24</v>
      </c>
      <c r="D134" s="7">
        <v>1.3242013727098174</v>
      </c>
      <c r="F134" s="7">
        <v>0.18395974520842218</v>
      </c>
      <c r="H134" s="6">
        <f t="shared" si="27"/>
        <v>169.4977757</v>
      </c>
      <c r="J134" s="6">
        <f t="shared" si="28"/>
        <v>23.54684739</v>
      </c>
    </row>
    <row r="135" ht="14.25" customHeight="1">
      <c r="A135" s="6" t="s">
        <v>27</v>
      </c>
      <c r="D135" s="7">
        <v>1.6081293864534616</v>
      </c>
      <c r="F135" s="7">
        <v>0.14</v>
      </c>
      <c r="H135" s="6">
        <f t="shared" si="27"/>
        <v>205.8405615</v>
      </c>
      <c r="J135" s="6">
        <f t="shared" si="28"/>
        <v>17.92</v>
      </c>
    </row>
    <row r="136" ht="14.25" customHeight="1">
      <c r="A136" s="6" t="s">
        <v>30</v>
      </c>
      <c r="D136" s="7">
        <v>0.3</v>
      </c>
      <c r="F136" s="7">
        <v>0.42590585378285195</v>
      </c>
      <c r="H136" s="6">
        <f t="shared" si="27"/>
        <v>38.4</v>
      </c>
      <c r="J136" s="6">
        <f t="shared" si="28"/>
        <v>54.51594928</v>
      </c>
    </row>
    <row r="137" ht="14.25" customHeight="1"/>
    <row r="138" ht="14.25" customHeight="1">
      <c r="A138" s="6" t="s">
        <v>94</v>
      </c>
    </row>
    <row r="139" ht="14.25" customHeight="1">
      <c r="A139" s="6" t="s">
        <v>85</v>
      </c>
      <c r="D139" s="7">
        <v>2.7</v>
      </c>
      <c r="F139" s="7">
        <v>0.53660829289919</v>
      </c>
      <c r="H139" s="6">
        <f t="shared" ref="H139:H142" si="29">223*D139</f>
        <v>602.1</v>
      </c>
      <c r="J139" s="6">
        <f t="shared" ref="J139:J142" si="30">223*F139</f>
        <v>119.6636493</v>
      </c>
    </row>
    <row r="140" ht="14.25" customHeight="1">
      <c r="A140" s="6" t="s">
        <v>24</v>
      </c>
      <c r="D140" s="7">
        <v>1.311669890922114</v>
      </c>
      <c r="F140" s="7">
        <v>0.9032011665567836</v>
      </c>
      <c r="H140" s="6">
        <f t="shared" si="29"/>
        <v>292.5023857</v>
      </c>
      <c r="J140" s="6">
        <f t="shared" si="30"/>
        <v>201.4138601</v>
      </c>
    </row>
    <row r="141" ht="14.25" customHeight="1">
      <c r="A141" s="6" t="s">
        <v>27</v>
      </c>
      <c r="D141" s="7">
        <v>1.49557746336318</v>
      </c>
      <c r="F141" s="7">
        <v>0.205196709620348</v>
      </c>
      <c r="H141" s="6">
        <f t="shared" si="29"/>
        <v>333.5137743</v>
      </c>
      <c r="J141" s="6">
        <f t="shared" si="30"/>
        <v>45.75886625</v>
      </c>
    </row>
    <row r="142" ht="14.25" customHeight="1">
      <c r="A142" s="6" t="s">
        <v>30</v>
      </c>
      <c r="D142" s="7">
        <v>0.2</v>
      </c>
      <c r="F142" s="7">
        <v>0.917292979431287</v>
      </c>
      <c r="H142" s="6">
        <f t="shared" si="29"/>
        <v>44.6</v>
      </c>
      <c r="J142" s="6">
        <f t="shared" si="30"/>
        <v>204.5563344</v>
      </c>
    </row>
    <row r="143" ht="14.25" customHeight="1"/>
    <row r="144" ht="14.25" customHeight="1">
      <c r="A144" s="6" t="s">
        <v>95</v>
      </c>
    </row>
    <row r="145" ht="14.25" customHeight="1">
      <c r="A145" s="6" t="s">
        <v>85</v>
      </c>
      <c r="D145" s="7">
        <v>2.3</v>
      </c>
      <c r="F145" s="7">
        <v>1.2</v>
      </c>
      <c r="H145" s="6">
        <f t="shared" ref="H145:H148" si="31">199*D145</f>
        <v>457.7</v>
      </c>
      <c r="J145" s="6">
        <f t="shared" ref="J145:J148" si="32">199*F145</f>
        <v>238.8</v>
      </c>
    </row>
    <row r="146" ht="14.25" customHeight="1">
      <c r="A146" s="6" t="s">
        <v>24</v>
      </c>
      <c r="D146" s="7">
        <v>1.3171254812715116</v>
      </c>
      <c r="F146" s="7">
        <v>0.9074809721756709</v>
      </c>
      <c r="H146" s="6">
        <f t="shared" si="31"/>
        <v>262.1079708</v>
      </c>
      <c r="J146" s="6">
        <f t="shared" si="32"/>
        <v>180.5887135</v>
      </c>
    </row>
    <row r="147" ht="14.25" customHeight="1">
      <c r="A147" s="6" t="s">
        <v>27</v>
      </c>
      <c r="D147" s="7">
        <v>0.5745040610313943</v>
      </c>
      <c r="F147" s="7">
        <v>0.21</v>
      </c>
      <c r="H147" s="6">
        <f t="shared" si="31"/>
        <v>114.3263081</v>
      </c>
      <c r="J147" s="6">
        <f t="shared" si="32"/>
        <v>41.79</v>
      </c>
    </row>
    <row r="148" ht="14.25" customHeight="1">
      <c r="A148" s="6" t="s">
        <v>30</v>
      </c>
      <c r="D148" s="7">
        <v>0.5</v>
      </c>
      <c r="F148" s="7">
        <v>0.818000349148469</v>
      </c>
      <c r="H148" s="6">
        <f t="shared" si="31"/>
        <v>99.5</v>
      </c>
      <c r="J148" s="6">
        <f t="shared" si="32"/>
        <v>162.7820695</v>
      </c>
    </row>
    <row r="149" ht="14.25" customHeight="1"/>
    <row r="150" ht="14.25" customHeight="1">
      <c r="A150" s="6" t="s">
        <v>96</v>
      </c>
    </row>
    <row r="151" ht="14.25" customHeight="1">
      <c r="A151" s="6" t="s">
        <v>85</v>
      </c>
      <c r="D151" s="7">
        <v>2.9</v>
      </c>
      <c r="E151" s="7">
        <v>1.28</v>
      </c>
      <c r="H151" s="6">
        <f t="shared" ref="H151:H154" si="33">63*D151</f>
        <v>182.7</v>
      </c>
      <c r="J151" s="6">
        <f t="shared" ref="J151:J154" si="34">63*E151</f>
        <v>80.64</v>
      </c>
    </row>
    <row r="152" ht="14.25" customHeight="1">
      <c r="A152" s="6" t="s">
        <v>24</v>
      </c>
      <c r="D152" s="7">
        <v>1.0771890162976407</v>
      </c>
      <c r="E152" s="7">
        <v>0.13840084665061114</v>
      </c>
      <c r="H152" s="6">
        <f t="shared" si="33"/>
        <v>67.86290803</v>
      </c>
      <c r="J152" s="6">
        <f t="shared" si="34"/>
        <v>8.719253339</v>
      </c>
    </row>
    <row r="153" ht="14.25" customHeight="1">
      <c r="A153" s="6" t="s">
        <v>27</v>
      </c>
      <c r="D153" s="7">
        <v>1.083666188006838</v>
      </c>
      <c r="E153" s="7">
        <v>0.24567715566775317</v>
      </c>
      <c r="H153" s="6">
        <f t="shared" si="33"/>
        <v>68.27096984</v>
      </c>
      <c r="J153" s="6">
        <f t="shared" si="34"/>
        <v>15.47766081</v>
      </c>
    </row>
    <row r="154" ht="14.25" customHeight="1">
      <c r="A154" s="6" t="s">
        <v>30</v>
      </c>
      <c r="D154" s="7">
        <v>0.2</v>
      </c>
      <c r="E154" s="7">
        <v>0.8420030651963929</v>
      </c>
      <c r="H154" s="6">
        <f t="shared" si="33"/>
        <v>12.6</v>
      </c>
      <c r="J154" s="6">
        <f t="shared" si="34"/>
        <v>53.04619311</v>
      </c>
    </row>
    <row r="155" ht="14.25" customHeight="1"/>
    <row r="156" ht="14.25" customHeight="1">
      <c r="A156" s="6" t="s">
        <v>102</v>
      </c>
    </row>
    <row r="157" ht="14.25" customHeight="1">
      <c r="A157" s="6" t="s">
        <v>15</v>
      </c>
      <c r="D157" s="7">
        <v>0.7</v>
      </c>
      <c r="E157" s="7">
        <v>0.49044416828866244</v>
      </c>
      <c r="H157" s="6">
        <f t="shared" ref="H157:H161" si="35">159*D157</f>
        <v>111.3</v>
      </c>
      <c r="J157" s="6">
        <f t="shared" ref="J157:J161" si="36">159*E157</f>
        <v>77.98062276</v>
      </c>
    </row>
    <row r="158" ht="14.25" customHeight="1">
      <c r="A158" s="6" t="s">
        <v>85</v>
      </c>
      <c r="D158" s="7">
        <v>2.8</v>
      </c>
      <c r="E158" s="7">
        <v>0.75</v>
      </c>
      <c r="H158" s="6">
        <f t="shared" si="35"/>
        <v>445.2</v>
      </c>
      <c r="J158" s="6">
        <f t="shared" si="36"/>
        <v>119.25</v>
      </c>
    </row>
    <row r="159" ht="14.25" customHeight="1">
      <c r="A159" s="6" t="s">
        <v>24</v>
      </c>
      <c r="D159" s="7">
        <v>0.38364285931583364</v>
      </c>
      <c r="E159" s="7">
        <v>0.019039539843200504</v>
      </c>
      <c r="H159" s="6">
        <f t="shared" si="35"/>
        <v>60.99921463</v>
      </c>
      <c r="J159" s="6">
        <f t="shared" si="36"/>
        <v>3.027286835</v>
      </c>
    </row>
    <row r="160" ht="14.25" customHeight="1">
      <c r="A160" s="6" t="s">
        <v>27</v>
      </c>
      <c r="D160" s="7">
        <v>1.192645062473638</v>
      </c>
      <c r="E160" s="7">
        <v>0.19</v>
      </c>
      <c r="H160" s="6">
        <f t="shared" si="35"/>
        <v>189.6305649</v>
      </c>
      <c r="J160" s="6">
        <f t="shared" si="36"/>
        <v>30.21</v>
      </c>
    </row>
    <row r="161" ht="14.25" customHeight="1">
      <c r="A161" s="6" t="s">
        <v>30</v>
      </c>
      <c r="D161" s="7">
        <v>0.038889304928952706</v>
      </c>
      <c r="E161" s="7">
        <v>0.5625809681607074</v>
      </c>
      <c r="H161" s="6">
        <f t="shared" si="35"/>
        <v>6.183399484</v>
      </c>
      <c r="J161" s="6">
        <f t="shared" si="36"/>
        <v>89.45037394</v>
      </c>
    </row>
    <row r="162" ht="14.25" customHeight="1"/>
    <row r="163" ht="14.25" customHeight="1">
      <c r="A163" s="6" t="s">
        <v>101</v>
      </c>
    </row>
    <row r="164" ht="14.25" customHeight="1">
      <c r="A164" s="6" t="s">
        <v>15</v>
      </c>
      <c r="D164" s="7">
        <v>0.7164823961339757</v>
      </c>
      <c r="E164" s="7">
        <v>0.7679404057926288</v>
      </c>
      <c r="H164" s="6">
        <f t="shared" ref="H164:H168" si="37">163*D164</f>
        <v>116.7866306</v>
      </c>
      <c r="J164" s="6">
        <f t="shared" ref="J164:J168" si="38">163*E164</f>
        <v>125.1742861</v>
      </c>
    </row>
    <row r="165" ht="14.25" customHeight="1">
      <c r="A165" s="6" t="s">
        <v>85</v>
      </c>
      <c r="D165" s="7">
        <v>2.3</v>
      </c>
      <c r="E165" s="7">
        <v>1.53</v>
      </c>
      <c r="H165" s="6">
        <f t="shared" si="37"/>
        <v>374.9</v>
      </c>
      <c r="J165" s="6">
        <f t="shared" si="38"/>
        <v>249.39</v>
      </c>
    </row>
    <row r="166" ht="14.25" customHeight="1">
      <c r="A166" s="6" t="s">
        <v>24</v>
      </c>
      <c r="D166" s="7">
        <v>0.7475167507715759</v>
      </c>
      <c r="E166" s="7">
        <v>0.9386246054633526</v>
      </c>
      <c r="H166" s="6">
        <f t="shared" si="37"/>
        <v>121.8452304</v>
      </c>
      <c r="J166" s="6">
        <f t="shared" si="38"/>
        <v>152.9958107</v>
      </c>
    </row>
    <row r="167" ht="14.25" customHeight="1">
      <c r="A167" s="6" t="s">
        <v>27</v>
      </c>
      <c r="D167" s="7">
        <v>0.06544951739298344</v>
      </c>
      <c r="E167" s="7">
        <v>0.15</v>
      </c>
      <c r="H167" s="6">
        <f t="shared" si="37"/>
        <v>10.66827134</v>
      </c>
      <c r="J167" s="6">
        <f t="shared" si="38"/>
        <v>24.45</v>
      </c>
    </row>
    <row r="168" ht="14.25" customHeight="1">
      <c r="A168" s="6" t="s">
        <v>30</v>
      </c>
      <c r="D168" s="7">
        <v>0.7516254974977068</v>
      </c>
      <c r="E168" s="7">
        <v>0.9935475791287999</v>
      </c>
      <c r="H168" s="6">
        <f t="shared" si="37"/>
        <v>122.5149561</v>
      </c>
      <c r="J168" s="6">
        <f t="shared" si="38"/>
        <v>161.9482554</v>
      </c>
    </row>
    <row r="169" ht="14.25" customHeight="1"/>
    <row r="170" ht="14.25" customHeight="1">
      <c r="A170" s="6" t="s">
        <v>104</v>
      </c>
    </row>
    <row r="171" ht="14.25" customHeight="1">
      <c r="A171" s="6" t="s">
        <v>15</v>
      </c>
      <c r="D171" s="7">
        <v>0.9838008782067615</v>
      </c>
      <c r="E171" s="7">
        <v>0.4225928928022181</v>
      </c>
      <c r="H171" s="6">
        <f t="shared" ref="H171:H178" si="39">128*D171</f>
        <v>125.9265124</v>
      </c>
      <c r="J171" s="6">
        <f t="shared" ref="J171:J178" si="40">128*E171</f>
        <v>54.09189028</v>
      </c>
    </row>
    <row r="172" ht="14.25" customHeight="1">
      <c r="A172" s="6" t="s">
        <v>18</v>
      </c>
      <c r="D172" s="7">
        <v>0.5112731983862766</v>
      </c>
      <c r="E172" s="7">
        <v>0.0812295767499811</v>
      </c>
      <c r="H172" s="6">
        <f t="shared" si="39"/>
        <v>65.44296939</v>
      </c>
      <c r="J172" s="6">
        <f t="shared" si="40"/>
        <v>10.39738582</v>
      </c>
    </row>
    <row r="173" ht="14.25" customHeight="1">
      <c r="A173" s="6" t="s">
        <v>21</v>
      </c>
      <c r="D173" s="7">
        <v>0.6963339837672795</v>
      </c>
      <c r="E173" s="7">
        <v>0.6447364625029409</v>
      </c>
      <c r="H173" s="6">
        <f t="shared" si="39"/>
        <v>89.13074992</v>
      </c>
      <c r="J173" s="6">
        <f t="shared" si="40"/>
        <v>82.5262672</v>
      </c>
    </row>
    <row r="174" ht="14.25" customHeight="1">
      <c r="A174" s="6" t="s">
        <v>18</v>
      </c>
      <c r="D174" s="7">
        <v>0.711191262312842</v>
      </c>
      <c r="E174" s="7">
        <v>0.7308923564186207</v>
      </c>
      <c r="H174" s="6">
        <f t="shared" si="39"/>
        <v>91.03248158</v>
      </c>
      <c r="J174" s="6">
        <f t="shared" si="40"/>
        <v>93.55422162</v>
      </c>
    </row>
    <row r="175" ht="14.25" customHeight="1">
      <c r="A175" s="6" t="s">
        <v>24</v>
      </c>
      <c r="D175" s="7">
        <v>1.4246131386309002</v>
      </c>
      <c r="E175" s="7">
        <v>0.37596517223603676</v>
      </c>
      <c r="H175" s="6">
        <f t="shared" si="39"/>
        <v>182.3504817</v>
      </c>
      <c r="J175" s="6">
        <f t="shared" si="40"/>
        <v>48.12354205</v>
      </c>
    </row>
    <row r="176" ht="14.25" customHeight="1">
      <c r="A176" s="6" t="s">
        <v>97</v>
      </c>
      <c r="D176" s="7">
        <v>0.6941006041057369</v>
      </c>
      <c r="E176" s="7">
        <v>0.301828763121351</v>
      </c>
      <c r="H176" s="6">
        <f t="shared" si="39"/>
        <v>88.84487733</v>
      </c>
      <c r="J176" s="6">
        <f t="shared" si="40"/>
        <v>38.63408168</v>
      </c>
    </row>
    <row r="177" ht="14.25" customHeight="1">
      <c r="A177" s="6" t="s">
        <v>27</v>
      </c>
      <c r="D177" s="7">
        <v>1.8300083163147822</v>
      </c>
      <c r="E177" s="7">
        <v>0.25</v>
      </c>
      <c r="H177" s="6">
        <f t="shared" si="39"/>
        <v>234.2410645</v>
      </c>
      <c r="J177" s="6">
        <f t="shared" si="40"/>
        <v>32</v>
      </c>
    </row>
    <row r="178" ht="14.25" customHeight="1">
      <c r="A178" s="6" t="s">
        <v>30</v>
      </c>
      <c r="D178" s="7">
        <v>0.5</v>
      </c>
      <c r="E178" s="7">
        <v>0.21</v>
      </c>
      <c r="H178" s="6">
        <f t="shared" si="39"/>
        <v>64</v>
      </c>
      <c r="J178" s="6">
        <f t="shared" si="40"/>
        <v>26.88</v>
      </c>
    </row>
    <row r="179" ht="14.25" customHeight="1"/>
    <row r="180" ht="14.25" customHeight="1">
      <c r="A180" s="6" t="s">
        <v>106</v>
      </c>
    </row>
    <row r="181" ht="14.25" customHeight="1">
      <c r="A181" s="6" t="s">
        <v>15</v>
      </c>
      <c r="D181" s="7">
        <v>0.2</v>
      </c>
      <c r="E181" s="7">
        <v>0.38767715343398224</v>
      </c>
      <c r="H181" s="6">
        <f t="shared" ref="H181:H188" si="41">158*D181</f>
        <v>31.6</v>
      </c>
      <c r="J181" s="6">
        <f t="shared" ref="J181:J188" si="42">158*E181</f>
        <v>61.25299024</v>
      </c>
    </row>
    <row r="182" ht="14.25" customHeight="1">
      <c r="A182" s="6" t="s">
        <v>18</v>
      </c>
      <c r="D182" s="7">
        <v>1.99238597405912</v>
      </c>
      <c r="E182" s="7">
        <v>0.09116751732808948</v>
      </c>
      <c r="H182" s="6">
        <f t="shared" si="41"/>
        <v>314.7969839</v>
      </c>
      <c r="J182" s="6">
        <f t="shared" si="42"/>
        <v>14.40446774</v>
      </c>
    </row>
    <row r="183" ht="14.25" customHeight="1">
      <c r="A183" s="6" t="s">
        <v>21</v>
      </c>
      <c r="D183" s="7">
        <v>0.5962108340000694</v>
      </c>
      <c r="E183" s="7">
        <v>0.30660374078625785</v>
      </c>
      <c r="H183" s="6">
        <f t="shared" si="41"/>
        <v>94.20131177</v>
      </c>
      <c r="J183" s="6">
        <f t="shared" si="42"/>
        <v>48.44339104</v>
      </c>
    </row>
    <row r="184" ht="14.25" customHeight="1">
      <c r="A184" s="6" t="s">
        <v>18</v>
      </c>
      <c r="D184" s="7">
        <v>1.3792332613601341</v>
      </c>
      <c r="E184" s="7">
        <v>0.486004937966929</v>
      </c>
      <c r="H184" s="6">
        <f t="shared" si="41"/>
        <v>217.9188553</v>
      </c>
      <c r="J184" s="6">
        <f t="shared" si="42"/>
        <v>76.7887802</v>
      </c>
    </row>
    <row r="185" ht="14.25" customHeight="1">
      <c r="A185" s="6" t="s">
        <v>24</v>
      </c>
      <c r="D185" s="7">
        <v>0.6363933061975089</v>
      </c>
      <c r="E185" s="7">
        <v>0.34130947023071634</v>
      </c>
      <c r="H185" s="6">
        <f t="shared" si="41"/>
        <v>100.5501424</v>
      </c>
      <c r="J185" s="6">
        <f t="shared" si="42"/>
        <v>53.9268963</v>
      </c>
    </row>
    <row r="186" ht="14.25" customHeight="1">
      <c r="A186" s="6" t="s">
        <v>97</v>
      </c>
      <c r="D186" s="7">
        <v>1.7956575457926416</v>
      </c>
      <c r="E186" s="7">
        <v>0.5951639001001071</v>
      </c>
      <c r="H186" s="6">
        <f t="shared" si="41"/>
        <v>283.7138922</v>
      </c>
      <c r="J186" s="6">
        <f t="shared" si="42"/>
        <v>94.03589622</v>
      </c>
    </row>
    <row r="187" ht="14.25" customHeight="1">
      <c r="A187" s="6" t="s">
        <v>27</v>
      </c>
      <c r="D187" s="7">
        <v>1.4337716323684762</v>
      </c>
      <c r="E187" s="7">
        <v>0.08</v>
      </c>
      <c r="H187" s="6">
        <f t="shared" si="41"/>
        <v>226.5359179</v>
      </c>
      <c r="J187" s="6">
        <f t="shared" si="42"/>
        <v>12.64</v>
      </c>
    </row>
    <row r="188" ht="14.25" customHeight="1">
      <c r="A188" s="6" t="s">
        <v>30</v>
      </c>
      <c r="D188" s="7">
        <v>0.6922604771756882</v>
      </c>
      <c r="E188" s="7">
        <v>0.58</v>
      </c>
      <c r="H188" s="6">
        <f t="shared" si="41"/>
        <v>109.3771554</v>
      </c>
      <c r="J188" s="6">
        <f t="shared" si="42"/>
        <v>91.64</v>
      </c>
    </row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" t="s">
        <v>154</v>
      </c>
    </row>
    <row r="2" ht="14.25" customHeight="1">
      <c r="A2" s="6" t="s">
        <v>155</v>
      </c>
    </row>
    <row r="3" ht="14.25" customHeight="1"/>
    <row r="4" ht="14.25" customHeight="1">
      <c r="A4" s="6" t="s">
        <v>60</v>
      </c>
      <c r="C4" s="6">
        <f>90+42+67</f>
        <v>199</v>
      </c>
    </row>
    <row r="5" ht="14.25" customHeight="1">
      <c r="A5" s="6" t="s">
        <v>71</v>
      </c>
      <c r="C5" s="6">
        <v>56.0</v>
      </c>
    </row>
    <row r="6" ht="14.25" customHeight="1">
      <c r="A6" s="6" t="s">
        <v>83</v>
      </c>
      <c r="C6" s="6">
        <v>57.0</v>
      </c>
    </row>
    <row r="7" ht="14.25" customHeight="1">
      <c r="A7" s="6" t="s">
        <v>90</v>
      </c>
      <c r="C7" s="6">
        <f>9+58</f>
        <v>67</v>
      </c>
    </row>
    <row r="8" ht="14.25" customHeight="1">
      <c r="A8" s="6" t="s">
        <v>72</v>
      </c>
      <c r="C8" s="6" t="s">
        <v>156</v>
      </c>
    </row>
    <row r="9" ht="14.25" customHeight="1">
      <c r="A9" s="6" t="s">
        <v>157</v>
      </c>
      <c r="C9" s="6" t="s">
        <v>156</v>
      </c>
    </row>
    <row r="10" ht="14.25" customHeight="1">
      <c r="A10" s="6" t="s">
        <v>73</v>
      </c>
      <c r="C10" s="6" t="s">
        <v>156</v>
      </c>
    </row>
    <row r="11" ht="14.25" customHeight="1">
      <c r="A11" s="6" t="s">
        <v>91</v>
      </c>
      <c r="C11" s="6" t="s">
        <v>156</v>
      </c>
    </row>
    <row r="12" ht="14.25" customHeight="1">
      <c r="A12" s="6" t="s">
        <v>62</v>
      </c>
      <c r="C12" s="6" t="s">
        <v>156</v>
      </c>
    </row>
    <row r="13" ht="14.25" customHeight="1"/>
    <row r="14" ht="14.25" customHeight="1"/>
    <row r="15" ht="14.25" customHeight="1">
      <c r="A15" s="6" t="s">
        <v>60</v>
      </c>
      <c r="D15" s="6" t="s">
        <v>158</v>
      </c>
      <c r="F15" s="6" t="s">
        <v>159</v>
      </c>
      <c r="I15" s="6" t="s">
        <v>160</v>
      </c>
      <c r="M15" s="6" t="s">
        <v>161</v>
      </c>
    </row>
    <row r="16" ht="14.25" customHeight="1">
      <c r="A16" s="6" t="s">
        <v>15</v>
      </c>
      <c r="D16" s="7">
        <v>0.3755853587926</v>
      </c>
      <c r="F16" s="7">
        <v>0.20663760100984363</v>
      </c>
      <c r="I16" s="6">
        <f t="shared" ref="I16:I21" si="1">D16*199</f>
        <v>74.7414864</v>
      </c>
      <c r="M16" s="6">
        <f t="shared" ref="M16:M21" si="2">F16*199</f>
        <v>41.1208826</v>
      </c>
    </row>
    <row r="17" ht="14.25" customHeight="1">
      <c r="A17" s="6" t="s">
        <v>18</v>
      </c>
      <c r="D17" s="7">
        <v>0.3978672543653887</v>
      </c>
      <c r="F17" s="7">
        <v>0.9725970129344687</v>
      </c>
      <c r="I17" s="6">
        <f t="shared" si="1"/>
        <v>79.17558362</v>
      </c>
      <c r="M17" s="6">
        <f t="shared" si="2"/>
        <v>193.5468056</v>
      </c>
    </row>
    <row r="18" ht="14.25" customHeight="1">
      <c r="A18" s="6" t="s">
        <v>21</v>
      </c>
      <c r="D18" s="7">
        <v>0.901132908787543</v>
      </c>
      <c r="F18" s="7">
        <v>0.45045154262905795</v>
      </c>
      <c r="I18" s="6">
        <f t="shared" si="1"/>
        <v>179.3254488</v>
      </c>
      <c r="M18" s="6">
        <f t="shared" si="2"/>
        <v>89.63985698</v>
      </c>
    </row>
    <row r="19" ht="14.25" customHeight="1">
      <c r="A19" s="6" t="s">
        <v>24</v>
      </c>
      <c r="D19" s="7">
        <v>1.6924099950854041</v>
      </c>
      <c r="F19" s="7">
        <v>1.2</v>
      </c>
      <c r="I19" s="6">
        <f t="shared" si="1"/>
        <v>336.789589</v>
      </c>
      <c r="M19" s="6">
        <f t="shared" si="2"/>
        <v>238.8</v>
      </c>
    </row>
    <row r="20" ht="14.25" customHeight="1">
      <c r="A20" s="6" t="s">
        <v>27</v>
      </c>
      <c r="D20" s="7">
        <v>1.604477667265844</v>
      </c>
      <c r="F20" s="7">
        <v>0.33</v>
      </c>
      <c r="I20" s="6">
        <f t="shared" si="1"/>
        <v>319.2910558</v>
      </c>
      <c r="M20" s="6">
        <f t="shared" si="2"/>
        <v>65.67</v>
      </c>
    </row>
    <row r="21" ht="14.25" customHeight="1">
      <c r="A21" s="6" t="s">
        <v>30</v>
      </c>
      <c r="D21" s="7">
        <v>0.4</v>
      </c>
      <c r="F21" s="7">
        <v>0.6</v>
      </c>
      <c r="I21" s="6">
        <f t="shared" si="1"/>
        <v>79.6</v>
      </c>
      <c r="M21" s="6">
        <f t="shared" si="2"/>
        <v>119.4</v>
      </c>
    </row>
    <row r="22" ht="14.25" customHeight="1"/>
    <row r="23" ht="14.25" customHeight="1">
      <c r="A23" s="6" t="s">
        <v>71</v>
      </c>
    </row>
    <row r="24" ht="14.25" customHeight="1">
      <c r="A24" s="6" t="s">
        <v>15</v>
      </c>
      <c r="D24" s="7">
        <v>0.3</v>
      </c>
      <c r="F24" s="7">
        <v>0.3009285839222724</v>
      </c>
      <c r="I24" s="6">
        <f t="shared" ref="I24:I29" si="3">D24*56</f>
        <v>16.8</v>
      </c>
      <c r="M24" s="6">
        <f t="shared" ref="M24:M29" si="4">F24*56</f>
        <v>16.8520007</v>
      </c>
    </row>
    <row r="25" ht="14.25" customHeight="1">
      <c r="A25" s="6" t="s">
        <v>18</v>
      </c>
      <c r="D25" s="7">
        <v>0.15844662409822474</v>
      </c>
      <c r="F25" s="7">
        <v>0.3758056134400556</v>
      </c>
      <c r="I25" s="6">
        <f t="shared" si="3"/>
        <v>8.87301095</v>
      </c>
      <c r="M25" s="6">
        <f t="shared" si="4"/>
        <v>21.04511435</v>
      </c>
    </row>
    <row r="26" ht="14.25" customHeight="1">
      <c r="A26" s="6" t="s">
        <v>21</v>
      </c>
      <c r="D26" s="7">
        <v>0.13392081388946475</v>
      </c>
      <c r="F26" s="7">
        <v>0.1395517635116107</v>
      </c>
      <c r="I26" s="6">
        <f t="shared" si="3"/>
        <v>7.499565578</v>
      </c>
      <c r="M26" s="6">
        <f t="shared" si="4"/>
        <v>7.814898757</v>
      </c>
    </row>
    <row r="27" ht="14.25" customHeight="1">
      <c r="A27" s="6" t="s">
        <v>24</v>
      </c>
      <c r="D27" s="7">
        <v>0.7991707862935498</v>
      </c>
      <c r="F27" s="7">
        <v>1.05</v>
      </c>
      <c r="I27" s="6">
        <f t="shared" si="3"/>
        <v>44.75356403</v>
      </c>
      <c r="M27" s="6">
        <f t="shared" si="4"/>
        <v>58.8</v>
      </c>
    </row>
    <row r="28" ht="14.25" customHeight="1">
      <c r="A28" s="6" t="s">
        <v>27</v>
      </c>
      <c r="D28" s="7">
        <v>1.007769287472744</v>
      </c>
      <c r="F28" s="7">
        <v>0.2</v>
      </c>
      <c r="I28" s="6">
        <f t="shared" si="3"/>
        <v>56.4350801</v>
      </c>
      <c r="M28" s="6">
        <f t="shared" si="4"/>
        <v>11.2</v>
      </c>
    </row>
    <row r="29" ht="14.25" customHeight="1">
      <c r="A29" s="6" t="s">
        <v>30</v>
      </c>
      <c r="D29" s="7">
        <v>0.0</v>
      </c>
      <c r="F29" s="7">
        <v>0.47056961844120615</v>
      </c>
      <c r="I29" s="6">
        <f t="shared" si="3"/>
        <v>0</v>
      </c>
      <c r="M29" s="6">
        <f t="shared" si="4"/>
        <v>26.35189863</v>
      </c>
    </row>
    <row r="30" ht="14.25" customHeight="1"/>
    <row r="31" ht="14.25" customHeight="1">
      <c r="A31" s="6" t="s">
        <v>83</v>
      </c>
    </row>
    <row r="32" ht="14.25" customHeight="1">
      <c r="A32" s="6" t="s">
        <v>15</v>
      </c>
      <c r="D32" s="7">
        <v>0.1</v>
      </c>
      <c r="F32" s="7">
        <v>0.607889697099301</v>
      </c>
      <c r="I32" s="6">
        <f t="shared" ref="I32:I37" si="5">D32*57</f>
        <v>5.7</v>
      </c>
      <c r="M32" s="6">
        <f t="shared" ref="M32:M37" si="6">F32*57</f>
        <v>34.64971273</v>
      </c>
    </row>
    <row r="33" ht="14.25" customHeight="1">
      <c r="A33" s="6" t="s">
        <v>18</v>
      </c>
      <c r="D33" s="7">
        <v>1.923960045370705</v>
      </c>
      <c r="F33" s="7">
        <v>0.4473718884345421</v>
      </c>
      <c r="I33" s="6">
        <f t="shared" si="5"/>
        <v>109.6657226</v>
      </c>
      <c r="M33" s="6">
        <f t="shared" si="6"/>
        <v>25.50019764</v>
      </c>
    </row>
    <row r="34" ht="14.25" customHeight="1">
      <c r="A34" s="6" t="s">
        <v>21</v>
      </c>
      <c r="D34" s="7">
        <v>0.5269890516761633</v>
      </c>
      <c r="F34" s="7">
        <v>0.8905735373550975</v>
      </c>
      <c r="I34" s="6">
        <f t="shared" si="5"/>
        <v>30.03837595</v>
      </c>
      <c r="M34" s="6">
        <f t="shared" si="6"/>
        <v>50.76269163</v>
      </c>
    </row>
    <row r="35" ht="14.25" customHeight="1">
      <c r="A35" s="6" t="s">
        <v>24</v>
      </c>
      <c r="D35" s="7">
        <v>0.20494757115269358</v>
      </c>
      <c r="F35" s="7">
        <v>0.7607077706555281</v>
      </c>
      <c r="I35" s="6">
        <f t="shared" si="5"/>
        <v>11.68201156</v>
      </c>
      <c r="M35" s="6">
        <f t="shared" si="6"/>
        <v>43.36034293</v>
      </c>
    </row>
    <row r="36" ht="14.25" customHeight="1">
      <c r="A36" s="6" t="s">
        <v>27</v>
      </c>
      <c r="D36" s="7">
        <v>1.9120008155443886</v>
      </c>
      <c r="F36" s="7">
        <v>0.15642380272375267</v>
      </c>
      <c r="I36" s="6">
        <f t="shared" si="5"/>
        <v>108.9840465</v>
      </c>
      <c r="M36" s="6">
        <f t="shared" si="6"/>
        <v>8.916156755</v>
      </c>
    </row>
    <row r="37" ht="14.25" customHeight="1">
      <c r="A37" s="6" t="s">
        <v>30</v>
      </c>
      <c r="D37" s="7">
        <v>0.3</v>
      </c>
      <c r="F37" s="7">
        <v>0.5604911995188653</v>
      </c>
      <c r="I37" s="6">
        <f t="shared" si="5"/>
        <v>17.1</v>
      </c>
      <c r="M37" s="6">
        <f t="shared" si="6"/>
        <v>31.94799837</v>
      </c>
    </row>
    <row r="38" ht="14.25" customHeight="1"/>
    <row r="39" ht="14.25" customHeight="1">
      <c r="A39" s="6" t="s">
        <v>90</v>
      </c>
    </row>
    <row r="40" ht="14.25" customHeight="1">
      <c r="A40" s="6" t="s">
        <v>85</v>
      </c>
      <c r="D40" s="7">
        <v>2.4</v>
      </c>
      <c r="F40" s="7">
        <v>1.2</v>
      </c>
      <c r="I40" s="6">
        <f t="shared" ref="I40:I43" si="7">D40*67</f>
        <v>160.8</v>
      </c>
      <c r="M40" s="6">
        <f t="shared" ref="M40:M43" si="8">F40*67</f>
        <v>80.4</v>
      </c>
    </row>
    <row r="41" ht="14.25" customHeight="1">
      <c r="A41" s="6" t="s">
        <v>24</v>
      </c>
      <c r="D41" s="7">
        <v>1.5398305710224585</v>
      </c>
      <c r="F41" s="7">
        <v>0.5880958344283852</v>
      </c>
      <c r="I41" s="6">
        <f t="shared" si="7"/>
        <v>103.1686483</v>
      </c>
      <c r="M41" s="6">
        <f t="shared" si="8"/>
        <v>39.40242091</v>
      </c>
    </row>
    <row r="42" ht="14.25" customHeight="1">
      <c r="A42" s="6" t="s">
        <v>27</v>
      </c>
      <c r="D42" s="7">
        <v>1.36555191112604</v>
      </c>
      <c r="F42" s="7">
        <v>0.17</v>
      </c>
      <c r="I42" s="6">
        <f t="shared" si="7"/>
        <v>91.49197805</v>
      </c>
      <c r="M42" s="6">
        <f t="shared" si="8"/>
        <v>11.39</v>
      </c>
    </row>
    <row r="43" ht="14.25" customHeight="1">
      <c r="A43" s="6" t="s">
        <v>30</v>
      </c>
      <c r="D43" s="7">
        <v>0.2</v>
      </c>
      <c r="F43" s="7">
        <v>0.7857114636338979</v>
      </c>
      <c r="I43" s="6">
        <f t="shared" si="7"/>
        <v>13.4</v>
      </c>
      <c r="M43" s="6">
        <f t="shared" si="8"/>
        <v>52.64266806</v>
      </c>
    </row>
    <row r="44" ht="14.25" customHeight="1"/>
    <row r="45" ht="14.25" customHeight="1">
      <c r="A45" s="6" t="s">
        <v>162</v>
      </c>
      <c r="E45" s="6" t="s">
        <v>163</v>
      </c>
    </row>
    <row r="46" ht="14.25" customHeight="1">
      <c r="A46" s="6" t="s">
        <v>15</v>
      </c>
      <c r="B46" s="6">
        <f>I16+I24+I32</f>
        <v>97.2414864</v>
      </c>
      <c r="E46" s="6">
        <f>B46/5</f>
        <v>19.44829728</v>
      </c>
    </row>
    <row r="47" ht="14.25" customHeight="1">
      <c r="A47" s="6" t="s">
        <v>18</v>
      </c>
      <c r="B47" s="6">
        <f t="shared" ref="B47:B48" si="9">I25+I33</f>
        <v>118.5387335</v>
      </c>
      <c r="E47" s="6">
        <f>B47/4</f>
        <v>29.63468338</v>
      </c>
    </row>
    <row r="48" ht="14.25" customHeight="1">
      <c r="A48" s="6" t="s">
        <v>21</v>
      </c>
      <c r="B48" s="6">
        <f t="shared" si="9"/>
        <v>37.53794152</v>
      </c>
      <c r="E48" s="6">
        <f>B48/5</f>
        <v>7.507588305</v>
      </c>
    </row>
    <row r="49" ht="14.25" customHeight="1">
      <c r="A49" s="6" t="s">
        <v>24</v>
      </c>
      <c r="B49" s="6">
        <f>I41+I35+I27+I19</f>
        <v>496.3938129</v>
      </c>
      <c r="E49" s="6">
        <f t="shared" ref="E49:E50" si="10">B49/4</f>
        <v>124.0984532</v>
      </c>
    </row>
    <row r="50" ht="14.25" customHeight="1">
      <c r="A50" s="6" t="s">
        <v>27</v>
      </c>
      <c r="B50" s="6">
        <f>I42+I36+I20+I28</f>
        <v>576.2021604</v>
      </c>
      <c r="E50" s="6">
        <f t="shared" si="10"/>
        <v>144.0505401</v>
      </c>
    </row>
    <row r="51" ht="14.25" customHeight="1">
      <c r="A51" s="6" t="s">
        <v>30</v>
      </c>
      <c r="B51" s="6">
        <f>I43+I37+I21</f>
        <v>110.1</v>
      </c>
      <c r="E51" s="6">
        <f>B51/2</f>
        <v>55.05</v>
      </c>
    </row>
    <row r="52" ht="14.25" customHeight="1">
      <c r="A52" s="6" t="s">
        <v>85</v>
      </c>
      <c r="B52" s="6">
        <f>I40</f>
        <v>160.8</v>
      </c>
      <c r="E52" s="6">
        <f>B52/5</f>
        <v>32.16</v>
      </c>
    </row>
    <row r="53" ht="14.25" customHeight="1"/>
    <row r="54" ht="14.25" customHeight="1">
      <c r="A54" s="6" t="s">
        <v>164</v>
      </c>
    </row>
    <row r="55" ht="14.25" customHeight="1">
      <c r="A55" s="6" t="s">
        <v>15</v>
      </c>
      <c r="B55" s="6">
        <f>M32+M24+M16</f>
        <v>92.62259604</v>
      </c>
      <c r="E55" s="6">
        <f t="shared" ref="E55:E58" si="11">B55/5</f>
        <v>18.52451921</v>
      </c>
    </row>
    <row r="56" ht="14.25" customHeight="1">
      <c r="A56" s="6" t="s">
        <v>18</v>
      </c>
      <c r="B56" s="6">
        <f>M33+M17+M25</f>
        <v>240.0921176</v>
      </c>
      <c r="E56" s="6">
        <f t="shared" si="11"/>
        <v>48.01842351</v>
      </c>
    </row>
    <row r="57" ht="14.25" customHeight="1">
      <c r="A57" s="6" t="s">
        <v>21</v>
      </c>
      <c r="B57" s="6">
        <f>I34+I26+Airplane!I18</f>
        <v>216.8633904</v>
      </c>
      <c r="E57" s="6">
        <f t="shared" si="11"/>
        <v>43.37267807</v>
      </c>
    </row>
    <row r="58" ht="14.25" customHeight="1">
      <c r="A58" s="6" t="s">
        <v>24</v>
      </c>
      <c r="B58" s="6">
        <f t="shared" ref="B58:B60" si="12">M41+M35+M27+M19</f>
        <v>380.3627638</v>
      </c>
      <c r="E58" s="6">
        <f t="shared" si="11"/>
        <v>76.07255277</v>
      </c>
    </row>
    <row r="59" ht="14.25" customHeight="1">
      <c r="A59" s="6" t="s">
        <v>27</v>
      </c>
      <c r="B59" s="6">
        <f t="shared" si="12"/>
        <v>97.17615676</v>
      </c>
      <c r="E59" s="6">
        <f>B59/4</f>
        <v>24.29403919</v>
      </c>
    </row>
    <row r="60" ht="14.25" customHeight="1">
      <c r="A60" s="6" t="s">
        <v>30</v>
      </c>
      <c r="B60" s="6">
        <f t="shared" si="12"/>
        <v>230.3425651</v>
      </c>
      <c r="E60" s="6">
        <f>B60/2</f>
        <v>115.1712825</v>
      </c>
    </row>
    <row r="61" ht="14.25" customHeight="1">
      <c r="A61" s="6" t="s">
        <v>85</v>
      </c>
      <c r="B61" s="6">
        <f>M41</f>
        <v>39.40242091</v>
      </c>
      <c r="E61" s="6">
        <f>B61/4</f>
        <v>9.850605227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" t="s">
        <v>165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" t="s">
        <v>166</v>
      </c>
    </row>
    <row r="2" ht="14.25" customHeight="1"/>
    <row r="3" ht="14.25" customHeight="1">
      <c r="A3" s="6" t="s">
        <v>70</v>
      </c>
      <c r="C3" s="6">
        <f>6+96+34+15</f>
        <v>151</v>
      </c>
    </row>
    <row r="4" ht="14.25" customHeight="1"/>
    <row r="5" ht="14.25" customHeight="1">
      <c r="A5" s="6" t="s">
        <v>84</v>
      </c>
      <c r="C5" s="6">
        <f>66+4+57+31</f>
        <v>158</v>
      </c>
    </row>
    <row r="6" ht="14.25" customHeight="1"/>
    <row r="7" ht="14.25" customHeight="1">
      <c r="A7" s="6" t="s">
        <v>80</v>
      </c>
      <c r="C7" s="6">
        <f>53+16+23+78+86+58+31</f>
        <v>345</v>
      </c>
    </row>
    <row r="8" ht="14.25" customHeight="1"/>
    <row r="9" ht="14.25" customHeight="1">
      <c r="A9" s="6" t="s">
        <v>98</v>
      </c>
      <c r="C9" s="6">
        <f>72+39+34</f>
        <v>145</v>
      </c>
    </row>
    <row r="10" ht="14.25" customHeight="1"/>
    <row r="11" ht="14.25" customHeight="1">
      <c r="A11" s="6" t="s">
        <v>100</v>
      </c>
      <c r="C11" s="6">
        <f>61+26+93+26</f>
        <v>206</v>
      </c>
    </row>
    <row r="12" ht="14.25" customHeight="1"/>
    <row r="13" ht="14.25" customHeight="1">
      <c r="A13" s="6" t="s">
        <v>70</v>
      </c>
      <c r="D13" s="6" t="s">
        <v>167</v>
      </c>
      <c r="F13" s="6" t="s">
        <v>141</v>
      </c>
      <c r="H13" s="6" t="s">
        <v>168</v>
      </c>
      <c r="K13" s="6" t="s">
        <v>169</v>
      </c>
    </row>
    <row r="14" ht="14.25" customHeight="1">
      <c r="A14" s="6" t="s">
        <v>15</v>
      </c>
      <c r="D14" s="7">
        <v>0.4</v>
      </c>
      <c r="F14" s="7">
        <v>0.5652781876130898</v>
      </c>
      <c r="H14" s="6">
        <f t="shared" ref="H14:H18" si="1">D14*151</f>
        <v>60.4</v>
      </c>
      <c r="K14" s="6">
        <f t="shared" ref="K14:K18" si="2">F14*151</f>
        <v>85.35700633</v>
      </c>
    </row>
    <row r="15" ht="14.25" customHeight="1">
      <c r="A15" s="6" t="s">
        <v>18</v>
      </c>
      <c r="D15" s="7">
        <v>1.8520464858981653</v>
      </c>
      <c r="F15" s="7">
        <v>0.5244731665112448</v>
      </c>
      <c r="H15" s="6">
        <f t="shared" si="1"/>
        <v>279.6590194</v>
      </c>
      <c r="K15" s="6">
        <f t="shared" si="2"/>
        <v>79.19544814</v>
      </c>
    </row>
    <row r="16" ht="14.25" customHeight="1">
      <c r="A16" s="6" t="s">
        <v>21</v>
      </c>
      <c r="D16" s="7">
        <v>0.9716161436564845</v>
      </c>
      <c r="F16" s="7">
        <v>0.3172583039511693</v>
      </c>
      <c r="H16" s="6">
        <f t="shared" si="1"/>
        <v>146.7140377</v>
      </c>
      <c r="K16" s="6">
        <f t="shared" si="2"/>
        <v>47.9060039</v>
      </c>
    </row>
    <row r="17" ht="14.25" customHeight="1">
      <c r="A17" s="6" t="s">
        <v>24</v>
      </c>
      <c r="D17" s="7">
        <v>0.06954358125781512</v>
      </c>
      <c r="F17" s="7">
        <v>1.27</v>
      </c>
      <c r="H17" s="6">
        <f t="shared" si="1"/>
        <v>10.50108077</v>
      </c>
      <c r="K17" s="6">
        <f t="shared" si="2"/>
        <v>191.77</v>
      </c>
    </row>
    <row r="18" ht="14.25" customHeight="1">
      <c r="A18" s="6" t="s">
        <v>27</v>
      </c>
      <c r="D18" s="7">
        <v>1.662416700013144</v>
      </c>
      <c r="F18" s="7">
        <v>0.15</v>
      </c>
      <c r="H18" s="6">
        <f t="shared" si="1"/>
        <v>251.0249217</v>
      </c>
      <c r="K18" s="6">
        <f t="shared" si="2"/>
        <v>22.65</v>
      </c>
    </row>
    <row r="19" ht="14.25" customHeight="1"/>
    <row r="20" ht="14.25" customHeight="1">
      <c r="A20" s="6" t="s">
        <v>84</v>
      </c>
    </row>
    <row r="21" ht="14.25" customHeight="1">
      <c r="A21" s="6" t="s">
        <v>85</v>
      </c>
      <c r="D21" s="7">
        <v>2.7</v>
      </c>
      <c r="F21" s="7">
        <v>0.9098701252224404</v>
      </c>
      <c r="H21" s="6">
        <f t="shared" ref="H21:H24" si="3">D21*158</f>
        <v>426.6</v>
      </c>
      <c r="K21" s="6">
        <f t="shared" ref="K21:K24" si="4">F21*158</f>
        <v>143.7594798</v>
      </c>
    </row>
    <row r="22" ht="14.25" customHeight="1">
      <c r="A22" s="6" t="s">
        <v>24</v>
      </c>
      <c r="D22" s="7">
        <v>0.6524995944529559</v>
      </c>
      <c r="F22" s="7">
        <v>0.22455768560596334</v>
      </c>
      <c r="H22" s="6">
        <f t="shared" si="3"/>
        <v>103.0949359</v>
      </c>
      <c r="K22" s="6">
        <f t="shared" si="4"/>
        <v>35.48011433</v>
      </c>
    </row>
    <row r="23" ht="14.25" customHeight="1">
      <c r="A23" s="6" t="s">
        <v>27</v>
      </c>
      <c r="D23" s="7">
        <v>0.4231633439135791</v>
      </c>
      <c r="F23" s="7">
        <v>0.23</v>
      </c>
      <c r="H23" s="6">
        <f t="shared" si="3"/>
        <v>66.85980834</v>
      </c>
      <c r="K23" s="6">
        <f t="shared" si="4"/>
        <v>36.34</v>
      </c>
    </row>
    <row r="24" ht="14.25" customHeight="1">
      <c r="A24" s="6" t="s">
        <v>30</v>
      </c>
      <c r="D24" s="7">
        <v>0.6979407033349976</v>
      </c>
      <c r="F24" s="7">
        <v>0.8483212410104547</v>
      </c>
      <c r="H24" s="6">
        <f t="shared" si="3"/>
        <v>110.2746311</v>
      </c>
      <c r="K24" s="6">
        <f t="shared" si="4"/>
        <v>134.0347561</v>
      </c>
    </row>
    <row r="25" ht="14.25" customHeight="1"/>
    <row r="26" ht="14.25" customHeight="1">
      <c r="A26" s="6" t="s">
        <v>80</v>
      </c>
    </row>
    <row r="27" ht="14.25" customHeight="1">
      <c r="A27" s="6" t="s">
        <v>15</v>
      </c>
      <c r="D27" s="7">
        <v>0.16910372521292483</v>
      </c>
      <c r="F27" s="7">
        <v>0.623901140444371</v>
      </c>
      <c r="H27" s="6">
        <f t="shared" ref="H27:H32" si="5">D27*345</f>
        <v>58.3407852</v>
      </c>
      <c r="K27" s="6">
        <f t="shared" ref="K27:K32" si="6">F27*345</f>
        <v>215.2458935</v>
      </c>
    </row>
    <row r="28" ht="14.25" customHeight="1">
      <c r="A28" s="6" t="s">
        <v>18</v>
      </c>
      <c r="D28" s="7">
        <v>0.6609356827521082</v>
      </c>
      <c r="F28" s="7">
        <v>0.8067281858909273</v>
      </c>
      <c r="H28" s="6">
        <f t="shared" si="5"/>
        <v>228.0228105</v>
      </c>
      <c r="K28" s="6">
        <f t="shared" si="6"/>
        <v>278.3212241</v>
      </c>
    </row>
    <row r="29" ht="14.25" customHeight="1">
      <c r="A29" s="6" t="s">
        <v>21</v>
      </c>
      <c r="D29" s="7">
        <v>1.954226222744763</v>
      </c>
      <c r="F29" s="7">
        <v>0.8868790412244693</v>
      </c>
      <c r="H29" s="6">
        <f t="shared" si="5"/>
        <v>674.2080468</v>
      </c>
      <c r="K29" s="6">
        <f t="shared" si="6"/>
        <v>305.9732692</v>
      </c>
    </row>
    <row r="30" ht="14.25" customHeight="1">
      <c r="A30" s="6" t="s">
        <v>24</v>
      </c>
      <c r="D30" s="7">
        <v>0.978954939516196</v>
      </c>
      <c r="F30" s="7">
        <v>0.8228504150671122</v>
      </c>
      <c r="H30" s="6">
        <f t="shared" si="5"/>
        <v>337.7394541</v>
      </c>
      <c r="K30" s="6">
        <f t="shared" si="6"/>
        <v>283.8833932</v>
      </c>
    </row>
    <row r="31" ht="14.25" customHeight="1">
      <c r="A31" s="6" t="s">
        <v>27</v>
      </c>
      <c r="D31" s="7">
        <v>0.7916615927779751</v>
      </c>
      <c r="F31" s="7">
        <v>0.24</v>
      </c>
      <c r="H31" s="6">
        <f t="shared" si="5"/>
        <v>273.1232495</v>
      </c>
      <c r="K31" s="6">
        <f t="shared" si="6"/>
        <v>82.8</v>
      </c>
    </row>
    <row r="32" ht="14.25" customHeight="1">
      <c r="A32" s="6" t="s">
        <v>30</v>
      </c>
      <c r="D32" s="7">
        <v>0.3</v>
      </c>
      <c r="F32" s="7">
        <v>0.9687501469051928</v>
      </c>
      <c r="H32" s="6">
        <f t="shared" si="5"/>
        <v>103.5</v>
      </c>
      <c r="K32" s="6">
        <f t="shared" si="6"/>
        <v>334.2188007</v>
      </c>
    </row>
    <row r="33" ht="14.25" customHeight="1"/>
    <row r="34" ht="14.25" customHeight="1">
      <c r="A34" s="6" t="s">
        <v>98</v>
      </c>
    </row>
    <row r="35" ht="14.25" customHeight="1">
      <c r="A35" s="6" t="s">
        <v>15</v>
      </c>
      <c r="D35" s="7">
        <v>0.11532088698363108</v>
      </c>
      <c r="F35" s="7">
        <v>0.169354072677018</v>
      </c>
      <c r="H35" s="6">
        <f t="shared" ref="H35:H38" si="7">D35*145</f>
        <v>16.72152861</v>
      </c>
      <c r="K35" s="6">
        <f t="shared" ref="K35:K38" si="8">F35*145</f>
        <v>24.55634054</v>
      </c>
    </row>
    <row r="36" ht="14.25" customHeight="1">
      <c r="A36" s="6" t="s">
        <v>21</v>
      </c>
      <c r="D36" s="7">
        <v>1.7067283480808244</v>
      </c>
      <c r="F36" s="7">
        <v>0.475710524779552</v>
      </c>
      <c r="H36" s="6">
        <f t="shared" si="7"/>
        <v>247.4756105</v>
      </c>
      <c r="K36" s="6">
        <f t="shared" si="8"/>
        <v>68.97802609</v>
      </c>
    </row>
    <row r="37" ht="14.25" customHeight="1">
      <c r="A37" s="6" t="s">
        <v>97</v>
      </c>
      <c r="D37" s="7">
        <v>0.5082830146133512</v>
      </c>
      <c r="F37" s="7">
        <v>0.5039397194137971</v>
      </c>
      <c r="H37" s="6">
        <f t="shared" si="7"/>
        <v>73.70103712</v>
      </c>
      <c r="K37" s="6">
        <f t="shared" si="8"/>
        <v>73.07125932</v>
      </c>
    </row>
    <row r="38" ht="14.25" customHeight="1">
      <c r="A38" s="6" t="s">
        <v>27</v>
      </c>
      <c r="D38" s="7">
        <v>1.7978994643254114</v>
      </c>
      <c r="F38" s="7">
        <v>0.26</v>
      </c>
      <c r="H38" s="6">
        <f t="shared" si="7"/>
        <v>260.6954223</v>
      </c>
      <c r="K38" s="6">
        <f t="shared" si="8"/>
        <v>37.7</v>
      </c>
    </row>
    <row r="39" ht="14.25" customHeight="1"/>
    <row r="40" ht="14.25" customHeight="1">
      <c r="A40" s="6" t="s">
        <v>100</v>
      </c>
    </row>
    <row r="41" ht="14.25" customHeight="1">
      <c r="A41" s="6" t="s">
        <v>15</v>
      </c>
      <c r="D41" s="7">
        <v>0.9452997296870298</v>
      </c>
      <c r="F41" s="7">
        <v>0.468697425787988</v>
      </c>
      <c r="H41" s="6">
        <f t="shared" ref="H41:H45" si="9">D41*206</f>
        <v>194.7317443</v>
      </c>
      <c r="K41" s="6">
        <f t="shared" ref="K41:K45" si="10">F41*206</f>
        <v>96.55166971</v>
      </c>
    </row>
    <row r="42" ht="14.25" customHeight="1">
      <c r="A42" s="6" t="s">
        <v>85</v>
      </c>
      <c r="D42" s="7">
        <v>2.1</v>
      </c>
      <c r="F42" s="7">
        <v>0.2195451241665748</v>
      </c>
      <c r="H42" s="6">
        <f t="shared" si="9"/>
        <v>432.6</v>
      </c>
      <c r="K42" s="6">
        <f t="shared" si="10"/>
        <v>45.22629558</v>
      </c>
    </row>
    <row r="43" ht="14.25" customHeight="1">
      <c r="A43" s="6" t="s">
        <v>24</v>
      </c>
      <c r="D43" s="7">
        <v>1.2844228509279483</v>
      </c>
      <c r="F43" s="7">
        <v>0.6745725390145071</v>
      </c>
      <c r="H43" s="6">
        <f t="shared" si="9"/>
        <v>264.5911073</v>
      </c>
      <c r="K43" s="6">
        <f t="shared" si="10"/>
        <v>138.961943</v>
      </c>
    </row>
    <row r="44" ht="14.25" customHeight="1">
      <c r="A44" s="6" t="s">
        <v>27</v>
      </c>
      <c r="D44" s="7">
        <v>1.8523663879175478</v>
      </c>
      <c r="F44" s="7">
        <v>0.15183635308622023</v>
      </c>
      <c r="H44" s="6">
        <f t="shared" si="9"/>
        <v>381.5874759</v>
      </c>
      <c r="K44" s="6">
        <f t="shared" si="10"/>
        <v>31.27828874</v>
      </c>
    </row>
    <row r="45" ht="14.25" customHeight="1">
      <c r="A45" s="6" t="s">
        <v>30</v>
      </c>
      <c r="D45" s="7">
        <v>0.4</v>
      </c>
      <c r="F45" s="7">
        <v>0.27625308872995746</v>
      </c>
      <c r="H45" s="6">
        <f t="shared" si="9"/>
        <v>82.4</v>
      </c>
      <c r="K45" s="6">
        <f t="shared" si="10"/>
        <v>56.90813628</v>
      </c>
    </row>
    <row r="46" ht="14.25" customHeight="1"/>
    <row r="47" ht="14.25" customHeight="1">
      <c r="A47" s="6" t="s">
        <v>170</v>
      </c>
      <c r="E47" s="6" t="s">
        <v>146</v>
      </c>
    </row>
    <row r="48" ht="14.25" customHeight="1">
      <c r="A48" s="6" t="s">
        <v>15</v>
      </c>
      <c r="B48" s="6">
        <f>H41+H35+H27+H14</f>
        <v>330.1940581</v>
      </c>
      <c r="E48" s="6">
        <f>B48/5</f>
        <v>66.03881163</v>
      </c>
    </row>
    <row r="49" ht="14.25" customHeight="1">
      <c r="A49" s="6" t="s">
        <v>85</v>
      </c>
      <c r="B49" s="6">
        <f>H42+H21</f>
        <v>859.2</v>
      </c>
      <c r="E49" s="6">
        <f>Agriculture!B49/5</f>
        <v>171.84</v>
      </c>
    </row>
    <row r="50" ht="14.25" customHeight="1">
      <c r="A50" s="6" t="s">
        <v>24</v>
      </c>
      <c r="B50" s="6">
        <f>H43+H30+H22+H17</f>
        <v>715.9265781</v>
      </c>
      <c r="E50" s="6">
        <f t="shared" ref="E50:E51" si="11">B50/4</f>
        <v>178.9816445</v>
      </c>
    </row>
    <row r="51" ht="14.25" customHeight="1">
      <c r="A51" s="6" t="s">
        <v>27</v>
      </c>
      <c r="B51" s="6">
        <f>H44+H38+H31+H23+H18</f>
        <v>1233.290878</v>
      </c>
      <c r="E51" s="6">
        <f t="shared" si="11"/>
        <v>308.3227194</v>
      </c>
    </row>
    <row r="52" ht="14.25" customHeight="1">
      <c r="A52" s="6" t="s">
        <v>30</v>
      </c>
      <c r="B52" s="6">
        <f>H45+H32+H24</f>
        <v>296.1746311</v>
      </c>
      <c r="E52" s="6">
        <f>B52/2</f>
        <v>148.0873156</v>
      </c>
    </row>
    <row r="53" ht="14.25" customHeight="1">
      <c r="A53" s="6" t="s">
        <v>21</v>
      </c>
      <c r="B53" s="6">
        <f>H36+H29+H16</f>
        <v>1068.397695</v>
      </c>
      <c r="E53" s="6">
        <f>B53/5</f>
        <v>213.679539</v>
      </c>
    </row>
    <row r="54" ht="14.25" customHeight="1">
      <c r="A54" s="6" t="s">
        <v>97</v>
      </c>
      <c r="B54" s="6">
        <f>H37</f>
        <v>73.70103712</v>
      </c>
      <c r="E54" s="6">
        <f>B54/2</f>
        <v>36.85051856</v>
      </c>
    </row>
    <row r="55" ht="14.25" customHeight="1">
      <c r="A55" s="6" t="s">
        <v>18</v>
      </c>
      <c r="B55" s="6">
        <f>H15+H28</f>
        <v>507.6818299</v>
      </c>
      <c r="E55" s="6">
        <f>B55/5</f>
        <v>101.536366</v>
      </c>
    </row>
    <row r="56" ht="14.25" customHeight="1"/>
    <row r="57" ht="14.25" customHeight="1">
      <c r="A57" s="6" t="s">
        <v>171</v>
      </c>
    </row>
    <row r="58" ht="14.25" customHeight="1">
      <c r="A58" s="6" t="s">
        <v>15</v>
      </c>
      <c r="B58" s="6">
        <f>K41+K35+K27+K14</f>
        <v>421.71091</v>
      </c>
      <c r="E58" s="6">
        <f t="shared" ref="E58:E59" si="12">B58/5</f>
        <v>84.34218201</v>
      </c>
    </row>
    <row r="59" ht="14.25" customHeight="1">
      <c r="A59" s="6" t="s">
        <v>85</v>
      </c>
      <c r="B59" s="6">
        <f>K42+K22</f>
        <v>80.7064099</v>
      </c>
      <c r="E59" s="6">
        <f t="shared" si="12"/>
        <v>16.14128198</v>
      </c>
    </row>
    <row r="60" ht="14.25" customHeight="1">
      <c r="A60" s="6" t="s">
        <v>24</v>
      </c>
      <c r="B60" s="6">
        <f>K43+K30+K22+K17</f>
        <v>650.0954506</v>
      </c>
      <c r="E60" s="6">
        <f t="shared" ref="E60:E61" si="13">B60/4</f>
        <v>162.5238626</v>
      </c>
    </row>
    <row r="61" ht="14.25" customHeight="1">
      <c r="A61" s="6" t="s">
        <v>27</v>
      </c>
      <c r="B61" s="6">
        <f>K44+K38+K31+K23+K18</f>
        <v>210.7682887</v>
      </c>
      <c r="E61" s="6">
        <f t="shared" si="13"/>
        <v>52.69207218</v>
      </c>
    </row>
    <row r="62" ht="14.25" customHeight="1">
      <c r="A62" s="6" t="s">
        <v>30</v>
      </c>
      <c r="B62" s="6">
        <f>K45+K32+K24</f>
        <v>525.161693</v>
      </c>
      <c r="E62" s="6">
        <f>B62/2</f>
        <v>262.5808465</v>
      </c>
    </row>
    <row r="63" ht="14.25" customHeight="1">
      <c r="A63" s="6" t="s">
        <v>21</v>
      </c>
      <c r="B63" s="6">
        <f>K36+K29+K16</f>
        <v>422.8572992</v>
      </c>
      <c r="E63" s="6">
        <f>B63/5</f>
        <v>84.57145984</v>
      </c>
    </row>
    <row r="64" ht="14.25" customHeight="1">
      <c r="A64" s="6" t="s">
        <v>97</v>
      </c>
      <c r="B64" s="6">
        <f>K37</f>
        <v>73.07125932</v>
      </c>
      <c r="E64" s="6">
        <f>B64/2</f>
        <v>36.53562966</v>
      </c>
    </row>
    <row r="65" ht="14.25" customHeight="1">
      <c r="A65" s="6" t="s">
        <v>18</v>
      </c>
      <c r="B65" s="6">
        <f>K28+K15</f>
        <v>357.5166723</v>
      </c>
      <c r="E65" s="6">
        <f>B65/4</f>
        <v>89.37916807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9.71"/>
    <col customWidth="1" min="18" max="18" width="9.86"/>
    <col customWidth="1" min="19" max="19" width="10.14"/>
    <col customWidth="1" min="20" max="26" width="8.71"/>
  </cols>
  <sheetData>
    <row r="1" ht="14.25" customHeight="1">
      <c r="A1" s="6" t="s">
        <v>172</v>
      </c>
    </row>
    <row r="2" ht="14.25" customHeight="1"/>
    <row r="3" ht="14.25" customHeight="1">
      <c r="A3" s="6" t="s">
        <v>50</v>
      </c>
      <c r="C3" s="6">
        <v>2.0</v>
      </c>
    </row>
    <row r="4" ht="14.25" customHeight="1"/>
    <row r="5" ht="14.25" customHeight="1">
      <c r="A5" s="6" t="s">
        <v>64</v>
      </c>
      <c r="C5" s="6">
        <v>42.0</v>
      </c>
    </row>
    <row r="6" ht="14.25" customHeight="1"/>
    <row r="7" ht="14.25" customHeight="1">
      <c r="A7" s="6" t="s">
        <v>65</v>
      </c>
      <c r="C7" s="6">
        <v>25.0</v>
      </c>
    </row>
    <row r="8" ht="14.25" customHeight="1"/>
    <row r="9" ht="14.25" customHeight="1">
      <c r="A9" s="6" t="s">
        <v>50</v>
      </c>
      <c r="E9" s="6" t="s">
        <v>173</v>
      </c>
      <c r="H9" s="6" t="s">
        <v>174</v>
      </c>
      <c r="K9" s="6" t="s">
        <v>175</v>
      </c>
      <c r="N9" s="6" t="s">
        <v>176</v>
      </c>
      <c r="Q9" s="12" t="s">
        <v>50</v>
      </c>
      <c r="R9" s="12" t="s">
        <v>64</v>
      </c>
      <c r="S9" s="12" t="s">
        <v>65</v>
      </c>
    </row>
    <row r="10" ht="14.25" customHeight="1">
      <c r="A10" s="6" t="s">
        <v>15</v>
      </c>
      <c r="E10" s="7">
        <v>0.0</v>
      </c>
      <c r="H10" s="7">
        <v>0.482700079404386</v>
      </c>
      <c r="K10" s="6">
        <f t="shared" ref="K10:K15" si="1">E10*2</f>
        <v>0</v>
      </c>
      <c r="N10" s="6">
        <f>Energy!H10*2</f>
        <v>0.9654001588</v>
      </c>
      <c r="Q10" s="6" t="s">
        <v>15</v>
      </c>
      <c r="R10" s="6" t="s">
        <v>15</v>
      </c>
      <c r="S10" s="6" t="s">
        <v>15</v>
      </c>
    </row>
    <row r="11" ht="14.25" customHeight="1">
      <c r="A11" s="6" t="s">
        <v>18</v>
      </c>
      <c r="E11" s="7">
        <v>0.03897732072574511</v>
      </c>
      <c r="H11" s="7">
        <v>0.8595677043918314</v>
      </c>
      <c r="K11" s="6">
        <f t="shared" si="1"/>
        <v>0.07795464145</v>
      </c>
      <c r="N11" s="6">
        <f>Energy!H11*2</f>
        <v>1.719135409</v>
      </c>
      <c r="Q11" s="6" t="s">
        <v>18</v>
      </c>
      <c r="R11" s="6" t="s">
        <v>18</v>
      </c>
      <c r="S11" s="6" t="s">
        <v>18</v>
      </c>
    </row>
    <row r="12" ht="14.25" customHeight="1">
      <c r="A12" s="6" t="s">
        <v>21</v>
      </c>
      <c r="E12" s="7">
        <v>0.41849678201267904</v>
      </c>
      <c r="H12" s="7">
        <v>0.47773308393334424</v>
      </c>
      <c r="K12" s="6">
        <f t="shared" si="1"/>
        <v>0.836993564</v>
      </c>
      <c r="N12" s="6">
        <f>Energy!H12*2</f>
        <v>0.9554661679</v>
      </c>
      <c r="Q12" s="6" t="s">
        <v>21</v>
      </c>
      <c r="R12" s="6" t="s">
        <v>21</v>
      </c>
      <c r="S12" s="6" t="s">
        <v>21</v>
      </c>
    </row>
    <row r="13" ht="14.25" customHeight="1">
      <c r="A13" s="6" t="s">
        <v>24</v>
      </c>
      <c r="E13" s="7">
        <v>1.9053669301556477</v>
      </c>
      <c r="H13" s="7">
        <v>1.2</v>
      </c>
      <c r="K13" s="6">
        <f t="shared" si="1"/>
        <v>3.81073386</v>
      </c>
      <c r="N13" s="6">
        <f>Energy!H13*2</f>
        <v>2.4</v>
      </c>
      <c r="Q13" s="6" t="s">
        <v>24</v>
      </c>
      <c r="R13" s="6" t="s">
        <v>24</v>
      </c>
      <c r="S13" s="6" t="s">
        <v>24</v>
      </c>
    </row>
    <row r="14" ht="14.25" customHeight="1">
      <c r="A14" s="6" t="s">
        <v>27</v>
      </c>
      <c r="E14" s="7">
        <v>0.1539535411727071</v>
      </c>
      <c r="H14" s="7">
        <v>0.2</v>
      </c>
      <c r="K14" s="6">
        <f t="shared" si="1"/>
        <v>0.3079070823</v>
      </c>
      <c r="N14" s="6">
        <f>Energy!H14*2</f>
        <v>0.4</v>
      </c>
      <c r="Q14" s="6" t="s">
        <v>27</v>
      </c>
      <c r="R14" s="6" t="s">
        <v>27</v>
      </c>
      <c r="S14" s="6" t="s">
        <v>27</v>
      </c>
    </row>
    <row r="15" ht="14.25" customHeight="1">
      <c r="A15" s="6" t="s">
        <v>30</v>
      </c>
      <c r="E15" s="7">
        <v>0.0</v>
      </c>
      <c r="H15" s="7">
        <v>0.11722131599705055</v>
      </c>
      <c r="K15" s="6">
        <f t="shared" si="1"/>
        <v>0</v>
      </c>
      <c r="N15" s="6">
        <f>Energy!H15*2</f>
        <v>0.234442632</v>
      </c>
      <c r="Q15" s="6" t="s">
        <v>30</v>
      </c>
      <c r="R15" s="6" t="s">
        <v>30</v>
      </c>
      <c r="S15" s="6" t="s">
        <v>30</v>
      </c>
    </row>
    <row r="16" ht="14.25" customHeight="1">
      <c r="Q16" s="56">
        <v>44418.0</v>
      </c>
    </row>
    <row r="17" ht="14.25" customHeight="1">
      <c r="A17" s="6" t="s">
        <v>64</v>
      </c>
    </row>
    <row r="18" ht="14.25" customHeight="1">
      <c r="A18" s="6" t="s">
        <v>15</v>
      </c>
      <c r="E18" s="7">
        <v>0.1</v>
      </c>
      <c r="H18" s="7">
        <v>0.2048432948112</v>
      </c>
      <c r="K18" s="6">
        <f t="shared" ref="K18:K23" si="2">E18*42</f>
        <v>4.2</v>
      </c>
      <c r="N18" s="6">
        <f t="shared" ref="N18:N23" si="3">H18*42</f>
        <v>8.603418382</v>
      </c>
    </row>
    <row r="19" ht="14.25" customHeight="1">
      <c r="A19" s="6" t="s">
        <v>18</v>
      </c>
      <c r="E19" s="7">
        <v>0.6111788153437163</v>
      </c>
      <c r="H19" s="7">
        <v>0.09904896409199226</v>
      </c>
      <c r="K19" s="6">
        <f t="shared" si="2"/>
        <v>25.66951024</v>
      </c>
      <c r="N19" s="6">
        <f t="shared" si="3"/>
        <v>4.160056492</v>
      </c>
    </row>
    <row r="20" ht="14.25" customHeight="1">
      <c r="A20" s="6" t="s">
        <v>21</v>
      </c>
      <c r="E20" s="7">
        <v>1.852089357755046</v>
      </c>
      <c r="H20" s="7">
        <v>0.6970520324220479</v>
      </c>
      <c r="K20" s="6">
        <f t="shared" si="2"/>
        <v>77.78775303</v>
      </c>
      <c r="N20" s="6">
        <f t="shared" si="3"/>
        <v>29.27618536</v>
      </c>
    </row>
    <row r="21" ht="14.25" customHeight="1">
      <c r="A21" s="6" t="s">
        <v>24</v>
      </c>
      <c r="E21" s="7">
        <v>1.3354267395537436</v>
      </c>
      <c r="H21" s="7">
        <v>0.95</v>
      </c>
      <c r="K21" s="6">
        <f t="shared" si="2"/>
        <v>56.08792306</v>
      </c>
      <c r="N21" s="6">
        <f t="shared" si="3"/>
        <v>39.9</v>
      </c>
    </row>
    <row r="22" ht="14.25" customHeight="1">
      <c r="A22" s="6" t="s">
        <v>27</v>
      </c>
      <c r="E22" s="7">
        <v>0.8420567611127228</v>
      </c>
      <c r="H22" s="7">
        <v>0.32</v>
      </c>
      <c r="K22" s="6">
        <f t="shared" si="2"/>
        <v>35.36638397</v>
      </c>
      <c r="N22" s="6">
        <f t="shared" si="3"/>
        <v>13.44</v>
      </c>
    </row>
    <row r="23" ht="14.25" customHeight="1">
      <c r="A23" s="6" t="s">
        <v>30</v>
      </c>
      <c r="E23" s="7">
        <v>0.3</v>
      </c>
      <c r="H23" s="7">
        <v>0.5034730570389397</v>
      </c>
      <c r="K23" s="6">
        <f t="shared" si="2"/>
        <v>12.6</v>
      </c>
      <c r="N23" s="6">
        <f t="shared" si="3"/>
        <v>21.1458684</v>
      </c>
    </row>
    <row r="24" ht="14.25" customHeight="1"/>
    <row r="25" ht="14.25" customHeight="1">
      <c r="A25" s="6" t="s">
        <v>65</v>
      </c>
    </row>
    <row r="26" ht="14.25" customHeight="1">
      <c r="A26" s="6" t="s">
        <v>15</v>
      </c>
      <c r="E26" s="7">
        <v>0.0</v>
      </c>
      <c r="H26" s="7">
        <v>0.5652781876130898</v>
      </c>
      <c r="K26" s="6">
        <f t="shared" ref="K26:K31" si="4">E26*25</f>
        <v>0</v>
      </c>
      <c r="N26" s="6">
        <f t="shared" ref="N26:N31" si="5">H26*20</f>
        <v>11.30556375</v>
      </c>
    </row>
    <row r="27" ht="14.25" customHeight="1">
      <c r="A27" s="6" t="s">
        <v>18</v>
      </c>
      <c r="E27" s="7">
        <v>0.14415463027171604</v>
      </c>
      <c r="H27" s="7">
        <v>0.5244731665112448</v>
      </c>
      <c r="K27" s="6">
        <f t="shared" si="4"/>
        <v>3.603865757</v>
      </c>
      <c r="N27" s="6">
        <f t="shared" si="5"/>
        <v>10.48946333</v>
      </c>
    </row>
    <row r="28" ht="14.25" customHeight="1">
      <c r="A28" s="6" t="s">
        <v>21</v>
      </c>
      <c r="E28" s="7">
        <v>0.7994991943384024</v>
      </c>
      <c r="H28" s="7">
        <v>0.3172583039511693</v>
      </c>
      <c r="K28" s="6">
        <f t="shared" si="4"/>
        <v>19.98747986</v>
      </c>
      <c r="N28" s="6">
        <f t="shared" si="5"/>
        <v>6.345166079</v>
      </c>
    </row>
    <row r="29" ht="14.25" customHeight="1">
      <c r="A29" s="6" t="s">
        <v>24</v>
      </c>
      <c r="E29" s="7">
        <v>0.5698179152451344</v>
      </c>
      <c r="H29" s="7">
        <v>1.27</v>
      </c>
      <c r="K29" s="6">
        <f t="shared" si="4"/>
        <v>14.24544788</v>
      </c>
      <c r="N29" s="6">
        <f t="shared" si="5"/>
        <v>25.4</v>
      </c>
    </row>
    <row r="30" ht="14.25" customHeight="1">
      <c r="A30" s="6" t="s">
        <v>27</v>
      </c>
      <c r="E30" s="7">
        <v>1.9102973659931222</v>
      </c>
      <c r="H30" s="7">
        <v>0.15</v>
      </c>
      <c r="K30" s="6">
        <f t="shared" si="4"/>
        <v>47.75743415</v>
      </c>
      <c r="N30" s="6">
        <f t="shared" si="5"/>
        <v>3</v>
      </c>
    </row>
    <row r="31" ht="14.25" customHeight="1">
      <c r="A31" s="6" t="s">
        <v>30</v>
      </c>
      <c r="E31" s="7">
        <v>0.2386226402557461</v>
      </c>
      <c r="H31" s="7">
        <v>0.8138085586923526</v>
      </c>
      <c r="K31" s="6">
        <f t="shared" si="4"/>
        <v>5.965566006</v>
      </c>
      <c r="N31" s="6">
        <f t="shared" si="5"/>
        <v>16.27617117</v>
      </c>
    </row>
    <row r="32" ht="14.25" customHeight="1"/>
    <row r="33" ht="14.25" customHeight="1">
      <c r="A33" s="6" t="s">
        <v>177</v>
      </c>
      <c r="F33" s="6" t="s">
        <v>178</v>
      </c>
    </row>
    <row r="34" ht="14.25" customHeight="1">
      <c r="A34" s="6" t="s">
        <v>15</v>
      </c>
      <c r="B34" s="6">
        <f>K18+K26+K10</f>
        <v>4.2</v>
      </c>
      <c r="F34" s="6">
        <f>4.2/5</f>
        <v>0.84</v>
      </c>
    </row>
    <row r="35" ht="14.25" customHeight="1">
      <c r="A35" s="6" t="s">
        <v>18</v>
      </c>
      <c r="B35" s="6">
        <f t="shared" ref="B35:B39" si="6">K27+K19+K11</f>
        <v>29.35133064</v>
      </c>
      <c r="F35" s="6">
        <f>29.35/4</f>
        <v>7.3375</v>
      </c>
    </row>
    <row r="36" ht="14.25" customHeight="1">
      <c r="A36" s="6" t="s">
        <v>21</v>
      </c>
      <c r="B36" s="6">
        <f t="shared" si="6"/>
        <v>98.61222645</v>
      </c>
      <c r="F36" s="6">
        <f>98.61/5</f>
        <v>19.722</v>
      </c>
    </row>
    <row r="37" ht="14.25" customHeight="1">
      <c r="A37" s="6" t="s">
        <v>24</v>
      </c>
      <c r="B37" s="6">
        <f t="shared" si="6"/>
        <v>74.1441048</v>
      </c>
      <c r="F37" s="6">
        <f>74.14/2</f>
        <v>37.07</v>
      </c>
    </row>
    <row r="38" ht="14.25" customHeight="1">
      <c r="A38" s="6" t="s">
        <v>27</v>
      </c>
      <c r="B38" s="6">
        <f t="shared" si="6"/>
        <v>83.4317252</v>
      </c>
      <c r="F38" s="6">
        <f>83.43/4</f>
        <v>20.8575</v>
      </c>
    </row>
    <row r="39" ht="14.25" customHeight="1">
      <c r="A39" s="6" t="s">
        <v>30</v>
      </c>
      <c r="B39" s="6">
        <f t="shared" si="6"/>
        <v>18.56556601</v>
      </c>
      <c r="F39" s="6">
        <f>18.56/2</f>
        <v>9.28</v>
      </c>
    </row>
    <row r="40" ht="14.25" customHeight="1"/>
    <row r="41" ht="14.25" customHeight="1"/>
    <row r="42" ht="14.25" customHeight="1">
      <c r="A42" s="6" t="s">
        <v>179</v>
      </c>
    </row>
    <row r="43" ht="14.25" customHeight="1">
      <c r="A43" s="6" t="s">
        <v>15</v>
      </c>
      <c r="B43" s="6">
        <f t="shared" ref="B43:B48" si="7">N26+N18+N10</f>
        <v>20.87438229</v>
      </c>
      <c r="F43" s="6">
        <f>20.87/5</f>
        <v>4.174</v>
      </c>
    </row>
    <row r="44" ht="14.25" customHeight="1">
      <c r="A44" s="6" t="s">
        <v>18</v>
      </c>
      <c r="B44" s="6">
        <f t="shared" si="7"/>
        <v>16.36865523</v>
      </c>
      <c r="F44" s="6">
        <f>16.37/4</f>
        <v>4.0925</v>
      </c>
    </row>
    <row r="45" ht="14.25" customHeight="1">
      <c r="A45" s="6" t="s">
        <v>21</v>
      </c>
      <c r="B45" s="6">
        <f t="shared" si="7"/>
        <v>36.57681761</v>
      </c>
      <c r="F45" s="6">
        <f>36.58/5</f>
        <v>7.316</v>
      </c>
    </row>
    <row r="46" ht="14.25" customHeight="1">
      <c r="A46" s="6" t="s">
        <v>24</v>
      </c>
      <c r="B46" s="6">
        <f t="shared" si="7"/>
        <v>67.7</v>
      </c>
      <c r="F46" s="6">
        <f>67.7/4</f>
        <v>16.925</v>
      </c>
    </row>
    <row r="47" ht="14.25" customHeight="1">
      <c r="A47" s="6" t="s">
        <v>27</v>
      </c>
      <c r="B47" s="6">
        <f t="shared" si="7"/>
        <v>16.84</v>
      </c>
      <c r="F47" s="6">
        <f>B47/4</f>
        <v>4.21</v>
      </c>
    </row>
    <row r="48" ht="14.25" customHeight="1">
      <c r="A48" s="6" t="s">
        <v>30</v>
      </c>
      <c r="B48" s="6">
        <f t="shared" si="7"/>
        <v>37.6564822</v>
      </c>
      <c r="F48" s="6">
        <f>B48/2</f>
        <v>18.8282411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9.71"/>
    <col customWidth="1" min="3" max="3" width="10.14"/>
    <col customWidth="1" min="4" max="4" width="11.29"/>
    <col customWidth="1" min="5" max="5" width="8.71"/>
    <col customWidth="1" min="6" max="6" width="13.43"/>
    <col customWidth="1" min="7" max="9" width="10.71"/>
    <col customWidth="1" min="10" max="10" width="12.86"/>
    <col customWidth="1" min="11" max="11" width="11.43"/>
    <col customWidth="1" min="12" max="26" width="8.71"/>
  </cols>
  <sheetData>
    <row r="1" ht="59.25" customHeight="1">
      <c r="A1" s="57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3" t="s">
        <v>9</v>
      </c>
      <c r="H1" s="4" t="s">
        <v>10</v>
      </c>
      <c r="I1" s="4" t="s">
        <v>11</v>
      </c>
      <c r="J1" s="4" t="s">
        <v>180</v>
      </c>
      <c r="K1" s="4" t="s">
        <v>13</v>
      </c>
      <c r="L1" s="58" t="s">
        <v>181</v>
      </c>
      <c r="N1" s="9"/>
    </row>
    <row r="2" ht="14.25" customHeight="1">
      <c r="A2" s="6" t="s">
        <v>182</v>
      </c>
      <c r="B2" s="6">
        <v>10.0</v>
      </c>
      <c r="C2" s="6" t="s">
        <v>15</v>
      </c>
      <c r="F2" s="6">
        <v>1.0</v>
      </c>
      <c r="G2" s="7">
        <v>0.3</v>
      </c>
      <c r="H2" s="6">
        <v>0.9</v>
      </c>
      <c r="I2" s="6">
        <v>0.086</v>
      </c>
      <c r="J2" s="9">
        <f>(SUM(G2:G5)+SUM(H2:H5))*30</f>
        <v>153</v>
      </c>
      <c r="K2" s="6" t="s">
        <v>55</v>
      </c>
    </row>
    <row r="3" ht="14.25" customHeight="1">
      <c r="B3" s="6">
        <v>20.0</v>
      </c>
      <c r="C3" s="6" t="s">
        <v>97</v>
      </c>
      <c r="F3" s="6">
        <v>1.0</v>
      </c>
      <c r="G3" s="7">
        <v>0.2</v>
      </c>
      <c r="H3" s="6">
        <v>1.5</v>
      </c>
      <c r="I3" s="6">
        <v>0.035</v>
      </c>
      <c r="J3" s="9"/>
    </row>
    <row r="4" ht="14.25" customHeight="1">
      <c r="B4" s="6">
        <v>30.0</v>
      </c>
      <c r="C4" s="6" t="s">
        <v>21</v>
      </c>
      <c r="F4" s="6">
        <v>1.0</v>
      </c>
      <c r="G4" s="7">
        <v>0.1</v>
      </c>
      <c r="H4" s="6">
        <v>1.1</v>
      </c>
      <c r="I4" s="6">
        <v>0.051</v>
      </c>
      <c r="J4" s="9"/>
    </row>
    <row r="5" ht="14.25" customHeight="1">
      <c r="B5" s="6">
        <v>40.0</v>
      </c>
      <c r="C5" s="6" t="s">
        <v>30</v>
      </c>
      <c r="F5" s="6">
        <v>1.0</v>
      </c>
      <c r="G5" s="7">
        <v>0.8</v>
      </c>
      <c r="H5" s="6">
        <v>0.2</v>
      </c>
      <c r="I5" s="6">
        <v>0.135</v>
      </c>
      <c r="J5" s="9"/>
    </row>
    <row r="6" ht="14.25" customHeight="1">
      <c r="A6" s="6" t="s">
        <v>183</v>
      </c>
      <c r="B6" s="6">
        <v>10.0</v>
      </c>
      <c r="C6" s="6" t="s">
        <v>15</v>
      </c>
      <c r="F6" s="6">
        <v>1.0</v>
      </c>
      <c r="G6" s="7">
        <v>1.0</v>
      </c>
      <c r="H6" s="6">
        <v>0.9</v>
      </c>
      <c r="I6" s="6">
        <v>0.086</v>
      </c>
      <c r="J6" s="9">
        <f>(SUM(G6:G9)+SUM(H6:H9))*30</f>
        <v>222</v>
      </c>
      <c r="K6" s="6" t="s">
        <v>55</v>
      </c>
      <c r="M6" s="6" t="s">
        <v>184</v>
      </c>
    </row>
    <row r="7" ht="14.25" customHeight="1">
      <c r="B7" s="6">
        <v>20.0</v>
      </c>
      <c r="C7" s="6" t="s">
        <v>97</v>
      </c>
      <c r="F7" s="6">
        <v>1.0</v>
      </c>
      <c r="G7" s="7">
        <v>0.1</v>
      </c>
      <c r="H7" s="6">
        <v>2.1</v>
      </c>
      <c r="I7" s="6">
        <v>0.035</v>
      </c>
      <c r="J7" s="9"/>
      <c r="M7" s="6" t="s">
        <v>185</v>
      </c>
    </row>
    <row r="8" ht="14.25" customHeight="1">
      <c r="B8" s="6">
        <v>30.0</v>
      </c>
      <c r="C8" s="6" t="s">
        <v>21</v>
      </c>
      <c r="F8" s="6">
        <v>1.0</v>
      </c>
      <c r="G8" s="7">
        <v>0.1</v>
      </c>
      <c r="H8" s="6">
        <v>1.3</v>
      </c>
      <c r="I8" s="6">
        <v>0.051</v>
      </c>
      <c r="J8" s="9"/>
      <c r="M8" s="6" t="s">
        <v>186</v>
      </c>
    </row>
    <row r="9" ht="14.25" customHeight="1">
      <c r="B9" s="6">
        <v>40.0</v>
      </c>
      <c r="C9" s="6" t="s">
        <v>30</v>
      </c>
      <c r="F9" s="6">
        <v>1.0</v>
      </c>
      <c r="G9" s="7">
        <v>0.6</v>
      </c>
      <c r="H9" s="6">
        <v>1.3</v>
      </c>
      <c r="I9" s="6">
        <v>0.135</v>
      </c>
      <c r="J9" s="9"/>
      <c r="M9" s="6" t="s">
        <v>187</v>
      </c>
    </row>
    <row r="10" ht="14.25" customHeight="1">
      <c r="A10" s="6" t="s">
        <v>188</v>
      </c>
      <c r="B10" s="6">
        <v>10.0</v>
      </c>
      <c r="C10" s="6" t="s">
        <v>15</v>
      </c>
      <c r="F10" s="6">
        <v>1.0</v>
      </c>
      <c r="G10" s="7">
        <v>0.6</v>
      </c>
      <c r="H10" s="6">
        <v>0.8</v>
      </c>
      <c r="I10" s="6">
        <v>0.086</v>
      </c>
      <c r="J10" s="9">
        <f>(SUM(G10:G13)+SUM(H10:H13))*30</f>
        <v>228</v>
      </c>
      <c r="K10" s="6" t="s">
        <v>55</v>
      </c>
      <c r="M10" s="6" t="s">
        <v>189</v>
      </c>
    </row>
    <row r="11" ht="14.25" customHeight="1">
      <c r="B11" s="6">
        <v>20.0</v>
      </c>
      <c r="C11" s="6" t="s">
        <v>97</v>
      </c>
      <c r="F11" s="6">
        <v>1.0</v>
      </c>
      <c r="G11" s="7">
        <v>1.3</v>
      </c>
      <c r="H11" s="6">
        <v>2.0</v>
      </c>
      <c r="I11" s="6">
        <v>0.035</v>
      </c>
      <c r="J11" s="9"/>
      <c r="M11" s="6" t="s">
        <v>15</v>
      </c>
      <c r="N11" s="7">
        <f>G2+G6+G10+G14+G18+G22+G26+G30+G34+G38+G42+G46+G50</f>
        <v>8.5</v>
      </c>
      <c r="O11" s="6">
        <v>1.7</v>
      </c>
    </row>
    <row r="12" ht="14.25" customHeight="1">
      <c r="B12" s="6">
        <v>30.0</v>
      </c>
      <c r="C12" s="6" t="s">
        <v>21</v>
      </c>
      <c r="F12" s="6">
        <v>1.0</v>
      </c>
      <c r="G12" s="7">
        <v>0.8</v>
      </c>
      <c r="H12" s="6">
        <v>1.5</v>
      </c>
      <c r="I12" s="6">
        <v>0.051</v>
      </c>
      <c r="J12" s="9"/>
      <c r="M12" s="6" t="s">
        <v>97</v>
      </c>
      <c r="N12" s="7">
        <f>H3+H7+H11+H14+H19+H23+H27+H31+H35+H39+H43+H43+H47+H51</f>
        <v>28.5</v>
      </c>
      <c r="O12" s="6">
        <v>14.25</v>
      </c>
    </row>
    <row r="13" ht="14.25" customHeight="1">
      <c r="B13" s="6">
        <v>40.0</v>
      </c>
      <c r="C13" s="6" t="s">
        <v>30</v>
      </c>
      <c r="F13" s="6">
        <v>1.0</v>
      </c>
      <c r="G13" s="7">
        <v>0.3</v>
      </c>
      <c r="H13" s="6">
        <v>0.3</v>
      </c>
      <c r="I13" s="6">
        <v>0.135</v>
      </c>
      <c r="J13" s="9"/>
      <c r="M13" s="6" t="s">
        <v>21</v>
      </c>
      <c r="N13" s="7">
        <f>G4+G8+G12+G16+G20+G24+G28+G32+G36+G40+G44+G48+G52</f>
        <v>6.8</v>
      </c>
      <c r="O13" s="6">
        <v>1.36</v>
      </c>
    </row>
    <row r="14" ht="14.25" customHeight="1">
      <c r="A14" s="6" t="s">
        <v>190</v>
      </c>
      <c r="B14" s="6">
        <v>10.0</v>
      </c>
      <c r="C14" s="6" t="s">
        <v>15</v>
      </c>
      <c r="F14" s="6">
        <v>1.0</v>
      </c>
      <c r="G14" s="7">
        <v>0.2</v>
      </c>
      <c r="H14" s="6">
        <v>1.1</v>
      </c>
      <c r="I14" s="6">
        <v>0.086</v>
      </c>
      <c r="J14" s="9">
        <f>(SUM(G14:G17)+SUM(H14:H17))*30</f>
        <v>156</v>
      </c>
      <c r="K14" s="6" t="s">
        <v>55</v>
      </c>
      <c r="M14" s="6" t="s">
        <v>30</v>
      </c>
      <c r="N14" s="7">
        <f>G5+G9+G13+G17+G21+G25+G29+G33+G37+G41+G45+G49+G49+G49+G53</f>
        <v>11.1</v>
      </c>
      <c r="O14" s="6">
        <v>5.55</v>
      </c>
    </row>
    <row r="15" ht="14.25" customHeight="1">
      <c r="B15" s="6">
        <v>20.0</v>
      </c>
      <c r="C15" s="6" t="s">
        <v>97</v>
      </c>
      <c r="F15" s="6">
        <v>1.0</v>
      </c>
      <c r="G15" s="7">
        <v>0.1</v>
      </c>
      <c r="H15" s="6">
        <v>1.3</v>
      </c>
      <c r="I15" s="6">
        <v>0.035</v>
      </c>
      <c r="J15" s="9"/>
    </row>
    <row r="16" ht="14.25" customHeight="1">
      <c r="B16" s="6">
        <v>30.0</v>
      </c>
      <c r="C16" s="6" t="s">
        <v>21</v>
      </c>
      <c r="F16" s="6">
        <v>1.0</v>
      </c>
      <c r="G16" s="7">
        <v>0.9</v>
      </c>
      <c r="H16" s="6">
        <v>0.6</v>
      </c>
      <c r="I16" s="6">
        <v>0.051</v>
      </c>
      <c r="J16" s="9"/>
      <c r="M16" s="6" t="s">
        <v>191</v>
      </c>
      <c r="O16" s="6" t="s">
        <v>178</v>
      </c>
    </row>
    <row r="17" ht="14.25" customHeight="1">
      <c r="B17" s="6">
        <v>40.0</v>
      </c>
      <c r="C17" s="6" t="s">
        <v>30</v>
      </c>
      <c r="F17" s="6">
        <v>1.0</v>
      </c>
      <c r="G17" s="7">
        <v>0.6</v>
      </c>
      <c r="H17" s="6">
        <v>0.4</v>
      </c>
      <c r="I17" s="6">
        <v>0.135</v>
      </c>
      <c r="J17" s="9"/>
      <c r="M17" s="6" t="s">
        <v>192</v>
      </c>
      <c r="N17" s="6">
        <f>H2+H6+H10+H14+H18+H22+H26+H30+H34+H38+H42+H46+H50</f>
        <v>10.1</v>
      </c>
      <c r="O17" s="6">
        <v>2.02</v>
      </c>
    </row>
    <row r="18" ht="14.25" customHeight="1">
      <c r="A18" s="6" t="s">
        <v>193</v>
      </c>
      <c r="B18" s="6">
        <v>10.0</v>
      </c>
      <c r="C18" s="6" t="s">
        <v>15</v>
      </c>
      <c r="F18" s="6">
        <v>1.0</v>
      </c>
      <c r="G18" s="7">
        <v>0.4</v>
      </c>
      <c r="H18" s="6">
        <v>0.6</v>
      </c>
      <c r="I18" s="6">
        <v>0.086</v>
      </c>
      <c r="J18" s="9">
        <f>(SUM(G18:G21)+SUM(H18:H21))*30</f>
        <v>216</v>
      </c>
      <c r="K18" s="6" t="s">
        <v>55</v>
      </c>
      <c r="M18" s="6" t="s">
        <v>97</v>
      </c>
      <c r="N18" s="6">
        <f t="shared" ref="N18:N20" si="1">I3+I7+I11+I15+I19+I23+I27+I31+I35+I39+I43+I47+I51</f>
        <v>0.455</v>
      </c>
      <c r="O18" s="6">
        <v>0.22</v>
      </c>
    </row>
    <row r="19" ht="14.25" customHeight="1">
      <c r="B19" s="6">
        <v>20.0</v>
      </c>
      <c r="C19" s="6" t="s">
        <v>97</v>
      </c>
      <c r="F19" s="6">
        <v>1.0</v>
      </c>
      <c r="G19" s="7">
        <v>0.2</v>
      </c>
      <c r="H19" s="6">
        <v>2.1</v>
      </c>
      <c r="I19" s="6">
        <v>0.035</v>
      </c>
      <c r="J19" s="9"/>
      <c r="M19" s="6" t="s">
        <v>21</v>
      </c>
      <c r="N19" s="6">
        <f t="shared" si="1"/>
        <v>0.663</v>
      </c>
      <c r="O19" s="6">
        <v>0.13</v>
      </c>
    </row>
    <row r="20" ht="14.25" customHeight="1">
      <c r="B20" s="6">
        <v>30.0</v>
      </c>
      <c r="C20" s="6" t="s">
        <v>21</v>
      </c>
      <c r="F20" s="6">
        <v>1.0</v>
      </c>
      <c r="G20" s="7">
        <v>0.3</v>
      </c>
      <c r="H20" s="6">
        <v>0.9</v>
      </c>
      <c r="I20" s="6">
        <v>0.051</v>
      </c>
      <c r="J20" s="9"/>
      <c r="M20" s="6" t="s">
        <v>30</v>
      </c>
      <c r="N20" s="6">
        <f t="shared" si="1"/>
        <v>1.755</v>
      </c>
      <c r="O20" s="6">
        <v>0.8775</v>
      </c>
    </row>
    <row r="21" ht="14.25" customHeight="1">
      <c r="B21" s="6">
        <v>40.0</v>
      </c>
      <c r="C21" s="6" t="s">
        <v>30</v>
      </c>
      <c r="F21" s="6">
        <v>1.0</v>
      </c>
      <c r="G21" s="7">
        <v>1.1</v>
      </c>
      <c r="H21" s="6">
        <v>1.6</v>
      </c>
      <c r="I21" s="6">
        <v>0.135</v>
      </c>
      <c r="J21" s="9"/>
    </row>
    <row r="22" ht="14.25" customHeight="1">
      <c r="A22" s="6" t="s">
        <v>194</v>
      </c>
      <c r="B22" s="6">
        <v>10.0</v>
      </c>
      <c r="C22" s="6" t="s">
        <v>15</v>
      </c>
      <c r="F22" s="6">
        <v>1.0</v>
      </c>
      <c r="G22" s="7">
        <v>0.4</v>
      </c>
      <c r="H22" s="6">
        <v>0.4</v>
      </c>
      <c r="I22" s="6">
        <v>0.086</v>
      </c>
      <c r="J22" s="9">
        <f>(SUM(G22:G25)+SUM(H22:H25))*30</f>
        <v>207</v>
      </c>
      <c r="K22" s="6" t="s">
        <v>55</v>
      </c>
    </row>
    <row r="23" ht="14.25" customHeight="1">
      <c r="B23" s="6">
        <v>20.0</v>
      </c>
      <c r="C23" s="6" t="s">
        <v>97</v>
      </c>
      <c r="F23" s="6">
        <v>1.0</v>
      </c>
      <c r="G23" s="7">
        <v>0.3</v>
      </c>
      <c r="H23" s="6">
        <v>1.7</v>
      </c>
      <c r="I23" s="6">
        <v>0.035</v>
      </c>
      <c r="J23" s="9"/>
    </row>
    <row r="24" ht="14.25" customHeight="1">
      <c r="B24" s="6">
        <v>30.0</v>
      </c>
      <c r="C24" s="6" t="s">
        <v>21</v>
      </c>
      <c r="F24" s="6">
        <v>1.0</v>
      </c>
      <c r="G24" s="7">
        <v>0.6</v>
      </c>
      <c r="H24" s="6">
        <v>1.8</v>
      </c>
      <c r="I24" s="6">
        <v>0.051</v>
      </c>
      <c r="J24" s="9"/>
    </row>
    <row r="25" ht="14.25" customHeight="1">
      <c r="B25" s="6">
        <v>40.0</v>
      </c>
      <c r="C25" s="6" t="s">
        <v>30</v>
      </c>
      <c r="F25" s="6">
        <v>1.0</v>
      </c>
      <c r="G25" s="7">
        <v>1.1</v>
      </c>
      <c r="H25" s="6">
        <v>0.6</v>
      </c>
      <c r="I25" s="6">
        <v>0.135</v>
      </c>
      <c r="J25" s="9"/>
    </row>
    <row r="26" ht="14.25" customHeight="1">
      <c r="A26" s="6" t="s">
        <v>195</v>
      </c>
      <c r="B26" s="6">
        <v>10.0</v>
      </c>
      <c r="C26" s="6" t="s">
        <v>15</v>
      </c>
      <c r="F26" s="6">
        <v>1.0</v>
      </c>
      <c r="G26" s="7">
        <v>1.0</v>
      </c>
      <c r="H26" s="6">
        <v>0.5</v>
      </c>
      <c r="I26" s="6">
        <v>0.086</v>
      </c>
      <c r="J26" s="9">
        <f>(SUM(G26:G29)+SUM(H26:H29))*30</f>
        <v>249</v>
      </c>
      <c r="K26" s="6" t="s">
        <v>55</v>
      </c>
    </row>
    <row r="27" ht="14.25" customHeight="1">
      <c r="B27" s="6">
        <v>20.0</v>
      </c>
      <c r="C27" s="6" t="s">
        <v>97</v>
      </c>
      <c r="F27" s="6">
        <v>1.0</v>
      </c>
      <c r="G27" s="7">
        <v>1.8</v>
      </c>
      <c r="H27" s="6">
        <v>1.5</v>
      </c>
      <c r="I27" s="6">
        <v>0.035</v>
      </c>
      <c r="J27" s="9"/>
    </row>
    <row r="28" ht="14.25" customHeight="1">
      <c r="B28" s="6">
        <v>30.0</v>
      </c>
      <c r="C28" s="6" t="s">
        <v>21</v>
      </c>
      <c r="F28" s="6">
        <v>1.0</v>
      </c>
      <c r="G28" s="7">
        <v>0.3</v>
      </c>
      <c r="H28" s="6">
        <v>1.0</v>
      </c>
      <c r="I28" s="6">
        <v>0.051</v>
      </c>
      <c r="J28" s="9"/>
    </row>
    <row r="29" ht="14.25" customHeight="1">
      <c r="B29" s="6">
        <v>40.0</v>
      </c>
      <c r="C29" s="6" t="s">
        <v>30</v>
      </c>
      <c r="F29" s="6">
        <v>1.0</v>
      </c>
      <c r="G29" s="7">
        <v>1.3</v>
      </c>
      <c r="H29" s="6">
        <v>0.9</v>
      </c>
      <c r="I29" s="6">
        <v>0.135</v>
      </c>
      <c r="J29" s="9"/>
    </row>
    <row r="30" ht="14.25" customHeight="1">
      <c r="A30" s="6" t="s">
        <v>196</v>
      </c>
      <c r="B30" s="6">
        <v>10.0</v>
      </c>
      <c r="C30" s="6" t="s">
        <v>15</v>
      </c>
      <c r="F30" s="6">
        <v>1.0</v>
      </c>
      <c r="G30" s="7">
        <v>1.9</v>
      </c>
      <c r="H30" s="6">
        <v>0.8</v>
      </c>
      <c r="I30" s="6">
        <v>0.086</v>
      </c>
      <c r="J30" s="9">
        <f>(SUM(G30:G33)+SUM(H30:H33))*30</f>
        <v>285</v>
      </c>
      <c r="K30" s="6" t="s">
        <v>55</v>
      </c>
    </row>
    <row r="31" ht="14.25" customHeight="1">
      <c r="B31" s="6">
        <v>20.0</v>
      </c>
      <c r="C31" s="6" t="s">
        <v>97</v>
      </c>
      <c r="F31" s="6">
        <v>1.0</v>
      </c>
      <c r="G31" s="7">
        <v>0.6</v>
      </c>
      <c r="H31" s="6">
        <v>1.4</v>
      </c>
      <c r="I31" s="6">
        <v>0.035</v>
      </c>
      <c r="J31" s="9"/>
    </row>
    <row r="32" ht="14.25" customHeight="1">
      <c r="B32" s="6">
        <v>30.0</v>
      </c>
      <c r="C32" s="6" t="s">
        <v>21</v>
      </c>
      <c r="F32" s="6">
        <v>1.0</v>
      </c>
      <c r="G32" s="7">
        <v>0.2</v>
      </c>
      <c r="H32" s="6">
        <v>2.4</v>
      </c>
      <c r="I32" s="6">
        <v>0.051</v>
      </c>
      <c r="J32" s="9"/>
    </row>
    <row r="33" ht="14.25" customHeight="1">
      <c r="B33" s="6">
        <v>40.0</v>
      </c>
      <c r="C33" s="6" t="s">
        <v>30</v>
      </c>
      <c r="F33" s="6">
        <v>1.0</v>
      </c>
      <c r="G33" s="7">
        <v>1.2</v>
      </c>
      <c r="H33" s="6">
        <v>1.0</v>
      </c>
      <c r="I33" s="6">
        <v>0.135</v>
      </c>
      <c r="J33" s="9"/>
    </row>
    <row r="34" ht="14.25" customHeight="1">
      <c r="A34" s="6" t="s">
        <v>197</v>
      </c>
      <c r="B34" s="6">
        <v>10.0</v>
      </c>
      <c r="C34" s="6" t="s">
        <v>15</v>
      </c>
      <c r="F34" s="6">
        <v>1.0</v>
      </c>
      <c r="G34" s="7">
        <v>1.2</v>
      </c>
      <c r="H34" s="6">
        <v>0.5</v>
      </c>
      <c r="I34" s="6">
        <v>0.086</v>
      </c>
      <c r="J34" s="9">
        <f>(SUM(G34:G37)+SUM(H34:H37))*30</f>
        <v>270</v>
      </c>
      <c r="K34" s="6" t="s">
        <v>55</v>
      </c>
    </row>
    <row r="35" ht="14.25" customHeight="1">
      <c r="B35" s="6">
        <v>20.0</v>
      </c>
      <c r="C35" s="6" t="s">
        <v>97</v>
      </c>
      <c r="F35" s="6">
        <v>1.0</v>
      </c>
      <c r="G35" s="7">
        <v>1.9</v>
      </c>
      <c r="H35" s="6">
        <v>1.3</v>
      </c>
      <c r="I35" s="6">
        <v>0.035</v>
      </c>
      <c r="J35" s="9"/>
    </row>
    <row r="36" ht="14.25" customHeight="1">
      <c r="B36" s="6">
        <v>30.0</v>
      </c>
      <c r="C36" s="6" t="s">
        <v>21</v>
      </c>
      <c r="F36" s="6">
        <v>1.0</v>
      </c>
      <c r="G36" s="7">
        <v>1.2</v>
      </c>
      <c r="H36" s="6">
        <v>1.6</v>
      </c>
      <c r="I36" s="6">
        <v>0.051</v>
      </c>
      <c r="J36" s="9"/>
    </row>
    <row r="37" ht="14.25" customHeight="1">
      <c r="B37" s="6">
        <v>40.0</v>
      </c>
      <c r="C37" s="6" t="s">
        <v>30</v>
      </c>
      <c r="F37" s="6">
        <v>1.0</v>
      </c>
      <c r="G37" s="7">
        <v>0.2</v>
      </c>
      <c r="H37" s="6">
        <v>1.1</v>
      </c>
      <c r="I37" s="6">
        <v>0.135</v>
      </c>
      <c r="J37" s="9"/>
    </row>
    <row r="38" ht="14.25" customHeight="1">
      <c r="A38" s="6" t="s">
        <v>198</v>
      </c>
      <c r="B38" s="6">
        <v>10.0</v>
      </c>
      <c r="C38" s="6" t="s">
        <v>15</v>
      </c>
      <c r="F38" s="6">
        <v>1.0</v>
      </c>
      <c r="G38" s="7">
        <v>0.4</v>
      </c>
      <c r="H38" s="6">
        <v>0.5</v>
      </c>
      <c r="I38" s="6">
        <v>0.086</v>
      </c>
      <c r="J38" s="9">
        <f>(SUM(G38:G41)+SUM(H38:H41))*30</f>
        <v>210</v>
      </c>
      <c r="K38" s="6" t="s">
        <v>55</v>
      </c>
    </row>
    <row r="39" ht="14.25" customHeight="1">
      <c r="B39" s="6">
        <v>20.0</v>
      </c>
      <c r="C39" s="6" t="s">
        <v>97</v>
      </c>
      <c r="F39" s="6">
        <v>1.0</v>
      </c>
      <c r="G39" s="7">
        <v>1.9</v>
      </c>
      <c r="H39" s="6">
        <v>0.9</v>
      </c>
      <c r="I39" s="6">
        <v>0.035</v>
      </c>
      <c r="J39" s="9"/>
    </row>
    <row r="40" ht="14.25" customHeight="1">
      <c r="B40" s="6">
        <v>30.0</v>
      </c>
      <c r="C40" s="6" t="s">
        <v>21</v>
      </c>
      <c r="F40" s="6">
        <v>1.0</v>
      </c>
      <c r="G40" s="7">
        <v>1.0</v>
      </c>
      <c r="H40" s="6">
        <v>1.6</v>
      </c>
      <c r="I40" s="6">
        <v>0.051</v>
      </c>
      <c r="J40" s="9"/>
    </row>
    <row r="41" ht="14.25" customHeight="1">
      <c r="B41" s="6">
        <v>40.0</v>
      </c>
      <c r="C41" s="6" t="s">
        <v>30</v>
      </c>
      <c r="F41" s="6">
        <v>1.0</v>
      </c>
      <c r="G41" s="7">
        <v>0.1</v>
      </c>
      <c r="H41" s="6">
        <v>0.6</v>
      </c>
      <c r="I41" s="6">
        <v>0.135</v>
      </c>
      <c r="J41" s="9"/>
    </row>
    <row r="42" ht="14.25" customHeight="1">
      <c r="A42" s="6" t="s">
        <v>199</v>
      </c>
      <c r="B42" s="6">
        <v>10.0</v>
      </c>
      <c r="C42" s="6" t="s">
        <v>15</v>
      </c>
      <c r="F42" s="6">
        <v>1.0</v>
      </c>
      <c r="G42" s="7">
        <v>0.7</v>
      </c>
      <c r="H42" s="6">
        <v>0.8</v>
      </c>
      <c r="I42" s="6">
        <v>0.086</v>
      </c>
      <c r="J42" s="9">
        <f>(SUM(G42:G45)+SUM(H42:H45))*30</f>
        <v>207</v>
      </c>
      <c r="K42" s="6" t="s">
        <v>55</v>
      </c>
    </row>
    <row r="43" ht="14.25" customHeight="1">
      <c r="B43" s="6">
        <v>20.0</v>
      </c>
      <c r="C43" s="6" t="s">
        <v>97</v>
      </c>
      <c r="F43" s="6">
        <v>1.0</v>
      </c>
      <c r="G43" s="7">
        <v>0.5</v>
      </c>
      <c r="H43" s="6">
        <v>1.5</v>
      </c>
      <c r="I43" s="6">
        <v>0.035</v>
      </c>
      <c r="J43" s="9"/>
    </row>
    <row r="44" ht="14.25" customHeight="1">
      <c r="B44" s="6">
        <v>30.0</v>
      </c>
      <c r="C44" s="6" t="s">
        <v>21</v>
      </c>
      <c r="F44" s="6">
        <v>1.0</v>
      </c>
      <c r="G44" s="7">
        <v>0.7</v>
      </c>
      <c r="H44" s="6">
        <v>1.3</v>
      </c>
      <c r="I44" s="6">
        <v>0.051</v>
      </c>
      <c r="J44" s="9"/>
    </row>
    <row r="45" ht="14.25" customHeight="1">
      <c r="B45" s="6">
        <v>40.0</v>
      </c>
      <c r="C45" s="6" t="s">
        <v>30</v>
      </c>
      <c r="F45" s="6">
        <v>1.0</v>
      </c>
      <c r="G45" s="7">
        <v>0.5</v>
      </c>
      <c r="H45" s="6">
        <v>0.9</v>
      </c>
      <c r="I45" s="6">
        <v>0.135</v>
      </c>
      <c r="J45" s="9"/>
    </row>
    <row r="46" ht="14.25" customHeight="1">
      <c r="A46" s="6" t="s">
        <v>200</v>
      </c>
      <c r="B46" s="6">
        <v>10.0</v>
      </c>
      <c r="C46" s="6" t="s">
        <v>15</v>
      </c>
      <c r="F46" s="6">
        <v>1.0</v>
      </c>
      <c r="G46" s="7">
        <v>0.2</v>
      </c>
      <c r="H46" s="6">
        <v>1.4</v>
      </c>
      <c r="I46" s="6">
        <v>0.086</v>
      </c>
      <c r="J46" s="9">
        <f>(SUM(G46:G49)+SUM(H46:H49))*30</f>
        <v>330</v>
      </c>
      <c r="K46" s="6" t="s">
        <v>55</v>
      </c>
    </row>
    <row r="47" ht="14.25" customHeight="1">
      <c r="B47" s="6">
        <v>20.0</v>
      </c>
      <c r="C47" s="6" t="s">
        <v>97</v>
      </c>
      <c r="F47" s="6">
        <v>1.0</v>
      </c>
      <c r="G47" s="7">
        <v>1.5</v>
      </c>
      <c r="H47" s="6">
        <v>4.5</v>
      </c>
      <c r="I47" s="6">
        <v>0.035</v>
      </c>
      <c r="J47" s="9"/>
    </row>
    <row r="48" ht="14.25" customHeight="1">
      <c r="B48" s="6">
        <v>30.0</v>
      </c>
      <c r="C48" s="6" t="s">
        <v>21</v>
      </c>
      <c r="F48" s="6">
        <v>1.0</v>
      </c>
      <c r="G48" s="7">
        <v>0.2</v>
      </c>
      <c r="H48" s="6">
        <v>1.6</v>
      </c>
      <c r="I48" s="6">
        <v>0.051</v>
      </c>
      <c r="J48" s="9"/>
    </row>
    <row r="49" ht="14.25" customHeight="1">
      <c r="B49" s="6">
        <v>40.0</v>
      </c>
      <c r="C49" s="6" t="s">
        <v>30</v>
      </c>
      <c r="F49" s="6">
        <v>1.0</v>
      </c>
      <c r="G49" s="7">
        <v>0.7</v>
      </c>
      <c r="H49" s="6">
        <v>0.9</v>
      </c>
      <c r="I49" s="6">
        <v>0.135</v>
      </c>
      <c r="J49" s="9"/>
    </row>
    <row r="50" ht="14.25" customHeight="1">
      <c r="A50" s="6" t="s">
        <v>201</v>
      </c>
      <c r="B50" s="6">
        <v>10.0</v>
      </c>
      <c r="C50" s="6" t="s">
        <v>15</v>
      </c>
      <c r="F50" s="6">
        <v>1.0</v>
      </c>
      <c r="G50" s="7">
        <v>0.2</v>
      </c>
      <c r="H50" s="6">
        <v>0.9</v>
      </c>
      <c r="I50" s="6">
        <v>0.086</v>
      </c>
      <c r="J50" s="9">
        <f>(SUM(G50:G53)+SUM(H50:H53))*30</f>
        <v>381</v>
      </c>
      <c r="K50" s="6" t="s">
        <v>55</v>
      </c>
    </row>
    <row r="51" ht="14.25" customHeight="1">
      <c r="B51" s="6">
        <v>20.0</v>
      </c>
      <c r="C51" s="6" t="s">
        <v>97</v>
      </c>
      <c r="F51" s="6">
        <v>1.0</v>
      </c>
      <c r="G51" s="7">
        <v>0.4</v>
      </c>
      <c r="H51" s="6">
        <v>5.4</v>
      </c>
      <c r="I51" s="6">
        <v>0.035</v>
      </c>
      <c r="J51" s="9"/>
    </row>
    <row r="52" ht="14.25" customHeight="1">
      <c r="B52" s="6">
        <v>30.0</v>
      </c>
      <c r="C52" s="6" t="s">
        <v>21</v>
      </c>
      <c r="F52" s="6">
        <v>1.0</v>
      </c>
      <c r="G52" s="7">
        <v>0.4</v>
      </c>
      <c r="H52" s="6">
        <v>2.9</v>
      </c>
      <c r="I52" s="6">
        <v>0.051</v>
      </c>
      <c r="J52" s="9"/>
    </row>
    <row r="53" ht="14.25" customHeight="1">
      <c r="B53" s="6">
        <v>40.0</v>
      </c>
      <c r="C53" s="6" t="s">
        <v>30</v>
      </c>
      <c r="F53" s="6">
        <v>1.0</v>
      </c>
      <c r="G53" s="7">
        <v>1.2</v>
      </c>
      <c r="H53" s="6">
        <v>1.3</v>
      </c>
      <c r="I53" s="6">
        <v>0.135</v>
      </c>
      <c r="J53" s="9"/>
    </row>
    <row r="54" ht="14.25" customHeight="1">
      <c r="G54" s="7"/>
      <c r="J54" s="9"/>
    </row>
    <row r="55" ht="14.25" customHeight="1">
      <c r="G55" s="7"/>
      <c r="J55" s="9"/>
    </row>
    <row r="56" ht="14.25" customHeight="1">
      <c r="G56" s="7"/>
      <c r="J56" s="9"/>
    </row>
    <row r="57" ht="14.25" customHeight="1">
      <c r="G57" s="7"/>
      <c r="J57" s="9"/>
    </row>
    <row r="58" ht="14.25" customHeight="1">
      <c r="G58" s="7"/>
      <c r="J58" s="9"/>
    </row>
    <row r="59" ht="14.25" customHeight="1">
      <c r="G59" s="7"/>
      <c r="J59" s="9"/>
    </row>
    <row r="60" ht="14.25" customHeight="1">
      <c r="G60" s="7"/>
      <c r="J60" s="9"/>
    </row>
    <row r="61" ht="14.25" customHeight="1">
      <c r="G61" s="7"/>
      <c r="J61" s="9"/>
    </row>
    <row r="62" ht="14.25" customHeight="1">
      <c r="G62" s="7"/>
      <c r="J62" s="9"/>
    </row>
    <row r="63" ht="14.25" customHeight="1">
      <c r="G63" s="7"/>
      <c r="J63" s="9"/>
    </row>
    <row r="64" ht="14.25" customHeight="1">
      <c r="G64" s="7"/>
      <c r="J64" s="9"/>
    </row>
    <row r="65" ht="14.25" customHeight="1">
      <c r="G65" s="7"/>
      <c r="J65" s="9"/>
    </row>
    <row r="66" ht="14.25" customHeight="1">
      <c r="G66" s="7"/>
      <c r="J66" s="9"/>
    </row>
    <row r="67" ht="14.25" customHeight="1">
      <c r="G67" s="7"/>
      <c r="J67" s="9"/>
    </row>
    <row r="68" ht="14.25" customHeight="1">
      <c r="G68" s="7"/>
      <c r="J68" s="9"/>
    </row>
    <row r="69" ht="14.25" customHeight="1">
      <c r="G69" s="7"/>
      <c r="J69" s="9"/>
    </row>
    <row r="70" ht="14.25" customHeight="1">
      <c r="G70" s="7"/>
      <c r="J70" s="9"/>
    </row>
    <row r="71" ht="14.25" customHeight="1">
      <c r="G71" s="7"/>
      <c r="J71" s="9"/>
    </row>
    <row r="72" ht="14.25" customHeight="1">
      <c r="G72" s="7"/>
      <c r="J72" s="9"/>
    </row>
    <row r="73" ht="14.25" customHeight="1">
      <c r="G73" s="7"/>
      <c r="J73" s="9"/>
    </row>
    <row r="74" ht="14.25" customHeight="1">
      <c r="G74" s="7"/>
      <c r="J74" s="9"/>
    </row>
    <row r="75" ht="14.25" customHeight="1">
      <c r="G75" s="7"/>
      <c r="J75" s="9"/>
    </row>
    <row r="76" ht="14.25" customHeight="1">
      <c r="G76" s="7"/>
      <c r="J76" s="9"/>
    </row>
    <row r="77" ht="14.25" customHeight="1">
      <c r="G77" s="7"/>
      <c r="J77" s="9"/>
    </row>
    <row r="78" ht="14.25" customHeight="1">
      <c r="G78" s="7"/>
      <c r="J78" s="9"/>
    </row>
    <row r="79" ht="14.25" customHeight="1">
      <c r="G79" s="7"/>
      <c r="J79" s="9"/>
    </row>
    <row r="80" ht="14.25" customHeight="1">
      <c r="G80" s="7"/>
      <c r="J80" s="9"/>
    </row>
    <row r="81" ht="14.25" customHeight="1">
      <c r="G81" s="7"/>
      <c r="J81" s="9"/>
    </row>
    <row r="82" ht="14.25" customHeight="1">
      <c r="G82" s="7"/>
      <c r="J82" s="9"/>
    </row>
    <row r="83" ht="14.25" customHeight="1">
      <c r="G83" s="7"/>
      <c r="J83" s="9"/>
    </row>
    <row r="84" ht="14.25" customHeight="1">
      <c r="G84" s="7"/>
      <c r="J84" s="9"/>
    </row>
    <row r="85" ht="14.25" customHeight="1">
      <c r="G85" s="7"/>
      <c r="J85" s="9"/>
    </row>
    <row r="86" ht="14.25" customHeight="1">
      <c r="G86" s="7"/>
      <c r="J86" s="9"/>
    </row>
    <row r="87" ht="14.25" customHeight="1">
      <c r="G87" s="7"/>
      <c r="J87" s="9"/>
    </row>
    <row r="88" ht="14.25" customHeight="1">
      <c r="G88" s="7"/>
      <c r="J88" s="9"/>
    </row>
    <row r="89" ht="14.25" customHeight="1">
      <c r="G89" s="7"/>
      <c r="J89" s="9"/>
    </row>
    <row r="90" ht="14.25" customHeight="1">
      <c r="G90" s="7"/>
      <c r="J90" s="9"/>
    </row>
    <row r="91" ht="14.25" customHeight="1">
      <c r="G91" s="7"/>
      <c r="J91" s="9"/>
    </row>
    <row r="92" ht="14.25" customHeight="1">
      <c r="G92" s="7"/>
      <c r="J92" s="9"/>
    </row>
    <row r="93" ht="14.25" customHeight="1">
      <c r="G93" s="7"/>
      <c r="J93" s="9"/>
    </row>
    <row r="94" ht="14.25" customHeight="1">
      <c r="G94" s="7"/>
      <c r="J94" s="9"/>
    </row>
    <row r="95" ht="14.25" customHeight="1">
      <c r="G95" s="7"/>
      <c r="J95" s="9"/>
    </row>
    <row r="96" ht="14.25" customHeight="1">
      <c r="G96" s="7"/>
      <c r="J96" s="9"/>
    </row>
    <row r="97" ht="14.25" customHeight="1">
      <c r="G97" s="7"/>
      <c r="J97" s="9"/>
    </row>
    <row r="98" ht="14.25" customHeight="1">
      <c r="J98" s="9"/>
    </row>
    <row r="99" ht="14.25" customHeight="1">
      <c r="J99" s="9"/>
    </row>
    <row r="100" ht="14.25" customHeight="1">
      <c r="J100" s="9"/>
    </row>
    <row r="101" ht="14.25" customHeight="1">
      <c r="J101" s="9"/>
    </row>
    <row r="102" ht="14.25" customHeight="1">
      <c r="J102" s="9"/>
    </row>
    <row r="103" ht="14.25" customHeight="1">
      <c r="J103" s="9"/>
    </row>
    <row r="104" ht="14.25" customHeight="1">
      <c r="J104" s="9"/>
    </row>
    <row r="105" ht="14.25" customHeight="1">
      <c r="J105" s="9"/>
    </row>
    <row r="106" ht="14.25" customHeight="1">
      <c r="J106" s="9"/>
    </row>
    <row r="107" ht="14.25" customHeight="1">
      <c r="J107" s="9"/>
    </row>
    <row r="108" ht="14.25" customHeight="1">
      <c r="J108" s="9"/>
    </row>
    <row r="109" ht="14.25" customHeight="1">
      <c r="J109" s="9"/>
    </row>
    <row r="110" ht="14.25" customHeight="1">
      <c r="J110" s="9"/>
    </row>
    <row r="111" ht="14.25" customHeight="1">
      <c r="J111" s="9"/>
    </row>
    <row r="112" ht="14.25" customHeight="1">
      <c r="J112" s="9"/>
    </row>
    <row r="113" ht="14.25" customHeight="1">
      <c r="J113" s="9"/>
    </row>
    <row r="114" ht="14.25" customHeight="1">
      <c r="J114" s="9"/>
    </row>
    <row r="115" ht="14.25" customHeight="1">
      <c r="J115" s="9"/>
    </row>
    <row r="116" ht="14.25" customHeight="1">
      <c r="J116" s="9"/>
    </row>
    <row r="117" ht="14.25" customHeight="1">
      <c r="J117" s="9"/>
    </row>
    <row r="118" ht="14.25" customHeight="1">
      <c r="J118" s="9"/>
    </row>
    <row r="119" ht="14.25" customHeight="1">
      <c r="J119" s="9"/>
    </row>
    <row r="120" ht="14.25" customHeight="1">
      <c r="J120" s="9"/>
    </row>
    <row r="121" ht="14.25" customHeight="1">
      <c r="J121" s="9"/>
    </row>
    <row r="122" ht="14.25" customHeight="1">
      <c r="J122" s="9"/>
    </row>
    <row r="123" ht="14.25" customHeight="1">
      <c r="J123" s="9"/>
    </row>
    <row r="124" ht="14.25" customHeight="1">
      <c r="J124" s="9"/>
    </row>
    <row r="125" ht="14.25" customHeight="1">
      <c r="J125" s="9"/>
    </row>
    <row r="126" ht="14.25" customHeight="1">
      <c r="J126" s="9"/>
    </row>
    <row r="127" ht="14.25" customHeight="1">
      <c r="J127" s="9"/>
    </row>
    <row r="128" ht="14.25" customHeight="1">
      <c r="J128" s="9"/>
    </row>
    <row r="129" ht="14.25" customHeight="1">
      <c r="J129" s="9"/>
    </row>
    <row r="130" ht="14.25" customHeight="1">
      <c r="J130" s="9"/>
    </row>
    <row r="131" ht="14.25" customHeight="1">
      <c r="J131" s="9"/>
    </row>
    <row r="132" ht="14.25" customHeight="1">
      <c r="J132" s="9"/>
    </row>
    <row r="133" ht="14.25" customHeight="1">
      <c r="J133" s="9"/>
    </row>
    <row r="134" ht="14.25" customHeight="1">
      <c r="J134" s="9"/>
    </row>
    <row r="135" ht="14.25" customHeight="1">
      <c r="J135" s="9"/>
    </row>
    <row r="136" ht="14.25" customHeight="1">
      <c r="J136" s="9"/>
    </row>
    <row r="137" ht="14.25" customHeight="1">
      <c r="J137" s="9"/>
    </row>
    <row r="138" ht="14.25" customHeight="1">
      <c r="J138" s="9"/>
    </row>
    <row r="139" ht="14.25" customHeight="1">
      <c r="J139" s="9"/>
    </row>
    <row r="140" ht="14.25" customHeight="1">
      <c r="J140" s="9"/>
    </row>
    <row r="141" ht="14.25" customHeight="1">
      <c r="J141" s="9"/>
    </row>
    <row r="142" ht="14.25" customHeight="1">
      <c r="J142" s="9"/>
    </row>
    <row r="143" ht="14.25" customHeight="1">
      <c r="J143" s="9"/>
    </row>
    <row r="144" ht="14.25" customHeight="1">
      <c r="J144" s="9"/>
    </row>
    <row r="145" ht="14.25" customHeight="1">
      <c r="J145" s="9"/>
    </row>
    <row r="146" ht="14.25" customHeight="1">
      <c r="J146" s="9"/>
    </row>
    <row r="147" ht="14.25" customHeight="1">
      <c r="J147" s="9"/>
    </row>
    <row r="148" ht="14.25" customHeight="1">
      <c r="J148" s="9"/>
    </row>
    <row r="149" ht="14.25" customHeight="1">
      <c r="J149" s="9"/>
    </row>
    <row r="150" ht="14.25" customHeight="1">
      <c r="J150" s="9"/>
    </row>
    <row r="151" ht="14.25" customHeight="1">
      <c r="J151" s="9"/>
    </row>
    <row r="152" ht="14.25" customHeight="1">
      <c r="J152" s="9"/>
    </row>
    <row r="153" ht="14.25" customHeight="1">
      <c r="J153" s="9"/>
    </row>
    <row r="154" ht="14.25" customHeight="1">
      <c r="J154" s="9"/>
    </row>
    <row r="155" ht="14.25" customHeight="1">
      <c r="J155" s="9"/>
    </row>
    <row r="156" ht="14.25" customHeight="1">
      <c r="J156" s="9"/>
    </row>
    <row r="157" ht="14.25" customHeight="1">
      <c r="J157" s="9"/>
    </row>
    <row r="158" ht="14.25" customHeight="1">
      <c r="J158" s="9"/>
    </row>
    <row r="159" ht="14.25" customHeight="1">
      <c r="J159" s="9"/>
    </row>
    <row r="160" ht="14.25" customHeight="1">
      <c r="J160" s="9"/>
    </row>
    <row r="161" ht="14.25" customHeight="1">
      <c r="J161" s="9"/>
    </row>
    <row r="162" ht="14.25" customHeight="1">
      <c r="J162" s="9"/>
    </row>
    <row r="163" ht="14.25" customHeight="1">
      <c r="J163" s="9"/>
    </row>
    <row r="164" ht="14.25" customHeight="1">
      <c r="J164" s="9"/>
    </row>
    <row r="165" ht="14.25" customHeight="1">
      <c r="J165" s="9"/>
    </row>
    <row r="166" ht="14.25" customHeight="1">
      <c r="J166" s="9"/>
    </row>
    <row r="167" ht="14.25" customHeight="1">
      <c r="J167" s="9"/>
    </row>
    <row r="168" ht="14.25" customHeight="1">
      <c r="J168" s="9"/>
    </row>
    <row r="169" ht="14.25" customHeight="1">
      <c r="J169" s="9"/>
    </row>
    <row r="170" ht="14.25" customHeight="1">
      <c r="J170" s="9"/>
    </row>
    <row r="171" ht="14.25" customHeight="1">
      <c r="J171" s="9"/>
    </row>
    <row r="172" ht="14.25" customHeight="1">
      <c r="J172" s="9"/>
    </row>
    <row r="173" ht="14.25" customHeight="1">
      <c r="J173" s="9"/>
    </row>
    <row r="174" ht="14.25" customHeight="1">
      <c r="J174" s="9"/>
    </row>
    <row r="175" ht="14.25" customHeight="1">
      <c r="J175" s="9"/>
    </row>
    <row r="176" ht="14.25" customHeight="1">
      <c r="J176" s="9"/>
    </row>
    <row r="177" ht="14.25" customHeight="1">
      <c r="J177" s="9"/>
    </row>
    <row r="178" ht="14.25" customHeight="1">
      <c r="J178" s="9"/>
    </row>
    <row r="179" ht="14.25" customHeight="1">
      <c r="J179" s="9"/>
    </row>
    <row r="180" ht="14.25" customHeight="1">
      <c r="J180" s="9"/>
    </row>
    <row r="181" ht="14.25" customHeight="1">
      <c r="J181" s="9"/>
    </row>
    <row r="182" ht="14.25" customHeight="1">
      <c r="J182" s="9"/>
    </row>
    <row r="183" ht="14.25" customHeight="1">
      <c r="J183" s="9"/>
    </row>
    <row r="184" ht="14.25" customHeight="1">
      <c r="J184" s="9"/>
    </row>
    <row r="185" ht="14.25" customHeight="1">
      <c r="J185" s="9"/>
    </row>
    <row r="186" ht="14.25" customHeight="1">
      <c r="J186" s="9"/>
    </row>
    <row r="187" ht="14.25" customHeight="1">
      <c r="J187" s="9"/>
    </row>
    <row r="188" ht="14.25" customHeight="1">
      <c r="J188" s="9"/>
    </row>
    <row r="189" ht="14.25" customHeight="1">
      <c r="J189" s="9"/>
    </row>
    <row r="190" ht="14.25" customHeight="1">
      <c r="J190" s="9"/>
    </row>
    <row r="191" ht="14.25" customHeight="1">
      <c r="J191" s="9"/>
    </row>
    <row r="192" ht="14.25" customHeight="1">
      <c r="J192" s="9"/>
    </row>
    <row r="193" ht="14.25" customHeight="1">
      <c r="J193" s="9"/>
    </row>
    <row r="194" ht="14.25" customHeight="1">
      <c r="J194" s="9"/>
    </row>
    <row r="195" ht="14.25" customHeight="1">
      <c r="J195" s="9"/>
    </row>
    <row r="196" ht="14.25" customHeight="1">
      <c r="J196" s="9"/>
    </row>
    <row r="197" ht="14.25" customHeight="1">
      <c r="J197" s="9"/>
    </row>
    <row r="198" ht="14.25" customHeight="1">
      <c r="J198" s="9"/>
    </row>
    <row r="199" ht="14.25" customHeight="1">
      <c r="J199" s="9"/>
    </row>
    <row r="200" ht="14.25" customHeight="1">
      <c r="J200" s="9"/>
    </row>
    <row r="201" ht="14.25" customHeight="1">
      <c r="J201" s="9"/>
    </row>
    <row r="202" ht="14.25" customHeight="1">
      <c r="J202" s="9"/>
    </row>
    <row r="203" ht="14.25" customHeight="1">
      <c r="J203" s="9"/>
    </row>
    <row r="204" ht="14.25" customHeight="1">
      <c r="J204" s="9"/>
    </row>
    <row r="205" ht="14.25" customHeight="1">
      <c r="J205" s="9"/>
    </row>
    <row r="206" ht="14.25" customHeight="1">
      <c r="J206" s="9"/>
    </row>
    <row r="207" ht="14.25" customHeight="1">
      <c r="J207" s="9"/>
    </row>
    <row r="208" ht="14.25" customHeight="1">
      <c r="J208" s="9"/>
    </row>
    <row r="209" ht="14.25" customHeight="1">
      <c r="J209" s="9"/>
    </row>
    <row r="210" ht="14.25" customHeight="1">
      <c r="J210" s="9"/>
    </row>
    <row r="211" ht="14.25" customHeight="1">
      <c r="J211" s="9"/>
    </row>
    <row r="212" ht="14.25" customHeight="1">
      <c r="J212" s="9"/>
    </row>
    <row r="213" ht="14.25" customHeight="1">
      <c r="J213" s="9"/>
    </row>
    <row r="214" ht="14.25" customHeight="1">
      <c r="J214" s="9"/>
    </row>
    <row r="215" ht="14.25" customHeight="1">
      <c r="J215" s="9"/>
    </row>
    <row r="216" ht="14.25" customHeight="1">
      <c r="J216" s="9"/>
    </row>
    <row r="217" ht="14.25" customHeight="1">
      <c r="J217" s="9"/>
    </row>
    <row r="218" ht="14.25" customHeight="1">
      <c r="J218" s="9"/>
    </row>
    <row r="219" ht="14.25" customHeight="1">
      <c r="J219" s="9"/>
    </row>
    <row r="220" ht="14.25" customHeight="1">
      <c r="J220" s="9"/>
    </row>
    <row r="221" ht="14.25" customHeight="1">
      <c r="J221" s="9"/>
    </row>
    <row r="222" ht="14.25" customHeight="1">
      <c r="J222" s="9"/>
    </row>
    <row r="223" ht="14.25" customHeight="1">
      <c r="J223" s="9"/>
    </row>
    <row r="224" ht="14.25" customHeight="1">
      <c r="J224" s="9"/>
    </row>
    <row r="225" ht="14.25" customHeight="1">
      <c r="J225" s="9"/>
    </row>
    <row r="226" ht="14.25" customHeight="1">
      <c r="J226" s="9"/>
    </row>
    <row r="227" ht="14.25" customHeight="1">
      <c r="J227" s="9"/>
    </row>
    <row r="228" ht="14.25" customHeight="1">
      <c r="J228" s="9"/>
    </row>
    <row r="229" ht="14.25" customHeight="1">
      <c r="J229" s="9"/>
    </row>
    <row r="230" ht="14.25" customHeight="1">
      <c r="J230" s="9"/>
    </row>
    <row r="231" ht="14.25" customHeight="1">
      <c r="J231" s="9"/>
    </row>
    <row r="232" ht="14.25" customHeight="1">
      <c r="J232" s="9"/>
    </row>
    <row r="233" ht="14.25" customHeight="1">
      <c r="J233" s="9"/>
    </row>
    <row r="234" ht="14.25" customHeight="1">
      <c r="J234" s="9"/>
    </row>
    <row r="235" ht="14.25" customHeight="1">
      <c r="J235" s="9"/>
    </row>
    <row r="236" ht="14.25" customHeight="1">
      <c r="J236" s="9"/>
    </row>
    <row r="237" ht="14.25" customHeight="1">
      <c r="J237" s="9"/>
    </row>
    <row r="238" ht="14.25" customHeight="1">
      <c r="J238" s="9"/>
    </row>
    <row r="239" ht="14.25" customHeight="1">
      <c r="J239" s="9"/>
    </row>
    <row r="240" ht="14.25" customHeight="1">
      <c r="J240" s="9"/>
    </row>
    <row r="241" ht="14.25" customHeight="1">
      <c r="J241" s="9"/>
    </row>
    <row r="242" ht="14.25" customHeight="1">
      <c r="J242" s="9"/>
    </row>
    <row r="243" ht="14.25" customHeight="1">
      <c r="J243" s="9"/>
    </row>
    <row r="244" ht="14.25" customHeight="1">
      <c r="J244" s="9"/>
    </row>
    <row r="245" ht="14.25" customHeight="1">
      <c r="J245" s="9"/>
    </row>
    <row r="246" ht="14.25" customHeight="1">
      <c r="J246" s="9"/>
    </row>
    <row r="247" ht="14.25" customHeight="1">
      <c r="J247" s="9"/>
    </row>
    <row r="248" ht="14.25" customHeight="1">
      <c r="J248" s="9"/>
    </row>
    <row r="249" ht="14.25" customHeight="1">
      <c r="J249" s="9"/>
    </row>
    <row r="250" ht="14.25" customHeight="1">
      <c r="J250" s="9"/>
    </row>
    <row r="251" ht="14.25" customHeight="1">
      <c r="J251" s="9"/>
    </row>
    <row r="252" ht="14.25" customHeight="1">
      <c r="J252" s="9"/>
    </row>
    <row r="253" ht="14.25" customHeight="1">
      <c r="J253" s="9"/>
    </row>
    <row r="254" ht="14.25" customHeight="1">
      <c r="J254" s="9"/>
    </row>
    <row r="255" ht="14.25" customHeight="1">
      <c r="J255" s="9"/>
    </row>
    <row r="256" ht="14.25" customHeight="1">
      <c r="J256" s="9"/>
    </row>
    <row r="257" ht="14.25" customHeight="1">
      <c r="J257" s="9"/>
    </row>
    <row r="258" ht="14.25" customHeight="1">
      <c r="J258" s="9"/>
    </row>
    <row r="259" ht="14.25" customHeight="1">
      <c r="J259" s="9"/>
    </row>
    <row r="260" ht="14.25" customHeight="1">
      <c r="J260" s="9"/>
    </row>
    <row r="261" ht="14.25" customHeight="1">
      <c r="J261" s="9"/>
    </row>
    <row r="262" ht="14.25" customHeight="1">
      <c r="J262" s="9"/>
    </row>
    <row r="263" ht="14.25" customHeight="1">
      <c r="J263" s="9"/>
    </row>
    <row r="264" ht="14.25" customHeight="1">
      <c r="J264" s="9"/>
    </row>
    <row r="265" ht="14.25" customHeight="1">
      <c r="J265" s="9"/>
    </row>
    <row r="266" ht="14.25" customHeight="1">
      <c r="J266" s="9"/>
    </row>
    <row r="267" ht="14.25" customHeight="1">
      <c r="J267" s="9"/>
    </row>
    <row r="268" ht="14.25" customHeight="1">
      <c r="J268" s="9"/>
    </row>
    <row r="269" ht="14.25" customHeight="1">
      <c r="J269" s="9"/>
    </row>
    <row r="270" ht="14.25" customHeight="1">
      <c r="J270" s="9"/>
    </row>
    <row r="271" ht="14.25" customHeight="1">
      <c r="J271" s="9"/>
    </row>
    <row r="272" ht="14.25" customHeight="1">
      <c r="J272" s="9"/>
    </row>
    <row r="273" ht="14.25" customHeight="1">
      <c r="J273" s="9"/>
    </row>
    <row r="274" ht="14.25" customHeight="1">
      <c r="J274" s="9"/>
    </row>
    <row r="275" ht="14.25" customHeight="1">
      <c r="J275" s="9"/>
    </row>
    <row r="276" ht="14.25" customHeight="1">
      <c r="J276" s="9"/>
    </row>
    <row r="277" ht="14.25" customHeight="1">
      <c r="J277" s="9"/>
    </row>
    <row r="278" ht="14.25" customHeight="1">
      <c r="J278" s="9"/>
    </row>
    <row r="279" ht="14.25" customHeight="1">
      <c r="J279" s="9"/>
    </row>
    <row r="280" ht="14.25" customHeight="1">
      <c r="J280" s="9"/>
    </row>
    <row r="281" ht="14.25" customHeight="1">
      <c r="J281" s="9"/>
    </row>
    <row r="282" ht="14.25" customHeight="1">
      <c r="J282" s="9"/>
    </row>
    <row r="283" ht="14.25" customHeight="1">
      <c r="J283" s="9"/>
    </row>
    <row r="284" ht="14.25" customHeight="1">
      <c r="J284" s="9"/>
    </row>
    <row r="285" ht="14.25" customHeight="1">
      <c r="J285" s="9"/>
    </row>
    <row r="286" ht="14.25" customHeight="1">
      <c r="J286" s="9"/>
    </row>
    <row r="287" ht="14.25" customHeight="1">
      <c r="J287" s="9"/>
    </row>
    <row r="288" ht="14.25" customHeight="1">
      <c r="J288" s="9"/>
    </row>
    <row r="289" ht="14.25" customHeight="1">
      <c r="J289" s="9"/>
    </row>
    <row r="290" ht="14.25" customHeight="1">
      <c r="J290" s="9"/>
    </row>
    <row r="291" ht="14.25" customHeight="1">
      <c r="J291" s="9"/>
    </row>
    <row r="292" ht="14.25" customHeight="1">
      <c r="J292" s="9"/>
    </row>
    <row r="293" ht="14.25" customHeight="1">
      <c r="J293" s="9"/>
    </row>
    <row r="294" ht="14.25" customHeight="1">
      <c r="J294" s="9"/>
    </row>
    <row r="295" ht="14.25" customHeight="1">
      <c r="J295" s="9"/>
    </row>
    <row r="296" ht="14.25" customHeight="1">
      <c r="J296" s="9"/>
    </row>
    <row r="297" ht="14.25" customHeight="1">
      <c r="J297" s="9"/>
    </row>
    <row r="298" ht="14.25" customHeight="1">
      <c r="J298" s="9"/>
    </row>
    <row r="299" ht="14.25" customHeight="1">
      <c r="J299" s="9"/>
    </row>
    <row r="300" ht="14.25" customHeight="1">
      <c r="J300" s="9"/>
    </row>
    <row r="301" ht="14.25" customHeight="1">
      <c r="J301" s="9"/>
    </row>
    <row r="302" ht="14.25" customHeight="1">
      <c r="J302" s="9"/>
    </row>
    <row r="303" ht="14.25" customHeight="1">
      <c r="J303" s="9"/>
    </row>
    <row r="304" ht="14.25" customHeight="1">
      <c r="J304" s="9"/>
    </row>
    <row r="305" ht="14.25" customHeight="1">
      <c r="J305" s="9"/>
    </row>
    <row r="306" ht="14.25" customHeight="1">
      <c r="J306" s="9"/>
    </row>
    <row r="307" ht="14.25" customHeight="1">
      <c r="J307" s="9"/>
    </row>
    <row r="308" ht="14.25" customHeight="1">
      <c r="J308" s="9"/>
    </row>
    <row r="309" ht="14.25" customHeight="1">
      <c r="J309" s="9"/>
    </row>
    <row r="310" ht="14.25" customHeight="1">
      <c r="J310" s="9"/>
    </row>
    <row r="311" ht="14.25" customHeight="1">
      <c r="J311" s="9"/>
    </row>
    <row r="312" ht="14.25" customHeight="1">
      <c r="J312" s="9"/>
    </row>
    <row r="313" ht="14.25" customHeight="1">
      <c r="J313" s="9"/>
    </row>
    <row r="314" ht="14.25" customHeight="1">
      <c r="J314" s="9"/>
    </row>
    <row r="315" ht="14.25" customHeight="1">
      <c r="J315" s="9"/>
    </row>
    <row r="316" ht="14.25" customHeight="1">
      <c r="J316" s="9"/>
    </row>
    <row r="317" ht="14.25" customHeight="1">
      <c r="J317" s="9"/>
    </row>
    <row r="318" ht="14.25" customHeight="1">
      <c r="J318" s="9"/>
    </row>
    <row r="319" ht="14.25" customHeight="1">
      <c r="J319" s="9"/>
    </row>
    <row r="320" ht="14.25" customHeight="1">
      <c r="J320" s="9"/>
    </row>
    <row r="321" ht="14.25" customHeight="1">
      <c r="J321" s="9"/>
    </row>
    <row r="322" ht="14.25" customHeight="1">
      <c r="J322" s="9"/>
    </row>
    <row r="323" ht="14.25" customHeight="1">
      <c r="J323" s="9"/>
    </row>
    <row r="324" ht="14.25" customHeight="1">
      <c r="J324" s="9"/>
    </row>
    <row r="325" ht="14.25" customHeight="1">
      <c r="J325" s="9"/>
    </row>
    <row r="326" ht="14.25" customHeight="1">
      <c r="J326" s="9"/>
    </row>
    <row r="327" ht="14.25" customHeight="1">
      <c r="J327" s="9"/>
    </row>
    <row r="328" ht="14.25" customHeight="1">
      <c r="J328" s="9"/>
    </row>
    <row r="329" ht="14.25" customHeight="1">
      <c r="J329" s="9"/>
    </row>
    <row r="330" ht="14.25" customHeight="1">
      <c r="J330" s="9"/>
    </row>
    <row r="331" ht="14.25" customHeight="1">
      <c r="J331" s="9"/>
    </row>
    <row r="332" ht="14.25" customHeight="1">
      <c r="J332" s="9"/>
    </row>
    <row r="333" ht="14.25" customHeight="1">
      <c r="J333" s="9"/>
    </row>
    <row r="334" ht="14.25" customHeight="1">
      <c r="J334" s="9"/>
    </row>
    <row r="335" ht="14.25" customHeight="1">
      <c r="J335" s="9"/>
    </row>
    <row r="336" ht="14.25" customHeight="1">
      <c r="J336" s="9"/>
    </row>
    <row r="337" ht="14.25" customHeight="1">
      <c r="J337" s="9"/>
    </row>
    <row r="338" ht="14.25" customHeight="1">
      <c r="J338" s="9"/>
    </row>
    <row r="339" ht="14.25" customHeight="1">
      <c r="J339" s="9"/>
    </row>
    <row r="340" ht="14.25" customHeight="1">
      <c r="J340" s="9"/>
    </row>
    <row r="341" ht="14.25" customHeight="1">
      <c r="J341" s="9"/>
    </row>
    <row r="342" ht="14.25" customHeight="1">
      <c r="J342" s="9"/>
    </row>
    <row r="343" ht="14.25" customHeight="1">
      <c r="J343" s="9"/>
    </row>
    <row r="344" ht="14.25" customHeight="1">
      <c r="J344" s="9"/>
    </row>
    <row r="345" ht="14.25" customHeight="1">
      <c r="J345" s="9"/>
    </row>
    <row r="346" ht="14.25" customHeight="1">
      <c r="J346" s="9"/>
    </row>
    <row r="347" ht="14.25" customHeight="1">
      <c r="J347" s="9"/>
    </row>
    <row r="348" ht="14.25" customHeight="1">
      <c r="J348" s="9"/>
    </row>
    <row r="349" ht="14.25" customHeight="1">
      <c r="J349" s="9"/>
    </row>
    <row r="350" ht="14.25" customHeight="1">
      <c r="J350" s="9"/>
    </row>
    <row r="351" ht="14.25" customHeight="1">
      <c r="J351" s="9"/>
    </row>
    <row r="352" ht="14.25" customHeight="1">
      <c r="J352" s="9"/>
    </row>
    <row r="353" ht="14.25" customHeight="1">
      <c r="J353" s="9"/>
    </row>
    <row r="354" ht="14.25" customHeight="1">
      <c r="J354" s="9"/>
    </row>
    <row r="355" ht="14.25" customHeight="1">
      <c r="J355" s="9"/>
    </row>
    <row r="356" ht="14.25" customHeight="1">
      <c r="J356" s="9"/>
    </row>
    <row r="357" ht="14.25" customHeight="1">
      <c r="J357" s="9"/>
    </row>
    <row r="358" ht="14.25" customHeight="1">
      <c r="J358" s="9"/>
    </row>
    <row r="359" ht="14.25" customHeight="1">
      <c r="J359" s="9"/>
    </row>
    <row r="360" ht="14.25" customHeight="1">
      <c r="J360" s="9"/>
    </row>
    <row r="361" ht="14.25" customHeight="1">
      <c r="J361" s="9"/>
    </row>
    <row r="362" ht="14.25" customHeight="1">
      <c r="J362" s="9"/>
    </row>
    <row r="363" ht="14.25" customHeight="1">
      <c r="J363" s="9"/>
    </row>
    <row r="364" ht="14.25" customHeight="1">
      <c r="J364" s="9"/>
    </row>
    <row r="365" ht="14.25" customHeight="1">
      <c r="J365" s="9"/>
    </row>
    <row r="366" ht="14.25" customHeight="1">
      <c r="J366" s="9"/>
    </row>
    <row r="367" ht="14.25" customHeight="1">
      <c r="J367" s="9"/>
    </row>
    <row r="368" ht="14.25" customHeight="1">
      <c r="J368" s="9"/>
    </row>
    <row r="369" ht="14.25" customHeight="1">
      <c r="J369" s="9"/>
    </row>
    <row r="370" ht="14.25" customHeight="1">
      <c r="J370" s="9"/>
    </row>
    <row r="371" ht="14.25" customHeight="1">
      <c r="J371" s="9"/>
    </row>
    <row r="372" ht="14.25" customHeight="1">
      <c r="J372" s="9"/>
    </row>
    <row r="373" ht="14.25" customHeight="1">
      <c r="J373" s="9"/>
    </row>
    <row r="374" ht="14.25" customHeight="1">
      <c r="J374" s="9"/>
    </row>
    <row r="375" ht="14.25" customHeight="1">
      <c r="J375" s="9"/>
    </row>
    <row r="376" ht="14.25" customHeight="1">
      <c r="J376" s="9"/>
    </row>
    <row r="377" ht="14.25" customHeight="1">
      <c r="J377" s="9"/>
    </row>
    <row r="378" ht="14.25" customHeight="1">
      <c r="J378" s="9"/>
    </row>
    <row r="379" ht="14.25" customHeight="1">
      <c r="J379" s="9"/>
    </row>
    <row r="380" ht="14.25" customHeight="1">
      <c r="J380" s="9"/>
    </row>
    <row r="381" ht="14.25" customHeight="1">
      <c r="J381" s="9"/>
    </row>
    <row r="382" ht="14.25" customHeight="1">
      <c r="J382" s="9"/>
    </row>
    <row r="383" ht="14.25" customHeight="1">
      <c r="J383" s="9"/>
    </row>
    <row r="384" ht="14.25" customHeight="1">
      <c r="J384" s="9"/>
    </row>
    <row r="385" ht="14.25" customHeight="1">
      <c r="J385" s="9"/>
    </row>
    <row r="386" ht="14.25" customHeight="1">
      <c r="J386" s="9"/>
    </row>
    <row r="387" ht="14.25" customHeight="1">
      <c r="J387" s="9"/>
    </row>
    <row r="388" ht="14.25" customHeight="1">
      <c r="J388" s="9"/>
    </row>
    <row r="389" ht="14.25" customHeight="1">
      <c r="J389" s="9"/>
    </row>
    <row r="390" ht="14.25" customHeight="1">
      <c r="J390" s="9"/>
    </row>
    <row r="391" ht="14.25" customHeight="1">
      <c r="J391" s="9"/>
    </row>
    <row r="392" ht="14.25" customHeight="1">
      <c r="J392" s="9"/>
    </row>
    <row r="393" ht="14.25" customHeight="1">
      <c r="J393" s="9"/>
    </row>
    <row r="394" ht="14.25" customHeight="1">
      <c r="J394" s="9"/>
    </row>
    <row r="395" ht="14.25" customHeight="1">
      <c r="J395" s="9"/>
    </row>
    <row r="396" ht="14.25" customHeight="1">
      <c r="J396" s="9"/>
    </row>
    <row r="397" ht="14.25" customHeight="1">
      <c r="J397" s="9"/>
    </row>
    <row r="398" ht="14.25" customHeight="1">
      <c r="J398" s="9"/>
    </row>
    <row r="399" ht="14.25" customHeight="1">
      <c r="J399" s="9"/>
    </row>
    <row r="400" ht="14.25" customHeight="1">
      <c r="J400" s="9"/>
    </row>
    <row r="401" ht="14.25" customHeight="1">
      <c r="J401" s="9"/>
    </row>
    <row r="402" ht="14.25" customHeight="1">
      <c r="J402" s="9"/>
    </row>
    <row r="403" ht="14.25" customHeight="1">
      <c r="J403" s="9"/>
    </row>
    <row r="404" ht="14.25" customHeight="1">
      <c r="J404" s="9"/>
    </row>
    <row r="405" ht="14.25" customHeight="1">
      <c r="J405" s="9"/>
    </row>
    <row r="406" ht="14.25" customHeight="1">
      <c r="J406" s="9"/>
    </row>
    <row r="407" ht="14.25" customHeight="1">
      <c r="J407" s="9"/>
    </row>
    <row r="408" ht="14.25" customHeight="1">
      <c r="J408" s="9"/>
    </row>
    <row r="409" ht="14.25" customHeight="1">
      <c r="J409" s="9"/>
    </row>
    <row r="410" ht="14.25" customHeight="1">
      <c r="J410" s="9"/>
    </row>
    <row r="411" ht="14.25" customHeight="1">
      <c r="J411" s="9"/>
    </row>
    <row r="412" ht="14.25" customHeight="1">
      <c r="J412" s="9"/>
    </row>
    <row r="413" ht="14.25" customHeight="1">
      <c r="J413" s="9"/>
    </row>
    <row r="414" ht="14.25" customHeight="1">
      <c r="J414" s="9"/>
    </row>
    <row r="415" ht="14.25" customHeight="1">
      <c r="J415" s="9"/>
    </row>
    <row r="416" ht="14.25" customHeight="1">
      <c r="J416" s="9"/>
    </row>
    <row r="417" ht="14.25" customHeight="1">
      <c r="J417" s="9"/>
    </row>
    <row r="418" ht="14.25" customHeight="1">
      <c r="J418" s="9"/>
    </row>
    <row r="419" ht="14.25" customHeight="1">
      <c r="J419" s="9"/>
    </row>
    <row r="420" ht="14.25" customHeight="1">
      <c r="J420" s="9"/>
    </row>
    <row r="421" ht="14.25" customHeight="1">
      <c r="J421" s="9"/>
    </row>
    <row r="422" ht="14.25" customHeight="1">
      <c r="J422" s="9"/>
    </row>
    <row r="423" ht="14.25" customHeight="1">
      <c r="J423" s="9"/>
    </row>
    <row r="424" ht="14.25" customHeight="1">
      <c r="J424" s="9"/>
    </row>
    <row r="425" ht="14.25" customHeight="1">
      <c r="J425" s="9"/>
    </row>
    <row r="426" ht="14.25" customHeight="1">
      <c r="J426" s="9"/>
    </row>
    <row r="427" ht="14.25" customHeight="1">
      <c r="J427" s="9"/>
    </row>
    <row r="428" ht="14.25" customHeight="1">
      <c r="J428" s="9"/>
    </row>
    <row r="429" ht="14.25" customHeight="1">
      <c r="J429" s="9"/>
    </row>
    <row r="430" ht="14.25" customHeight="1">
      <c r="J430" s="9"/>
    </row>
    <row r="431" ht="14.25" customHeight="1">
      <c r="J431" s="9"/>
    </row>
    <row r="432" ht="14.25" customHeight="1">
      <c r="J432" s="9"/>
    </row>
    <row r="433" ht="14.25" customHeight="1">
      <c r="J433" s="9"/>
    </row>
    <row r="434" ht="14.25" customHeight="1">
      <c r="J434" s="9"/>
    </row>
    <row r="435" ht="14.25" customHeight="1">
      <c r="J435" s="9"/>
    </row>
    <row r="436" ht="14.25" customHeight="1">
      <c r="J436" s="9"/>
    </row>
    <row r="437" ht="14.25" customHeight="1">
      <c r="J437" s="9"/>
    </row>
    <row r="438" ht="14.25" customHeight="1">
      <c r="J438" s="9"/>
    </row>
    <row r="439" ht="14.25" customHeight="1">
      <c r="J439" s="9"/>
    </row>
    <row r="440" ht="14.25" customHeight="1">
      <c r="J440" s="9"/>
    </row>
    <row r="441" ht="14.25" customHeight="1">
      <c r="J441" s="9"/>
    </row>
    <row r="442" ht="14.25" customHeight="1">
      <c r="J442" s="9"/>
    </row>
    <row r="443" ht="14.25" customHeight="1">
      <c r="J443" s="9"/>
    </row>
    <row r="444" ht="14.25" customHeight="1">
      <c r="J444" s="9"/>
    </row>
    <row r="445" ht="14.25" customHeight="1">
      <c r="J445" s="9"/>
    </row>
    <row r="446" ht="14.25" customHeight="1">
      <c r="J446" s="9"/>
    </row>
    <row r="447" ht="14.25" customHeight="1">
      <c r="J447" s="9"/>
    </row>
    <row r="448" ht="14.25" customHeight="1">
      <c r="J448" s="9"/>
    </row>
    <row r="449" ht="14.25" customHeight="1">
      <c r="J449" s="9"/>
    </row>
    <row r="450" ht="14.25" customHeight="1">
      <c r="J450" s="9"/>
    </row>
    <row r="451" ht="14.25" customHeight="1">
      <c r="J451" s="9"/>
    </row>
    <row r="452" ht="14.25" customHeight="1">
      <c r="J452" s="9"/>
    </row>
    <row r="453" ht="14.25" customHeight="1">
      <c r="J453" s="9"/>
    </row>
    <row r="454" ht="14.25" customHeight="1">
      <c r="J454" s="9"/>
    </row>
    <row r="455" ht="14.25" customHeight="1">
      <c r="J455" s="9"/>
    </row>
    <row r="456" ht="14.25" customHeight="1">
      <c r="J456" s="9"/>
    </row>
    <row r="457" ht="14.25" customHeight="1">
      <c r="J457" s="9"/>
    </row>
    <row r="458" ht="14.25" customHeight="1">
      <c r="J458" s="9"/>
    </row>
    <row r="459" ht="14.25" customHeight="1">
      <c r="J459" s="9"/>
    </row>
    <row r="460" ht="14.25" customHeight="1">
      <c r="J460" s="9"/>
    </row>
    <row r="461" ht="14.25" customHeight="1">
      <c r="J461" s="9"/>
    </row>
    <row r="462" ht="14.25" customHeight="1">
      <c r="J462" s="9"/>
    </row>
    <row r="463" ht="14.25" customHeight="1">
      <c r="J463" s="9"/>
    </row>
    <row r="464" ht="14.25" customHeight="1">
      <c r="J464" s="9"/>
    </row>
    <row r="465" ht="14.25" customHeight="1">
      <c r="J465" s="9"/>
    </row>
    <row r="466" ht="14.25" customHeight="1">
      <c r="J466" s="9"/>
    </row>
    <row r="467" ht="14.25" customHeight="1">
      <c r="J467" s="9"/>
    </row>
    <row r="468" ht="14.25" customHeight="1">
      <c r="J468" s="9"/>
    </row>
    <row r="469" ht="14.25" customHeight="1">
      <c r="J469" s="9"/>
    </row>
    <row r="470" ht="14.25" customHeight="1">
      <c r="J470" s="9"/>
    </row>
    <row r="471" ht="14.25" customHeight="1">
      <c r="J471" s="9"/>
    </row>
    <row r="472" ht="14.25" customHeight="1">
      <c r="J472" s="9"/>
    </row>
    <row r="473" ht="14.25" customHeight="1">
      <c r="J473" s="9"/>
    </row>
    <row r="474" ht="14.25" customHeight="1">
      <c r="J474" s="9"/>
    </row>
    <row r="475" ht="14.25" customHeight="1">
      <c r="J475" s="9"/>
    </row>
    <row r="476" ht="14.25" customHeight="1">
      <c r="J476" s="9"/>
    </row>
    <row r="477" ht="14.25" customHeight="1">
      <c r="J477" s="9"/>
    </row>
    <row r="478" ht="14.25" customHeight="1">
      <c r="J478" s="9"/>
    </row>
    <row r="479" ht="14.25" customHeight="1">
      <c r="J479" s="9"/>
    </row>
    <row r="480" ht="14.25" customHeight="1">
      <c r="J480" s="9"/>
    </row>
    <row r="481" ht="14.25" customHeight="1">
      <c r="J481" s="9"/>
    </row>
    <row r="482" ht="14.25" customHeight="1">
      <c r="J482" s="9"/>
    </row>
    <row r="483" ht="14.25" customHeight="1">
      <c r="J483" s="9"/>
    </row>
    <row r="484" ht="14.25" customHeight="1">
      <c r="J484" s="9"/>
    </row>
    <row r="485" ht="14.25" customHeight="1">
      <c r="J485" s="9"/>
    </row>
    <row r="486" ht="14.25" customHeight="1">
      <c r="J486" s="9"/>
    </row>
    <row r="487" ht="14.25" customHeight="1">
      <c r="J487" s="9"/>
    </row>
    <row r="488" ht="14.25" customHeight="1">
      <c r="J488" s="9"/>
    </row>
    <row r="489" ht="14.25" customHeight="1">
      <c r="J489" s="9"/>
    </row>
    <row r="490" ht="14.25" customHeight="1">
      <c r="J490" s="9"/>
    </row>
    <row r="491" ht="14.25" customHeight="1">
      <c r="J491" s="9"/>
    </row>
    <row r="492" ht="14.25" customHeight="1">
      <c r="J492" s="9"/>
    </row>
    <row r="493" ht="14.25" customHeight="1">
      <c r="J493" s="9"/>
    </row>
    <row r="494" ht="14.25" customHeight="1">
      <c r="J494" s="9"/>
    </row>
    <row r="495" ht="14.25" customHeight="1">
      <c r="J495" s="9"/>
    </row>
    <row r="496" ht="14.25" customHeight="1">
      <c r="J496" s="9"/>
    </row>
    <row r="497" ht="14.25" customHeight="1">
      <c r="J497" s="9"/>
    </row>
    <row r="498" ht="14.25" customHeight="1">
      <c r="J498" s="9"/>
    </row>
    <row r="499" ht="14.25" customHeight="1">
      <c r="J499" s="9"/>
    </row>
    <row r="500" ht="14.25" customHeight="1">
      <c r="J500" s="9"/>
    </row>
    <row r="501" ht="14.25" customHeight="1">
      <c r="J501" s="9"/>
    </row>
    <row r="502" ht="14.25" customHeight="1">
      <c r="J502" s="9"/>
    </row>
    <row r="503" ht="14.25" customHeight="1">
      <c r="J503" s="9"/>
    </row>
    <row r="504" ht="14.25" customHeight="1">
      <c r="J504" s="9"/>
    </row>
    <row r="505" ht="14.25" customHeight="1">
      <c r="J505" s="9"/>
    </row>
    <row r="506" ht="14.25" customHeight="1">
      <c r="J506" s="9"/>
    </row>
    <row r="507" ht="14.25" customHeight="1">
      <c r="J507" s="9"/>
    </row>
    <row r="508" ht="14.25" customHeight="1">
      <c r="J508" s="9"/>
    </row>
    <row r="509" ht="14.25" customHeight="1">
      <c r="J509" s="9"/>
    </row>
    <row r="510" ht="14.25" customHeight="1">
      <c r="J510" s="9"/>
    </row>
    <row r="511" ht="14.25" customHeight="1">
      <c r="J511" s="9"/>
    </row>
    <row r="512" ht="14.25" customHeight="1">
      <c r="J512" s="9"/>
    </row>
    <row r="513" ht="14.25" customHeight="1">
      <c r="J513" s="9"/>
    </row>
    <row r="514" ht="14.25" customHeight="1">
      <c r="J514" s="9"/>
    </row>
    <row r="515" ht="14.25" customHeight="1">
      <c r="J515" s="9"/>
    </row>
    <row r="516" ht="14.25" customHeight="1">
      <c r="J516" s="9"/>
    </row>
    <row r="517" ht="14.25" customHeight="1">
      <c r="J517" s="9"/>
    </row>
    <row r="518" ht="14.25" customHeight="1">
      <c r="J518" s="9"/>
    </row>
    <row r="519" ht="14.25" customHeight="1">
      <c r="J519" s="9"/>
    </row>
    <row r="520" ht="14.25" customHeight="1">
      <c r="J520" s="9"/>
    </row>
    <row r="521" ht="14.25" customHeight="1">
      <c r="J521" s="9"/>
    </row>
    <row r="522" ht="14.25" customHeight="1">
      <c r="J522" s="9"/>
    </row>
    <row r="523" ht="14.25" customHeight="1">
      <c r="J523" s="9"/>
    </row>
    <row r="524" ht="14.25" customHeight="1">
      <c r="J524" s="9"/>
    </row>
    <row r="525" ht="14.25" customHeight="1">
      <c r="J525" s="9"/>
    </row>
    <row r="526" ht="14.25" customHeight="1">
      <c r="J526" s="9"/>
    </row>
    <row r="527" ht="14.25" customHeight="1">
      <c r="J527" s="9"/>
    </row>
    <row r="528" ht="14.25" customHeight="1">
      <c r="J528" s="9"/>
    </row>
    <row r="529" ht="14.25" customHeight="1">
      <c r="J529" s="9"/>
    </row>
    <row r="530" ht="14.25" customHeight="1">
      <c r="J530" s="9"/>
    </row>
    <row r="531" ht="14.25" customHeight="1">
      <c r="J531" s="9"/>
    </row>
    <row r="532" ht="14.25" customHeight="1">
      <c r="J532" s="9"/>
    </row>
    <row r="533" ht="14.25" customHeight="1">
      <c r="J533" s="9"/>
    </row>
    <row r="534" ht="14.25" customHeight="1">
      <c r="J534" s="9"/>
    </row>
    <row r="535" ht="14.25" customHeight="1">
      <c r="J535" s="9"/>
    </row>
    <row r="536" ht="14.25" customHeight="1">
      <c r="J536" s="9"/>
    </row>
    <row r="537" ht="14.25" customHeight="1">
      <c r="J537" s="9"/>
    </row>
    <row r="538" ht="14.25" customHeight="1">
      <c r="J538" s="9"/>
    </row>
    <row r="539" ht="14.25" customHeight="1">
      <c r="J539" s="9"/>
    </row>
    <row r="540" ht="14.25" customHeight="1">
      <c r="J540" s="9"/>
    </row>
    <row r="541" ht="14.25" customHeight="1">
      <c r="J541" s="9"/>
    </row>
    <row r="542" ht="14.25" customHeight="1">
      <c r="J542" s="9"/>
    </row>
    <row r="543" ht="14.25" customHeight="1">
      <c r="J543" s="9"/>
    </row>
    <row r="544" ht="14.25" customHeight="1">
      <c r="J544" s="9"/>
    </row>
    <row r="545" ht="14.25" customHeight="1">
      <c r="J545" s="9"/>
    </row>
    <row r="546" ht="14.25" customHeight="1">
      <c r="J546" s="9"/>
    </row>
    <row r="547" ht="14.25" customHeight="1">
      <c r="J547" s="9"/>
    </row>
    <row r="548" ht="14.25" customHeight="1">
      <c r="J548" s="9"/>
    </row>
    <row r="549" ht="14.25" customHeight="1">
      <c r="J549" s="9"/>
    </row>
    <row r="550" ht="14.25" customHeight="1">
      <c r="J550" s="9"/>
    </row>
    <row r="551" ht="14.25" customHeight="1">
      <c r="J551" s="9"/>
    </row>
    <row r="552" ht="14.25" customHeight="1">
      <c r="J552" s="9"/>
    </row>
    <row r="553" ht="14.25" customHeight="1">
      <c r="J553" s="9"/>
    </row>
    <row r="554" ht="14.25" customHeight="1">
      <c r="J554" s="9"/>
    </row>
    <row r="555" ht="14.25" customHeight="1">
      <c r="J555" s="9"/>
    </row>
    <row r="556" ht="14.25" customHeight="1">
      <c r="J556" s="9"/>
    </row>
    <row r="557" ht="14.25" customHeight="1">
      <c r="J557" s="9"/>
    </row>
    <row r="558" ht="14.25" customHeight="1">
      <c r="J558" s="9"/>
    </row>
    <row r="559" ht="14.25" customHeight="1">
      <c r="J559" s="9"/>
    </row>
    <row r="560" ht="14.25" customHeight="1">
      <c r="J560" s="9"/>
    </row>
    <row r="561" ht="14.25" customHeight="1">
      <c r="J561" s="9"/>
    </row>
    <row r="562" ht="14.25" customHeight="1">
      <c r="J562" s="9"/>
    </row>
    <row r="563" ht="14.25" customHeight="1">
      <c r="J563" s="9"/>
    </row>
    <row r="564" ht="14.25" customHeight="1">
      <c r="J564" s="9"/>
    </row>
    <row r="565" ht="14.25" customHeight="1">
      <c r="J565" s="9"/>
    </row>
    <row r="566" ht="14.25" customHeight="1">
      <c r="J566" s="9"/>
    </row>
    <row r="567" ht="14.25" customHeight="1">
      <c r="J567" s="9"/>
    </row>
    <row r="568" ht="14.25" customHeight="1">
      <c r="J568" s="9"/>
    </row>
    <row r="569" ht="14.25" customHeight="1">
      <c r="J569" s="9"/>
    </row>
    <row r="570" ht="14.25" customHeight="1">
      <c r="J570" s="9"/>
    </row>
    <row r="571" ht="14.25" customHeight="1">
      <c r="J571" s="9"/>
    </row>
    <row r="572" ht="14.25" customHeight="1">
      <c r="J572" s="9"/>
    </row>
    <row r="573" ht="14.25" customHeight="1">
      <c r="J573" s="9"/>
    </row>
    <row r="574" ht="14.25" customHeight="1">
      <c r="J574" s="9"/>
    </row>
    <row r="575" ht="14.25" customHeight="1">
      <c r="J575" s="9"/>
    </row>
    <row r="576" ht="14.25" customHeight="1">
      <c r="J576" s="9"/>
    </row>
    <row r="577" ht="14.25" customHeight="1">
      <c r="J577" s="9"/>
    </row>
    <row r="578" ht="14.25" customHeight="1">
      <c r="J578" s="9"/>
    </row>
    <row r="579" ht="14.25" customHeight="1">
      <c r="J579" s="9"/>
    </row>
    <row r="580" ht="14.25" customHeight="1">
      <c r="J580" s="9"/>
    </row>
    <row r="581" ht="14.25" customHeight="1">
      <c r="J581" s="9"/>
    </row>
    <row r="582" ht="14.25" customHeight="1">
      <c r="J582" s="9"/>
    </row>
    <row r="583" ht="14.25" customHeight="1">
      <c r="J583" s="9"/>
    </row>
    <row r="584" ht="14.25" customHeight="1">
      <c r="J584" s="9"/>
    </row>
    <row r="585" ht="14.25" customHeight="1">
      <c r="J585" s="9"/>
    </row>
    <row r="586" ht="14.25" customHeight="1">
      <c r="J586" s="9"/>
    </row>
    <row r="587" ht="14.25" customHeight="1">
      <c r="J587" s="9"/>
    </row>
    <row r="588" ht="14.25" customHeight="1">
      <c r="J588" s="9"/>
    </row>
    <row r="589" ht="14.25" customHeight="1">
      <c r="J589" s="9"/>
    </row>
    <row r="590" ht="14.25" customHeight="1">
      <c r="J590" s="9"/>
    </row>
    <row r="591" ht="14.25" customHeight="1">
      <c r="J591" s="9"/>
    </row>
    <row r="592" ht="14.25" customHeight="1">
      <c r="J592" s="9"/>
    </row>
    <row r="593" ht="14.25" customHeight="1">
      <c r="J593" s="9"/>
    </row>
    <row r="594" ht="14.25" customHeight="1">
      <c r="J594" s="9"/>
    </row>
    <row r="595" ht="14.25" customHeight="1">
      <c r="J595" s="9"/>
    </row>
    <row r="596" ht="14.25" customHeight="1">
      <c r="J596" s="9"/>
    </row>
    <row r="597" ht="14.25" customHeight="1">
      <c r="J597" s="9"/>
    </row>
    <row r="598" ht="14.25" customHeight="1">
      <c r="J598" s="9"/>
    </row>
    <row r="599" ht="14.25" customHeight="1">
      <c r="J599" s="9"/>
    </row>
    <row r="600" ht="14.25" customHeight="1">
      <c r="J600" s="9"/>
    </row>
    <row r="601" ht="14.25" customHeight="1">
      <c r="J601" s="9"/>
    </row>
    <row r="602" ht="14.25" customHeight="1">
      <c r="J602" s="9"/>
    </row>
    <row r="603" ht="14.25" customHeight="1">
      <c r="J603" s="9"/>
    </row>
    <row r="604" ht="14.25" customHeight="1">
      <c r="J604" s="9"/>
    </row>
    <row r="605" ht="14.25" customHeight="1">
      <c r="J605" s="9"/>
    </row>
    <row r="606" ht="14.25" customHeight="1">
      <c r="J606" s="9"/>
    </row>
    <row r="607" ht="14.25" customHeight="1">
      <c r="J607" s="9"/>
    </row>
    <row r="608" ht="14.25" customHeight="1">
      <c r="J608" s="9"/>
    </row>
    <row r="609" ht="14.25" customHeight="1">
      <c r="J609" s="9"/>
    </row>
    <row r="610" ht="14.25" customHeight="1">
      <c r="J610" s="9"/>
    </row>
    <row r="611" ht="14.25" customHeight="1">
      <c r="J611" s="9"/>
    </row>
    <row r="612" ht="14.25" customHeight="1">
      <c r="J612" s="9"/>
    </row>
    <row r="613" ht="14.25" customHeight="1">
      <c r="J613" s="9"/>
    </row>
    <row r="614" ht="14.25" customHeight="1">
      <c r="J614" s="9"/>
    </row>
    <row r="615" ht="14.25" customHeight="1">
      <c r="J615" s="9"/>
    </row>
    <row r="616" ht="14.25" customHeight="1">
      <c r="J616" s="9"/>
    </row>
    <row r="617" ht="14.25" customHeight="1">
      <c r="J617" s="9"/>
    </row>
    <row r="618" ht="14.25" customHeight="1">
      <c r="J618" s="9"/>
    </row>
    <row r="619" ht="14.25" customHeight="1">
      <c r="J619" s="9"/>
    </row>
    <row r="620" ht="14.25" customHeight="1">
      <c r="J620" s="9"/>
    </row>
    <row r="621" ht="14.25" customHeight="1">
      <c r="J621" s="9"/>
    </row>
    <row r="622" ht="14.25" customHeight="1">
      <c r="J622" s="9"/>
    </row>
    <row r="623" ht="14.25" customHeight="1">
      <c r="J623" s="9"/>
    </row>
    <row r="624" ht="14.25" customHeight="1">
      <c r="J624" s="9"/>
    </row>
    <row r="625" ht="14.25" customHeight="1">
      <c r="J625" s="9"/>
    </row>
    <row r="626" ht="14.25" customHeight="1">
      <c r="J626" s="9"/>
    </row>
    <row r="627" ht="14.25" customHeight="1">
      <c r="J627" s="9"/>
    </row>
    <row r="628" ht="14.25" customHeight="1">
      <c r="J628" s="9"/>
    </row>
    <row r="629" ht="14.25" customHeight="1">
      <c r="J629" s="9"/>
    </row>
    <row r="630" ht="14.25" customHeight="1">
      <c r="J630" s="9"/>
    </row>
    <row r="631" ht="14.25" customHeight="1">
      <c r="J631" s="9"/>
    </row>
    <row r="632" ht="14.25" customHeight="1">
      <c r="J632" s="9"/>
    </row>
    <row r="633" ht="14.25" customHeight="1">
      <c r="J633" s="9"/>
    </row>
    <row r="634" ht="14.25" customHeight="1">
      <c r="J634" s="9"/>
    </row>
    <row r="635" ht="14.25" customHeight="1">
      <c r="J635" s="9"/>
    </row>
    <row r="636" ht="14.25" customHeight="1">
      <c r="J636" s="9"/>
    </row>
    <row r="637" ht="14.25" customHeight="1">
      <c r="J637" s="9"/>
    </row>
    <row r="638" ht="14.25" customHeight="1">
      <c r="J638" s="9"/>
    </row>
    <row r="639" ht="14.25" customHeight="1">
      <c r="J639" s="9"/>
    </row>
    <row r="640" ht="14.25" customHeight="1">
      <c r="J640" s="9"/>
    </row>
    <row r="641" ht="14.25" customHeight="1">
      <c r="J641" s="9"/>
    </row>
    <row r="642" ht="14.25" customHeight="1">
      <c r="J642" s="9"/>
    </row>
    <row r="643" ht="14.25" customHeight="1">
      <c r="J643" s="9"/>
    </row>
    <row r="644" ht="14.25" customHeight="1">
      <c r="J644" s="9"/>
    </row>
    <row r="645" ht="14.25" customHeight="1">
      <c r="J645" s="9"/>
    </row>
    <row r="646" ht="14.25" customHeight="1">
      <c r="J646" s="9"/>
    </row>
    <row r="647" ht="14.25" customHeight="1">
      <c r="J647" s="9"/>
    </row>
    <row r="648" ht="14.25" customHeight="1">
      <c r="J648" s="9"/>
    </row>
    <row r="649" ht="14.25" customHeight="1">
      <c r="J649" s="9"/>
    </row>
    <row r="650" ht="14.25" customHeight="1">
      <c r="J650" s="9"/>
    </row>
    <row r="651" ht="14.25" customHeight="1">
      <c r="J651" s="9"/>
    </row>
    <row r="652" ht="14.25" customHeight="1">
      <c r="J652" s="9"/>
    </row>
    <row r="653" ht="14.25" customHeight="1">
      <c r="J653" s="9"/>
    </row>
    <row r="654" ht="14.25" customHeight="1">
      <c r="J654" s="9"/>
    </row>
    <row r="655" ht="14.25" customHeight="1">
      <c r="J655" s="9"/>
    </row>
    <row r="656" ht="14.25" customHeight="1">
      <c r="J656" s="9"/>
    </row>
    <row r="657" ht="14.25" customHeight="1">
      <c r="J657" s="9"/>
    </row>
    <row r="658" ht="14.25" customHeight="1">
      <c r="J658" s="9"/>
    </row>
    <row r="659" ht="14.25" customHeight="1">
      <c r="J659" s="9"/>
    </row>
    <row r="660" ht="14.25" customHeight="1">
      <c r="J660" s="9"/>
    </row>
    <row r="661" ht="14.25" customHeight="1">
      <c r="J661" s="9"/>
    </row>
    <row r="662" ht="14.25" customHeight="1">
      <c r="J662" s="9"/>
    </row>
    <row r="663" ht="14.25" customHeight="1">
      <c r="J663" s="9"/>
    </row>
    <row r="664" ht="14.25" customHeight="1">
      <c r="J664" s="9"/>
    </row>
    <row r="665" ht="14.25" customHeight="1">
      <c r="J665" s="9"/>
    </row>
    <row r="666" ht="14.25" customHeight="1">
      <c r="J666" s="9"/>
    </row>
    <row r="667" ht="14.25" customHeight="1">
      <c r="J667" s="9"/>
    </row>
    <row r="668" ht="14.25" customHeight="1">
      <c r="J668" s="9"/>
    </row>
    <row r="669" ht="14.25" customHeight="1">
      <c r="J669" s="9"/>
    </row>
    <row r="670" ht="14.25" customHeight="1">
      <c r="J670" s="9"/>
    </row>
    <row r="671" ht="14.25" customHeight="1">
      <c r="J671" s="9"/>
    </row>
    <row r="672" ht="14.25" customHeight="1">
      <c r="J672" s="9"/>
    </row>
    <row r="673" ht="14.25" customHeight="1">
      <c r="J673" s="9"/>
    </row>
    <row r="674" ht="14.25" customHeight="1">
      <c r="J674" s="9"/>
    </row>
    <row r="675" ht="14.25" customHeight="1">
      <c r="J675" s="9"/>
    </row>
    <row r="676" ht="14.25" customHeight="1">
      <c r="J676" s="9"/>
    </row>
    <row r="677" ht="14.25" customHeight="1">
      <c r="J677" s="9"/>
    </row>
    <row r="678" ht="14.25" customHeight="1">
      <c r="J678" s="9"/>
    </row>
    <row r="679" ht="14.25" customHeight="1">
      <c r="J679" s="9"/>
    </row>
    <row r="680" ht="14.25" customHeight="1">
      <c r="J680" s="9"/>
    </row>
    <row r="681" ht="14.25" customHeight="1">
      <c r="J681" s="9"/>
    </row>
    <row r="682" ht="14.25" customHeight="1">
      <c r="J682" s="9"/>
    </row>
    <row r="683" ht="14.25" customHeight="1">
      <c r="J683" s="9"/>
    </row>
    <row r="684" ht="14.25" customHeight="1">
      <c r="J684" s="9"/>
    </row>
    <row r="685" ht="14.25" customHeight="1">
      <c r="J685" s="9"/>
    </row>
    <row r="686" ht="14.25" customHeight="1">
      <c r="J686" s="9"/>
    </row>
    <row r="687" ht="14.25" customHeight="1">
      <c r="J687" s="9"/>
    </row>
    <row r="688" ht="14.25" customHeight="1">
      <c r="J688" s="9"/>
    </row>
    <row r="689" ht="14.25" customHeight="1">
      <c r="J689" s="9"/>
    </row>
    <row r="690" ht="14.25" customHeight="1">
      <c r="J690" s="9"/>
    </row>
    <row r="691" ht="14.25" customHeight="1">
      <c r="J691" s="9"/>
    </row>
    <row r="692" ht="14.25" customHeight="1">
      <c r="J692" s="9"/>
    </row>
    <row r="693" ht="14.25" customHeight="1">
      <c r="J693" s="9"/>
    </row>
    <row r="694" ht="14.25" customHeight="1">
      <c r="J694" s="9"/>
    </row>
    <row r="695" ht="14.25" customHeight="1">
      <c r="J695" s="9"/>
    </row>
    <row r="696" ht="14.25" customHeight="1">
      <c r="J696" s="9"/>
    </row>
    <row r="697" ht="14.25" customHeight="1">
      <c r="J697" s="9"/>
    </row>
    <row r="698" ht="14.25" customHeight="1">
      <c r="J698" s="9"/>
    </row>
    <row r="699" ht="14.25" customHeight="1">
      <c r="J699" s="9"/>
    </row>
    <row r="700" ht="14.25" customHeight="1">
      <c r="J700" s="9"/>
    </row>
    <row r="701" ht="14.25" customHeight="1">
      <c r="J701" s="9"/>
    </row>
    <row r="702" ht="14.25" customHeight="1">
      <c r="J702" s="9"/>
    </row>
    <row r="703" ht="14.25" customHeight="1">
      <c r="J703" s="9"/>
    </row>
    <row r="704" ht="14.25" customHeight="1">
      <c r="J704" s="9"/>
    </row>
    <row r="705" ht="14.25" customHeight="1">
      <c r="J705" s="9"/>
    </row>
    <row r="706" ht="14.25" customHeight="1">
      <c r="J706" s="9"/>
    </row>
    <row r="707" ht="14.25" customHeight="1">
      <c r="J707" s="9"/>
    </row>
    <row r="708" ht="14.25" customHeight="1">
      <c r="J708" s="9"/>
    </row>
    <row r="709" ht="14.25" customHeight="1">
      <c r="J709" s="9"/>
    </row>
    <row r="710" ht="14.25" customHeight="1">
      <c r="J710" s="9"/>
    </row>
    <row r="711" ht="14.25" customHeight="1">
      <c r="J711" s="9"/>
    </row>
    <row r="712" ht="14.25" customHeight="1">
      <c r="J712" s="9"/>
    </row>
    <row r="713" ht="14.25" customHeight="1">
      <c r="J713" s="9"/>
    </row>
    <row r="714" ht="14.25" customHeight="1">
      <c r="J714" s="9"/>
    </row>
    <row r="715" ht="14.25" customHeight="1">
      <c r="J715" s="9"/>
    </row>
    <row r="716" ht="14.25" customHeight="1">
      <c r="J716" s="9"/>
    </row>
    <row r="717" ht="14.25" customHeight="1">
      <c r="J717" s="9"/>
    </row>
    <row r="718" ht="14.25" customHeight="1">
      <c r="J718" s="9"/>
    </row>
    <row r="719" ht="14.25" customHeight="1">
      <c r="J719" s="9"/>
    </row>
    <row r="720" ht="14.25" customHeight="1">
      <c r="J720" s="9"/>
    </row>
    <row r="721" ht="14.25" customHeight="1">
      <c r="J721" s="9"/>
    </row>
    <row r="722" ht="14.25" customHeight="1">
      <c r="J722" s="9"/>
    </row>
    <row r="723" ht="14.25" customHeight="1">
      <c r="J723" s="9"/>
    </row>
    <row r="724" ht="14.25" customHeight="1">
      <c r="J724" s="9"/>
    </row>
    <row r="725" ht="14.25" customHeight="1">
      <c r="J725" s="9"/>
    </row>
    <row r="726" ht="14.25" customHeight="1">
      <c r="J726" s="9"/>
    </row>
    <row r="727" ht="14.25" customHeight="1">
      <c r="J727" s="9"/>
    </row>
    <row r="728" ht="14.25" customHeight="1">
      <c r="J728" s="9"/>
    </row>
    <row r="729" ht="14.25" customHeight="1">
      <c r="J729" s="9"/>
    </row>
    <row r="730" ht="14.25" customHeight="1">
      <c r="J730" s="9"/>
    </row>
    <row r="731" ht="14.25" customHeight="1">
      <c r="J731" s="9"/>
    </row>
    <row r="732" ht="14.25" customHeight="1">
      <c r="J732" s="9"/>
    </row>
    <row r="733" ht="14.25" customHeight="1">
      <c r="J733" s="9"/>
    </row>
    <row r="734" ht="14.25" customHeight="1">
      <c r="J734" s="9"/>
    </row>
    <row r="735" ht="14.25" customHeight="1">
      <c r="J735" s="9"/>
    </row>
    <row r="736" ht="14.25" customHeight="1">
      <c r="J736" s="9"/>
    </row>
    <row r="737" ht="14.25" customHeight="1">
      <c r="J737" s="9"/>
    </row>
    <row r="738" ht="14.25" customHeight="1">
      <c r="J738" s="9"/>
    </row>
    <row r="739" ht="14.25" customHeight="1">
      <c r="J739" s="9"/>
    </row>
    <row r="740" ht="14.25" customHeight="1">
      <c r="J740" s="9"/>
    </row>
    <row r="741" ht="14.25" customHeight="1">
      <c r="J741" s="9"/>
    </row>
    <row r="742" ht="14.25" customHeight="1">
      <c r="J742" s="9"/>
    </row>
    <row r="743" ht="14.25" customHeight="1">
      <c r="J743" s="9"/>
    </row>
    <row r="744" ht="14.25" customHeight="1">
      <c r="J744" s="9"/>
    </row>
    <row r="745" ht="14.25" customHeight="1">
      <c r="J745" s="9"/>
    </row>
    <row r="746" ht="14.25" customHeight="1">
      <c r="J746" s="9"/>
    </row>
    <row r="747" ht="14.25" customHeight="1">
      <c r="J747" s="9"/>
    </row>
    <row r="748" ht="14.25" customHeight="1">
      <c r="J748" s="9"/>
    </row>
    <row r="749" ht="14.25" customHeight="1">
      <c r="J749" s="9"/>
    </row>
    <row r="750" ht="14.25" customHeight="1">
      <c r="J750" s="9"/>
    </row>
    <row r="751" ht="14.25" customHeight="1">
      <c r="J751" s="9"/>
    </row>
    <row r="752" ht="14.25" customHeight="1">
      <c r="J752" s="9"/>
    </row>
    <row r="753" ht="14.25" customHeight="1">
      <c r="J753" s="9"/>
    </row>
    <row r="754" ht="14.25" customHeight="1">
      <c r="J754" s="9"/>
    </row>
    <row r="755" ht="14.25" customHeight="1">
      <c r="J755" s="9"/>
    </row>
    <row r="756" ht="14.25" customHeight="1">
      <c r="J756" s="9"/>
    </row>
    <row r="757" ht="14.25" customHeight="1">
      <c r="J757" s="9"/>
    </row>
    <row r="758" ht="14.25" customHeight="1">
      <c r="J758" s="9"/>
    </row>
    <row r="759" ht="14.25" customHeight="1">
      <c r="J759" s="9"/>
    </row>
    <row r="760" ht="14.25" customHeight="1">
      <c r="J760" s="9"/>
    </row>
    <row r="761" ht="14.25" customHeight="1">
      <c r="J761" s="9"/>
    </row>
    <row r="762" ht="14.25" customHeight="1">
      <c r="J762" s="9"/>
    </row>
    <row r="763" ht="14.25" customHeight="1">
      <c r="J763" s="9"/>
    </row>
    <row r="764" ht="14.25" customHeight="1">
      <c r="J764" s="9"/>
    </row>
    <row r="765" ht="14.25" customHeight="1">
      <c r="J765" s="9"/>
    </row>
    <row r="766" ht="14.25" customHeight="1">
      <c r="J766" s="9"/>
    </row>
    <row r="767" ht="14.25" customHeight="1">
      <c r="J767" s="9"/>
    </row>
    <row r="768" ht="14.25" customHeight="1">
      <c r="J768" s="9"/>
    </row>
    <row r="769" ht="14.25" customHeight="1">
      <c r="J769" s="9"/>
    </row>
    <row r="770" ht="14.25" customHeight="1">
      <c r="J770" s="9"/>
    </row>
    <row r="771" ht="14.25" customHeight="1">
      <c r="J771" s="9"/>
    </row>
    <row r="772" ht="14.25" customHeight="1">
      <c r="J772" s="9"/>
    </row>
    <row r="773" ht="14.25" customHeight="1">
      <c r="J773" s="9"/>
    </row>
    <row r="774" ht="14.25" customHeight="1">
      <c r="J774" s="9"/>
    </row>
    <row r="775" ht="14.25" customHeight="1">
      <c r="J775" s="9"/>
    </row>
    <row r="776" ht="14.25" customHeight="1">
      <c r="J776" s="9"/>
    </row>
    <row r="777" ht="14.25" customHeight="1">
      <c r="J777" s="9"/>
    </row>
    <row r="778" ht="14.25" customHeight="1">
      <c r="J778" s="9"/>
    </row>
    <row r="779" ht="14.25" customHeight="1">
      <c r="J779" s="9"/>
    </row>
    <row r="780" ht="14.25" customHeight="1">
      <c r="J780" s="9"/>
    </row>
    <row r="781" ht="14.25" customHeight="1">
      <c r="J781" s="9"/>
    </row>
    <row r="782" ht="14.25" customHeight="1">
      <c r="J782" s="9"/>
    </row>
    <row r="783" ht="14.25" customHeight="1">
      <c r="J783" s="9"/>
    </row>
    <row r="784" ht="14.25" customHeight="1">
      <c r="J784" s="9"/>
    </row>
    <row r="785" ht="14.25" customHeight="1">
      <c r="J785" s="9"/>
    </row>
    <row r="786" ht="14.25" customHeight="1">
      <c r="J786" s="9"/>
    </row>
    <row r="787" ht="14.25" customHeight="1">
      <c r="J787" s="9"/>
    </row>
    <row r="788" ht="14.25" customHeight="1">
      <c r="J788" s="9"/>
    </row>
    <row r="789" ht="14.25" customHeight="1">
      <c r="J789" s="9"/>
    </row>
    <row r="790" ht="14.25" customHeight="1">
      <c r="J790" s="9"/>
    </row>
    <row r="791" ht="14.25" customHeight="1">
      <c r="J791" s="9"/>
    </row>
    <row r="792" ht="14.25" customHeight="1">
      <c r="J792" s="9"/>
    </row>
    <row r="793" ht="14.25" customHeight="1">
      <c r="J793" s="9"/>
    </row>
    <row r="794" ht="14.25" customHeight="1">
      <c r="J794" s="9"/>
    </row>
    <row r="795" ht="14.25" customHeight="1">
      <c r="J795" s="9"/>
    </row>
    <row r="796" ht="14.25" customHeight="1">
      <c r="J796" s="9"/>
    </row>
    <row r="797" ht="14.25" customHeight="1">
      <c r="J797" s="9"/>
    </row>
    <row r="798" ht="14.25" customHeight="1">
      <c r="J798" s="9"/>
    </row>
    <row r="799" ht="14.25" customHeight="1">
      <c r="J799" s="9"/>
    </row>
    <row r="800" ht="14.25" customHeight="1">
      <c r="J800" s="9"/>
    </row>
    <row r="801" ht="14.25" customHeight="1">
      <c r="J801" s="9"/>
    </row>
    <row r="802" ht="14.25" customHeight="1">
      <c r="J802" s="9"/>
    </row>
    <row r="803" ht="14.25" customHeight="1">
      <c r="J803" s="9"/>
    </row>
    <row r="804" ht="14.25" customHeight="1">
      <c r="J804" s="9"/>
    </row>
    <row r="805" ht="14.25" customHeight="1">
      <c r="J805" s="9"/>
    </row>
    <row r="806" ht="14.25" customHeight="1">
      <c r="J806" s="9"/>
    </row>
    <row r="807" ht="14.25" customHeight="1">
      <c r="J807" s="9"/>
    </row>
    <row r="808" ht="14.25" customHeight="1">
      <c r="J808" s="9"/>
    </row>
    <row r="809" ht="14.25" customHeight="1">
      <c r="J809" s="9"/>
    </row>
    <row r="810" ht="14.25" customHeight="1">
      <c r="J810" s="9"/>
    </row>
    <row r="811" ht="14.25" customHeight="1">
      <c r="J811" s="9"/>
    </row>
    <row r="812" ht="14.25" customHeight="1">
      <c r="J812" s="9"/>
    </row>
    <row r="813" ht="14.25" customHeight="1">
      <c r="J813" s="9"/>
    </row>
    <row r="814" ht="14.25" customHeight="1">
      <c r="J814" s="9"/>
    </row>
    <row r="815" ht="14.25" customHeight="1">
      <c r="J815" s="9"/>
    </row>
    <row r="816" ht="14.25" customHeight="1">
      <c r="J816" s="9"/>
    </row>
    <row r="817" ht="14.25" customHeight="1">
      <c r="J817" s="9"/>
    </row>
    <row r="818" ht="14.25" customHeight="1">
      <c r="J818" s="9"/>
    </row>
    <row r="819" ht="14.25" customHeight="1">
      <c r="J819" s="9"/>
    </row>
    <row r="820" ht="14.25" customHeight="1">
      <c r="J820" s="9"/>
    </row>
    <row r="821" ht="14.25" customHeight="1">
      <c r="J821" s="9"/>
    </row>
    <row r="822" ht="14.25" customHeight="1">
      <c r="J822" s="9"/>
    </row>
    <row r="823" ht="14.25" customHeight="1">
      <c r="J823" s="9"/>
    </row>
    <row r="824" ht="14.25" customHeight="1">
      <c r="J824" s="9"/>
    </row>
    <row r="825" ht="14.25" customHeight="1">
      <c r="J825" s="9"/>
    </row>
    <row r="826" ht="14.25" customHeight="1">
      <c r="J826" s="9"/>
    </row>
    <row r="827" ht="14.25" customHeight="1">
      <c r="J827" s="9"/>
    </row>
    <row r="828" ht="14.25" customHeight="1">
      <c r="J828" s="9"/>
    </row>
    <row r="829" ht="14.25" customHeight="1">
      <c r="J829" s="9"/>
    </row>
    <row r="830" ht="14.25" customHeight="1">
      <c r="J830" s="9"/>
    </row>
    <row r="831" ht="14.25" customHeight="1">
      <c r="J831" s="9"/>
    </row>
    <row r="832" ht="14.25" customHeight="1">
      <c r="J832" s="9"/>
    </row>
    <row r="833" ht="14.25" customHeight="1">
      <c r="J833" s="9"/>
    </row>
    <row r="834" ht="14.25" customHeight="1">
      <c r="J834" s="9"/>
    </row>
    <row r="835" ht="14.25" customHeight="1">
      <c r="J835" s="9"/>
    </row>
    <row r="836" ht="14.25" customHeight="1">
      <c r="J836" s="9"/>
    </row>
    <row r="837" ht="14.25" customHeight="1">
      <c r="J837" s="9"/>
    </row>
    <row r="838" ht="14.25" customHeight="1">
      <c r="J838" s="9"/>
    </row>
    <row r="839" ht="14.25" customHeight="1">
      <c r="J839" s="9"/>
    </row>
    <row r="840" ht="14.25" customHeight="1">
      <c r="J840" s="9"/>
    </row>
    <row r="841" ht="14.25" customHeight="1">
      <c r="J841" s="9"/>
    </row>
    <row r="842" ht="14.25" customHeight="1">
      <c r="J842" s="9"/>
    </row>
    <row r="843" ht="14.25" customHeight="1">
      <c r="J843" s="9"/>
    </row>
    <row r="844" ht="14.25" customHeight="1">
      <c r="J844" s="9"/>
    </row>
    <row r="845" ht="14.25" customHeight="1">
      <c r="J845" s="9"/>
    </row>
    <row r="846" ht="14.25" customHeight="1">
      <c r="J846" s="9"/>
    </row>
    <row r="847" ht="14.25" customHeight="1">
      <c r="J847" s="9"/>
    </row>
    <row r="848" ht="14.25" customHeight="1">
      <c r="J848" s="9"/>
    </row>
    <row r="849" ht="14.25" customHeight="1">
      <c r="J849" s="9"/>
    </row>
    <row r="850" ht="14.25" customHeight="1">
      <c r="J850" s="9"/>
    </row>
    <row r="851" ht="14.25" customHeight="1">
      <c r="J851" s="9"/>
    </row>
    <row r="852" ht="14.25" customHeight="1">
      <c r="J852" s="9"/>
    </row>
    <row r="853" ht="14.25" customHeight="1">
      <c r="J853" s="9"/>
    </row>
    <row r="854" ht="14.25" customHeight="1">
      <c r="J854" s="9"/>
    </row>
    <row r="855" ht="14.25" customHeight="1">
      <c r="J855" s="9"/>
    </row>
    <row r="856" ht="14.25" customHeight="1">
      <c r="J856" s="9"/>
    </row>
    <row r="857" ht="14.25" customHeight="1">
      <c r="J857" s="9"/>
    </row>
    <row r="858" ht="14.25" customHeight="1">
      <c r="J858" s="9"/>
    </row>
    <row r="859" ht="14.25" customHeight="1">
      <c r="J859" s="9"/>
    </row>
    <row r="860" ht="14.25" customHeight="1">
      <c r="J860" s="9"/>
    </row>
    <row r="861" ht="14.25" customHeight="1">
      <c r="J861" s="9"/>
    </row>
    <row r="862" ht="14.25" customHeight="1">
      <c r="J862" s="9"/>
    </row>
    <row r="863" ht="14.25" customHeight="1">
      <c r="J863" s="9"/>
    </row>
    <row r="864" ht="14.25" customHeight="1">
      <c r="J864" s="9"/>
    </row>
    <row r="865" ht="14.25" customHeight="1">
      <c r="J865" s="9"/>
    </row>
    <row r="866" ht="14.25" customHeight="1">
      <c r="J866" s="9"/>
    </row>
    <row r="867" ht="14.25" customHeight="1">
      <c r="J867" s="9"/>
    </row>
    <row r="868" ht="14.25" customHeight="1">
      <c r="J868" s="9"/>
    </row>
    <row r="869" ht="14.25" customHeight="1">
      <c r="J869" s="9"/>
    </row>
    <row r="870" ht="14.25" customHeight="1">
      <c r="J870" s="9"/>
    </row>
    <row r="871" ht="14.25" customHeight="1">
      <c r="J871" s="9"/>
    </row>
    <row r="872" ht="14.25" customHeight="1">
      <c r="J872" s="9"/>
    </row>
    <row r="873" ht="14.25" customHeight="1">
      <c r="J873" s="9"/>
    </row>
    <row r="874" ht="14.25" customHeight="1">
      <c r="J874" s="9"/>
    </row>
    <row r="875" ht="14.25" customHeight="1">
      <c r="J875" s="9"/>
    </row>
    <row r="876" ht="14.25" customHeight="1">
      <c r="J876" s="9"/>
    </row>
    <row r="877" ht="14.25" customHeight="1">
      <c r="J877" s="9"/>
    </row>
    <row r="878" ht="14.25" customHeight="1">
      <c r="J878" s="9"/>
    </row>
    <row r="879" ht="14.25" customHeight="1">
      <c r="J879" s="9"/>
    </row>
    <row r="880" ht="14.25" customHeight="1">
      <c r="J880" s="9"/>
    </row>
    <row r="881" ht="14.25" customHeight="1">
      <c r="J881" s="9"/>
    </row>
    <row r="882" ht="14.25" customHeight="1">
      <c r="J882" s="9"/>
    </row>
    <row r="883" ht="14.25" customHeight="1">
      <c r="J883" s="9"/>
    </row>
    <row r="884" ht="14.25" customHeight="1">
      <c r="J884" s="9"/>
    </row>
    <row r="885" ht="14.25" customHeight="1">
      <c r="J885" s="9"/>
    </row>
    <row r="886" ht="14.25" customHeight="1">
      <c r="J886" s="9"/>
    </row>
    <row r="887" ht="14.25" customHeight="1">
      <c r="J887" s="9"/>
    </row>
    <row r="888" ht="14.25" customHeight="1">
      <c r="J888" s="9"/>
    </row>
    <row r="889" ht="14.25" customHeight="1">
      <c r="J889" s="9"/>
    </row>
    <row r="890" ht="14.25" customHeight="1">
      <c r="J890" s="9"/>
    </row>
    <row r="891" ht="14.25" customHeight="1">
      <c r="J891" s="9"/>
    </row>
    <row r="892" ht="14.25" customHeight="1">
      <c r="J892" s="9"/>
    </row>
    <row r="893" ht="14.25" customHeight="1">
      <c r="J893" s="9"/>
    </row>
    <row r="894" ht="14.25" customHeight="1">
      <c r="J894" s="9"/>
    </row>
    <row r="895" ht="14.25" customHeight="1">
      <c r="J895" s="9"/>
    </row>
    <row r="896" ht="14.25" customHeight="1">
      <c r="J896" s="9"/>
    </row>
    <row r="897" ht="14.25" customHeight="1">
      <c r="J897" s="9"/>
    </row>
    <row r="898" ht="14.25" customHeight="1">
      <c r="J898" s="9"/>
    </row>
    <row r="899" ht="14.25" customHeight="1">
      <c r="J899" s="9"/>
    </row>
    <row r="900" ht="14.25" customHeight="1">
      <c r="J900" s="9"/>
    </row>
    <row r="901" ht="14.25" customHeight="1">
      <c r="J901" s="9"/>
    </row>
    <row r="902" ht="14.25" customHeight="1">
      <c r="J902" s="9"/>
    </row>
    <row r="903" ht="14.25" customHeight="1">
      <c r="J903" s="9"/>
    </row>
    <row r="904" ht="14.25" customHeight="1">
      <c r="J904" s="9"/>
    </row>
    <row r="905" ht="14.25" customHeight="1">
      <c r="J905" s="9"/>
    </row>
    <row r="906" ht="14.25" customHeight="1">
      <c r="J906" s="9"/>
    </row>
    <row r="907" ht="14.25" customHeight="1">
      <c r="J907" s="9"/>
    </row>
    <row r="908" ht="14.25" customHeight="1">
      <c r="J908" s="9"/>
    </row>
    <row r="909" ht="14.25" customHeight="1">
      <c r="J909" s="9"/>
    </row>
    <row r="910" ht="14.25" customHeight="1">
      <c r="J910" s="9"/>
    </row>
    <row r="911" ht="14.25" customHeight="1">
      <c r="J911" s="9"/>
    </row>
    <row r="912" ht="14.25" customHeight="1">
      <c r="J912" s="9"/>
    </row>
    <row r="913" ht="14.25" customHeight="1">
      <c r="J913" s="9"/>
    </row>
    <row r="914" ht="14.25" customHeight="1">
      <c r="J914" s="9"/>
    </row>
    <row r="915" ht="14.25" customHeight="1">
      <c r="J915" s="9"/>
    </row>
    <row r="916" ht="14.25" customHeight="1">
      <c r="J916" s="9"/>
    </row>
    <row r="917" ht="14.25" customHeight="1">
      <c r="J917" s="9"/>
    </row>
    <row r="918" ht="14.25" customHeight="1">
      <c r="J918" s="9"/>
    </row>
    <row r="919" ht="14.25" customHeight="1">
      <c r="J919" s="9"/>
    </row>
    <row r="920" ht="14.25" customHeight="1">
      <c r="J920" s="9"/>
    </row>
    <row r="921" ht="14.25" customHeight="1">
      <c r="J921" s="9"/>
    </row>
    <row r="922" ht="14.25" customHeight="1">
      <c r="J922" s="9"/>
    </row>
    <row r="923" ht="14.25" customHeight="1">
      <c r="J923" s="9"/>
    </row>
    <row r="924" ht="14.25" customHeight="1">
      <c r="J924" s="9"/>
    </row>
    <row r="925" ht="14.25" customHeight="1">
      <c r="J925" s="9"/>
    </row>
    <row r="926" ht="14.25" customHeight="1">
      <c r="J926" s="9"/>
    </row>
    <row r="927" ht="14.25" customHeight="1">
      <c r="J927" s="9"/>
    </row>
    <row r="928" ht="14.25" customHeight="1">
      <c r="J928" s="9"/>
    </row>
    <row r="929" ht="14.25" customHeight="1">
      <c r="J929" s="9"/>
    </row>
    <row r="930" ht="14.25" customHeight="1">
      <c r="J930" s="9"/>
    </row>
    <row r="931" ht="14.25" customHeight="1">
      <c r="J931" s="9"/>
    </row>
    <row r="932" ht="14.25" customHeight="1">
      <c r="J932" s="9"/>
    </row>
    <row r="933" ht="14.25" customHeight="1">
      <c r="J933" s="9"/>
    </row>
    <row r="934" ht="14.25" customHeight="1">
      <c r="J934" s="9"/>
    </row>
    <row r="935" ht="14.25" customHeight="1">
      <c r="J935" s="9"/>
    </row>
    <row r="936" ht="14.25" customHeight="1">
      <c r="J936" s="9"/>
    </row>
    <row r="937" ht="14.25" customHeight="1">
      <c r="J937" s="9"/>
    </row>
    <row r="938" ht="14.25" customHeight="1">
      <c r="J938" s="9"/>
    </row>
    <row r="939" ht="14.25" customHeight="1">
      <c r="J939" s="9"/>
    </row>
    <row r="940" ht="14.25" customHeight="1">
      <c r="J940" s="9"/>
    </row>
    <row r="941" ht="14.25" customHeight="1">
      <c r="J941" s="9"/>
    </row>
    <row r="942" ht="14.25" customHeight="1">
      <c r="J942" s="9"/>
    </row>
    <row r="943" ht="14.25" customHeight="1">
      <c r="J943" s="9"/>
    </row>
    <row r="944" ht="14.25" customHeight="1">
      <c r="J944" s="9"/>
    </row>
    <row r="945" ht="14.25" customHeight="1">
      <c r="J945" s="9"/>
    </row>
    <row r="946" ht="14.25" customHeight="1">
      <c r="J946" s="9"/>
    </row>
    <row r="947" ht="14.25" customHeight="1">
      <c r="J947" s="9"/>
    </row>
    <row r="948" ht="14.25" customHeight="1">
      <c r="J948" s="9"/>
    </row>
    <row r="949" ht="14.25" customHeight="1">
      <c r="J949" s="9"/>
    </row>
    <row r="950" ht="14.25" customHeight="1">
      <c r="J950" s="9"/>
    </row>
    <row r="951" ht="14.25" customHeight="1">
      <c r="J951" s="9"/>
    </row>
    <row r="952" ht="14.25" customHeight="1">
      <c r="J952" s="9"/>
    </row>
    <row r="953" ht="14.25" customHeight="1">
      <c r="J953" s="9"/>
    </row>
    <row r="954" ht="14.25" customHeight="1">
      <c r="J954" s="9"/>
    </row>
    <row r="955" ht="14.25" customHeight="1">
      <c r="J955" s="9"/>
    </row>
    <row r="956" ht="14.25" customHeight="1">
      <c r="J956" s="9"/>
    </row>
    <row r="957" ht="14.25" customHeight="1">
      <c r="J957" s="9"/>
    </row>
    <row r="958" ht="14.25" customHeight="1">
      <c r="J958" s="9"/>
    </row>
    <row r="959" ht="14.25" customHeight="1">
      <c r="J959" s="9"/>
    </row>
    <row r="960" ht="14.25" customHeight="1">
      <c r="J960" s="9"/>
    </row>
    <row r="961" ht="14.25" customHeight="1">
      <c r="J961" s="9"/>
    </row>
    <row r="962" ht="14.25" customHeight="1">
      <c r="J962" s="9"/>
    </row>
    <row r="963" ht="14.25" customHeight="1">
      <c r="J963" s="9"/>
    </row>
    <row r="964" ht="14.25" customHeight="1">
      <c r="J964" s="9"/>
    </row>
    <row r="965" ht="14.25" customHeight="1">
      <c r="J965" s="9"/>
    </row>
    <row r="966" ht="14.25" customHeight="1">
      <c r="J966" s="9"/>
    </row>
    <row r="967" ht="14.25" customHeight="1">
      <c r="J967" s="9"/>
    </row>
    <row r="968" ht="14.25" customHeight="1">
      <c r="J968" s="9"/>
    </row>
    <row r="969" ht="14.25" customHeight="1">
      <c r="J969" s="9"/>
    </row>
    <row r="970" ht="14.25" customHeight="1">
      <c r="J970" s="9"/>
    </row>
    <row r="971" ht="14.25" customHeight="1">
      <c r="J971" s="9"/>
    </row>
    <row r="972" ht="14.25" customHeight="1">
      <c r="J972" s="9"/>
    </row>
    <row r="973" ht="14.25" customHeight="1">
      <c r="J973" s="9"/>
    </row>
    <row r="974" ht="14.25" customHeight="1">
      <c r="J974" s="9"/>
    </row>
    <row r="975" ht="14.25" customHeight="1">
      <c r="J975" s="9"/>
    </row>
    <row r="976" ht="14.25" customHeight="1">
      <c r="J976" s="9"/>
    </row>
    <row r="977" ht="14.25" customHeight="1">
      <c r="J977" s="9"/>
    </row>
    <row r="978" ht="14.25" customHeight="1">
      <c r="J978" s="9"/>
    </row>
    <row r="979" ht="14.25" customHeight="1">
      <c r="J979" s="9"/>
    </row>
    <row r="980" ht="14.25" customHeight="1">
      <c r="J980" s="9"/>
    </row>
    <row r="981" ht="14.25" customHeight="1">
      <c r="J981" s="9"/>
    </row>
    <row r="982" ht="14.25" customHeight="1">
      <c r="J982" s="9"/>
    </row>
    <row r="983" ht="14.25" customHeight="1">
      <c r="J983" s="9"/>
    </row>
    <row r="984" ht="14.25" customHeight="1">
      <c r="J984" s="9"/>
    </row>
    <row r="985" ht="14.25" customHeight="1">
      <c r="J985" s="9"/>
    </row>
    <row r="986" ht="14.25" customHeight="1">
      <c r="J986" s="9"/>
    </row>
    <row r="987" ht="14.25" customHeight="1">
      <c r="J987" s="9"/>
    </row>
    <row r="988" ht="14.25" customHeight="1">
      <c r="J988" s="9"/>
    </row>
    <row r="989" ht="14.25" customHeight="1">
      <c r="J989" s="9"/>
    </row>
    <row r="990" ht="14.25" customHeight="1">
      <c r="J990" s="9"/>
    </row>
    <row r="991" ht="14.25" customHeight="1">
      <c r="J991" s="9"/>
    </row>
    <row r="992" ht="14.25" customHeight="1">
      <c r="J992" s="9"/>
    </row>
    <row r="993" ht="14.25" customHeight="1">
      <c r="J993" s="9"/>
    </row>
    <row r="994" ht="14.25" customHeight="1">
      <c r="J994" s="9"/>
    </row>
    <row r="995" ht="14.25" customHeight="1">
      <c r="J995" s="9"/>
    </row>
    <row r="996" ht="14.25" customHeight="1">
      <c r="J996" s="9"/>
    </row>
    <row r="997" ht="14.25" customHeight="1">
      <c r="J997" s="9"/>
    </row>
    <row r="998" ht="14.25" customHeight="1">
      <c r="J998" s="9"/>
    </row>
    <row r="999" ht="14.25" customHeight="1">
      <c r="J999" s="9"/>
    </row>
    <row r="1000" ht="14.25" customHeight="1">
      <c r="J1000" s="9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2017-12-12T08:58:28Z</dcterms:created>
  <dc:creator>UT-werkplek x64</dc:creator>
</cp:coreProperties>
</file>