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nxn\Documents\GitHub\python4accountants\boms\"/>
    </mc:Choice>
  </mc:AlternateContent>
  <xr:revisionPtr revIDLastSave="0" documentId="13_ncr:1_{1EE2CCDD-9DE1-4FB2-BB08-574C0BFB7C20}" xr6:coauthVersionLast="46" xr6:coauthVersionMax="46" xr10:uidLastSave="{00000000-0000-0000-0000-000000000000}"/>
  <bookViews>
    <workbookView xWindow="1272" yWindow="312" windowWidth="17280" windowHeight="8964" xr2:uid="{00000000-000D-0000-FFFF-FFFF00000000}"/>
  </bookViews>
  <sheets>
    <sheet name="empty" sheetId="32" r:id="rId1"/>
    <sheet name="dirty_bom1" sheetId="53" r:id="rId2"/>
    <sheet name="dirty_bom2" sheetId="67" r:id="rId3"/>
    <sheet name="Dirty BOM Duovisc Japan" sheetId="47" state="hidden" r:id="rId4"/>
  </sheets>
  <definedNames>
    <definedName name="_xlnm._FilterDatabase" localSheetId="1" hidden="1">dirty_bom1!$A$1:$E$1</definedName>
    <definedName name="_xlnm._FilterDatabase" localSheetId="2" hidden="1">dirty_bom2!$A$1:$E$1</definedName>
    <definedName name="BatchNaHyPrJa">#REF!</definedName>
    <definedName name="celgr">#REF!</definedName>
    <definedName name="ChoPrDiJa">#REF!</definedName>
    <definedName name="EURJPY">empty!#REF!</definedName>
    <definedName name="EURUSD">empty!#REF!</definedName>
    <definedName name="pdbsl">#REF!</definedName>
    <definedName name="pdgr">#REF!</definedName>
    <definedName name="pdino">#REF!</definedName>
    <definedName name="pdjapgr">#REF!</definedName>
    <definedName name="scrap_assem">#REF!</definedName>
    <definedName name="scrap_blist">#REF!</definedName>
    <definedName name="scrap_fill">#REF!</definedName>
    <definedName name="Scrap1StopBSCF">#REF!</definedName>
    <definedName name="scrap1StopNest">#REF!</definedName>
    <definedName name="scrap1syr">#REF!</definedName>
    <definedName name="scrap1syrBSL">#REF!</definedName>
    <definedName name="scrap5StopBSCF">#REF!</definedName>
    <definedName name="Scrap5StopBSL">#REF!</definedName>
    <definedName name="scrap5StopNest">#REF!</definedName>
    <definedName name="scrap5StopRTF">#REF!</definedName>
    <definedName name="Scrap5syrBD">#REF!</definedName>
    <definedName name="scrap5syrBSL">#REF!</definedName>
    <definedName name="Scrap5syrGB">#REF!</definedName>
    <definedName name="Scrap5syrJap">#REF!</definedName>
    <definedName name="scrap9syrRTF">#REF!</definedName>
    <definedName name="ScrapCannula">#REF!</definedName>
    <definedName name="ScrapLC">#REF!</definedName>
    <definedName name="ScrapPR">#REF!</definedName>
    <definedName name="ScrapSleeve">#REF!</definedName>
    <definedName name="ScrapSleeveCap">#REF!</definedName>
    <definedName name="scrapsyrCEL">#REF!</definedName>
    <definedName name="ScrapTipCap">#REF!</definedName>
    <definedName name="vis9ROW9In">#REF!</definedName>
    <definedName name="Vis9ROWBsl">#REF!</definedName>
    <definedName name="viscoat9ROWGr">#REF!</definedName>
    <definedName name="viscoatROWBSL">#REF!</definedName>
    <definedName name="viscoatROWGroninger">#REF!</definedName>
    <definedName name="viscoatROWinova">#REF!</definedName>
    <definedName name="visjapBSL">#REF!</definedName>
    <definedName name="visjapGr">#REF!</definedName>
    <definedName name="visJapI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7" l="1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" i="47"/>
  <c r="T30" i="47" l="1"/>
  <c r="T29" i="47"/>
  <c r="T28" i="47"/>
  <c r="T27" i="47"/>
  <c r="T26" i="47"/>
  <c r="R25" i="47"/>
  <c r="T25" i="47" s="1"/>
  <c r="T23" i="47"/>
  <c r="T22" i="47"/>
  <c r="T21" i="47"/>
  <c r="T20" i="47"/>
  <c r="T19" i="47"/>
  <c r="T18" i="47"/>
  <c r="T17" i="47"/>
  <c r="T16" i="47"/>
  <c r="T15" i="47"/>
  <c r="T14" i="47"/>
  <c r="R13" i="47"/>
  <c r="T13" i="47" s="1"/>
  <c r="T11" i="47"/>
  <c r="T10" i="47"/>
  <c r="T9" i="47"/>
  <c r="T8" i="47"/>
  <c r="T7" i="47"/>
  <c r="T6" i="47"/>
  <c r="T5" i="47"/>
  <c r="T4" i="47"/>
  <c r="T3" i="47"/>
  <c r="R24" i="47" l="1"/>
  <c r="T24" i="47" s="1"/>
  <c r="R12" i="47"/>
  <c r="T12" i="47" s="1"/>
  <c r="N28" i="47"/>
  <c r="N27" i="47"/>
  <c r="N26" i="47"/>
  <c r="N13" i="47"/>
  <c r="M16" i="47" l="1"/>
  <c r="M15" i="47"/>
  <c r="M18" i="47"/>
  <c r="M17" i="47"/>
  <c r="M7" i="47"/>
  <c r="M6" i="47"/>
  <c r="M4" i="47"/>
  <c r="M3" i="47"/>
  <c r="N30" i="47"/>
  <c r="N29" i="47"/>
  <c r="N12" i="47"/>
  <c r="N21" i="47"/>
  <c r="N20" i="47"/>
  <c r="N9" i="47"/>
  <c r="N23" i="47"/>
  <c r="N22" i="47"/>
  <c r="N10" i="47"/>
  <c r="N11" i="47"/>
  <c r="N25" i="47"/>
  <c r="N24" i="47"/>
  <c r="N18" i="47"/>
  <c r="N17" i="47"/>
  <c r="N7" i="47"/>
  <c r="N6" i="47"/>
  <c r="N16" i="47"/>
  <c r="N15" i="47"/>
  <c r="N4" i="47"/>
  <c r="N3" i="47"/>
  <c r="H25" i="47"/>
  <c r="J14" i="47"/>
  <c r="I14" i="47"/>
  <c r="H14" i="47"/>
  <c r="J5" i="47"/>
  <c r="H5" i="47"/>
  <c r="O15" i="47" l="1"/>
  <c r="P15" i="47" s="1"/>
  <c r="U15" i="47" s="1"/>
  <c r="V15" i="47" s="1"/>
  <c r="O4" i="47"/>
  <c r="P4" i="47" s="1"/>
  <c r="U4" i="47" s="1"/>
  <c r="V4" i="47" s="1"/>
  <c r="O6" i="47"/>
  <c r="P6" i="47" s="1"/>
  <c r="U6" i="47" s="1"/>
  <c r="V6" i="47" s="1"/>
  <c r="O18" i="47"/>
  <c r="P18" i="47" s="1"/>
  <c r="U18" i="47" s="1"/>
  <c r="V18" i="47" s="1"/>
  <c r="O17" i="47"/>
  <c r="P17" i="47" s="1"/>
  <c r="U17" i="47" s="1"/>
  <c r="V17" i="47" s="1"/>
  <c r="O16" i="47"/>
  <c r="P16" i="47" s="1"/>
  <c r="U16" i="47" s="1"/>
  <c r="V16" i="47" s="1"/>
  <c r="O3" i="47"/>
  <c r="P3" i="47" s="1"/>
  <c r="U3" i="47" s="1"/>
  <c r="V3" i="47" s="1"/>
  <c r="O7" i="47"/>
  <c r="P7" i="47" s="1"/>
  <c r="U7" i="47" s="1"/>
  <c r="V7" i="47" s="1"/>
  <c r="M11" i="47"/>
  <c r="O11" i="47" s="1"/>
  <c r="P11" i="47" s="1"/>
  <c r="U11" i="47" s="1"/>
  <c r="V11" i="47" s="1"/>
  <c r="M25" i="47"/>
  <c r="O25" i="47" s="1"/>
  <c r="P25" i="47" s="1"/>
  <c r="U25" i="47" s="1"/>
  <c r="V25" i="47" s="1"/>
  <c r="M24" i="47"/>
  <c r="O24" i="47" s="1"/>
  <c r="P24" i="47" s="1"/>
  <c r="U24" i="47" s="1"/>
  <c r="V24" i="47" s="1"/>
  <c r="M23" i="47"/>
  <c r="O23" i="47" s="1"/>
  <c r="P23" i="47" s="1"/>
  <c r="U23" i="47" s="1"/>
  <c r="V23" i="47" s="1"/>
  <c r="M22" i="47"/>
  <c r="O22" i="47" s="1"/>
  <c r="P22" i="47" s="1"/>
  <c r="U22" i="47" s="1"/>
  <c r="V22" i="47" s="1"/>
  <c r="M10" i="47"/>
  <c r="O10" i="47" s="1"/>
  <c r="P10" i="47" s="1"/>
  <c r="U10" i="47" s="1"/>
  <c r="V10" i="47" s="1"/>
  <c r="M21" i="47"/>
  <c r="O21" i="47" s="1"/>
  <c r="P21" i="47" s="1"/>
  <c r="U21" i="47" s="1"/>
  <c r="V21" i="47" s="1"/>
  <c r="M20" i="47"/>
  <c r="O20" i="47" s="1"/>
  <c r="P20" i="47" s="1"/>
  <c r="U20" i="47" s="1"/>
  <c r="V20" i="47" s="1"/>
  <c r="M9" i="47"/>
  <c r="O9" i="47" s="1"/>
  <c r="P9" i="47" s="1"/>
  <c r="U9" i="47" s="1"/>
  <c r="V9" i="47" s="1"/>
  <c r="M30" i="47" l="1"/>
  <c r="O30" i="47" s="1"/>
  <c r="P30" i="47" s="1"/>
  <c r="U30" i="47" s="1"/>
  <c r="V30" i="47" s="1"/>
  <c r="M29" i="47"/>
  <c r="O29" i="47" s="1"/>
  <c r="P29" i="47" s="1"/>
  <c r="U29" i="47" s="1"/>
  <c r="V29" i="47" s="1"/>
  <c r="M28" i="47"/>
  <c r="O28" i="47" s="1"/>
  <c r="P28" i="47" s="1"/>
  <c r="U28" i="47" s="1"/>
  <c r="V28" i="47" s="1"/>
  <c r="M27" i="47"/>
  <c r="O27" i="47" s="1"/>
  <c r="P27" i="47" s="1"/>
  <c r="U27" i="47" s="1"/>
  <c r="V27" i="47" s="1"/>
  <c r="M26" i="47"/>
  <c r="O26" i="47" s="1"/>
  <c r="P26" i="47" s="1"/>
  <c r="U26" i="47" s="1"/>
  <c r="V26" i="47" s="1"/>
  <c r="M19" i="47"/>
  <c r="O19" i="47" s="1"/>
  <c r="U19" i="47" s="1"/>
  <c r="V19" i="47" s="1"/>
  <c r="M14" i="47"/>
  <c r="O14" i="47" s="1"/>
  <c r="P14" i="47" s="1"/>
  <c r="U14" i="47" s="1"/>
  <c r="V14" i="47" s="1"/>
  <c r="M13" i="47"/>
  <c r="O13" i="47" s="1"/>
  <c r="P13" i="47" s="1"/>
  <c r="U13" i="47" s="1"/>
  <c r="V13" i="47" s="1"/>
  <c r="M12" i="47"/>
  <c r="O12" i="47" s="1"/>
  <c r="P12" i="47" s="1"/>
  <c r="U12" i="47" s="1"/>
  <c r="V12" i="47" s="1"/>
  <c r="M8" i="47"/>
  <c r="O8" i="47" s="1"/>
  <c r="P8" i="47" s="1"/>
  <c r="U8" i="47" s="1"/>
  <c r="V8" i="47" s="1"/>
  <c r="M5" i="47"/>
  <c r="O5" i="47" s="1"/>
  <c r="P5" i="47" s="1"/>
  <c r="U5" i="47" s="1"/>
  <c r="V5" i="47" s="1"/>
  <c r="V31" i="47" l="1"/>
</calcChain>
</file>

<file path=xl/sharedStrings.xml><?xml version="1.0" encoding="utf-8"?>
<sst xmlns="http://schemas.openxmlformats.org/spreadsheetml/2006/main" count="314" uniqueCount="124">
  <si>
    <t>component</t>
  </si>
  <si>
    <t>class</t>
  </si>
  <si>
    <t>quantitiy</t>
  </si>
  <si>
    <t>UOM</t>
  </si>
  <si>
    <t>scrap rates</t>
  </si>
  <si>
    <t>quanty incl scrap</t>
  </si>
  <si>
    <t xml:space="preserve">Item code Alcon </t>
  </si>
  <si>
    <t>Supplier</t>
  </si>
  <si>
    <t>Component</t>
  </si>
  <si>
    <t>Supplier full</t>
  </si>
  <si>
    <t>MoQ</t>
  </si>
  <si>
    <t>Price 25/05/2020</t>
  </si>
  <si>
    <t>Currency</t>
  </si>
  <si>
    <t>line</t>
  </si>
  <si>
    <t>total</t>
  </si>
  <si>
    <t>dual sourced split</t>
  </si>
  <si>
    <t>production split</t>
  </si>
  <si>
    <t>mfg line</t>
  </si>
  <si>
    <t>total usage fraction</t>
  </si>
  <si>
    <t>Dirty BOM qty</t>
  </si>
  <si>
    <t>Dirty BOM price</t>
  </si>
  <si>
    <t>cannulla</t>
  </si>
  <si>
    <t>APD</t>
  </si>
  <si>
    <t>cannula yellow</t>
  </si>
  <si>
    <t>ALCON PRECISION DEVICES</t>
  </si>
  <si>
    <t>SKU</t>
  </si>
  <si>
    <t>EUR</t>
  </si>
  <si>
    <t>ea</t>
  </si>
  <si>
    <t>all</t>
  </si>
  <si>
    <t>CORK</t>
  </si>
  <si>
    <t>ALCON IRELAND</t>
  </si>
  <si>
    <t>chondroitin</t>
  </si>
  <si>
    <t xml:space="preserve">Chondroitine </t>
  </si>
  <si>
    <t>KG (active weight)</t>
  </si>
  <si>
    <t>KG</t>
  </si>
  <si>
    <t>locking collar</t>
  </si>
  <si>
    <t>Nemera</t>
  </si>
  <si>
    <t>locking collar yellow</t>
  </si>
  <si>
    <t>NEMERA HEALTH. NEUENBURG</t>
  </si>
  <si>
    <t>Moll</t>
  </si>
  <si>
    <t>MOLL INDUSTRIES IRELAND</t>
  </si>
  <si>
    <t>NaHy</t>
  </si>
  <si>
    <t>Lifecore</t>
  </si>
  <si>
    <t>USD</t>
  </si>
  <si>
    <t>plunger rod</t>
  </si>
  <si>
    <t>plunger rod 0,5 ml yellow</t>
  </si>
  <si>
    <t>sleeve</t>
  </si>
  <si>
    <t>sleeve cap</t>
  </si>
  <si>
    <t>stopper</t>
  </si>
  <si>
    <t>227818G1010</t>
  </si>
  <si>
    <t>BD</t>
  </si>
  <si>
    <t>nested stopper 0,5/0,9</t>
  </si>
  <si>
    <t xml:space="preserve">BECTON DICKINSON PHARM. </t>
  </si>
  <si>
    <t>224003G1010</t>
  </si>
  <si>
    <t>Bscf stopper 0,5/0,9</t>
  </si>
  <si>
    <t>syringe</t>
  </si>
  <si>
    <t>RTF 0,5 syringe</t>
  </si>
  <si>
    <t>GerresH</t>
  </si>
  <si>
    <t>GERRESHEIMER BUNDE GMBH</t>
  </si>
  <si>
    <t>110383N0010</t>
  </si>
  <si>
    <t>ITF</t>
  </si>
  <si>
    <t>Viscoat  JP</t>
  </si>
  <si>
    <t>32780200021</t>
  </si>
  <si>
    <t>sleeve 0,5 japan</t>
  </si>
  <si>
    <t>Sleeve cap yellow japan</t>
  </si>
  <si>
    <t>227825E1020</t>
  </si>
  <si>
    <t>cannula light green</t>
  </si>
  <si>
    <t>locking collar light green</t>
  </si>
  <si>
    <t>Genzyme</t>
  </si>
  <si>
    <t>plunger rod 1,0 ml light green</t>
  </si>
  <si>
    <t>sleeve 1 ml</t>
  </si>
  <si>
    <t>sleeve cap light green</t>
  </si>
  <si>
    <t>37400200020</t>
  </si>
  <si>
    <t>224009G1010</t>
  </si>
  <si>
    <t>Bscf 1,0 stopper</t>
  </si>
  <si>
    <t>inova</t>
  </si>
  <si>
    <t>227837G1030</t>
  </si>
  <si>
    <t>nested 1,0 stopper</t>
  </si>
  <si>
    <t>groninger</t>
  </si>
  <si>
    <t xml:space="preserve">BD </t>
  </si>
  <si>
    <t>227836E1030</t>
  </si>
  <si>
    <t xml:space="preserve">RTF 1,0 syringe </t>
  </si>
  <si>
    <t>groninger/inova</t>
  </si>
  <si>
    <t>227836E1040</t>
  </si>
  <si>
    <t>Provisc JP (+)</t>
  </si>
  <si>
    <t>37401300010</t>
  </si>
  <si>
    <t>110382N0020</t>
  </si>
  <si>
    <t>110387S1020</t>
  </si>
  <si>
    <t>code</t>
  </si>
  <si>
    <t>code local</t>
  </si>
  <si>
    <t>supplier</t>
  </si>
  <si>
    <t>A</t>
  </si>
  <si>
    <t>B</t>
  </si>
  <si>
    <t>C</t>
  </si>
  <si>
    <t>D</t>
  </si>
  <si>
    <t>110380N0011</t>
  </si>
  <si>
    <t>110381N0011</t>
  </si>
  <si>
    <t>PP</t>
  </si>
  <si>
    <t>DD</t>
  </si>
  <si>
    <t>NN</t>
  </si>
  <si>
    <t>CC</t>
  </si>
  <si>
    <t>LL</t>
  </si>
  <si>
    <t>WW</t>
  </si>
  <si>
    <t>MM</t>
  </si>
  <si>
    <t>apple</t>
  </si>
  <si>
    <t>peer</t>
  </si>
  <si>
    <t>orange</t>
  </si>
  <si>
    <t>plum</t>
  </si>
  <si>
    <t>strawberry</t>
  </si>
  <si>
    <t>110380N0019</t>
  </si>
  <si>
    <t>110381N0019</t>
  </si>
  <si>
    <t>AA</t>
  </si>
  <si>
    <t>BB</t>
  </si>
  <si>
    <t>KK</t>
  </si>
  <si>
    <t>HH</t>
  </si>
  <si>
    <t>GG</t>
  </si>
  <si>
    <t>RR</t>
  </si>
  <si>
    <t>E</t>
  </si>
  <si>
    <t>lemon</t>
  </si>
  <si>
    <t>nuts</t>
  </si>
  <si>
    <t>raspberry</t>
  </si>
  <si>
    <t>kiwi</t>
  </si>
  <si>
    <t>ginger</t>
  </si>
  <si>
    <t>tomatoes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</si>
</sst>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6" formatCode="0.0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166" fontId="5" fillId="3" borderId="7" xfId="0" applyNumberFormat="1" applyFont="1" applyFill="1" applyBorder="1" applyAlignment="1">
      <alignment horizontal="center" vertical="center"/>
    </xf>
    <xf numFmtId="11" fontId="5" fillId="5" borderId="7" xfId="0" applyNumberFormat="1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/>
    </xf>
    <xf numFmtId="166" fontId="5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  <xf numFmtId="164" fontId="5" fillId="5" borderId="7" xfId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6" fillId="7" borderId="7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J11" sqref="J11"/>
    </sheetView>
  </sheetViews>
  <sheetFormatPr defaultRowHeight="13.2" x14ac:dyDescent="0.25"/>
  <sheetData>
    <row r="1" x14ac:dyDescent="0.25"/>
    <row r="2" x14ac:dyDescent="0.25"/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S8"/>
  <sheetViews>
    <sheetView zoomScaleNormal="100" workbookViewId="0">
      <selection activeCell="C15" sqref="C15"/>
    </sheetView>
  </sheetViews>
  <sheetFormatPr defaultRowHeight="13.2" x14ac:dyDescent="0.25"/>
  <cols>
    <col min="1" max="1" width="15.21875" style="18" customWidth="1"/>
    <col min="2" max="2" width="15.5546875" style="18" bestFit="1" customWidth="1"/>
    <col min="3" max="3" width="15.5546875" style="18" customWidth="1"/>
    <col min="4" max="4" width="10.44140625" style="18" bestFit="1" customWidth="1"/>
    <col min="5" max="5" width="16.44140625" style="18" bestFit="1" customWidth="1"/>
  </cols>
  <sheetData>
    <row r="1" spans="1:5" x14ac:dyDescent="0.25">
      <c r="A1" s="7" t="s">
        <v>1</v>
      </c>
      <c r="B1" s="8" t="s">
        <v>88</v>
      </c>
      <c r="C1" s="9" t="s">
        <v>89</v>
      </c>
      <c r="D1" s="9" t="s">
        <v>90</v>
      </c>
      <c r="E1" s="9" t="s">
        <v>0</v>
      </c>
    </row>
    <row r="2" spans="1:5" x14ac:dyDescent="0.25">
      <c r="A2" s="13" t="s">
        <v>91</v>
      </c>
      <c r="B2" s="12">
        <v>32780500011</v>
      </c>
      <c r="C2" s="12">
        <v>123</v>
      </c>
      <c r="D2" s="12" t="s">
        <v>97</v>
      </c>
      <c r="E2" s="12" t="s">
        <v>104</v>
      </c>
    </row>
    <row r="3" spans="1:5" x14ac:dyDescent="0.25">
      <c r="A3" s="13" t="s">
        <v>91</v>
      </c>
      <c r="B3" s="12">
        <v>32780500011</v>
      </c>
      <c r="C3" s="12">
        <v>321</v>
      </c>
      <c r="D3" s="12" t="s">
        <v>98</v>
      </c>
      <c r="E3" s="12" t="s">
        <v>104</v>
      </c>
    </row>
    <row r="4" spans="1:5" x14ac:dyDescent="0.25">
      <c r="A4" s="13" t="s">
        <v>92</v>
      </c>
      <c r="B4" s="12" t="s">
        <v>95</v>
      </c>
      <c r="C4" s="12">
        <v>456</v>
      </c>
      <c r="D4" s="12" t="s">
        <v>99</v>
      </c>
      <c r="E4" s="12" t="s">
        <v>105</v>
      </c>
    </row>
    <row r="5" spans="1:5" x14ac:dyDescent="0.25">
      <c r="A5" s="13" t="s">
        <v>93</v>
      </c>
      <c r="B5" s="12">
        <v>32781900011</v>
      </c>
      <c r="C5" s="12">
        <v>654</v>
      </c>
      <c r="D5" s="12" t="s">
        <v>100</v>
      </c>
      <c r="E5" s="12" t="s">
        <v>106</v>
      </c>
    </row>
    <row r="6" spans="1:5" x14ac:dyDescent="0.25">
      <c r="A6" s="13" t="s">
        <v>93</v>
      </c>
      <c r="B6" s="12">
        <v>32781900011</v>
      </c>
      <c r="C6" s="12">
        <v>789</v>
      </c>
      <c r="D6" s="12" t="s">
        <v>101</v>
      </c>
      <c r="E6" s="12" t="s">
        <v>106</v>
      </c>
    </row>
    <row r="7" spans="1:5" x14ac:dyDescent="0.25">
      <c r="A7" s="13" t="s">
        <v>94</v>
      </c>
      <c r="B7" s="12" t="s">
        <v>96</v>
      </c>
      <c r="C7" s="12">
        <v>987</v>
      </c>
      <c r="D7" s="12" t="s">
        <v>102</v>
      </c>
      <c r="E7" s="12" t="s">
        <v>107</v>
      </c>
    </row>
    <row r="8" spans="1:5" x14ac:dyDescent="0.25">
      <c r="A8" s="13" t="s">
        <v>91</v>
      </c>
      <c r="B8" s="12">
        <v>32780300012</v>
      </c>
      <c r="C8" s="12">
        <v>140</v>
      </c>
      <c r="D8" s="12" t="s">
        <v>103</v>
      </c>
      <c r="E8" s="12" t="s">
        <v>108</v>
      </c>
    </row>
  </sheetData>
  <autoFilter ref="A1:E1" xr:uid="{00000000-0009-0000-0000-000004000000}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E8E8-1EAA-482D-B3F9-422863F75A5F}">
  <sheetPr>
    <tabColor theme="7" tint="0.79998168889431442"/>
  </sheetPr>
  <dimension ref="A1:S8"/>
  <sheetViews>
    <sheetView zoomScaleNormal="100" workbookViewId="0">
      <selection activeCell="E8" sqref="E8"/>
    </sheetView>
  </sheetViews>
  <sheetFormatPr defaultRowHeight="13.2" x14ac:dyDescent="0.25"/>
  <cols>
    <col min="1" max="1" width="15.21875" style="18" customWidth="1"/>
    <col min="2" max="2" width="15.5546875" style="18" bestFit="1" customWidth="1"/>
    <col min="3" max="3" width="15.5546875" style="18" customWidth="1"/>
    <col min="4" max="4" width="10.44140625" style="18" bestFit="1" customWidth="1"/>
    <col min="5" max="5" width="16.44140625" style="18" bestFit="1" customWidth="1"/>
  </cols>
  <sheetData>
    <row r="1" spans="1:5" x14ac:dyDescent="0.25">
      <c r="A1" s="7" t="s">
        <v>1</v>
      </c>
      <c r="B1" s="8" t="s">
        <v>88</v>
      </c>
      <c r="C1" s="9" t="s">
        <v>89</v>
      </c>
      <c r="D1" s="9" t="s">
        <v>90</v>
      </c>
      <c r="E1" s="9" t="s">
        <v>0</v>
      </c>
    </row>
    <row r="2" spans="1:5" x14ac:dyDescent="0.25">
      <c r="A2" s="13" t="s">
        <v>117</v>
      </c>
      <c r="B2" s="12">
        <v>32780500019</v>
      </c>
      <c r="C2" s="12">
        <v>147</v>
      </c>
      <c r="D2" s="12" t="s">
        <v>111</v>
      </c>
      <c r="E2" s="12" t="s">
        <v>118</v>
      </c>
    </row>
    <row r="3" spans="1:5" x14ac:dyDescent="0.25">
      <c r="A3" s="13" t="s">
        <v>117</v>
      </c>
      <c r="B3" s="12">
        <v>32780500019</v>
      </c>
      <c r="C3" s="12">
        <v>741</v>
      </c>
      <c r="D3" s="12" t="s">
        <v>112</v>
      </c>
      <c r="E3" s="12" t="s">
        <v>105</v>
      </c>
    </row>
    <row r="4" spans="1:5" x14ac:dyDescent="0.25">
      <c r="A4" s="13" t="s">
        <v>91</v>
      </c>
      <c r="B4" s="12" t="s">
        <v>109</v>
      </c>
      <c r="C4" s="12">
        <v>258</v>
      </c>
      <c r="D4" s="12" t="s">
        <v>100</v>
      </c>
      <c r="E4" s="12" t="s">
        <v>119</v>
      </c>
    </row>
    <row r="5" spans="1:5" x14ac:dyDescent="0.25">
      <c r="A5" s="13" t="s">
        <v>92</v>
      </c>
      <c r="B5" s="12">
        <v>32781900019</v>
      </c>
      <c r="C5" s="12">
        <v>852</v>
      </c>
      <c r="D5" s="12" t="s">
        <v>113</v>
      </c>
      <c r="E5" s="12" t="s">
        <v>120</v>
      </c>
    </row>
    <row r="6" spans="1:5" x14ac:dyDescent="0.25">
      <c r="A6" s="13" t="s">
        <v>93</v>
      </c>
      <c r="B6" s="12">
        <v>32781900019</v>
      </c>
      <c r="C6" s="12">
        <v>369</v>
      </c>
      <c r="D6" s="12" t="s">
        <v>114</v>
      </c>
      <c r="E6" s="12" t="s">
        <v>121</v>
      </c>
    </row>
    <row r="7" spans="1:5" x14ac:dyDescent="0.25">
      <c r="A7" s="13" t="s">
        <v>94</v>
      </c>
      <c r="B7" s="12" t="s">
        <v>110</v>
      </c>
      <c r="C7" s="12">
        <v>963</v>
      </c>
      <c r="D7" s="12" t="s">
        <v>115</v>
      </c>
      <c r="E7" s="12" t="s">
        <v>123</v>
      </c>
    </row>
    <row r="8" spans="1:5" x14ac:dyDescent="0.25">
      <c r="A8" s="13" t="s">
        <v>92</v>
      </c>
      <c r="B8" s="12">
        <v>32780300019</v>
      </c>
      <c r="C8" s="12">
        <v>520</v>
      </c>
      <c r="D8" s="12" t="s">
        <v>116</v>
      </c>
      <c r="E8" s="12" t="s">
        <v>122</v>
      </c>
    </row>
  </sheetData>
  <autoFilter ref="A1:E1" xr:uid="{00000000-0009-0000-0000-000004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0.59999389629810485"/>
  </sheetPr>
  <dimension ref="A1:V31"/>
  <sheetViews>
    <sheetView zoomScaleNormal="100" workbookViewId="0">
      <selection activeCell="Y18" sqref="Y18"/>
    </sheetView>
  </sheetViews>
  <sheetFormatPr defaultColWidth="14.77734375" defaultRowHeight="13.2" outlineLevelCol="1" x14ac:dyDescent="0.25"/>
  <cols>
    <col min="1" max="1" width="15.77734375" style="18" customWidth="1"/>
    <col min="2" max="2" width="11.21875" style="18" bestFit="1" customWidth="1"/>
    <col min="3" max="3" width="11.21875" style="18" customWidth="1"/>
    <col min="4" max="4" width="6.77734375" style="18" bestFit="1" customWidth="1"/>
    <col min="5" max="5" width="19.21875" style="18" bestFit="1" customWidth="1"/>
    <col min="6" max="6" width="23.21875" style="18" bestFit="1" customWidth="1"/>
    <col min="7" max="7" width="5.77734375" style="18" hidden="1" customWidth="1" outlineLevel="1"/>
    <col min="8" max="8" width="11.77734375" style="18" hidden="1" customWidth="1" outlineLevel="1"/>
    <col min="9" max="9" width="7.77734375" style="18" hidden="1" customWidth="1" outlineLevel="1"/>
    <col min="10" max="10" width="6.44140625" style="18" hidden="1" customWidth="1" outlineLevel="1"/>
    <col min="11" max="11" width="7.44140625" style="18" bestFit="1" customWidth="1" collapsed="1"/>
    <col min="12" max="12" width="5" style="18" bestFit="1" customWidth="1"/>
    <col min="13" max="13" width="4.44140625" style="18" hidden="1" customWidth="1" outlineLevel="1"/>
    <col min="14" max="14" width="7.77734375" style="18" hidden="1" customWidth="1" outlineLevel="1"/>
    <col min="15" max="15" width="4.44140625" style="18" hidden="1" customWidth="1" outlineLevel="1"/>
    <col min="16" max="16" width="14.21875" style="18" bestFit="1" customWidth="1" collapsed="1"/>
    <col min="17" max="20" width="0" style="18" hidden="1" customWidth="1" outlineLevel="1"/>
    <col min="21" max="21" width="14.77734375" style="18" collapsed="1"/>
    <col min="22" max="16384" width="14.77734375" style="18"/>
  </cols>
  <sheetData>
    <row r="1" spans="1:22" x14ac:dyDescent="0.25">
      <c r="A1" s="1" t="s">
        <v>1</v>
      </c>
      <c r="B1" s="1"/>
      <c r="C1" s="2"/>
      <c r="D1" s="2"/>
      <c r="E1" s="2"/>
      <c r="F1" s="2"/>
      <c r="G1" s="2"/>
      <c r="H1" s="2"/>
      <c r="I1" s="2"/>
      <c r="J1" s="3"/>
      <c r="K1" s="4" t="s">
        <v>2</v>
      </c>
      <c r="L1" s="5" t="s">
        <v>3</v>
      </c>
      <c r="M1" s="25" t="s">
        <v>4</v>
      </c>
      <c r="N1" s="25"/>
      <c r="O1" s="25"/>
      <c r="P1" s="6" t="s">
        <v>5</v>
      </c>
      <c r="Q1" s="23"/>
      <c r="R1" s="23"/>
      <c r="S1" s="23"/>
      <c r="T1" s="23"/>
      <c r="U1" s="23"/>
      <c r="V1" s="23"/>
    </row>
    <row r="2" spans="1:22" x14ac:dyDescent="0.25">
      <c r="A2" s="7"/>
      <c r="B2" s="8" t="s">
        <v>6</v>
      </c>
      <c r="C2" s="9"/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3</v>
      </c>
      <c r="J2" s="10" t="s">
        <v>12</v>
      </c>
      <c r="K2" s="7"/>
      <c r="L2" s="11"/>
      <c r="M2" s="9" t="s">
        <v>13</v>
      </c>
      <c r="N2" s="9" t="s">
        <v>0</v>
      </c>
      <c r="O2" s="9" t="s">
        <v>14</v>
      </c>
      <c r="P2" s="9"/>
      <c r="Q2" s="19" t="s">
        <v>15</v>
      </c>
      <c r="R2" s="19" t="s">
        <v>16</v>
      </c>
      <c r="S2" s="19" t="s">
        <v>17</v>
      </c>
      <c r="T2" s="19" t="s">
        <v>18</v>
      </c>
      <c r="U2" s="19" t="s">
        <v>19</v>
      </c>
      <c r="V2" s="19" t="s">
        <v>20</v>
      </c>
    </row>
    <row r="3" spans="1:22" x14ac:dyDescent="0.25">
      <c r="A3" s="13" t="s">
        <v>21</v>
      </c>
      <c r="B3" s="12">
        <v>32780500014</v>
      </c>
      <c r="C3" s="12" t="e">
        <f>INDEX(#REF!,MATCH(B3,#REF!,0))</f>
        <v>#REF!</v>
      </c>
      <c r="D3" s="12" t="s">
        <v>22</v>
      </c>
      <c r="E3" s="12" t="s">
        <v>23</v>
      </c>
      <c r="F3" s="12" t="s">
        <v>24</v>
      </c>
      <c r="G3" s="12">
        <v>280000</v>
      </c>
      <c r="H3" s="12">
        <v>0.13900000000000001</v>
      </c>
      <c r="I3" s="12" t="s">
        <v>25</v>
      </c>
      <c r="J3" s="12" t="s">
        <v>26</v>
      </c>
      <c r="K3" s="13">
        <v>1</v>
      </c>
      <c r="L3" s="13" t="s">
        <v>27</v>
      </c>
      <c r="M3" s="14" t="e">
        <f>scrap_blist</f>
        <v>#REF!</v>
      </c>
      <c r="N3" s="14" t="e">
        <f>ScrapCannula</f>
        <v>#REF!</v>
      </c>
      <c r="O3" s="14" t="e">
        <f>N3*M3</f>
        <v>#REF!</v>
      </c>
      <c r="P3" s="17" t="e">
        <f>O3*K3</f>
        <v>#REF!</v>
      </c>
      <c r="Q3" s="14">
        <v>1</v>
      </c>
      <c r="R3" s="14">
        <v>1</v>
      </c>
      <c r="S3" s="14" t="s">
        <v>28</v>
      </c>
      <c r="T3" s="14">
        <f>R3*Q3</f>
        <v>1</v>
      </c>
      <c r="U3" s="17" t="e">
        <f>T3*P3</f>
        <v>#REF!</v>
      </c>
      <c r="V3" s="20" t="e">
        <f>U3*H3</f>
        <v>#REF!</v>
      </c>
    </row>
    <row r="4" spans="1:22" x14ac:dyDescent="0.25">
      <c r="A4" s="13" t="s">
        <v>21</v>
      </c>
      <c r="B4" s="12">
        <v>32780500014</v>
      </c>
      <c r="C4" s="12" t="e">
        <f>INDEX(#REF!,MATCH(B4,#REF!,0))</f>
        <v>#REF!</v>
      </c>
      <c r="D4" s="12" t="s">
        <v>29</v>
      </c>
      <c r="E4" s="12" t="s">
        <v>23</v>
      </c>
      <c r="F4" s="12" t="s">
        <v>30</v>
      </c>
      <c r="G4" s="12">
        <v>140000</v>
      </c>
      <c r="H4" s="12">
        <v>0.13900000000000001</v>
      </c>
      <c r="I4" s="12" t="s">
        <v>25</v>
      </c>
      <c r="J4" s="12" t="s">
        <v>26</v>
      </c>
      <c r="K4" s="13">
        <v>1</v>
      </c>
      <c r="L4" s="13" t="s">
        <v>27</v>
      </c>
      <c r="M4" s="14" t="e">
        <f>scrap_blist</f>
        <v>#REF!</v>
      </c>
      <c r="N4" s="14" t="e">
        <f>ScrapCannula</f>
        <v>#REF!</v>
      </c>
      <c r="O4" s="14" t="e">
        <f t="shared" ref="O4:O30" si="0">N4*M4</f>
        <v>#REF!</v>
      </c>
      <c r="P4" s="17" t="e">
        <f t="shared" ref="P4:P30" si="1">O4*K4</f>
        <v>#REF!</v>
      </c>
      <c r="Q4" s="14">
        <v>0</v>
      </c>
      <c r="R4" s="14">
        <v>1</v>
      </c>
      <c r="S4" s="14" t="s">
        <v>28</v>
      </c>
      <c r="T4" s="14">
        <f t="shared" ref="T4:T14" si="2">R4*Q4</f>
        <v>0</v>
      </c>
      <c r="U4" s="17" t="e">
        <f t="shared" ref="U4:U30" si="3">T4*P4</f>
        <v>#REF!</v>
      </c>
      <c r="V4" s="20" t="e">
        <f t="shared" ref="V4:V30" si="4">U4*H4</f>
        <v>#REF!</v>
      </c>
    </row>
    <row r="5" spans="1:22" ht="20.399999999999999" x14ac:dyDescent="0.25">
      <c r="A5" s="13" t="s">
        <v>31</v>
      </c>
      <c r="B5" s="12" t="s">
        <v>59</v>
      </c>
      <c r="C5" s="12" t="e">
        <f>INDEX(#REF!,MATCH(B5,#REF!,0))</f>
        <v>#REF!</v>
      </c>
      <c r="D5" s="12" t="s">
        <v>60</v>
      </c>
      <c r="E5" s="12" t="s">
        <v>32</v>
      </c>
      <c r="F5" s="12" t="s">
        <v>60</v>
      </c>
      <c r="G5" s="12"/>
      <c r="H5" s="12" t="e">
        <f>#REF!</f>
        <v>#REF!</v>
      </c>
      <c r="I5" s="24" t="s">
        <v>33</v>
      </c>
      <c r="J5" s="12" t="e">
        <f>#REF!</f>
        <v>#REF!</v>
      </c>
      <c r="K5" s="15">
        <v>2.8282828282828285E-5</v>
      </c>
      <c r="L5" s="13" t="s">
        <v>34</v>
      </c>
      <c r="M5" s="14" t="e">
        <f>scrap_fill</f>
        <v>#REF!</v>
      </c>
      <c r="N5" s="14">
        <v>1</v>
      </c>
      <c r="O5" s="14" t="e">
        <f t="shared" si="0"/>
        <v>#REF!</v>
      </c>
      <c r="P5" s="15" t="e">
        <f t="shared" si="1"/>
        <v>#REF!</v>
      </c>
      <c r="Q5" s="14">
        <v>1</v>
      </c>
      <c r="R5" s="14">
        <v>1</v>
      </c>
      <c r="S5" s="14" t="s">
        <v>28</v>
      </c>
      <c r="T5" s="14">
        <f t="shared" si="2"/>
        <v>1</v>
      </c>
      <c r="U5" s="15" t="e">
        <f t="shared" si="3"/>
        <v>#REF!</v>
      </c>
      <c r="V5" s="20" t="e">
        <f>U5*H5/EURJPY</f>
        <v>#REF!</v>
      </c>
    </row>
    <row r="6" spans="1:22" x14ac:dyDescent="0.25">
      <c r="A6" s="13" t="s">
        <v>35</v>
      </c>
      <c r="B6" s="12">
        <v>32781900010</v>
      </c>
      <c r="C6" s="12" t="e">
        <f>INDEX(#REF!,MATCH(B6,#REF!,0))</f>
        <v>#REF!</v>
      </c>
      <c r="D6" s="12" t="s">
        <v>36</v>
      </c>
      <c r="E6" s="12" t="s">
        <v>37</v>
      </c>
      <c r="F6" s="12" t="s">
        <v>38</v>
      </c>
      <c r="G6" s="12">
        <v>192000</v>
      </c>
      <c r="H6" s="12">
        <v>1.414E-2</v>
      </c>
      <c r="I6" s="12" t="s">
        <v>25</v>
      </c>
      <c r="J6" s="12" t="s">
        <v>26</v>
      </c>
      <c r="K6" s="13">
        <v>1</v>
      </c>
      <c r="L6" s="13" t="s">
        <v>27</v>
      </c>
      <c r="M6" s="14" t="e">
        <f>scrap_blist</f>
        <v>#REF!</v>
      </c>
      <c r="N6" s="14" t="e">
        <f>ScrapLC</f>
        <v>#REF!</v>
      </c>
      <c r="O6" s="14" t="e">
        <f t="shared" si="0"/>
        <v>#REF!</v>
      </c>
      <c r="P6" s="17" t="e">
        <f t="shared" si="1"/>
        <v>#REF!</v>
      </c>
      <c r="Q6" s="14">
        <v>0.5</v>
      </c>
      <c r="R6" s="14">
        <v>1</v>
      </c>
      <c r="S6" s="14" t="s">
        <v>28</v>
      </c>
      <c r="T6" s="14">
        <f t="shared" si="2"/>
        <v>0.5</v>
      </c>
      <c r="U6" s="17" t="e">
        <f t="shared" si="3"/>
        <v>#REF!</v>
      </c>
      <c r="V6" s="20" t="e">
        <f t="shared" si="4"/>
        <v>#REF!</v>
      </c>
    </row>
    <row r="7" spans="1:22" x14ac:dyDescent="0.25">
      <c r="A7" s="13" t="s">
        <v>35</v>
      </c>
      <c r="B7" s="12">
        <v>32781900010</v>
      </c>
      <c r="C7" s="12" t="e">
        <f>INDEX(#REF!,MATCH(B7,#REF!,0))</f>
        <v>#REF!</v>
      </c>
      <c r="D7" s="12" t="s">
        <v>39</v>
      </c>
      <c r="E7" s="12" t="s">
        <v>37</v>
      </c>
      <c r="F7" s="12" t="s">
        <v>40</v>
      </c>
      <c r="G7" s="12">
        <v>540000</v>
      </c>
      <c r="H7" s="12">
        <v>1.52E-2</v>
      </c>
      <c r="I7" s="12" t="s">
        <v>25</v>
      </c>
      <c r="J7" s="12" t="s">
        <v>26</v>
      </c>
      <c r="K7" s="13">
        <v>1</v>
      </c>
      <c r="L7" s="13" t="s">
        <v>27</v>
      </c>
      <c r="M7" s="14" t="e">
        <f>scrap_blist</f>
        <v>#REF!</v>
      </c>
      <c r="N7" s="14" t="e">
        <f>ScrapLC</f>
        <v>#REF!</v>
      </c>
      <c r="O7" s="14" t="e">
        <f t="shared" si="0"/>
        <v>#REF!</v>
      </c>
      <c r="P7" s="17" t="e">
        <f t="shared" si="1"/>
        <v>#REF!</v>
      </c>
      <c r="Q7" s="14">
        <v>0.5</v>
      </c>
      <c r="R7" s="14">
        <v>1</v>
      </c>
      <c r="S7" s="14" t="s">
        <v>28</v>
      </c>
      <c r="T7" s="14">
        <f t="shared" si="2"/>
        <v>0.5</v>
      </c>
      <c r="U7" s="17" t="e">
        <f t="shared" si="3"/>
        <v>#REF!</v>
      </c>
      <c r="V7" s="20" t="e">
        <f t="shared" si="4"/>
        <v>#REF!</v>
      </c>
    </row>
    <row r="8" spans="1:22" ht="20.399999999999999" x14ac:dyDescent="0.25">
      <c r="A8" s="13" t="s">
        <v>41</v>
      </c>
      <c r="B8" s="12" t="s">
        <v>86</v>
      </c>
      <c r="C8" s="12" t="e">
        <f>INDEX(#REF!,MATCH(B8,#REF!,0))</f>
        <v>#REF!</v>
      </c>
      <c r="D8" s="12" t="s">
        <v>42</v>
      </c>
      <c r="E8" s="12" t="s">
        <v>61</v>
      </c>
      <c r="F8" s="12" t="s">
        <v>42</v>
      </c>
      <c r="G8" s="12">
        <v>10</v>
      </c>
      <c r="H8" s="12">
        <v>75000</v>
      </c>
      <c r="I8" s="24" t="s">
        <v>33</v>
      </c>
      <c r="J8" s="16" t="s">
        <v>43</v>
      </c>
      <c r="K8" s="15">
        <v>1.8749999999999998E-5</v>
      </c>
      <c r="L8" s="13" t="s">
        <v>34</v>
      </c>
      <c r="M8" s="14" t="e">
        <f>scrap_fill</f>
        <v>#REF!</v>
      </c>
      <c r="N8" s="14">
        <v>1</v>
      </c>
      <c r="O8" s="14" t="e">
        <f t="shared" si="0"/>
        <v>#REF!</v>
      </c>
      <c r="P8" s="15" t="e">
        <f t="shared" si="1"/>
        <v>#REF!</v>
      </c>
      <c r="Q8" s="14">
        <v>1</v>
      </c>
      <c r="R8" s="14">
        <v>1</v>
      </c>
      <c r="S8" s="14" t="s">
        <v>28</v>
      </c>
      <c r="T8" s="14">
        <f t="shared" si="2"/>
        <v>1</v>
      </c>
      <c r="U8" s="15" t="e">
        <f t="shared" si="3"/>
        <v>#REF!</v>
      </c>
      <c r="V8" s="20" t="e">
        <f>U8*H8/EURUSD</f>
        <v>#REF!</v>
      </c>
    </row>
    <row r="9" spans="1:22" x14ac:dyDescent="0.25">
      <c r="A9" s="13" t="s">
        <v>44</v>
      </c>
      <c r="B9" s="12">
        <v>32780300011</v>
      </c>
      <c r="C9" s="12" t="e">
        <f>INDEX(#REF!,MATCH(B9,#REF!,0))</f>
        <v>#REF!</v>
      </c>
      <c r="D9" s="12" t="s">
        <v>39</v>
      </c>
      <c r="E9" s="12" t="s">
        <v>45</v>
      </c>
      <c r="F9" s="12" t="s">
        <v>40</v>
      </c>
      <c r="G9" s="12">
        <v>560000</v>
      </c>
      <c r="H9" s="12">
        <v>2.3230000000000001E-2</v>
      </c>
      <c r="I9" s="12" t="s">
        <v>25</v>
      </c>
      <c r="J9" s="12" t="s">
        <v>26</v>
      </c>
      <c r="K9" s="13">
        <v>1</v>
      </c>
      <c r="L9" s="13" t="s">
        <v>27</v>
      </c>
      <c r="M9" s="14" t="e">
        <f>scrap_assem</f>
        <v>#REF!</v>
      </c>
      <c r="N9" s="14" t="e">
        <f>ScrapPR</f>
        <v>#REF!</v>
      </c>
      <c r="O9" s="14" t="e">
        <f t="shared" si="0"/>
        <v>#REF!</v>
      </c>
      <c r="P9" s="17" t="e">
        <f t="shared" si="1"/>
        <v>#REF!</v>
      </c>
      <c r="Q9" s="14">
        <v>1</v>
      </c>
      <c r="R9" s="14">
        <v>1</v>
      </c>
      <c r="S9" s="14" t="s">
        <v>28</v>
      </c>
      <c r="T9" s="14">
        <f t="shared" si="2"/>
        <v>1</v>
      </c>
      <c r="U9" s="17" t="e">
        <f t="shared" si="3"/>
        <v>#REF!</v>
      </c>
      <c r="V9" s="20" t="e">
        <f t="shared" si="4"/>
        <v>#REF!</v>
      </c>
    </row>
    <row r="10" spans="1:22" x14ac:dyDescent="0.25">
      <c r="A10" s="13" t="s">
        <v>46</v>
      </c>
      <c r="B10" s="12" t="s">
        <v>62</v>
      </c>
      <c r="C10" s="12" t="e">
        <f>INDEX(#REF!,MATCH(B10,#REF!,0))</f>
        <v>#REF!</v>
      </c>
      <c r="D10" s="12" t="s">
        <v>60</v>
      </c>
      <c r="E10" s="12" t="s">
        <v>63</v>
      </c>
      <c r="F10" s="12" t="s">
        <v>40</v>
      </c>
      <c r="G10" s="12">
        <v>336000</v>
      </c>
      <c r="H10" s="12">
        <v>4.6100000000000002E-2</v>
      </c>
      <c r="I10" s="12" t="s">
        <v>25</v>
      </c>
      <c r="J10" s="12" t="s">
        <v>26</v>
      </c>
      <c r="K10" s="13">
        <v>1</v>
      </c>
      <c r="L10" s="13" t="s">
        <v>27</v>
      </c>
      <c r="M10" s="14" t="e">
        <f>scrap_assem</f>
        <v>#REF!</v>
      </c>
      <c r="N10" s="14" t="e">
        <f>ScrapSleeve</f>
        <v>#REF!</v>
      </c>
      <c r="O10" s="14" t="e">
        <f t="shared" si="0"/>
        <v>#REF!</v>
      </c>
      <c r="P10" s="17" t="e">
        <f t="shared" si="1"/>
        <v>#REF!</v>
      </c>
      <c r="Q10" s="14">
        <v>1</v>
      </c>
      <c r="R10" s="14">
        <v>1</v>
      </c>
      <c r="S10" s="14" t="s">
        <v>28</v>
      </c>
      <c r="T10" s="14">
        <f t="shared" si="2"/>
        <v>1</v>
      </c>
      <c r="U10" s="17" t="e">
        <f t="shared" si="3"/>
        <v>#REF!</v>
      </c>
      <c r="V10" s="20" t="e">
        <f t="shared" si="4"/>
        <v>#REF!</v>
      </c>
    </row>
    <row r="11" spans="1:22" x14ac:dyDescent="0.25">
      <c r="A11" s="13" t="s">
        <v>47</v>
      </c>
      <c r="B11" s="12" t="s">
        <v>85</v>
      </c>
      <c r="C11" s="12" t="e">
        <f>INDEX(#REF!,MATCH(B11,#REF!,0))</f>
        <v>#REF!</v>
      </c>
      <c r="D11" s="12" t="s">
        <v>39</v>
      </c>
      <c r="E11" s="12" t="s">
        <v>64</v>
      </c>
      <c r="F11" s="12" t="s">
        <v>40</v>
      </c>
      <c r="G11" s="12">
        <v>600000</v>
      </c>
      <c r="H11" s="12">
        <v>1.2500000000000001E-2</v>
      </c>
      <c r="I11" s="12" t="s">
        <v>25</v>
      </c>
      <c r="J11" s="12" t="s">
        <v>26</v>
      </c>
      <c r="K11" s="13">
        <v>1</v>
      </c>
      <c r="L11" s="13" t="s">
        <v>27</v>
      </c>
      <c r="M11" s="14" t="e">
        <f>scrap_assem</f>
        <v>#REF!</v>
      </c>
      <c r="N11" s="14" t="e">
        <f>ScrapSleeveCap</f>
        <v>#REF!</v>
      </c>
      <c r="O11" s="14" t="e">
        <f t="shared" si="0"/>
        <v>#REF!</v>
      </c>
      <c r="P11" s="17" t="e">
        <f t="shared" si="1"/>
        <v>#REF!</v>
      </c>
      <c r="Q11" s="14">
        <v>1</v>
      </c>
      <c r="R11" s="14">
        <v>1</v>
      </c>
      <c r="S11" s="14" t="s">
        <v>28</v>
      </c>
      <c r="T11" s="14">
        <f t="shared" si="2"/>
        <v>1</v>
      </c>
      <c r="U11" s="17" t="e">
        <f t="shared" si="3"/>
        <v>#REF!</v>
      </c>
      <c r="V11" s="20" t="e">
        <f t="shared" si="4"/>
        <v>#REF!</v>
      </c>
    </row>
    <row r="12" spans="1:22" x14ac:dyDescent="0.25">
      <c r="A12" s="13" t="s">
        <v>48</v>
      </c>
      <c r="B12" s="12" t="s">
        <v>49</v>
      </c>
      <c r="C12" s="12" t="e">
        <f>INDEX(#REF!,MATCH(B12,#REF!,0))</f>
        <v>#REF!</v>
      </c>
      <c r="D12" s="12" t="s">
        <v>50</v>
      </c>
      <c r="E12" s="12" t="s">
        <v>51</v>
      </c>
      <c r="F12" s="12" t="s">
        <v>52</v>
      </c>
      <c r="G12" s="12">
        <v>270000</v>
      </c>
      <c r="H12" s="12">
        <v>9.426000000000001E-2</v>
      </c>
      <c r="I12" s="12" t="s">
        <v>25</v>
      </c>
      <c r="J12" s="12" t="s">
        <v>26</v>
      </c>
      <c r="K12" s="13">
        <v>1</v>
      </c>
      <c r="L12" s="13" t="s">
        <v>27</v>
      </c>
      <c r="M12" s="14" t="e">
        <f>scrap_fill</f>
        <v>#REF!</v>
      </c>
      <c r="N12" s="14" t="e">
        <f>scrap5StopNest</f>
        <v>#REF!</v>
      </c>
      <c r="O12" s="14" t="e">
        <f t="shared" si="0"/>
        <v>#REF!</v>
      </c>
      <c r="P12" s="17" t="e">
        <f t="shared" si="1"/>
        <v>#REF!</v>
      </c>
      <c r="Q12" s="14">
        <v>1</v>
      </c>
      <c r="R12" s="14" t="e">
        <f>visJapIn</f>
        <v>#REF!</v>
      </c>
      <c r="S12" s="14" t="s">
        <v>78</v>
      </c>
      <c r="T12" s="14" t="e">
        <f t="shared" si="2"/>
        <v>#REF!</v>
      </c>
      <c r="U12" s="17" t="e">
        <f t="shared" si="3"/>
        <v>#REF!</v>
      </c>
      <c r="V12" s="20" t="e">
        <f t="shared" si="4"/>
        <v>#REF!</v>
      </c>
    </row>
    <row r="13" spans="1:22" x14ac:dyDescent="0.25">
      <c r="A13" s="13" t="s">
        <v>48</v>
      </c>
      <c r="B13" s="12" t="s">
        <v>53</v>
      </c>
      <c r="C13" s="12" t="e">
        <f>INDEX(#REF!,MATCH(B13,#REF!,0))</f>
        <v>#REF!</v>
      </c>
      <c r="D13" s="12" t="s">
        <v>50</v>
      </c>
      <c r="E13" s="12" t="s">
        <v>54</v>
      </c>
      <c r="F13" s="12" t="s">
        <v>52</v>
      </c>
      <c r="G13" s="12">
        <v>270000</v>
      </c>
      <c r="H13" s="12">
        <v>3.9199999999999999E-2</v>
      </c>
      <c r="I13" s="12" t="s">
        <v>25</v>
      </c>
      <c r="J13" s="12" t="s">
        <v>26</v>
      </c>
      <c r="K13" s="13">
        <v>1</v>
      </c>
      <c r="L13" s="13" t="s">
        <v>27</v>
      </c>
      <c r="M13" s="14" t="e">
        <f>scrap_fill</f>
        <v>#REF!</v>
      </c>
      <c r="N13" s="14" t="e">
        <f>scrap5StopBSCF</f>
        <v>#REF!</v>
      </c>
      <c r="O13" s="14" t="e">
        <f t="shared" si="0"/>
        <v>#REF!</v>
      </c>
      <c r="P13" s="17" t="e">
        <f t="shared" si="1"/>
        <v>#REF!</v>
      </c>
      <c r="Q13" s="14">
        <v>1</v>
      </c>
      <c r="R13" s="14" t="e">
        <f>visjapGr</f>
        <v>#REF!</v>
      </c>
      <c r="S13" s="14" t="s">
        <v>75</v>
      </c>
      <c r="T13" s="14" t="e">
        <f t="shared" si="2"/>
        <v>#REF!</v>
      </c>
      <c r="U13" s="17" t="e">
        <f t="shared" si="3"/>
        <v>#REF!</v>
      </c>
      <c r="V13" s="20" t="e">
        <f t="shared" si="4"/>
        <v>#REF!</v>
      </c>
    </row>
    <row r="14" spans="1:22" x14ac:dyDescent="0.25">
      <c r="A14" s="13" t="s">
        <v>55</v>
      </c>
      <c r="B14" s="12" t="s">
        <v>65</v>
      </c>
      <c r="C14" s="12" t="e">
        <f>INDEX(#REF!,MATCH(B14,#REF!,0))</f>
        <v>#REF!</v>
      </c>
      <c r="D14" s="12" t="s">
        <v>60</v>
      </c>
      <c r="E14" s="12" t="s">
        <v>56</v>
      </c>
      <c r="F14" s="12" t="s">
        <v>60</v>
      </c>
      <c r="G14" s="12"/>
      <c r="H14" s="12" t="e">
        <f>#REF!</f>
        <v>#REF!</v>
      </c>
      <c r="I14" s="12" t="e">
        <f>#REF!</f>
        <v>#REF!</v>
      </c>
      <c r="J14" s="12" t="e">
        <f>#REF!</f>
        <v>#REF!</v>
      </c>
      <c r="K14" s="13">
        <v>1</v>
      </c>
      <c r="L14" s="13" t="s">
        <v>27</v>
      </c>
      <c r="M14" s="14" t="e">
        <f>scrap_fill</f>
        <v>#REF!</v>
      </c>
      <c r="N14" s="14">
        <v>1</v>
      </c>
      <c r="O14" s="14" t="e">
        <f t="shared" si="0"/>
        <v>#REF!</v>
      </c>
      <c r="P14" s="17" t="e">
        <f t="shared" si="1"/>
        <v>#REF!</v>
      </c>
      <c r="Q14" s="14">
        <v>1</v>
      </c>
      <c r="R14" s="14">
        <v>1</v>
      </c>
      <c r="S14" s="14" t="s">
        <v>82</v>
      </c>
      <c r="T14" s="14">
        <f t="shared" si="2"/>
        <v>1</v>
      </c>
      <c r="U14" s="17" t="e">
        <f t="shared" si="3"/>
        <v>#REF!</v>
      </c>
      <c r="V14" s="20" t="e">
        <f t="shared" si="4"/>
        <v>#REF!</v>
      </c>
    </row>
    <row r="15" spans="1:22" x14ac:dyDescent="0.25">
      <c r="A15" s="13" t="s">
        <v>21</v>
      </c>
      <c r="B15" s="12">
        <v>37400400010</v>
      </c>
      <c r="C15" s="12" t="e">
        <f>INDEX(#REF!,MATCH(B15,#REF!,0))</f>
        <v>#REF!</v>
      </c>
      <c r="D15" s="12" t="s">
        <v>22</v>
      </c>
      <c r="E15" s="12" t="s">
        <v>66</v>
      </c>
      <c r="F15" s="12" t="s">
        <v>24</v>
      </c>
      <c r="G15" s="12">
        <v>280000</v>
      </c>
      <c r="H15" s="12">
        <v>0.13339999999999999</v>
      </c>
      <c r="I15" s="12" t="s">
        <v>25</v>
      </c>
      <c r="J15" s="12" t="s">
        <v>26</v>
      </c>
      <c r="K15" s="13">
        <v>1</v>
      </c>
      <c r="L15" s="13" t="s">
        <v>27</v>
      </c>
      <c r="M15" s="14" t="e">
        <f>scrap_blist</f>
        <v>#REF!</v>
      </c>
      <c r="N15" s="14" t="e">
        <f>ScrapCannula</f>
        <v>#REF!</v>
      </c>
      <c r="O15" s="14" t="e">
        <f t="shared" si="0"/>
        <v>#REF!</v>
      </c>
      <c r="P15" s="17" t="e">
        <f t="shared" si="1"/>
        <v>#REF!</v>
      </c>
      <c r="Q15" s="14">
        <v>1</v>
      </c>
      <c r="R15" s="14">
        <v>1</v>
      </c>
      <c r="S15" s="14" t="s">
        <v>28</v>
      </c>
      <c r="T15" s="14">
        <f>R15*Q15</f>
        <v>1</v>
      </c>
      <c r="U15" s="17" t="e">
        <f t="shared" si="3"/>
        <v>#REF!</v>
      </c>
      <c r="V15" s="20" t="e">
        <f t="shared" si="4"/>
        <v>#REF!</v>
      </c>
    </row>
    <row r="16" spans="1:22" x14ac:dyDescent="0.25">
      <c r="A16" s="13" t="s">
        <v>21</v>
      </c>
      <c r="B16" s="12">
        <v>37400400010</v>
      </c>
      <c r="C16" s="12" t="e">
        <f>INDEX(#REF!,MATCH(B16,#REF!,0))</f>
        <v>#REF!</v>
      </c>
      <c r="D16" s="12" t="s">
        <v>29</v>
      </c>
      <c r="E16" s="12" t="s">
        <v>66</v>
      </c>
      <c r="F16" s="12" t="s">
        <v>30</v>
      </c>
      <c r="G16" s="12">
        <v>140000</v>
      </c>
      <c r="H16" s="12">
        <v>0.13339999999999999</v>
      </c>
      <c r="I16" s="12" t="s">
        <v>25</v>
      </c>
      <c r="J16" s="12" t="s">
        <v>26</v>
      </c>
      <c r="K16" s="13">
        <v>1</v>
      </c>
      <c r="L16" s="13" t="s">
        <v>27</v>
      </c>
      <c r="M16" s="14" t="e">
        <f>scrap_blist</f>
        <v>#REF!</v>
      </c>
      <c r="N16" s="14" t="e">
        <f>ScrapCannula</f>
        <v>#REF!</v>
      </c>
      <c r="O16" s="14" t="e">
        <f t="shared" si="0"/>
        <v>#REF!</v>
      </c>
      <c r="P16" s="17" t="e">
        <f t="shared" si="1"/>
        <v>#REF!</v>
      </c>
      <c r="Q16" s="14">
        <v>0</v>
      </c>
      <c r="R16" s="14">
        <v>1</v>
      </c>
      <c r="S16" s="14" t="s">
        <v>28</v>
      </c>
      <c r="T16" s="14">
        <f t="shared" ref="T16:T30" si="5">R16*Q16</f>
        <v>0</v>
      </c>
      <c r="U16" s="17" t="e">
        <f t="shared" si="3"/>
        <v>#REF!</v>
      </c>
      <c r="V16" s="20" t="e">
        <f t="shared" si="4"/>
        <v>#REF!</v>
      </c>
    </row>
    <row r="17" spans="1:22" x14ac:dyDescent="0.25">
      <c r="A17" s="13" t="s">
        <v>35</v>
      </c>
      <c r="B17" s="12">
        <v>37400300010</v>
      </c>
      <c r="C17" s="12" t="e">
        <f>INDEX(#REF!,MATCH(B17,#REF!,0))</f>
        <v>#REF!</v>
      </c>
      <c r="D17" s="12" t="s">
        <v>39</v>
      </c>
      <c r="E17" s="12" t="s">
        <v>67</v>
      </c>
      <c r="F17" s="12" t="s">
        <v>40</v>
      </c>
      <c r="G17" s="12">
        <v>540000</v>
      </c>
      <c r="H17" s="12">
        <v>1.4500000000000001E-2</v>
      </c>
      <c r="I17" s="12" t="s">
        <v>25</v>
      </c>
      <c r="J17" s="12" t="s">
        <v>26</v>
      </c>
      <c r="K17" s="13">
        <v>1</v>
      </c>
      <c r="L17" s="13" t="s">
        <v>27</v>
      </c>
      <c r="M17" s="14" t="e">
        <f>scrap_blist</f>
        <v>#REF!</v>
      </c>
      <c r="N17" s="14" t="e">
        <f>ScrapLC</f>
        <v>#REF!</v>
      </c>
      <c r="O17" s="14" t="e">
        <f t="shared" si="0"/>
        <v>#REF!</v>
      </c>
      <c r="P17" s="17" t="e">
        <f t="shared" si="1"/>
        <v>#REF!</v>
      </c>
      <c r="Q17" s="14">
        <v>0.5</v>
      </c>
      <c r="R17" s="14">
        <v>1</v>
      </c>
      <c r="S17" s="14" t="s">
        <v>28</v>
      </c>
      <c r="T17" s="14">
        <f t="shared" si="5"/>
        <v>0.5</v>
      </c>
      <c r="U17" s="17" t="e">
        <f t="shared" si="3"/>
        <v>#REF!</v>
      </c>
      <c r="V17" s="20" t="e">
        <f t="shared" si="4"/>
        <v>#REF!</v>
      </c>
    </row>
    <row r="18" spans="1:22" x14ac:dyDescent="0.25">
      <c r="A18" s="13" t="s">
        <v>35</v>
      </c>
      <c r="B18" s="12">
        <v>37400300010</v>
      </c>
      <c r="C18" s="12" t="e">
        <f>INDEX(#REF!,MATCH(B18,#REF!,0))</f>
        <v>#REF!</v>
      </c>
      <c r="D18" s="12" t="s">
        <v>36</v>
      </c>
      <c r="E18" s="12" t="s">
        <v>67</v>
      </c>
      <c r="F18" s="12" t="s">
        <v>38</v>
      </c>
      <c r="G18" s="12">
        <v>192000</v>
      </c>
      <c r="H18" s="12">
        <v>1.414E-2</v>
      </c>
      <c r="I18" s="12" t="s">
        <v>25</v>
      </c>
      <c r="J18" s="12" t="s">
        <v>26</v>
      </c>
      <c r="K18" s="13">
        <v>1</v>
      </c>
      <c r="L18" s="13" t="s">
        <v>27</v>
      </c>
      <c r="M18" s="14" t="e">
        <f>scrap_blist</f>
        <v>#REF!</v>
      </c>
      <c r="N18" s="14" t="e">
        <f>ScrapLC</f>
        <v>#REF!</v>
      </c>
      <c r="O18" s="14" t="e">
        <f t="shared" si="0"/>
        <v>#REF!</v>
      </c>
      <c r="P18" s="17" t="e">
        <f t="shared" si="1"/>
        <v>#REF!</v>
      </c>
      <c r="Q18" s="14">
        <v>0.5</v>
      </c>
      <c r="R18" s="14">
        <v>1</v>
      </c>
      <c r="S18" s="14" t="s">
        <v>28</v>
      </c>
      <c r="T18" s="14">
        <f t="shared" si="5"/>
        <v>0.5</v>
      </c>
      <c r="U18" s="17" t="e">
        <f t="shared" si="3"/>
        <v>#REF!</v>
      </c>
      <c r="V18" s="20" t="e">
        <f t="shared" si="4"/>
        <v>#REF!</v>
      </c>
    </row>
    <row r="19" spans="1:22" ht="20.399999999999999" x14ac:dyDescent="0.25">
      <c r="A19" s="13" t="s">
        <v>41</v>
      </c>
      <c r="B19" s="12" t="s">
        <v>87</v>
      </c>
      <c r="C19" s="12" t="e">
        <f>INDEX(#REF!,MATCH(B19,#REF!,0))</f>
        <v>#REF!</v>
      </c>
      <c r="D19" s="12" t="s">
        <v>68</v>
      </c>
      <c r="E19" s="12" t="s">
        <v>84</v>
      </c>
      <c r="F19" s="12" t="s">
        <v>68</v>
      </c>
      <c r="G19" s="12">
        <v>2</v>
      </c>
      <c r="H19" s="12">
        <v>568000</v>
      </c>
      <c r="I19" s="24" t="s">
        <v>33</v>
      </c>
      <c r="J19" s="16" t="s">
        <v>43</v>
      </c>
      <c r="K19" s="15">
        <v>1.3285714285714285E-5</v>
      </c>
      <c r="L19" s="13" t="s">
        <v>34</v>
      </c>
      <c r="M19" s="14" t="e">
        <f>scrap_fill</f>
        <v>#REF!</v>
      </c>
      <c r="N19" s="14">
        <v>1</v>
      </c>
      <c r="O19" s="14" t="e">
        <f t="shared" si="0"/>
        <v>#REF!</v>
      </c>
      <c r="P19" s="15">
        <v>1.32857142857143E-5</v>
      </c>
      <c r="Q19" s="14">
        <v>1</v>
      </c>
      <c r="R19" s="14">
        <v>1</v>
      </c>
      <c r="S19" s="14" t="s">
        <v>28</v>
      </c>
      <c r="T19" s="14">
        <f t="shared" si="5"/>
        <v>1</v>
      </c>
      <c r="U19" s="15">
        <f t="shared" si="3"/>
        <v>1.32857142857143E-5</v>
      </c>
      <c r="V19" s="20" t="e">
        <f>U19*H19/EURUSD</f>
        <v>#REF!</v>
      </c>
    </row>
    <row r="20" spans="1:22" x14ac:dyDescent="0.25">
      <c r="A20" s="13" t="s">
        <v>44</v>
      </c>
      <c r="B20" s="12">
        <v>37400100010</v>
      </c>
      <c r="C20" s="12" t="e">
        <f>INDEX(#REF!,MATCH(B20,#REF!,0))</f>
        <v>#REF!</v>
      </c>
      <c r="D20" s="12" t="s">
        <v>36</v>
      </c>
      <c r="E20" s="12" t="s">
        <v>69</v>
      </c>
      <c r="F20" s="12" t="s">
        <v>38</v>
      </c>
      <c r="G20" s="12">
        <v>420000</v>
      </c>
      <c r="H20" s="12">
        <v>1.908E-2</v>
      </c>
      <c r="I20" s="12" t="s">
        <v>25</v>
      </c>
      <c r="J20" s="12" t="s">
        <v>26</v>
      </c>
      <c r="K20" s="13">
        <v>1</v>
      </c>
      <c r="L20" s="13" t="s">
        <v>27</v>
      </c>
      <c r="M20" s="14" t="e">
        <f t="shared" ref="M20:M25" si="6">scrap_assem</f>
        <v>#REF!</v>
      </c>
      <c r="N20" s="14" t="e">
        <f>ScrapPR</f>
        <v>#REF!</v>
      </c>
      <c r="O20" s="14" t="e">
        <f t="shared" si="0"/>
        <v>#REF!</v>
      </c>
      <c r="P20" s="17" t="e">
        <f t="shared" si="1"/>
        <v>#REF!</v>
      </c>
      <c r="Q20" s="14">
        <v>0.5</v>
      </c>
      <c r="R20" s="14">
        <v>1</v>
      </c>
      <c r="S20" s="14" t="s">
        <v>28</v>
      </c>
      <c r="T20" s="14">
        <f t="shared" si="5"/>
        <v>0.5</v>
      </c>
      <c r="U20" s="17" t="e">
        <f t="shared" si="3"/>
        <v>#REF!</v>
      </c>
      <c r="V20" s="20" t="e">
        <f t="shared" si="4"/>
        <v>#REF!</v>
      </c>
    </row>
    <row r="21" spans="1:22" x14ac:dyDescent="0.25">
      <c r="A21" s="13" t="s">
        <v>44</v>
      </c>
      <c r="B21" s="12">
        <v>37400100010</v>
      </c>
      <c r="C21" s="12" t="e">
        <f>INDEX(#REF!,MATCH(B21,#REF!,0))</f>
        <v>#REF!</v>
      </c>
      <c r="D21" s="12" t="s">
        <v>39</v>
      </c>
      <c r="E21" s="12" t="s">
        <v>69</v>
      </c>
      <c r="F21" s="12" t="s">
        <v>40</v>
      </c>
      <c r="G21" s="12">
        <v>560000</v>
      </c>
      <c r="H21" s="12">
        <v>1.6320000000000001E-2</v>
      </c>
      <c r="I21" s="12" t="s">
        <v>25</v>
      </c>
      <c r="J21" s="12" t="s">
        <v>26</v>
      </c>
      <c r="K21" s="13">
        <v>1</v>
      </c>
      <c r="L21" s="13" t="s">
        <v>27</v>
      </c>
      <c r="M21" s="14" t="e">
        <f t="shared" si="6"/>
        <v>#REF!</v>
      </c>
      <c r="N21" s="14" t="e">
        <f>ScrapPR</f>
        <v>#REF!</v>
      </c>
      <c r="O21" s="14" t="e">
        <f t="shared" si="0"/>
        <v>#REF!</v>
      </c>
      <c r="P21" s="17" t="e">
        <f t="shared" si="1"/>
        <v>#REF!</v>
      </c>
      <c r="Q21" s="14">
        <v>0.5</v>
      </c>
      <c r="R21" s="14">
        <v>1</v>
      </c>
      <c r="S21" s="14" t="s">
        <v>28</v>
      </c>
      <c r="T21" s="14">
        <f t="shared" si="5"/>
        <v>0.5</v>
      </c>
      <c r="U21" s="17" t="e">
        <f t="shared" si="3"/>
        <v>#REF!</v>
      </c>
      <c r="V21" s="20" t="e">
        <f t="shared" si="4"/>
        <v>#REF!</v>
      </c>
    </row>
    <row r="22" spans="1:22" x14ac:dyDescent="0.25">
      <c r="A22" s="13" t="s">
        <v>46</v>
      </c>
      <c r="B22" s="12">
        <v>32783900020</v>
      </c>
      <c r="C22" s="12" t="e">
        <f>INDEX(#REF!,MATCH(B22,#REF!,0))</f>
        <v>#REF!</v>
      </c>
      <c r="D22" s="12" t="s">
        <v>39</v>
      </c>
      <c r="E22" s="12" t="s">
        <v>70</v>
      </c>
      <c r="F22" s="12" t="s">
        <v>40</v>
      </c>
      <c r="G22" s="12">
        <v>360000</v>
      </c>
      <c r="H22" s="12">
        <v>4.9500000000000002E-2</v>
      </c>
      <c r="I22" s="12" t="s">
        <v>25</v>
      </c>
      <c r="J22" s="12" t="s">
        <v>26</v>
      </c>
      <c r="K22" s="13">
        <v>1</v>
      </c>
      <c r="L22" s="13" t="s">
        <v>27</v>
      </c>
      <c r="M22" s="14" t="e">
        <f t="shared" si="6"/>
        <v>#REF!</v>
      </c>
      <c r="N22" s="14" t="e">
        <f>ScrapSleeve</f>
        <v>#REF!</v>
      </c>
      <c r="O22" s="14" t="e">
        <f t="shared" si="0"/>
        <v>#REF!</v>
      </c>
      <c r="P22" s="17" t="e">
        <f t="shared" si="1"/>
        <v>#REF!</v>
      </c>
      <c r="Q22" s="14">
        <v>0.5</v>
      </c>
      <c r="R22" s="14">
        <v>1</v>
      </c>
      <c r="S22" s="14" t="s">
        <v>28</v>
      </c>
      <c r="T22" s="14">
        <f t="shared" si="5"/>
        <v>0.5</v>
      </c>
      <c r="U22" s="17" t="e">
        <f t="shared" si="3"/>
        <v>#REF!</v>
      </c>
      <c r="V22" s="20" t="e">
        <f t="shared" si="4"/>
        <v>#REF!</v>
      </c>
    </row>
    <row r="23" spans="1:22" x14ac:dyDescent="0.25">
      <c r="A23" s="13" t="s">
        <v>46</v>
      </c>
      <c r="B23" s="12">
        <v>32783900020</v>
      </c>
      <c r="C23" s="12" t="e">
        <f>INDEX(#REF!,MATCH(B23,#REF!,0))</f>
        <v>#REF!</v>
      </c>
      <c r="D23" s="12" t="s">
        <v>36</v>
      </c>
      <c r="E23" s="12" t="s">
        <v>70</v>
      </c>
      <c r="F23" s="12" t="s">
        <v>38</v>
      </c>
      <c r="G23" s="12">
        <v>360000</v>
      </c>
      <c r="H23" s="12">
        <v>5.5379999999999999E-2</v>
      </c>
      <c r="I23" s="12" t="s">
        <v>25</v>
      </c>
      <c r="J23" s="12" t="s">
        <v>26</v>
      </c>
      <c r="K23" s="13">
        <v>1</v>
      </c>
      <c r="L23" s="13" t="s">
        <v>27</v>
      </c>
      <c r="M23" s="14" t="e">
        <f t="shared" si="6"/>
        <v>#REF!</v>
      </c>
      <c r="N23" s="14" t="e">
        <f>ScrapSleeve</f>
        <v>#REF!</v>
      </c>
      <c r="O23" s="14" t="e">
        <f t="shared" si="0"/>
        <v>#REF!</v>
      </c>
      <c r="P23" s="17" t="e">
        <f t="shared" si="1"/>
        <v>#REF!</v>
      </c>
      <c r="Q23" s="14">
        <v>0.5</v>
      </c>
      <c r="R23" s="14">
        <v>1</v>
      </c>
      <c r="S23" s="14" t="s">
        <v>28</v>
      </c>
      <c r="T23" s="14">
        <f t="shared" si="5"/>
        <v>0.5</v>
      </c>
      <c r="U23" s="17" t="e">
        <f t="shared" si="3"/>
        <v>#REF!</v>
      </c>
      <c r="V23" s="20" t="e">
        <f t="shared" si="4"/>
        <v>#REF!</v>
      </c>
    </row>
    <row r="24" spans="1:22" x14ac:dyDescent="0.25">
      <c r="A24" s="13" t="s">
        <v>47</v>
      </c>
      <c r="B24" s="12">
        <v>37400200020</v>
      </c>
      <c r="C24" s="12" t="e">
        <f>INDEX(#REF!,MATCH(B24,#REF!,0))</f>
        <v>#REF!</v>
      </c>
      <c r="D24" s="12" t="s">
        <v>39</v>
      </c>
      <c r="E24" s="12" t="s">
        <v>71</v>
      </c>
      <c r="F24" s="12" t="s">
        <v>40</v>
      </c>
      <c r="G24" s="12">
        <v>995622</v>
      </c>
      <c r="H24" s="12">
        <v>1.18E-2</v>
      </c>
      <c r="I24" s="12" t="s">
        <v>25</v>
      </c>
      <c r="J24" s="12" t="s">
        <v>26</v>
      </c>
      <c r="K24" s="13">
        <v>1</v>
      </c>
      <c r="L24" s="13" t="s">
        <v>27</v>
      </c>
      <c r="M24" s="14" t="e">
        <f t="shared" si="6"/>
        <v>#REF!</v>
      </c>
      <c r="N24" s="14" t="e">
        <f>ScrapSleeveCap</f>
        <v>#REF!</v>
      </c>
      <c r="O24" s="14" t="e">
        <f t="shared" si="0"/>
        <v>#REF!</v>
      </c>
      <c r="P24" s="17" t="e">
        <f t="shared" si="1"/>
        <v>#REF!</v>
      </c>
      <c r="Q24" s="14">
        <v>0.5</v>
      </c>
      <c r="R24" s="14" t="e">
        <f>visJapIn</f>
        <v>#REF!</v>
      </c>
      <c r="S24" s="14" t="s">
        <v>28</v>
      </c>
      <c r="T24" s="14" t="e">
        <f t="shared" si="5"/>
        <v>#REF!</v>
      </c>
      <c r="U24" s="17" t="e">
        <f t="shared" si="3"/>
        <v>#REF!</v>
      </c>
      <c r="V24" s="20" t="e">
        <f t="shared" si="4"/>
        <v>#REF!</v>
      </c>
    </row>
    <row r="25" spans="1:22" x14ac:dyDescent="0.25">
      <c r="A25" s="13" t="s">
        <v>47</v>
      </c>
      <c r="B25" s="12" t="s">
        <v>72</v>
      </c>
      <c r="C25" s="12" t="e">
        <f>INDEX(#REF!,MATCH(B25,#REF!,0))</f>
        <v>#REF!</v>
      </c>
      <c r="D25" s="12" t="s">
        <v>36</v>
      </c>
      <c r="E25" s="12" t="s">
        <v>71</v>
      </c>
      <c r="F25" s="12" t="s">
        <v>38</v>
      </c>
      <c r="G25" s="12">
        <v>600000</v>
      </c>
      <c r="H25" s="12">
        <f>0.01685</f>
        <v>1.685E-2</v>
      </c>
      <c r="I25" s="12" t="s">
        <v>25</v>
      </c>
      <c r="J25" s="12" t="s">
        <v>26</v>
      </c>
      <c r="K25" s="13">
        <v>1</v>
      </c>
      <c r="L25" s="13" t="s">
        <v>27</v>
      </c>
      <c r="M25" s="14" t="e">
        <f t="shared" si="6"/>
        <v>#REF!</v>
      </c>
      <c r="N25" s="14" t="e">
        <f>ScrapSleeveCap</f>
        <v>#REF!</v>
      </c>
      <c r="O25" s="14" t="e">
        <f t="shared" si="0"/>
        <v>#REF!</v>
      </c>
      <c r="P25" s="17" t="e">
        <f t="shared" si="1"/>
        <v>#REF!</v>
      </c>
      <c r="Q25" s="14">
        <v>0.5</v>
      </c>
      <c r="R25" s="14" t="e">
        <f>visjapGr</f>
        <v>#REF!</v>
      </c>
      <c r="S25" s="14" t="s">
        <v>28</v>
      </c>
      <c r="T25" s="14" t="e">
        <f t="shared" si="5"/>
        <v>#REF!</v>
      </c>
      <c r="U25" s="17" t="e">
        <f t="shared" si="3"/>
        <v>#REF!</v>
      </c>
      <c r="V25" s="20" t="e">
        <f t="shared" si="4"/>
        <v>#REF!</v>
      </c>
    </row>
    <row r="26" spans="1:22" x14ac:dyDescent="0.25">
      <c r="A26" s="13" t="s">
        <v>48</v>
      </c>
      <c r="B26" s="12" t="s">
        <v>73</v>
      </c>
      <c r="C26" s="12" t="e">
        <f>INDEX(#REF!,MATCH(B26,#REF!,0))</f>
        <v>#REF!</v>
      </c>
      <c r="D26" s="12" t="s">
        <v>50</v>
      </c>
      <c r="E26" s="12" t="s">
        <v>74</v>
      </c>
      <c r="F26" s="12" t="s">
        <v>52</v>
      </c>
      <c r="G26" s="12">
        <v>216000</v>
      </c>
      <c r="H26" s="12">
        <v>5.2220000000000003E-2</v>
      </c>
      <c r="I26" s="12" t="s">
        <v>25</v>
      </c>
      <c r="J26" s="12" t="s">
        <v>26</v>
      </c>
      <c r="K26" s="13">
        <v>1</v>
      </c>
      <c r="L26" s="13" t="s">
        <v>27</v>
      </c>
      <c r="M26" s="14" t="e">
        <f>scrap_fill</f>
        <v>#REF!</v>
      </c>
      <c r="N26" s="14" t="e">
        <f>Scrap1StopBSCF</f>
        <v>#REF!</v>
      </c>
      <c r="O26" s="14" t="e">
        <f t="shared" si="0"/>
        <v>#REF!</v>
      </c>
      <c r="P26" s="17" t="e">
        <f t="shared" si="1"/>
        <v>#REF!</v>
      </c>
      <c r="Q26" s="14">
        <v>1</v>
      </c>
      <c r="R26" s="14">
        <v>1</v>
      </c>
      <c r="S26" s="14" t="s">
        <v>75</v>
      </c>
      <c r="T26" s="14">
        <f t="shared" si="5"/>
        <v>1</v>
      </c>
      <c r="U26" s="17" t="e">
        <f t="shared" si="3"/>
        <v>#REF!</v>
      </c>
      <c r="V26" s="20" t="e">
        <f t="shared" si="4"/>
        <v>#REF!</v>
      </c>
    </row>
    <row r="27" spans="1:22" x14ac:dyDescent="0.25">
      <c r="A27" s="13" t="s">
        <v>48</v>
      </c>
      <c r="B27" s="12" t="s">
        <v>76</v>
      </c>
      <c r="C27" s="12" t="e">
        <f>INDEX(#REF!,MATCH(B27,#REF!,0))</f>
        <v>#REF!</v>
      </c>
      <c r="D27" s="12" t="s">
        <v>57</v>
      </c>
      <c r="E27" s="12" t="s">
        <v>77</v>
      </c>
      <c r="F27" s="12" t="s">
        <v>58</v>
      </c>
      <c r="G27" s="12">
        <v>270000</v>
      </c>
      <c r="H27" s="12">
        <v>0.10795</v>
      </c>
      <c r="I27" s="12" t="s">
        <v>25</v>
      </c>
      <c r="J27" s="12" t="s">
        <v>26</v>
      </c>
      <c r="K27" s="13">
        <v>1</v>
      </c>
      <c r="L27" s="13" t="s">
        <v>27</v>
      </c>
      <c r="M27" s="14" t="e">
        <f>scrap_fill</f>
        <v>#REF!</v>
      </c>
      <c r="N27" s="14" t="e">
        <f>scrap1StopNest</f>
        <v>#REF!</v>
      </c>
      <c r="O27" s="14" t="e">
        <f t="shared" si="0"/>
        <v>#REF!</v>
      </c>
      <c r="P27" s="17" t="e">
        <f t="shared" si="1"/>
        <v>#REF!</v>
      </c>
      <c r="Q27" s="14">
        <v>0.5</v>
      </c>
      <c r="R27" s="14">
        <v>1</v>
      </c>
      <c r="S27" s="14" t="s">
        <v>78</v>
      </c>
      <c r="T27" s="14">
        <f t="shared" si="5"/>
        <v>0.5</v>
      </c>
      <c r="U27" s="17" t="e">
        <f t="shared" si="3"/>
        <v>#REF!</v>
      </c>
      <c r="V27" s="20" t="e">
        <f t="shared" si="4"/>
        <v>#REF!</v>
      </c>
    </row>
    <row r="28" spans="1:22" x14ac:dyDescent="0.25">
      <c r="A28" s="13" t="s">
        <v>48</v>
      </c>
      <c r="B28" s="12" t="s">
        <v>76</v>
      </c>
      <c r="C28" s="12" t="e">
        <f>INDEX(#REF!,MATCH(B28,#REF!,0))</f>
        <v>#REF!</v>
      </c>
      <c r="D28" s="12" t="s">
        <v>79</v>
      </c>
      <c r="E28" s="12" t="s">
        <v>77</v>
      </c>
      <c r="F28" s="12" t="s">
        <v>52</v>
      </c>
      <c r="G28" s="12">
        <v>270000</v>
      </c>
      <c r="H28" s="12">
        <v>0.11383</v>
      </c>
      <c r="I28" s="12" t="s">
        <v>25</v>
      </c>
      <c r="J28" s="12" t="s">
        <v>26</v>
      </c>
      <c r="K28" s="13">
        <v>1</v>
      </c>
      <c r="L28" s="13" t="s">
        <v>27</v>
      </c>
      <c r="M28" s="14" t="e">
        <f>scrap_fill</f>
        <v>#REF!</v>
      </c>
      <c r="N28" s="14" t="e">
        <f>scrap1StopNest</f>
        <v>#REF!</v>
      </c>
      <c r="O28" s="14" t="e">
        <f t="shared" si="0"/>
        <v>#REF!</v>
      </c>
      <c r="P28" s="17" t="e">
        <f t="shared" si="1"/>
        <v>#REF!</v>
      </c>
      <c r="Q28" s="14">
        <v>0.5</v>
      </c>
      <c r="R28" s="14">
        <v>1</v>
      </c>
      <c r="S28" s="14" t="s">
        <v>78</v>
      </c>
      <c r="T28" s="14">
        <f t="shared" si="5"/>
        <v>0.5</v>
      </c>
      <c r="U28" s="17" t="e">
        <f t="shared" si="3"/>
        <v>#REF!</v>
      </c>
      <c r="V28" s="20" t="e">
        <f t="shared" si="4"/>
        <v>#REF!</v>
      </c>
    </row>
    <row r="29" spans="1:22" x14ac:dyDescent="0.25">
      <c r="A29" s="13" t="s">
        <v>55</v>
      </c>
      <c r="B29" s="12" t="s">
        <v>80</v>
      </c>
      <c r="C29" s="12" t="e">
        <f>INDEX(#REF!,MATCH(B29,#REF!,0))</f>
        <v>#REF!</v>
      </c>
      <c r="D29" s="12" t="s">
        <v>57</v>
      </c>
      <c r="E29" s="12" t="s">
        <v>81</v>
      </c>
      <c r="F29" s="12" t="s">
        <v>58</v>
      </c>
      <c r="G29" s="12">
        <v>237800</v>
      </c>
      <c r="H29" s="12">
        <v>0.74960000000000004</v>
      </c>
      <c r="I29" s="12" t="s">
        <v>25</v>
      </c>
      <c r="J29" s="12" t="s">
        <v>26</v>
      </c>
      <c r="K29" s="13">
        <v>1</v>
      </c>
      <c r="L29" s="13" t="s">
        <v>27</v>
      </c>
      <c r="M29" s="14" t="e">
        <f>scrap_fill</f>
        <v>#REF!</v>
      </c>
      <c r="N29" s="14" t="e">
        <f>scrap1syr</f>
        <v>#REF!</v>
      </c>
      <c r="O29" s="14" t="e">
        <f t="shared" si="0"/>
        <v>#REF!</v>
      </c>
      <c r="P29" s="17" t="e">
        <f t="shared" si="1"/>
        <v>#REF!</v>
      </c>
      <c r="Q29" s="14">
        <v>0.5</v>
      </c>
      <c r="R29" s="14">
        <v>1</v>
      </c>
      <c r="S29" s="14" t="s">
        <v>82</v>
      </c>
      <c r="T29" s="14">
        <f t="shared" si="5"/>
        <v>0.5</v>
      </c>
      <c r="U29" s="17" t="e">
        <f t="shared" si="3"/>
        <v>#REF!</v>
      </c>
      <c r="V29" s="20" t="e">
        <f t="shared" si="4"/>
        <v>#REF!</v>
      </c>
    </row>
    <row r="30" spans="1:22" x14ac:dyDescent="0.25">
      <c r="A30" s="13" t="s">
        <v>55</v>
      </c>
      <c r="B30" s="12" t="s">
        <v>83</v>
      </c>
      <c r="C30" s="12" t="e">
        <f>INDEX(#REF!,MATCH(B30,#REF!,0))</f>
        <v>#REF!</v>
      </c>
      <c r="D30" s="12" t="s">
        <v>50</v>
      </c>
      <c r="E30" s="12" t="s">
        <v>81</v>
      </c>
      <c r="F30" s="12" t="s">
        <v>52</v>
      </c>
      <c r="G30" s="12">
        <v>270000</v>
      </c>
      <c r="H30" s="12">
        <v>0.84499999999999997</v>
      </c>
      <c r="I30" s="12" t="s">
        <v>25</v>
      </c>
      <c r="J30" s="12" t="s">
        <v>26</v>
      </c>
      <c r="K30" s="13">
        <v>1</v>
      </c>
      <c r="L30" s="13" t="s">
        <v>27</v>
      </c>
      <c r="M30" s="14" t="e">
        <f>scrap_fill</f>
        <v>#REF!</v>
      </c>
      <c r="N30" s="14" t="e">
        <f>scrap1syr</f>
        <v>#REF!</v>
      </c>
      <c r="O30" s="14" t="e">
        <f t="shared" si="0"/>
        <v>#REF!</v>
      </c>
      <c r="P30" s="17" t="e">
        <f t="shared" si="1"/>
        <v>#REF!</v>
      </c>
      <c r="Q30" s="14">
        <v>0.5</v>
      </c>
      <c r="R30" s="14">
        <v>1</v>
      </c>
      <c r="S30" s="14" t="s">
        <v>82</v>
      </c>
      <c r="T30" s="14">
        <f t="shared" si="5"/>
        <v>0.5</v>
      </c>
      <c r="U30" s="17" t="e">
        <f t="shared" si="3"/>
        <v>#REF!</v>
      </c>
      <c r="V30" s="20" t="e">
        <f t="shared" si="4"/>
        <v>#REF!</v>
      </c>
    </row>
    <row r="31" spans="1:22" x14ac:dyDescent="0.25">
      <c r="Q31"/>
      <c r="R31"/>
      <c r="S31"/>
      <c r="T31"/>
      <c r="U31" s="21" t="s">
        <v>14</v>
      </c>
      <c r="V31" s="22" t="e">
        <f>SUM(V3:V30)</f>
        <v>#REF!</v>
      </c>
    </row>
  </sheetData>
  <mergeCells count="1">
    <mergeCell ref="M1:O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8422271222FC4498E2AC4ED9A89E40" ma:contentTypeVersion="8" ma:contentTypeDescription="Create a new document." ma:contentTypeScope="" ma:versionID="2f5b9253f5ff9cce0ffd3c2c62c7c9af">
  <xsd:schema xmlns:xsd="http://www.w3.org/2001/XMLSchema" xmlns:xs="http://www.w3.org/2001/XMLSchema" xmlns:p="http://schemas.microsoft.com/office/2006/metadata/properties" xmlns:ns2="6c73f2b1-f654-4693-a6f8-29b0efb3b421" xmlns:ns3="dd156ee9-ae7a-41eb-bfb9-9e729d717c63" targetNamespace="http://schemas.microsoft.com/office/2006/metadata/properties" ma:root="true" ma:fieldsID="2d10666cd88f00a63221783c73238c77" ns2:_="" ns3:_="">
    <xsd:import namespace="6c73f2b1-f654-4693-a6f8-29b0efb3b421"/>
    <xsd:import namespace="dd156ee9-ae7a-41eb-bfb9-9e729d717c6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f2b1-f654-4693-a6f8-29b0efb3b4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56ee9-ae7a-41eb-bfb9-9e729d717c63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82F7D9-5059-4D6A-ADE8-7028EF9F03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5E6A89-DBA4-41B6-8A1E-2395963528C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d156ee9-ae7a-41eb-bfb9-9e729d717c63"/>
    <ds:schemaRef ds:uri="http://purl.org/dc/terms/"/>
    <ds:schemaRef ds:uri="http://schemas.openxmlformats.org/package/2006/metadata/core-properties"/>
    <ds:schemaRef ds:uri="6c73f2b1-f654-4693-a6f8-29b0efb3b42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7B26DF7-9A02-4119-B554-4ABDD830CA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73f2b1-f654-4693-a6f8-29b0efb3b421"/>
    <ds:schemaRef ds:uri="dd156ee9-ae7a-41eb-bfb9-9e729d717c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empty</vt:lpstr>
      <vt:lpstr>dirty_bom1</vt:lpstr>
      <vt:lpstr>dirty_bom2</vt:lpstr>
      <vt:lpstr>Dirty BOM Duovisc Japan</vt:lpstr>
    </vt:vector>
  </TitlesOfParts>
  <Manager/>
  <Company>Novartis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Carbonez, Arne (Ext)</dc:creator>
  <cp:keywords/>
  <dc:description/>
  <cp:lastModifiedBy>nxn</cp:lastModifiedBy>
  <cp:revision/>
  <dcterms:created xsi:type="dcterms:W3CDTF">2020-07-22T15:20:47Z</dcterms:created>
  <dcterms:modified xsi:type="dcterms:W3CDTF">2021-04-19T11:30:14Z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e47c19-e68f-4046-bf94-918d2dcc81ee_Enabled">
    <vt:lpwstr>true</vt:lpwstr>
  </property>
  <property fmtid="{D5CDD505-2E9C-101B-9397-08002B2CF9AE}" pid="3" name="MSIP_Label_a4e47c19-e68f-4046-bf94-918d2dcc81ee_SetDate">
    <vt:lpwstr>2020-09-15T16:35:29Z</vt:lpwstr>
  </property>
  <property fmtid="{D5CDD505-2E9C-101B-9397-08002B2CF9AE}" pid="4" name="MSIP_Label_a4e47c19-e68f-4046-bf94-918d2dcc81ee_Method">
    <vt:lpwstr>Standard</vt:lpwstr>
  </property>
  <property fmtid="{D5CDD505-2E9C-101B-9397-08002B2CF9AE}" pid="5" name="MSIP_Label_a4e47c19-e68f-4046-bf94-918d2dcc81ee_Name">
    <vt:lpwstr>Business Use Only</vt:lpwstr>
  </property>
  <property fmtid="{D5CDD505-2E9C-101B-9397-08002B2CF9AE}" pid="6" name="MSIP_Label_a4e47c19-e68f-4046-bf94-918d2dcc81ee_SiteId">
    <vt:lpwstr>34cd94b5-d86c-447f-8d9b-81b4ff94d329</vt:lpwstr>
  </property>
  <property fmtid="{D5CDD505-2E9C-101B-9397-08002B2CF9AE}" pid="7" name="MSIP_Label_a4e47c19-e68f-4046-bf94-918d2dcc81ee_ActionId">
    <vt:lpwstr>7689ec45-f5ff-43d1-bef5-896199f1a906</vt:lpwstr>
  </property>
  <property fmtid="{D5CDD505-2E9C-101B-9397-08002B2CF9AE}" pid="8" name="MSIP_Label_a4e47c19-e68f-4046-bf94-918d2dcc81ee_ContentBits">
    <vt:lpwstr>0</vt:lpwstr>
  </property>
  <property fmtid="{D5CDD505-2E9C-101B-9397-08002B2CF9AE}" pid="9" name="ContentTypeId">
    <vt:lpwstr>0x010100C18422271222FC4498E2AC4ED9A89E40</vt:lpwstr>
  </property>
</Properties>
</file>