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1.xml" ContentType="application/vnd.openxmlformats-officedocument.spreadsheetml.pivotCacheDefinition+xml"/>
  <Override PartName="/xl/slicerCaches/slicerCache1.xml" ContentType="application/vnd.ms-excel.slicerCache+xml"/>
  <Override PartName="/xl/pivotCache/pivotCacheDefinition1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shboard\"/>
    </mc:Choice>
  </mc:AlternateContent>
  <xr:revisionPtr revIDLastSave="0" documentId="13_ncr:1_{C63E3F5B-0FF4-4B84-921B-79CFBC999F40}" xr6:coauthVersionLast="47" xr6:coauthVersionMax="47" xr10:uidLastSave="{00000000-0000-0000-0000-000000000000}"/>
  <bookViews>
    <workbookView xWindow="-110" yWindow="-110" windowWidth="19420" windowHeight="10420" firstSheet="4" activeTab="7" xr2:uid="{46D4F659-2F2F-4D7F-A0F3-6A235E6B9B55}"/>
  </bookViews>
  <sheets>
    <sheet name="TargetPOMBTI" sheetId="6" r:id="rId1"/>
    <sheet name="TargetSalesBTI" sheetId="5" r:id="rId2"/>
    <sheet name="target_proses" sheetId="8" r:id="rId3"/>
    <sheet name="Dsource" sheetId="2" r:id="rId4"/>
    <sheet name="d.dashboard" sheetId="1" r:id="rId5"/>
    <sheet name="d.pareto" sheetId="10" r:id="rId6"/>
    <sheet name="d.soharian" sheetId="9" r:id="rId7"/>
    <sheet name="d.performance" sheetId="3" r:id="rId8"/>
    <sheet name="d.salesmanlob" sheetId="7" r:id="rId9"/>
    <sheet name="d.salesmanproses" sheetId="4" r:id="rId10"/>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15" r:id="rId20"/>
  </pivotCaches>
  <extLst>
    <ext xmlns:x14="http://schemas.microsoft.com/office/spreadsheetml/2009/9/main" uri="{876F7934-8845-4945-9796-88D515C7AA90}">
      <x14:pivotCaches>
        <pivotCache cacheId="9" r:id="rId21"/>
      </x14:pivotCaches>
    </ex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0" r:id="rId23"/>
      </x15:timelineCachePivotCaches>
    </ext>
    <ext xmlns:x15="http://schemas.microsoft.com/office/spreadsheetml/2010/11/main" uri="{D0CA8CA8-9F24-4464-BF8E-62219DCF47F9}">
      <x15:timelineCacheRefs>
        <x15:timelineCacheRef r:id="rId2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5" i="2" l="1"/>
  <c r="BH14" i="2"/>
  <c r="BG15" i="2"/>
  <c r="BF15" i="2"/>
  <c r="BG14" i="2"/>
  <c r="BF14" i="2"/>
  <c r="A24" i="9"/>
  <c r="A23" i="9"/>
  <c r="A22" i="9"/>
  <c r="A21" i="9"/>
  <c r="A20" i="9"/>
  <c r="A19" i="9"/>
  <c r="A18" i="9"/>
  <c r="A17" i="9"/>
  <c r="A16" i="9"/>
  <c r="A15" i="9"/>
  <c r="A14" i="9"/>
  <c r="A13" i="9"/>
  <c r="A12" i="9"/>
  <c r="A11" i="9"/>
  <c r="A10" i="9"/>
  <c r="A9" i="9"/>
  <c r="A8" i="9"/>
  <c r="A7" i="9"/>
  <c r="A6" i="9"/>
  <c r="A5" i="9"/>
  <c r="A4" i="9"/>
  <c r="A3" i="9"/>
  <c r="A2" i="9"/>
  <c r="B2" i="9"/>
  <c r="C2" i="9"/>
  <c r="D2" i="9"/>
  <c r="B3" i="9"/>
  <c r="C3" i="9"/>
  <c r="D3" i="9"/>
  <c r="B4" i="9"/>
  <c r="C4" i="9"/>
  <c r="D4" i="9"/>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6" i="4"/>
  <c r="B7" i="4"/>
  <c r="B5" i="4"/>
  <c r="B4" i="4"/>
  <c r="B3" i="4"/>
  <c r="B2" i="4"/>
  <c r="B7" i="3"/>
  <c r="B6" i="3"/>
  <c r="B5" i="3"/>
  <c r="B4" i="3"/>
  <c r="B3" i="3"/>
  <c r="B2" i="3"/>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2" i="4" l="1"/>
  <c r="AH6" i="4"/>
  <c r="AH3" i="4"/>
  <c r="AH4" i="4"/>
  <c r="AH7" i="4"/>
  <c r="AH5" i="4"/>
  <c r="D7" i="3" l="1"/>
  <c r="D6" i="3"/>
  <c r="D5" i="3"/>
  <c r="D4" i="3"/>
  <c r="D3" i="3"/>
  <c r="D2" i="3"/>
  <c r="G9" i="1"/>
  <c r="F9" i="1"/>
  <c r="G8" i="1"/>
  <c r="F8" i="1"/>
  <c r="G7" i="1"/>
  <c r="F7" i="1"/>
  <c r="G6" i="1"/>
  <c r="F6" i="1"/>
  <c r="G5" i="1"/>
  <c r="F5" i="1"/>
  <c r="G4" i="1"/>
  <c r="F4" i="1"/>
  <c r="G3" i="1"/>
  <c r="F3" i="1"/>
  <c r="G2" i="1"/>
  <c r="F2" i="1"/>
  <c r="F10" i="1" s="1"/>
  <c r="D9" i="1"/>
  <c r="D8" i="1"/>
  <c r="D7" i="1"/>
  <c r="D6" i="1"/>
  <c r="D5" i="1"/>
  <c r="D4" i="1"/>
  <c r="D3" i="1"/>
  <c r="D2" i="1"/>
  <c r="E9" i="1"/>
  <c r="E8" i="1"/>
  <c r="E7" i="1"/>
  <c r="E6" i="1"/>
  <c r="E5" i="1"/>
  <c r="E4" i="1"/>
  <c r="E3" i="1"/>
  <c r="E2" i="1"/>
  <c r="C9" i="1"/>
  <c r="C8" i="1"/>
  <c r="C7" i="1"/>
  <c r="C6" i="1"/>
  <c r="C5" i="1"/>
  <c r="C4" i="1"/>
  <c r="C3" i="1"/>
  <c r="C2" i="1"/>
  <c r="E10" i="1" l="1"/>
  <c r="G10" i="1"/>
  <c r="C10" i="1"/>
  <c r="D10" i="1"/>
  <c r="J5" i="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L10" i="1" l="1"/>
  <c r="J10" i="1"/>
  <c r="I10" i="1"/>
  <c r="H10" i="1"/>
  <c r="K10" i="1" s="1"/>
  <c r="I7" i="3"/>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9">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s v="{[Dim_Product].[Product].[All]}"/>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<sst xmlns="http://schemas.openxmlformats.org/spreadsheetml/2006/main" count="1694" uniqueCount="193">
  <si>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</si>
  <si>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</si>
  <si>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</si>
  <si>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</si>
  <si>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</si>
  <si>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</si>
  <si>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</si>
  <si>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</si>
  <si>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</si>
  <si>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</si>
  <si>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</si>
  <si>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</si>
  <si>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</si>
  <si>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</si>
  <si>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</si>
  <si>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</si>
  <si>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</si>
  <si>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</si>
  <si>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</si>
  <si>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</si>
  <si>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</si>
  <si>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</si>
  <si>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</si>
  <si>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</si>
  <si>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</si>
  <si>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</si>
  <si>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</si>
  <si>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</si>
  <si>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</si>
  <si>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</si>
  <si>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</si>
  <si>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</si>
  <si>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</si>
  <si>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</si>
  <si>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</si>
  <si>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</si>
  <si>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</si>
  <si>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</si>
  <si>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</si>
  <si>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</si>
  <si>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</si>
  <si>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</si>
  <si>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</si>
  <si>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</si>
  <si>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</si>
  <si>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</si>
  <si>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</si>
  <si>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</si>
  <si>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</si>
  <si>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</si>
  <si>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</si>
  <si>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</si>
  <si>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</si>
  <si>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</si>
  <si>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</si>
  <si>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</si>
  <si>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</si>
  <si>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</si>
  <si>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</si>
  <si>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</si>
  <si>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</si>
  <si>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</si>
  <si>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</si>
  <si>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</si>
  <si>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</si>
  <si>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</si>
  <si>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</si>
  <si>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</si>
  <si>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</si>
  <si>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</si>
  <si>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</si>
  <si>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</si>
  <si>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</si>
  <si>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</si>
  <si>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</si>
  <si>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</si>
  <si>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</si>
  <si>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</si>
  <si>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</si>
  <si>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</si>
  <si>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</si>
  <si>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</si>
  <si>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</si>
  <si>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</si>
  <si>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</si>
  <si>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</si>
  <si>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</si>
  <si>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</si>
  <si>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</si>
  <si>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</si>
  <si>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</si>
  <si>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</si>
  <si>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</si>
  <si>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</si>
  <si>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</si>
  <si>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</si>
  <si>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</si>
  <si>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</si>
  <si>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</si>
  <si>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</si>
  <si>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</si>
  <si>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</si>
  <si>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</si>
  <si>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</si>
  <si>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</si>
  <si>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</si>
  <si>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</si>
  <si>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</si>
  <si>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</si>
  <si>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</si>
  <si>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</si>
  <si>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</si>
  <si>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</si>
  <si>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</si>
  <si>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</si>
  <si>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</si>
  <si>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</si>
  <si>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</si>
  <si>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</si>
  <si>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</si>
  <si>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</si>
  <si>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</si>
  <si>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</si>
  <si>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</si>
  <si>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</si>
  <si>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</si>
  <si>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</si>
  <si>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</si>
  <si>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</si>
  <si>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</si>
  <si>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</si>
  <si>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</si>
  <si>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</si>
  <si>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</si>
  <si>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</si>
  <si>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</si>
  <si>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</si>
  <si>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</si>
  <si>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</si>
  <si>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</si>
  <si>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</si>
  <si>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</si>
  <si>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</si>
  <si>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</si>
  <si>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</si>
  <si>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</si>
  <si>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</si>
  <si>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</si>
  <si>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</si>
  <si>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</si>
  <si>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</si>
  <si>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</si>
  <si>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</si>
  <si>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</si>
  <si>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</si>
  <si>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</si>
  <si>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</si>
  <si>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</si>
  <si>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</si>
  <si>
    <t>Others</t>
  </si>
  <si>
    <t>Product</t>
  </si>
  <si>
    <t>6/2/2025</t>
  </si>
  <si>
    <t>6/3/2025</t>
  </si>
  <si>
    <t>6/4/2025</t>
  </si>
  <si>
    <t>6/5/2025</t>
  </si>
  <si>
    <t>6/7/2025</t>
  </si>
  <si>
    <t>6/9/2025</t>
  </si>
  <si>
    <t>6/10/2025</t>
  </si>
  <si>
    <t>6/11/2025</t>
  </si>
  <si>
    <t>6/12/2025</t>
  </si>
  <si>
    <t>6/13/2025</t>
  </si>
  <si>
    <t>6/14/2025</t>
  </si>
  <si>
    <t>6/16/2025</t>
  </si>
  <si>
    <t>6/17/2025</t>
  </si>
  <si>
    <t>6/18/2025</t>
  </si>
  <si>
    <t>6/19/2025</t>
  </si>
  <si>
    <t>6/20/2025</t>
  </si>
  <si>
    <t>6/21/2025</t>
  </si>
  <si>
    <t>6/23/2025</t>
  </si>
  <si>
    <t>6/24/2025</t>
  </si>
  <si>
    <t>6/25/2025</t>
  </si>
  <si>
    <t>6/26/2025</t>
  </si>
  <si>
    <t>6/28/2025</t>
  </si>
  <si>
    <t>6/30/2025</t>
  </si>
  <si>
    <t>SalesOrderValue</t>
  </si>
  <si>
    <t>Tgl</t>
  </si>
  <si>
    <t>SO</t>
  </si>
  <si>
    <t>DO</t>
  </si>
  <si>
    <t>Sum of Ach</t>
  </si>
  <si>
    <t>Sum of Target</t>
  </si>
  <si>
    <t>Sum of Actual</t>
  </si>
  <si>
    <t>GPPJ+GEN</t>
  </si>
  <si>
    <t>GBS+OTHERS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</si>
</sst>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7">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xf numFmtId="0" fontId="0" fillId="0" borderId="0" xfId="0" pivotButton="1"/>
    <xf numFmtId="0" fontId="0" fillId="0" borderId="0" xfId="0" applyAlignment="1">
      <alignment horizontal="left"/>
    </xf>
    <xf numFmtId="43" fontId="0" fillId="0" borderId="0" xfId="0" applyNumberFormat="1"/>
  </cellXfs>
  <cellStyles count="3">
    <cellStyle name="Comma" xfId="1" builtinId="3"/>
    <cellStyle name="Normal" xfId="0" builtinId="0"/>
    <cellStyle name="Percent" xfId="2" builtinId="5"/>
  </cellStyles>
  <dxfs count="48">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ivotCacheDefinition" Target="pivotCache/pivotCacheDefinition1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422569448"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04513892"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9">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Others]" c="Others"/>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68865743"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74594907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817361111"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1724537"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84722222"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13888888" createdVersion="8" refreshedVersion="8" minRefreshableVersion="3" recordCount="0" supportSubquery="1" supportAdvancedDrill="1" xr:uid="{B800236E-0455-44ED-BB83-4F04980C3C91}">
  <cacheSource type="external" connectionId="1"/>
  <cacheFields count="17">
    <cacheField name="[Measures].[NetSalesPKD]" caption="NetSalesPKD" numFmtId="0" hierarchy="1831" level="32767"/>
    <cacheField name="[Dim_Product].[Product].[Principle]" caption="Principle" numFmtId="0" hierarchy="253" level="1">
      <sharedItems containsSemiMixedTypes="0" containsString="0"/>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unt="23">
        <s v="[Dim_Period].[Date].&amp;[2025-06-02T00:00:00]" c="6/2/2025"/>
        <s v="[Dim_Period].[Date].&amp;[2025-06-03T00:00:00]" c="6/3/2025"/>
        <s v="[Dim_Period].[Date].&amp;[2025-06-04T00:00:00]" c="6/4/2025"/>
        <s v="[Dim_Period].[Date].&amp;[2025-06-05T00:00:00]" c="6/5/2025"/>
        <s v="[Dim_Period].[Date].&amp;[2025-06-07T00:00:00]" c="6/7/2025"/>
        <s v="[Dim_Period].[Date].&amp;[2025-06-09T00:00:00]" c="6/9/2025"/>
        <s v="[Dim_Period].[Date].&amp;[2025-06-10T00:00:00]" c="6/10/2025"/>
        <s v="[Dim_Period].[Date].&amp;[2025-06-11T00:00:00]" c="6/11/2025"/>
        <s v="[Dim_Period].[Date].&amp;[2025-06-12T00:00:00]" c="6/12/2025"/>
        <s v="[Dim_Period].[Date].&amp;[2025-06-13T00:00:00]" c="6/13/2025"/>
        <s v="[Dim_Period].[Date].&amp;[2025-06-14T00:00:00]" c="6/14/2025"/>
        <s v="[Dim_Period].[Date].&amp;[2025-06-16T00:00:00]" c="6/16/2025"/>
        <s v="[Dim_Period].[Date].&amp;[2025-06-17T00:00:00]" c="6/17/2025"/>
        <s v="[Dim_Period].[Date].&amp;[2025-06-18T00:00:00]" c="6/18/2025"/>
        <s v="[Dim_Period].[Date].&amp;[2025-06-19T00:00:00]" c="6/19/2025"/>
        <s v="[Dim_Period].[Date].&amp;[2025-06-20T00:00:00]" c="6/20/2025"/>
        <s v="[Dim_Period].[Date].&amp;[2025-06-21T00:00:00]" c="6/21/2025"/>
        <s v="[Dim_Period].[Date].&amp;[2025-06-23T00:00:00]" c="6/23/2025"/>
        <s v="[Dim_Period].[Date].&amp;[2025-06-24T00:00:00]" c="6/24/2025"/>
        <s v="[Dim_Period].[Date].&amp;[2025-06-25T00:00:00]" c="6/25/2025"/>
        <s v="[Dim_Period].[Date].&amp;[2025-06-26T00:00:00]" c="6/26/2025"/>
        <s v="[Dim_Period].[Date].&amp;[2025-06-28T00:00:00]" c="6/28/2025"/>
        <s v="[Dim_Period].[Date].&amp;[2025-06-30T00:00:00]" c="6/30/2025"/>
      </sharedItems>
    </cacheField>
    <cacheField name="[Measures].[SalesOrderValue]" caption="SalesOrderValue" numFmtId="0" hierarchy="2011"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oneField="1">
      <fieldsUsage count="1">
        <fieldUsage x="16"/>
      </fieldsUsage>
    </cacheHierarchy>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65277776"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sman Pidu" refreshedDate="45831.961226388892" createdVersion="8" refreshedVersion="8" minRefreshableVersion="3" recordCount="48" xr:uid="{16F3F7AE-CDE4-49D7-9334-E67004C5AEDD}">
  <cacheSource type="worksheet">
    <worksheetSource ref="A1:M49" sheet="d.salesmanlob"/>
  </cacheSource>
  <cacheFields count="13">
    <cacheField name="Nama Depo" numFmtId="0">
      <sharedItems/>
    </cacheField>
    <cacheField name="NIK SAC" numFmtId="0">
      <sharedItems/>
    </cacheField>
    <cacheField name="Nama SAC" numFmtId="0">
      <sharedItems/>
    </cacheField>
    <cacheField name="NIK" numFmtId="0">
      <sharedItems/>
    </cacheField>
    <cacheField name="Nama Salesman" numFmtId="0">
      <sharedItems count="6">
        <s v="Asman"/>
        <s v="Muhammad Tamrin"/>
        <s v="Robianor"/>
        <s v="Rahmani"/>
        <s v="Hindra"/>
        <s v="Sopian Sauri"/>
      </sharedItems>
    </cacheField>
    <cacheField name="Dept" numFmtId="0">
      <sharedItems/>
    </cacheField>
    <cacheField name="Tipe Salesman" numFmtId="0">
      <sharedItems/>
    </cacheField>
    <cacheField name="3LM" numFmtId="43">
      <sharedItems containsSemiMixedTypes="0" containsString="0" containsNumber="1" minValue="0" maxValue="615024274.27389705"/>
    </cacheField>
    <cacheField name="Target" numFmtId="43">
      <sharedItems containsSemiMixedTypes="0" containsString="0" containsNumber="1" minValue="0" maxValue="618000000"/>
    </cacheField>
    <cacheField name="Actual" numFmtId="43">
      <sharedItems containsSemiMixedTypes="0" containsString="0" containsNumber="1" minValue="0" maxValue="303881186.87513155"/>
    </cacheField>
    <cacheField name="Ach" numFmtId="9">
      <sharedItems containsSemiMixedTypes="0" containsString="0" containsNumber="1" minValue="0" maxValue="6.1474851762005693"/>
    </cacheField>
    <cacheField name="vs 3LM" numFmtId="9">
      <sharedItems containsSemiMixedTypes="0" containsString="0" containsNumber="1" minValue="-1" maxValue="1.7104087437403974"/>
    </cacheField>
    <cacheField name="LOB" numFmtId="0">
      <sharedItems count="8">
        <s v="GBS"/>
        <s v="GEN"/>
        <s v="GPPJ"/>
        <s v="HGJ"/>
        <s v="MBR"/>
        <s v="RANS"/>
        <s v="GSJ"/>
        <s v="ABBOTT"/>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328356485" createdVersion="3" refreshedVersion="8" minRefreshableVersion="3" recordCount="0" supportSubquery="1" supportAdvancedDrill="1" xr:uid="{81EEF093-83E8-44CB-8287-654026056C83}">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41112804"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526504632" createdVersion="3" refreshedVersion="8" minRefreshableVersion="3" recordCount="0" supportSubquery="1" supportAdvancedDrill="1" xr:uid="{7AD09AFC-8E05-4C3D-BAE6-6E9FAAB5D8E7}">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1994124627"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s v="Depo Tanjung"/>
    <s v="017200519965"/>
    <s v="Kisman Pidu"/>
    <s v="017210032876"/>
    <x v="0"/>
    <s v="ADD"/>
    <s v="Sales Representative Mix Yudistira"/>
    <n v="214701558.67476198"/>
    <n v="292564000"/>
    <n v="93318196.160494"/>
    <n v="0.31896677704876197"/>
    <n v="-0.56535855288383852"/>
    <x v="0"/>
  </r>
  <r>
    <s v="Depo Tanjung"/>
    <s v="017200519965"/>
    <s v="Kisman Pidu"/>
    <s v="017210036369"/>
    <x v="1"/>
    <s v="ADD"/>
    <s v="Sales Representative Mix Yudistira"/>
    <n v="154650944.01873702"/>
    <n v="205314000"/>
    <n v="117182430.3436939"/>
    <n v="0.57074739347386882"/>
    <n v="-0.24227794995227159"/>
    <x v="0"/>
  </r>
  <r>
    <s v="Depo Tanjung"/>
    <s v="017200519965"/>
    <s v="Kisman Pidu"/>
    <s v="017210037632"/>
    <x v="2"/>
    <s v="ADD"/>
    <s v="Sales Representative Mix Yudistira"/>
    <n v="115943047.310158"/>
    <n v="117564000"/>
    <n v="83638646.11194402"/>
    <n v="0.71143076206954525"/>
    <n v="-0.27862301317470828"/>
    <x v="0"/>
  </r>
  <r>
    <s v="Depo Tanjung"/>
    <s v="017200519965"/>
    <s v="Kisman Pidu"/>
    <s v="017210037713"/>
    <x v="3"/>
    <s v="ADD"/>
    <s v="Sales Representative Mix Yudistira"/>
    <n v="134054831.28469305"/>
    <n v="165164000"/>
    <n v="63241615.364693061"/>
    <n v="0.38290193604352679"/>
    <n v="-0.52824068510901734"/>
    <x v="0"/>
  </r>
  <r>
    <s v="Depo Tanjung"/>
    <s v="017200519965"/>
    <s v="Kisman Pidu"/>
    <s v="017210037897"/>
    <x v="4"/>
    <s v="ADD"/>
    <s v="Sales Representative Mix Yudistira"/>
    <n v="64655793.515380658"/>
    <n v="105314000"/>
    <n v="46221532.689712971"/>
    <n v="0.43889257543833649"/>
    <n v="-0.2851138285277165"/>
    <x v="0"/>
  </r>
  <r>
    <s v="Depo Tanjung"/>
    <s v="017200519965"/>
    <s v="Kisman Pidu"/>
    <s v="017210038077"/>
    <x v="5"/>
    <s v="ACV"/>
    <s v="Sales Representative Retailer Yudistira"/>
    <n v="37643028.709056981"/>
    <n v="43564000"/>
    <n v="32486212.865647011"/>
    <n v="0.74571235115340673"/>
    <n v="-0.13699258588534435"/>
    <x v="0"/>
  </r>
  <r>
    <s v="Depo Tanjung"/>
    <s v="017200519965"/>
    <s v="Kisman Pidu"/>
    <s v="017210032876"/>
    <x v="0"/>
    <s v="ADD"/>
    <s v="Sales Representative Mix Yudistira"/>
    <n v="68189262.487884656"/>
    <n v="72100000"/>
    <n v="30664998.435896993"/>
    <n v="0.42531204488067953"/>
    <n v="-0.55029578973162652"/>
    <x v="1"/>
  </r>
  <r>
    <s v="Depo Tanjung"/>
    <s v="017200519965"/>
    <s v="Kisman Pidu"/>
    <s v="017210036369"/>
    <x v="1"/>
    <s v="ADD"/>
    <s v="Sales Representative Mix Yudistira"/>
    <n v="30494893.478794336"/>
    <n v="40100000"/>
    <n v="15321890.420868989"/>
    <n v="0.38209203044561069"/>
    <n v="-0.49755881483817654"/>
    <x v="1"/>
  </r>
  <r>
    <s v="Depo Tanjung"/>
    <s v="017200519965"/>
    <s v="Kisman Pidu"/>
    <s v="017210037632"/>
    <x v="2"/>
    <s v="ADD"/>
    <s v="Sales Representative Mix Yudistira"/>
    <n v="30807686.953566343"/>
    <n v="34400000"/>
    <n v="13685449.026732981"/>
    <n v="0.39783282054456343"/>
    <n v="-0.55577810669915506"/>
    <x v="1"/>
  </r>
  <r>
    <s v="Depo Tanjung"/>
    <s v="017200519965"/>
    <s v="Kisman Pidu"/>
    <s v="017210037713"/>
    <x v="3"/>
    <s v="ADD"/>
    <s v="Sales Representative Mix Yudistira"/>
    <n v="24745253.523156997"/>
    <n v="26500000"/>
    <n v="12664458.029523989"/>
    <n v="0.47790407658581091"/>
    <n v="-0.48820657595314632"/>
    <x v="1"/>
  </r>
  <r>
    <s v="Depo Tanjung"/>
    <s v="017200519965"/>
    <s v="Kisman Pidu"/>
    <s v="017210037897"/>
    <x v="4"/>
    <s v="ADD"/>
    <s v="Sales Representative Mix Yudistira"/>
    <n v="11443077.020619998"/>
    <n v="16600000"/>
    <n v="12153421.960415993"/>
    <n v="0.73213385303710798"/>
    <n v="6.2076392435004957E-2"/>
    <x v="1"/>
  </r>
  <r>
    <s v="Depo Tanjung"/>
    <s v="017200519965"/>
    <s v="Kisman Pidu"/>
    <s v="017210038077"/>
    <x v="5"/>
    <s v="ACV"/>
    <s v="Sales Representative Retailer Yudistira"/>
    <n v="11312114.979593331"/>
    <n v="12000000"/>
    <n v="7415808.9244799986"/>
    <n v="0.61798407703999991"/>
    <n v="-0.34443656753331586"/>
    <x v="1"/>
  </r>
  <r>
    <s v="Depo Tanjung"/>
    <s v="017200519965"/>
    <s v="Kisman Pidu"/>
    <s v="017210032876"/>
    <x v="0"/>
    <s v="ADD"/>
    <s v="Sales Representative Mix Yudistira"/>
    <n v="615024274.27389705"/>
    <n v="618000000"/>
    <n v="303881186.87513155"/>
    <n v="0.49171713086590868"/>
    <n v="-0.5059037511423492"/>
    <x v="2"/>
  </r>
  <r>
    <s v="Depo Tanjung"/>
    <s v="017200519965"/>
    <s v="Kisman Pidu"/>
    <s v="017210036369"/>
    <x v="1"/>
    <s v="ADD"/>
    <s v="Sales Representative Mix Yudistira"/>
    <n v="305984619.0209257"/>
    <n v="253250000"/>
    <n v="199110431.88253284"/>
    <n v="0.7862208563969707"/>
    <n v="-0.34927960588464724"/>
    <x v="2"/>
  </r>
  <r>
    <s v="Depo Tanjung"/>
    <s v="017200519965"/>
    <s v="Kisman Pidu"/>
    <s v="017210037632"/>
    <x v="2"/>
    <s v="ADD"/>
    <s v="Sales Representative Mix Yudistira"/>
    <n v="303145694.57543349"/>
    <n v="308800000"/>
    <n v="193255710.87428257"/>
    <n v="0.6258280792560964"/>
    <n v="-0.36249890949319208"/>
    <x v="2"/>
  </r>
  <r>
    <s v="Depo Tanjung"/>
    <s v="017200519965"/>
    <s v="Kisman Pidu"/>
    <s v="017210037713"/>
    <x v="3"/>
    <s v="ADD"/>
    <s v="Sales Representative Mix Yudistira"/>
    <n v="282687387.9404797"/>
    <n v="274500000"/>
    <n v="150532296.9461033"/>
    <n v="0.54838723841931991"/>
    <n v="-0.46749553263480526"/>
    <x v="2"/>
  </r>
  <r>
    <s v="Depo Tanjung"/>
    <s v="017200519965"/>
    <s v="Kisman Pidu"/>
    <s v="017210037897"/>
    <x v="4"/>
    <s v="ADD"/>
    <s v="Sales Representative Mix Yudistira"/>
    <n v="146857176.64144665"/>
    <n v="223250000"/>
    <n v="156980979.62065166"/>
    <n v="0.70316228273528181"/>
    <n v="6.8936385750642426E-2"/>
    <x v="2"/>
  </r>
  <r>
    <s v="Depo Tanjung"/>
    <s v="017200519965"/>
    <s v="Kisman Pidu"/>
    <s v="017210038077"/>
    <x v="5"/>
    <s v="ACV"/>
    <s v="Sales Representative Retailer Yudistira"/>
    <n v="128796712.27061228"/>
    <n v="139350000"/>
    <n v="75912431.960725769"/>
    <n v="0.54476090391622367"/>
    <n v="-0.41060271941392712"/>
    <x v="2"/>
  </r>
  <r>
    <s v="Depo Tanjung"/>
    <s v="017200519965"/>
    <s v="Kisman Pidu"/>
    <s v="017210032876"/>
    <x v="0"/>
    <s v="ADD"/>
    <s v="Sales Representative Mix Yudistira"/>
    <n v="391014.38936700003"/>
    <n v="2650000"/>
    <n v="26431.53"/>
    <n v="9.9741622641509424E-3"/>
    <n v="-0.93240266670802296"/>
    <x v="3"/>
  </r>
  <r>
    <s v="Depo Tanjung"/>
    <s v="017200519965"/>
    <s v="Kisman Pidu"/>
    <s v="017210036369"/>
    <x v="1"/>
    <s v="ADD"/>
    <s v="Sales Representative Mix Yudistira"/>
    <n v="311411.3819793333"/>
    <n v="650000"/>
    <n v="44053.15"/>
    <n v="6.7774076923076923E-2"/>
    <n v="-0.85853712308137931"/>
    <x v="3"/>
  </r>
  <r>
    <s v="Depo Tanjung"/>
    <s v="017200519965"/>
    <s v="Kisman Pidu"/>
    <s v="017210037632"/>
    <x v="2"/>
    <s v="ADD"/>
    <s v="Sales Representative Mix Yudistira"/>
    <n v="326828.78234133334"/>
    <n v="650000"/>
    <n v="26431.53"/>
    <n v="4.0663892307692309E-2"/>
    <n v="-0.91912728796206378"/>
    <x v="3"/>
  </r>
  <r>
    <s v="Depo Tanjung"/>
    <s v="017200519965"/>
    <s v="Kisman Pidu"/>
    <s v="017210037713"/>
    <x v="3"/>
    <s v="ADD"/>
    <s v="Sales Representative Mix Yudistira"/>
    <n v="188888.8666666667"/>
    <n v="650000"/>
    <n v="26431.53"/>
    <n v="4.0663892307692309E-2"/>
    <n v="-0.86006835412568872"/>
    <x v="3"/>
  </r>
  <r>
    <s v="Depo Tanjung"/>
    <s v="017200519965"/>
    <s v="Kisman Pidu"/>
    <s v="017210037897"/>
    <x v="4"/>
    <s v="ADD"/>
    <s v="Sales Representative Mix Yudistira"/>
    <n v="56156.146666666667"/>
    <n v="650000"/>
    <n v="0"/>
    <n v="0"/>
    <n v="-1"/>
    <x v="3"/>
  </r>
  <r>
    <s v="Depo Tanjung"/>
    <s v="017200519965"/>
    <s v="Kisman Pidu"/>
    <s v="017210038077"/>
    <x v="5"/>
    <s v="ACV"/>
    <s v="Sales Representative Retailer Yudistira"/>
    <n v="336936.90585433337"/>
    <n v="350000"/>
    <n v="52863.06"/>
    <n v="0.15103731428571429"/>
    <n v="-0.843106946489103"/>
    <x v="3"/>
  </r>
  <r>
    <s v="Depo Tanjung"/>
    <s v="017200519965"/>
    <s v="Kisman Pidu"/>
    <s v="017210032876"/>
    <x v="0"/>
    <s v="ADD"/>
    <s v="Sales Representative Mix Yudistira"/>
    <n v="8378833.0730539998"/>
    <n v="10500000"/>
    <n v="5325089.0061189989"/>
    <n v="0.50715133391609513"/>
    <n v="-0.36445935135713858"/>
    <x v="4"/>
  </r>
  <r>
    <s v="Depo Tanjung"/>
    <s v="017200519965"/>
    <s v="Kisman Pidu"/>
    <s v="017210036369"/>
    <x v="1"/>
    <s v="ADD"/>
    <s v="Sales Representative Mix Yudistira"/>
    <n v="5469917.8278883332"/>
    <n v="4800000"/>
    <n v="2336730.502696"/>
    <n v="0.48681885472833336"/>
    <n v="-0.5728033626424518"/>
    <x v="4"/>
  </r>
  <r>
    <s v="Depo Tanjung"/>
    <s v="017200519965"/>
    <s v="Kisman Pidu"/>
    <s v="017210037632"/>
    <x v="2"/>
    <s v="ADD"/>
    <s v="Sales Representative Mix Yudistira"/>
    <n v="4554895.5633516675"/>
    <n v="2986000"/>
    <n v="2140087.3025179999"/>
    <n v="0.7167070671527126"/>
    <n v="-0.53015666929073535"/>
    <x v="4"/>
  </r>
  <r>
    <s v="Depo Tanjung"/>
    <s v="017200519965"/>
    <s v="Kisman Pidu"/>
    <s v="017210037713"/>
    <x v="3"/>
    <s v="ADD"/>
    <s v="Sales Representative Mix Yudistira"/>
    <n v="4595218.0902873324"/>
    <n v="5000000"/>
    <n v="3342507.0454840008"/>
    <n v="0.66850140909680011"/>
    <n v="-0.2726118804787786"/>
    <x v="4"/>
  </r>
  <r>
    <s v="Depo Tanjung"/>
    <s v="017200519965"/>
    <s v="Kisman Pidu"/>
    <s v="017210037897"/>
    <x v="4"/>
    <s v="ADD"/>
    <s v="Sales Representative Mix Yudistira"/>
    <n v="2079990.8771713332"/>
    <n v="3300000"/>
    <n v="1595470.1733279999"/>
    <n v="0.48347581009939389"/>
    <n v="-0.23294366776370357"/>
    <x v="4"/>
  </r>
  <r>
    <s v="Depo Tanjung"/>
    <s v="017200519965"/>
    <s v="Kisman Pidu"/>
    <s v="017210038077"/>
    <x v="5"/>
    <s v="ACV"/>
    <s v="Sales Representative Retailer Yudistira"/>
    <n v="3777961.3344606659"/>
    <n v="3950000"/>
    <n v="1929657.487918"/>
    <n v="0.48852088301721519"/>
    <n v="-0.48923312943501207"/>
    <x v="4"/>
  </r>
  <r>
    <s v="Depo Tanjung"/>
    <s v="017200519965"/>
    <s v="Kisman Pidu"/>
    <s v="017210032876"/>
    <x v="0"/>
    <s v="ADD"/>
    <s v="Sales Representative Mix Yudistira"/>
    <n v="5839882.9133333331"/>
    <n v="2628719.3902504952"/>
    <n v="4781315.91"/>
    <n v="1.8188764946662415"/>
    <n v="-0.18126510737337986"/>
    <x v="5"/>
  </r>
  <r>
    <s v="Depo Tanjung"/>
    <s v="017200519965"/>
    <s v="Kisman Pidu"/>
    <s v="017210036369"/>
    <x v="1"/>
    <s v="ADD"/>
    <s v="Sales Representative Mix Yudistira"/>
    <n v="5808490.5133333346"/>
    <n v="3099936.7194973021"/>
    <n v="5946658.1400000006"/>
    <n v="1.9183159780643309"/>
    <n v="2.3787182978004973E-2"/>
    <x v="5"/>
  </r>
  <r>
    <s v="Depo Tanjung"/>
    <s v="017200519965"/>
    <s v="Kisman Pidu"/>
    <s v="017210037632"/>
    <x v="2"/>
    <s v="ADD"/>
    <s v="Sales Representative Mix Yudistira"/>
    <n v="7475176.4466666644"/>
    <n v="5217809.9392396184"/>
    <n v="3508762.5900000008"/>
    <n v="0.67245887275674254"/>
    <n v="-0.53061140228139625"/>
    <x v="5"/>
  </r>
  <r>
    <s v="Depo Tanjung"/>
    <s v="017200519965"/>
    <s v="Kisman Pidu"/>
    <s v="017210037713"/>
    <x v="3"/>
    <s v="ADD"/>
    <s v="Sales Representative Mix Yudistira"/>
    <n v="3204633.6199999992"/>
    <n v="1171519.896442947"/>
    <n v="3648382.620000001"/>
    <n v="3.1142301817301465"/>
    <n v="0.13847105554612571"/>
    <x v="5"/>
  </r>
  <r>
    <s v="Depo Tanjung"/>
    <s v="017200519965"/>
    <s v="Kisman Pidu"/>
    <s v="017210037897"/>
    <x v="4"/>
    <s v="ADD"/>
    <s v="Sales Representative Mix Yudistira"/>
    <n v="2078926.8066666673"/>
    <n v="886000"/>
    <n v="1737690.7500000005"/>
    <n v="1.9612762415349891"/>
    <n v="-0.16414048612601317"/>
    <x v="5"/>
  </r>
  <r>
    <s v="Depo Tanjung"/>
    <s v="017200519965"/>
    <s v="Kisman Pidu"/>
    <s v="017210038077"/>
    <x v="5"/>
    <s v="ACV"/>
    <s v="Sales Representative Retailer Yudistira"/>
    <n v="5118219.916666667"/>
    <n v="775716.24059568404"/>
    <n v="4768704.0900000017"/>
    <n v="6.1474851762005693"/>
    <n v="-6.8288551949188925E-2"/>
    <x v="5"/>
  </r>
  <r>
    <s v="Depo Tanjung"/>
    <s v="017200519965"/>
    <s v="Kisman Pidu"/>
    <s v="017210032876"/>
    <x v="0"/>
    <s v="ADD"/>
    <s v="Sales Representative Mix Yudistira"/>
    <n v="161081.05000000002"/>
    <n v="72507.768703742229"/>
    <n v="122026.95000000001"/>
    <n v="1.6829500091029836"/>
    <n v="-0.2424499964458886"/>
    <x v="6"/>
  </r>
  <r>
    <s v="Depo Tanjung"/>
    <s v="017200519965"/>
    <s v="Kisman Pidu"/>
    <s v="017210036369"/>
    <x v="1"/>
    <s v="ADD"/>
    <s v="Sales Representative Mix Yudistira"/>
    <n v="161260.62999999998"/>
    <n v="86063.28050269818"/>
    <n v="13558.55"/>
    <n v="0.15754163588471304"/>
    <n v="-0.91592151165476654"/>
    <x v="6"/>
  </r>
  <r>
    <s v="Depo Tanjung"/>
    <s v="017200519965"/>
    <s v="Kisman Pidu"/>
    <s v="017210037632"/>
    <x v="2"/>
    <s v="ADD"/>
    <s v="Sales Representative Mix Yudistira"/>
    <n v="117747.71666666669"/>
    <n v="82190.060760381253"/>
    <n v="54234.2"/>
    <n v="0.65986324256549223"/>
    <n v="-0.53940338262751886"/>
    <x v="6"/>
  </r>
  <r>
    <s v="Depo Tanjung"/>
    <s v="017200519965"/>
    <s v="Kisman Pidu"/>
    <s v="017210037713"/>
    <x v="3"/>
    <s v="ADD"/>
    <s v="Sales Representative Mix Yudistira"/>
    <n v="39609.593333333331"/>
    <n v="14480.103557053089"/>
    <n v="67792.75"/>
    <n v="4.6817862685090361"/>
    <n v="0.71152350465939329"/>
    <x v="6"/>
  </r>
  <r>
    <s v="Depo Tanjung"/>
    <s v="017200519965"/>
    <s v="Kisman Pidu"/>
    <s v="017210037897"/>
    <x v="4"/>
    <s v="ADD"/>
    <s v="Sales Representative Mix Yudistira"/>
    <n v="0"/>
    <n v="0"/>
    <n v="13558.55"/>
    <n v="0"/>
    <n v="0"/>
    <x v="6"/>
  </r>
  <r>
    <s v="Depo Tanjung"/>
    <s v="017200519965"/>
    <s v="Kisman Pidu"/>
    <s v="017210038077"/>
    <x v="5"/>
    <s v="ACV"/>
    <s v="Sales Representative Retailer Yudistira"/>
    <n v="67852.83"/>
    <n v="10283.759404315953"/>
    <n v="54234.2"/>
    <n v="5.2737717665038568"/>
    <n v="-0.20070835660060171"/>
    <x v="6"/>
  </r>
  <r>
    <s v="Depo Tanjung"/>
    <s v="017200519965"/>
    <s v="Kisman Pidu"/>
    <s v="017210032876"/>
    <x v="0"/>
    <s v="ADD"/>
    <s v="Sales Representative Mix Yudistira"/>
    <n v="3298526.1099999994"/>
    <n v="1484772.8410457624"/>
    <n v="8940354.0099999979"/>
    <n v="6.0213614923768972"/>
    <n v="1.7104087437403974"/>
    <x v="7"/>
  </r>
  <r>
    <s v="Depo Tanjung"/>
    <s v="017200519965"/>
    <s v="Kisman Pidu"/>
    <s v="017210036369"/>
    <x v="1"/>
    <s v="ADD"/>
    <s v="Sales Representative Mix Yudistira"/>
    <n v="0"/>
    <n v="0"/>
    <n v="0"/>
    <n v="0"/>
    <n v="0"/>
    <x v="7"/>
  </r>
  <r>
    <s v="Depo Tanjung"/>
    <s v="017200519965"/>
    <s v="Kisman Pidu"/>
    <s v="017210037632"/>
    <x v="2"/>
    <s v="ADD"/>
    <s v="Sales Representative Mix Yudistira"/>
    <n v="0"/>
    <n v="0"/>
    <n v="0"/>
    <n v="0"/>
    <n v="0"/>
    <x v="7"/>
  </r>
  <r>
    <s v="Depo Tanjung"/>
    <s v="017200519965"/>
    <s v="Kisman Pidu"/>
    <s v="017210037713"/>
    <x v="3"/>
    <s v="ADD"/>
    <s v="Sales Representative Mix Yudistira"/>
    <n v="0"/>
    <n v="0"/>
    <n v="0"/>
    <n v="0"/>
    <n v="0"/>
    <x v="7"/>
  </r>
  <r>
    <s v="Depo Tanjung"/>
    <s v="017200519965"/>
    <s v="Kisman Pidu"/>
    <s v="017210037897"/>
    <x v="4"/>
    <s v="ADD"/>
    <s v="Sales Representative Mix Yudistira"/>
    <n v="0"/>
    <n v="0"/>
    <n v="0"/>
    <n v="0"/>
    <n v="0"/>
    <x v="7"/>
  </r>
  <r>
    <s v="Depo Tanjung"/>
    <s v="017200519965"/>
    <s v="Kisman Pidu"/>
    <s v="017210038077"/>
    <x v="5"/>
    <s v="ACV"/>
    <s v="Sales Representative Retailer Yudistira"/>
    <n v="0"/>
    <n v="0"/>
    <n v="0"/>
    <n v="0"/>
    <n v="0"/>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4E66FA-D198-4287-A94B-F7B6B13AF5F5}"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E3:BH12" firstHeaderRow="0" firstDataRow="1" firstDataCol="1" rowPageCount="1" colPageCount="1"/>
  <pivotFields count="13">
    <pivotField showAll="0"/>
    <pivotField showAll="0"/>
    <pivotField showAll="0"/>
    <pivotField showAll="0"/>
    <pivotField axis="axisPage" showAll="0">
      <items count="7">
        <item x="0"/>
        <item x="4"/>
        <item x="1"/>
        <item x="3"/>
        <item x="2"/>
        <item x="5"/>
        <item t="default"/>
      </items>
    </pivotField>
    <pivotField showAll="0"/>
    <pivotField showAll="0"/>
    <pivotField numFmtId="43" showAll="0"/>
    <pivotField dataField="1" numFmtId="43" showAll="0"/>
    <pivotField dataField="1" numFmtId="43" showAll="0"/>
    <pivotField dataField="1" numFmtId="9" showAll="0"/>
    <pivotField numFmtId="9" showAll="0"/>
    <pivotField axis="axisRow" showAll="0">
      <items count="9">
        <item x="2"/>
        <item x="1"/>
        <item x="7"/>
        <item x="0"/>
        <item x="6"/>
        <item x="3"/>
        <item x="4"/>
        <item x="5"/>
        <item t="default"/>
      </items>
    </pivotField>
  </pivotFields>
  <rowFields count="1">
    <field x="12"/>
  </rowFields>
  <rowItems count="9">
    <i>
      <x/>
    </i>
    <i>
      <x v="1"/>
    </i>
    <i>
      <x v="2"/>
    </i>
    <i>
      <x v="3"/>
    </i>
    <i>
      <x v="4"/>
    </i>
    <i>
      <x v="5"/>
    </i>
    <i>
      <x v="6"/>
    </i>
    <i>
      <x v="7"/>
    </i>
    <i t="grand">
      <x/>
    </i>
  </rowItems>
  <colFields count="1">
    <field x="-2"/>
  </colFields>
  <colItems count="3">
    <i>
      <x/>
    </i>
    <i i="1">
      <x v="1"/>
    </i>
    <i i="2">
      <x v="2"/>
    </i>
  </colItems>
  <pageFields count="1">
    <pageField fld="4" item="0" hier="-1"/>
  </pageFields>
  <dataFields count="3">
    <dataField name="Sum of Target" fld="8" baseField="0" baseItem="0" numFmtId="43"/>
    <dataField name="Sum of Actual" fld="9" baseField="0" baseItem="0" numFmtId="43"/>
    <dataField name="Sum of Ach" fld="10"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4">
      <pivotArea type="all" dataOnly="0" outline="0" fieldPosition="0"/>
    </format>
    <format dxfId="3">
      <pivotArea outline="0" collapsedLevelsAreSubtotals="1" fieldPosition="0"/>
    </format>
    <format dxfId="2">
      <pivotArea dataOnly="0" labelOnly="1" grandRow="1" outline="0" fieldPosition="0"/>
    </format>
    <format dxfId="1">
      <pivotArea outline="0" collapsedLevelsAreSubtotals="1" fieldPosition="0"/>
    </format>
    <format dxfId="0">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10">
      <pivotArea type="all" dataOnly="0" outline="0" fieldPosition="0"/>
    </format>
    <format dxfId="9">
      <pivotArea outline="0" collapsedLevelsAreSubtotals="1" fieldPosition="0"/>
    </format>
    <format dxfId="8">
      <pivotArea field="1" type="button" dataOnly="0" labelOnly="1" outline="0" axis="axisRow" fieldPosition="2"/>
    </format>
    <format dxfId="7">
      <pivotArea dataOnly="0" labelOnly="1" fieldPosition="0">
        <references count="1">
          <reference field="1" count="0"/>
        </references>
      </pivotArea>
    </format>
    <format dxfId="6">
      <pivotArea dataOnly="0" labelOnly="1" grandRow="1" outline="0" fieldPosition="0"/>
    </format>
    <format dxfId="5">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15">
      <pivotArea type="all" dataOnly="0" outline="0" fieldPosition="0"/>
    </format>
    <format dxfId="14">
      <pivotArea outline="0" collapsedLevelsAreSubtotals="1" fieldPosition="0"/>
    </format>
    <format dxfId="13">
      <pivotArea dataOnly="0" labelOnly="1" grandRow="1" outline="0" fieldPosition="0"/>
    </format>
    <format dxfId="12">
      <pivotArea outline="0" collapsedLevelsAreSubtotals="1" fieldPosition="0"/>
    </format>
    <format dxfId="1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4" firstHeaderRow="0" firstDataRow="1" firstDataCol="1" rowPageCount="2" colPageCount="1"/>
  <pivotFields count="17">
    <pivotField dataField="1" subtotalTop="0" showAll="0" defaultSubtotal="0"/>
    <pivotField axis="axisRow" allDrilled="1" subtotalTop="0" showAll="0" defaultSubtotal="0">
      <items count="9">
        <item c="1" x="3"/>
        <item c="1" x="2"/>
        <item c="1" x="1"/>
        <item c="1" x="6"/>
        <item c="1" x="5"/>
        <item c="1" x="8"/>
        <item c="1" x="4"/>
        <item c="1" x="0"/>
        <item c="1" x="7"/>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10">
    <i>
      <x/>
    </i>
    <i>
      <x v="1"/>
    </i>
    <i>
      <x v="2"/>
    </i>
    <i>
      <x v="3"/>
    </i>
    <i>
      <x v="4"/>
    </i>
    <i>
      <x v="5"/>
    </i>
    <i>
      <x v="6"/>
    </i>
    <i>
      <x v="7"/>
    </i>
    <i>
      <x v="8"/>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8"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25">
      <pivotArea type="all" dataOnly="0" outline="0" fieldPosition="0"/>
    </format>
    <format dxfId="24">
      <pivotArea outline="0" collapsedLevelsAreSubtotals="1" fieldPosition="0"/>
    </format>
    <format dxfId="23">
      <pivotArea dataOnly="0" labelOnly="1" grandRow="1" outline="0" fieldPosition="0"/>
    </format>
    <format dxfId="22">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30">
      <pivotArea type="all" dataOnly="0" outline="0" fieldPosition="0"/>
    </format>
    <format dxfId="29">
      <pivotArea outline="0" collapsedLevelsAreSubtotals="1" fieldPosition="0"/>
    </format>
    <format dxfId="28">
      <pivotArea dataOnly="0" labelOnly="1" grandRow="1" outline="0" fieldPosition="0"/>
    </format>
    <format dxfId="27">
      <pivotArea outline="0" collapsedLevelsAreSubtotals="1" fieldPosition="0"/>
    </format>
    <format dxfId="26">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6"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35">
      <pivotArea type="all" dataOnly="0" outline="0" fieldPosition="0"/>
    </format>
    <format dxfId="34">
      <pivotArea outline="0" collapsedLevelsAreSubtotals="1" fieldPosition="0"/>
    </format>
    <format dxfId="33">
      <pivotArea dataOnly="0" labelOnly="1" grandRow="1" outline="0" fieldPosition="0"/>
    </format>
    <format dxfId="32">
      <pivotArea outline="0" collapsedLevelsAreSubtotals="1" fieldPosition="0"/>
    </format>
    <format dxfId="3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0"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0"/>
        </references>
      </pivotArea>
    </format>
    <format dxfId="37">
      <pivotArea dataOnly="0" labelOnly="1" grandRow="1" outline="0" fieldPosition="0"/>
    </format>
    <format dxfId="3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92AAAE9-9757-4FBD-BE2C-FCD23D2B9F5C}" name="PivotTable1" cacheId="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AY5:BB29" firstHeaderRow="0" firstDataRow="1" firstDataCol="1" rowPageCount="3" colPageCount="1"/>
  <pivotFields count="17">
    <pivotField dataField="1" subtotalTop="0" showAll="0" defaultSubtotal="0"/>
    <pivotField axis="axisPage" allDrilled="1" subtotalTop="0" showAll="0"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3">
    <pageField fld="8" hier="323" name="[Dim_Region].[Workplace Office].&amp;[Depo Tanjung]" cap="Depo Tanjung"/>
    <pageField fld="1" hier="253" name="[Dim_Product].[Product].[All]" cap="All"/>
    <pageField fld="9" hier="213" name="[Dim_Period].[Period YMWD].[All]" cap="All"/>
  </pageFields>
  <dataFields count="3">
    <dataField fld="14" baseField="0" baseItem="0"/>
    <dataField fld="16" baseField="0" baseItem="0"/>
    <dataField fld="0" baseField="0" baseItem="0"/>
  </dataFields>
  <formats count="6">
    <format dxfId="47">
      <pivotArea type="all" dataOnly="0" outline="0" fieldPosition="0"/>
    </format>
    <format dxfId="46">
      <pivotArea outline="0" collapsedLevelsAreSubtotals="1" fieldPosition="0"/>
    </format>
    <format dxfId="45">
      <pivotArea field="1" type="button" dataOnly="0" labelOnly="1" outline="0" axis="axisPage" fieldPosition="1"/>
    </format>
    <format dxfId="44">
      <pivotArea dataOnly="0" labelOnly="1" fieldPosition="0">
        <references count="1">
          <reference field="1" count="0"/>
        </references>
      </pivotArea>
    </format>
    <format dxfId="43">
      <pivotArea dataOnly="0" labelOnly="1" grandRow="1" outline="0" fieldPosition="0"/>
    </format>
    <format dxfId="42">
      <pivotArea dataOnly="0" labelOnly="1" outline="0" fieldPosition="0">
        <references count="1">
          <reference field="4294967294" count="2">
            <x v="0"/>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0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41112804">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 tabId="2" name="PivotTable1"/>
  </pivotTables>
  <state minimalRefreshVersion="6" lastRefreshVersion="6" pivotCacheId="1994124627"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BH50"/>
  <sheetViews>
    <sheetView topLeftCell="BA1" workbookViewId="0">
      <selection activeCell="BH6" sqref="BH6:BH11"/>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 min="51" max="51" width="13.81640625" bestFit="1" customWidth="1"/>
    <col min="52" max="52" width="15.90625" bestFit="1" customWidth="1"/>
    <col min="53" max="53" width="13.54296875" bestFit="1" customWidth="1"/>
    <col min="54" max="54" width="11.26953125" bestFit="1" customWidth="1"/>
    <col min="57" max="57" width="14.1796875" bestFit="1" customWidth="1"/>
    <col min="58" max="58" width="16.36328125" bestFit="1" customWidth="1"/>
    <col min="59" max="59" width="14.81640625" bestFit="1" customWidth="1"/>
    <col min="60" max="60" width="10.1796875" bestFit="1" customWidth="1"/>
  </cols>
  <sheetData>
    <row r="1" spans="1:60" x14ac:dyDescent="0.35">
      <c r="C1" s="1"/>
      <c r="E1" s="4" t="s">
        <v>6</v>
      </c>
      <c r="F1" s="1" t="s" vm="1">
        <v>7</v>
      </c>
      <c r="G1" s="1"/>
      <c r="M1" s="1"/>
      <c r="S1" s="11"/>
      <c r="AY1" s="4" t="s">
        <v>6</v>
      </c>
      <c r="AZ1" s="1" t="s" vm="1">
        <v>7</v>
      </c>
      <c r="BA1" s="1"/>
      <c r="BE1" s="14" t="s">
        <v>33</v>
      </c>
      <c r="BF1" t="s">
        <v>37</v>
      </c>
    </row>
    <row r="2" spans="1:60"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c r="AY2" s="4" t="s">
        <v>160</v>
      </c>
      <c r="AZ2" s="1" t="s" vm="8">
        <v>9</v>
      </c>
      <c r="BA2" s="1"/>
    </row>
    <row r="3" spans="1:60"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c r="AY3" s="4" t="s">
        <v>8</v>
      </c>
      <c r="AZ3" s="1" t="s" vm="2">
        <v>9</v>
      </c>
      <c r="BA3" s="1" t="s">
        <v>4</v>
      </c>
      <c r="BE3" s="14" t="s">
        <v>10</v>
      </c>
      <c r="BF3" t="s">
        <v>189</v>
      </c>
      <c r="BG3" t="s">
        <v>190</v>
      </c>
      <c r="BH3" t="s">
        <v>188</v>
      </c>
    </row>
    <row r="4" spans="1:60"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c r="BE4" s="15" t="s">
        <v>13</v>
      </c>
      <c r="BF4" s="16">
        <v>618000000</v>
      </c>
      <c r="BG4" s="16">
        <v>303881186.87513155</v>
      </c>
      <c r="BH4" s="13">
        <v>0.49171713086590868</v>
      </c>
    </row>
    <row r="5" spans="1:60" x14ac:dyDescent="0.35">
      <c r="A5" s="4" t="s">
        <v>10</v>
      </c>
      <c r="B5" s="1" t="s">
        <v>25</v>
      </c>
      <c r="C5" s="1" t="s">
        <v>26</v>
      </c>
      <c r="E5" s="2" t="s">
        <v>13</v>
      </c>
      <c r="F5" s="3">
        <v>1790025023.1162379</v>
      </c>
      <c r="G5" s="3">
        <v>1750865933.9627936</v>
      </c>
      <c r="H5" s="3">
        <v>1081568028.9540176</v>
      </c>
      <c r="AE5" s="6"/>
      <c r="AF5" s="6"/>
      <c r="AG5" s="6"/>
      <c r="AJ5" s="6"/>
      <c r="AK5" s="6"/>
      <c r="AL5" s="6"/>
      <c r="AO5" s="6"/>
      <c r="AP5" s="6"/>
      <c r="AT5" s="6"/>
      <c r="AU5" s="6"/>
      <c r="AY5" s="4" t="s">
        <v>10</v>
      </c>
      <c r="AZ5" s="1" t="s">
        <v>11</v>
      </c>
      <c r="BA5" s="1" t="s">
        <v>184</v>
      </c>
      <c r="BB5" s="1" t="s">
        <v>12</v>
      </c>
      <c r="BE5" s="15" t="s">
        <v>14</v>
      </c>
      <c r="BF5" s="16">
        <v>72100000</v>
      </c>
      <c r="BG5" s="16">
        <v>30664998.435896993</v>
      </c>
      <c r="BH5" s="13">
        <v>0.42531204488067953</v>
      </c>
    </row>
    <row r="6" spans="1:60" x14ac:dyDescent="0.35">
      <c r="A6" s="2" t="s">
        <v>13</v>
      </c>
      <c r="B6" s="3">
        <v>1416538369.6544132</v>
      </c>
      <c r="C6" s="3">
        <v>1940562557.4670351</v>
      </c>
      <c r="E6" s="2" t="s">
        <v>14</v>
      </c>
      <c r="F6" s="3">
        <v>179204117.83370411</v>
      </c>
      <c r="G6" s="3">
        <v>200501454.52993894</v>
      </c>
      <c r="H6" s="3">
        <v>92353505.137918979</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c r="AY6" s="2" t="s">
        <v>161</v>
      </c>
      <c r="AZ6" s="3">
        <v>127033525.61069997</v>
      </c>
      <c r="BA6" s="3">
        <v>67834989.550000042</v>
      </c>
      <c r="BB6" s="3">
        <v>44751913.633566007</v>
      </c>
      <c r="BE6" s="15" t="s">
        <v>20</v>
      </c>
      <c r="BF6" s="16">
        <v>1484772.8410457624</v>
      </c>
      <c r="BG6" s="16">
        <v>8940354.0099999979</v>
      </c>
      <c r="BH6" s="13">
        <v>6.0213614923768972</v>
      </c>
    </row>
    <row r="7" spans="1:60" x14ac:dyDescent="0.35">
      <c r="A7" s="2" t="s">
        <v>14</v>
      </c>
      <c r="B7" s="3">
        <v>145510909.54880494</v>
      </c>
      <c r="C7" s="3">
        <v>197509715.86954999</v>
      </c>
      <c r="E7" s="2" t="s">
        <v>15</v>
      </c>
      <c r="F7" s="3">
        <v>725774322.97611916</v>
      </c>
      <c r="G7" s="3">
        <v>929758973.86220074</v>
      </c>
      <c r="H7" s="3">
        <v>436835471.32726479</v>
      </c>
      <c r="K7" s="1" t="s">
        <v>37</v>
      </c>
      <c r="L7" s="1" t="s">
        <v>46</v>
      </c>
      <c r="M7" s="1" t="s">
        <v>20</v>
      </c>
      <c r="N7" s="3">
        <v>3298526.1099999994</v>
      </c>
      <c r="O7" s="3">
        <v>8940354.0099999979</v>
      </c>
      <c r="Q7" s="1" t="s">
        <v>37</v>
      </c>
      <c r="R7" s="1" t="s">
        <v>46</v>
      </c>
      <c r="S7" s="12">
        <v>139</v>
      </c>
      <c r="T7" s="12">
        <v>121</v>
      </c>
      <c r="U7" s="12">
        <v>23.176470588235293</v>
      </c>
      <c r="V7" s="12">
        <v>23.176470588235293</v>
      </c>
      <c r="W7" s="12">
        <v>18.294117647058822</v>
      </c>
      <c r="X7" s="12">
        <v>14</v>
      </c>
      <c r="Y7" s="12">
        <v>21.669421487603305</v>
      </c>
      <c r="Z7" s="12">
        <v>18.294117647058822</v>
      </c>
      <c r="AC7" s="1" t="s">
        <v>37</v>
      </c>
      <c r="AD7" s="1" t="s">
        <v>46</v>
      </c>
      <c r="AE7" s="12">
        <v>77</v>
      </c>
      <c r="AF7" s="12">
        <v>54</v>
      </c>
      <c r="AH7" s="1" t="s">
        <v>37</v>
      </c>
      <c r="AI7" s="1" t="s">
        <v>46</v>
      </c>
      <c r="AJ7" s="12">
        <v>47</v>
      </c>
      <c r="AK7" s="12">
        <v>46</v>
      </c>
      <c r="AM7" s="1" t="s">
        <v>37</v>
      </c>
      <c r="AN7" s="1" t="s">
        <v>46</v>
      </c>
      <c r="AO7" s="12">
        <v>14</v>
      </c>
      <c r="AP7" s="12">
        <v>14</v>
      </c>
      <c r="AR7" s="4" t="s">
        <v>48</v>
      </c>
      <c r="AS7" s="4" t="s">
        <v>43</v>
      </c>
      <c r="AT7" s="1" t="s">
        <v>141</v>
      </c>
      <c r="AU7" s="1" t="s">
        <v>140</v>
      </c>
      <c r="AV7" s="1" t="s">
        <v>21</v>
      </c>
      <c r="AY7" s="2" t="s">
        <v>162</v>
      </c>
      <c r="AZ7" s="3">
        <v>127033525.61069997</v>
      </c>
      <c r="BA7" s="3">
        <v>79124212.470000118</v>
      </c>
      <c r="BB7" s="3">
        <v>99834206.715707853</v>
      </c>
      <c r="BE7" s="15" t="s">
        <v>15</v>
      </c>
      <c r="BF7" s="16">
        <v>292564000</v>
      </c>
      <c r="BG7" s="16">
        <v>93318196.160494</v>
      </c>
      <c r="BH7" s="13">
        <v>0.31896677704876197</v>
      </c>
    </row>
    <row r="8" spans="1:60" x14ac:dyDescent="0.35">
      <c r="A8" s="2" t="s">
        <v>15</v>
      </c>
      <c r="B8" s="3">
        <v>825068004.5460434</v>
      </c>
      <c r="C8" s="3">
        <v>835635799.79853082</v>
      </c>
      <c r="E8" s="2" t="s">
        <v>16</v>
      </c>
      <c r="F8" s="3">
        <v>28905529.676633667</v>
      </c>
      <c r="G8" s="3">
        <v>27063736.73777001</v>
      </c>
      <c r="H8" s="3">
        <v>16669541.518063001</v>
      </c>
      <c r="K8" s="1" t="s">
        <v>37</v>
      </c>
      <c r="L8" s="1" t="s">
        <v>46</v>
      </c>
      <c r="M8" s="1" t="s">
        <v>15</v>
      </c>
      <c r="N8" s="3">
        <v>214701558.67476198</v>
      </c>
      <c r="O8" s="3">
        <v>93318196.160494</v>
      </c>
      <c r="Q8" s="1" t="s">
        <v>38</v>
      </c>
      <c r="R8" s="1" t="s">
        <v>46</v>
      </c>
      <c r="S8" s="12">
        <v>162</v>
      </c>
      <c r="T8" s="12">
        <v>146</v>
      </c>
      <c r="U8" s="12">
        <v>26.352941176470587</v>
      </c>
      <c r="V8" s="12">
        <v>26.352941176470587</v>
      </c>
      <c r="W8" s="12">
        <v>20.352941176470587</v>
      </c>
      <c r="X8" s="12">
        <v>16.294117647058822</v>
      </c>
      <c r="Y8" s="12">
        <v>17.945205479452056</v>
      </c>
      <c r="Z8" s="12">
        <v>20.352941176470587</v>
      </c>
      <c r="AC8" s="1" t="s">
        <v>38</v>
      </c>
      <c r="AD8" s="1" t="s">
        <v>46</v>
      </c>
      <c r="AE8" s="12">
        <v>35</v>
      </c>
      <c r="AF8" s="12">
        <v>26</v>
      </c>
      <c r="AH8" s="1" t="s">
        <v>38</v>
      </c>
      <c r="AI8" s="1" t="s">
        <v>46</v>
      </c>
      <c r="AJ8" s="12">
        <v>126</v>
      </c>
      <c r="AK8" s="12">
        <v>96</v>
      </c>
      <c r="AM8" s="1" t="s">
        <v>38</v>
      </c>
      <c r="AN8" s="1" t="s">
        <v>46</v>
      </c>
      <c r="AO8" s="12">
        <v>1</v>
      </c>
      <c r="AP8" s="12">
        <v>1</v>
      </c>
      <c r="AR8" s="1" t="s">
        <v>37</v>
      </c>
      <c r="AS8" s="1" t="s">
        <v>46</v>
      </c>
      <c r="AT8" s="12">
        <v>933</v>
      </c>
      <c r="AU8" s="12">
        <v>180</v>
      </c>
      <c r="AV8" s="12">
        <v>1113</v>
      </c>
      <c r="AY8" s="2" t="s">
        <v>163</v>
      </c>
      <c r="AZ8" s="3">
        <v>127033525.61069997</v>
      </c>
      <c r="BA8" s="3">
        <v>59650865.870000057</v>
      </c>
      <c r="BB8" s="3">
        <v>70955179.609755993</v>
      </c>
      <c r="BE8" s="15" t="s">
        <v>19</v>
      </c>
      <c r="BF8" s="16">
        <v>72507.768703742229</v>
      </c>
      <c r="BG8" s="16">
        <v>122026.95000000001</v>
      </c>
      <c r="BH8" s="13">
        <v>1.6829500091029836</v>
      </c>
    </row>
    <row r="9" spans="1:60" x14ac:dyDescent="0.35">
      <c r="A9" s="2" t="s">
        <v>16</v>
      </c>
      <c r="B9" s="3">
        <v>23185839.411154002</v>
      </c>
      <c r="C9" s="3">
        <v>32369936.411370002</v>
      </c>
      <c r="E9" s="2" t="s">
        <v>17</v>
      </c>
      <c r="F9" s="3">
        <v>1637113.3495420001</v>
      </c>
      <c r="G9" s="3">
        <v>5107230.7909499835</v>
      </c>
      <c r="H9" s="3">
        <v>176210.8</v>
      </c>
      <c r="K9" s="1" t="s">
        <v>37</v>
      </c>
      <c r="L9" s="1" t="s">
        <v>46</v>
      </c>
      <c r="M9" s="1" t="s">
        <v>14</v>
      </c>
      <c r="N9" s="3">
        <v>68189262.487884656</v>
      </c>
      <c r="O9" s="3">
        <v>30664998.435896993</v>
      </c>
      <c r="Q9" s="1" t="s">
        <v>39</v>
      </c>
      <c r="R9" s="1" t="s">
        <v>46</v>
      </c>
      <c r="S9" s="12">
        <v>151</v>
      </c>
      <c r="T9" s="12">
        <v>129</v>
      </c>
      <c r="U9" s="12">
        <v>25.176470588235293</v>
      </c>
      <c r="V9" s="12">
        <v>24.058823529411764</v>
      </c>
      <c r="W9" s="12">
        <v>18.588235294117649</v>
      </c>
      <c r="X9" s="12">
        <v>14</v>
      </c>
      <c r="Y9" s="12">
        <v>18.813953488372093</v>
      </c>
      <c r="Z9" s="12">
        <v>18.588235294117649</v>
      </c>
      <c r="AC9" s="1" t="s">
        <v>39</v>
      </c>
      <c r="AD9" s="1" t="s">
        <v>46</v>
      </c>
      <c r="AE9" s="12">
        <v>29</v>
      </c>
      <c r="AF9" s="12">
        <v>19</v>
      </c>
      <c r="AH9" s="1" t="s">
        <v>39</v>
      </c>
      <c r="AI9" s="1" t="s">
        <v>46</v>
      </c>
      <c r="AJ9" s="12">
        <v>117</v>
      </c>
      <c r="AK9" s="12">
        <v>81</v>
      </c>
      <c r="AM9" s="1" t="s">
        <v>39</v>
      </c>
      <c r="AN9" s="1" t="s">
        <v>46</v>
      </c>
      <c r="AO9" s="12">
        <v>3</v>
      </c>
      <c r="AP9" s="12">
        <v>3</v>
      </c>
      <c r="AR9" s="1" t="s">
        <v>38</v>
      </c>
      <c r="AS9" s="1" t="s">
        <v>46</v>
      </c>
      <c r="AT9" s="12">
        <v>825</v>
      </c>
      <c r="AU9" s="12">
        <v>128</v>
      </c>
      <c r="AV9" s="12">
        <v>953</v>
      </c>
      <c r="AY9" s="2" t="s">
        <v>164</v>
      </c>
      <c r="AZ9" s="3">
        <v>127033525.61069997</v>
      </c>
      <c r="BA9" s="3">
        <v>48214987.14000006</v>
      </c>
      <c r="BB9" s="3">
        <v>84994376.34224394</v>
      </c>
      <c r="BE9" s="15" t="s">
        <v>17</v>
      </c>
      <c r="BF9" s="16">
        <v>2650000</v>
      </c>
      <c r="BG9" s="16">
        <v>26431.53</v>
      </c>
      <c r="BH9" s="13">
        <v>9.9741622641509424E-3</v>
      </c>
    </row>
    <row r="10" spans="1:60" x14ac:dyDescent="0.35">
      <c r="A10" s="2" t="s">
        <v>17</v>
      </c>
      <c r="B10" s="3">
        <v>27227149.034018982</v>
      </c>
      <c r="C10" s="3">
        <v>1007025.1835080001</v>
      </c>
      <c r="E10" s="2" t="s">
        <v>18</v>
      </c>
      <c r="F10" s="3">
        <v>32394861.795462329</v>
      </c>
      <c r="G10" s="3">
        <v>6346325.8587499829</v>
      </c>
      <c r="H10" s="3">
        <v>24466438.420000002</v>
      </c>
      <c r="K10" s="1" t="s">
        <v>37</v>
      </c>
      <c r="L10" s="1" t="s">
        <v>46</v>
      </c>
      <c r="M10" s="1" t="s">
        <v>13</v>
      </c>
      <c r="N10" s="3">
        <v>615024274.27389705</v>
      </c>
      <c r="O10" s="3">
        <v>303881186.87513155</v>
      </c>
      <c r="Q10" s="1" t="s">
        <v>40</v>
      </c>
      <c r="R10" s="1" t="s">
        <v>46</v>
      </c>
      <c r="S10" s="12">
        <v>150</v>
      </c>
      <c r="T10" s="12">
        <v>131</v>
      </c>
      <c r="U10" s="12">
        <v>24.941176470588236</v>
      </c>
      <c r="V10" s="12">
        <v>22.294117647058822</v>
      </c>
      <c r="W10" s="12">
        <v>17.588235294117649</v>
      </c>
      <c r="X10" s="12">
        <v>14.764705882352942</v>
      </c>
      <c r="Y10" s="12">
        <v>18.267175572519083</v>
      </c>
      <c r="Z10" s="12">
        <v>17.588235294117649</v>
      </c>
      <c r="AC10" s="1" t="s">
        <v>40</v>
      </c>
      <c r="AD10" s="1" t="s">
        <v>46</v>
      </c>
      <c r="AE10" s="12">
        <v>35</v>
      </c>
      <c r="AF10" s="12">
        <v>20</v>
      </c>
      <c r="AH10" s="1" t="s">
        <v>40</v>
      </c>
      <c r="AI10" s="1" t="s">
        <v>46</v>
      </c>
      <c r="AJ10" s="12">
        <v>110</v>
      </c>
      <c r="AK10" s="12">
        <v>82</v>
      </c>
      <c r="AM10" s="1" t="s">
        <v>40</v>
      </c>
      <c r="AN10" s="1" t="s">
        <v>46</v>
      </c>
      <c r="AO10" s="12">
        <v>2</v>
      </c>
      <c r="AP10" s="12">
        <v>2</v>
      </c>
      <c r="AR10" s="1" t="s">
        <v>39</v>
      </c>
      <c r="AS10" s="1" t="s">
        <v>46</v>
      </c>
      <c r="AT10" s="12">
        <v>738</v>
      </c>
      <c r="AU10" s="12">
        <v>124</v>
      </c>
      <c r="AV10" s="12">
        <v>862</v>
      </c>
      <c r="AY10" s="2" t="s">
        <v>165</v>
      </c>
      <c r="AZ10" s="3">
        <v>127033525.61069997</v>
      </c>
      <c r="BA10" s="3">
        <v>102086006.37000003</v>
      </c>
      <c r="BB10" s="3">
        <v>23379287.848538015</v>
      </c>
      <c r="BE10" s="15" t="s">
        <v>16</v>
      </c>
      <c r="BF10" s="16">
        <v>10500000</v>
      </c>
      <c r="BG10" s="16">
        <v>5325089.0061189989</v>
      </c>
      <c r="BH10" s="13">
        <v>0.50715133391609513</v>
      </c>
    </row>
    <row r="11" spans="1:60" x14ac:dyDescent="0.35">
      <c r="A11" s="2" t="s">
        <v>18</v>
      </c>
      <c r="B11" s="3"/>
      <c r="C11" s="3">
        <v>44310964.129999988</v>
      </c>
      <c r="E11" s="2" t="s">
        <v>19</v>
      </c>
      <c r="F11" s="3">
        <v>747828.98624600004</v>
      </c>
      <c r="G11" s="3">
        <v>2127433.303679998</v>
      </c>
      <c r="H11" s="3">
        <v>325405.2</v>
      </c>
      <c r="K11" s="1" t="s">
        <v>37</v>
      </c>
      <c r="L11" s="1" t="s">
        <v>46</v>
      </c>
      <c r="M11" s="1" t="s">
        <v>19</v>
      </c>
      <c r="N11" s="3">
        <v>161081.05000000002</v>
      </c>
      <c r="O11" s="3">
        <v>122026.95000000001</v>
      </c>
      <c r="Q11" s="1" t="s">
        <v>41</v>
      </c>
      <c r="R11" s="1" t="s">
        <v>46</v>
      </c>
      <c r="S11" s="12">
        <v>148</v>
      </c>
      <c r="T11" s="12">
        <v>123</v>
      </c>
      <c r="U11" s="12">
        <v>24.705882352941178</v>
      </c>
      <c r="V11" s="12">
        <v>21.941176470588236</v>
      </c>
      <c r="W11" s="12">
        <v>16.823529411764707</v>
      </c>
      <c r="X11" s="12">
        <v>14</v>
      </c>
      <c r="Y11" s="12">
        <v>20.211382113821138</v>
      </c>
      <c r="Z11" s="12">
        <v>16.823529411764707</v>
      </c>
      <c r="AC11" s="1" t="s">
        <v>41</v>
      </c>
      <c r="AD11" s="1" t="s">
        <v>46</v>
      </c>
      <c r="AE11" s="12">
        <v>40</v>
      </c>
      <c r="AF11" s="12">
        <v>27</v>
      </c>
      <c r="AH11" s="1" t="s">
        <v>41</v>
      </c>
      <c r="AI11" s="1" t="s">
        <v>46</v>
      </c>
      <c r="AJ11" s="12">
        <v>104</v>
      </c>
      <c r="AK11" s="12">
        <v>73</v>
      </c>
      <c r="AM11" s="1" t="s">
        <v>41</v>
      </c>
      <c r="AN11" s="1" t="s">
        <v>46</v>
      </c>
      <c r="AO11" s="12">
        <v>1</v>
      </c>
      <c r="AP11" s="12">
        <v>1</v>
      </c>
      <c r="AR11" s="1" t="s">
        <v>40</v>
      </c>
      <c r="AS11" s="1" t="s">
        <v>46</v>
      </c>
      <c r="AT11" s="12">
        <v>749</v>
      </c>
      <c r="AU11" s="12">
        <v>116</v>
      </c>
      <c r="AV11" s="12">
        <v>865</v>
      </c>
      <c r="AY11" s="2" t="s">
        <v>166</v>
      </c>
      <c r="AZ11" s="3">
        <v>127033525.61069997</v>
      </c>
      <c r="BA11" s="3">
        <v>178872854.57000026</v>
      </c>
      <c r="BB11" s="3">
        <v>51828303.012371972</v>
      </c>
      <c r="BE11" s="15" t="s">
        <v>18</v>
      </c>
      <c r="BF11" s="16">
        <v>2628719.3902504952</v>
      </c>
      <c r="BG11" s="16">
        <v>4781315.91</v>
      </c>
      <c r="BH11" s="13">
        <v>1.8188764946662415</v>
      </c>
    </row>
    <row r="12" spans="1:60" x14ac:dyDescent="0.35">
      <c r="A12" s="2" t="s">
        <v>19</v>
      </c>
      <c r="B12" s="3"/>
      <c r="C12" s="3">
        <v>248468.40747499999</v>
      </c>
      <c r="E12" s="2" t="s">
        <v>20</v>
      </c>
      <c r="F12" s="3">
        <v>3298526.11</v>
      </c>
      <c r="G12" s="3"/>
      <c r="H12" s="3">
        <v>8940354.0099999979</v>
      </c>
      <c r="K12" s="1" t="s">
        <v>37</v>
      </c>
      <c r="L12" s="1" t="s">
        <v>46</v>
      </c>
      <c r="M12" s="1" t="s">
        <v>17</v>
      </c>
      <c r="N12" s="3">
        <v>391014.38936700003</v>
      </c>
      <c r="O12" s="3">
        <v>26431.53</v>
      </c>
      <c r="Q12" s="1" t="s">
        <v>42</v>
      </c>
      <c r="R12" s="1" t="s">
        <v>47</v>
      </c>
      <c r="S12" s="12">
        <v>353</v>
      </c>
      <c r="T12" s="12">
        <v>189</v>
      </c>
      <c r="U12" s="12">
        <v>29.176470588235293</v>
      </c>
      <c r="V12" s="12">
        <v>29.176470588235293</v>
      </c>
      <c r="W12" s="12">
        <v>20.647058823529413</v>
      </c>
      <c r="X12" s="12">
        <v>14.470588235294118</v>
      </c>
      <c r="Y12" s="12">
        <v>14.962962962962964</v>
      </c>
      <c r="Z12" s="12">
        <v>20.647058823529413</v>
      </c>
      <c r="AC12" s="1" t="s">
        <v>42</v>
      </c>
      <c r="AD12" s="1" t="s">
        <v>47</v>
      </c>
      <c r="AE12" s="12">
        <v>4</v>
      </c>
      <c r="AF12" s="12">
        <v>2</v>
      </c>
      <c r="AH12" s="1" t="s">
        <v>42</v>
      </c>
      <c r="AI12" s="1" t="s">
        <v>47</v>
      </c>
      <c r="AJ12" s="12">
        <v>338</v>
      </c>
      <c r="AK12" s="12">
        <v>136</v>
      </c>
      <c r="AM12" s="1" t="s">
        <v>42</v>
      </c>
      <c r="AN12" s="1" t="s">
        <v>47</v>
      </c>
      <c r="AO12" s="12">
        <v>9</v>
      </c>
      <c r="AP12" s="12">
        <v>6</v>
      </c>
      <c r="AR12" s="1" t="s">
        <v>41</v>
      </c>
      <c r="AS12" s="1" t="s">
        <v>46</v>
      </c>
      <c r="AT12" s="12">
        <v>751</v>
      </c>
      <c r="AU12" s="12">
        <v>196</v>
      </c>
      <c r="AV12" s="12">
        <v>947</v>
      </c>
      <c r="AY12" s="2" t="s">
        <v>167</v>
      </c>
      <c r="AZ12" s="3">
        <v>127033525.61069997</v>
      </c>
      <c r="BA12" s="3">
        <v>99691426.620000005</v>
      </c>
      <c r="BB12" s="3">
        <v>112945527.52126889</v>
      </c>
      <c r="BE12" s="15" t="s">
        <v>21</v>
      </c>
      <c r="BF12" s="16">
        <v>999999999.99999988</v>
      </c>
      <c r="BG12" s="16">
        <v>447059598.87764156</v>
      </c>
      <c r="BH12" s="13">
        <v>11.276309445121719</v>
      </c>
    </row>
    <row r="13" spans="1:60" x14ac:dyDescent="0.35">
      <c r="A13" s="2" t="s">
        <v>20</v>
      </c>
      <c r="B13" s="3"/>
      <c r="C13" s="3">
        <v>9895578.3300000001</v>
      </c>
      <c r="E13" s="2" t="s">
        <v>159</v>
      </c>
      <c r="F13" s="3"/>
      <c r="G13" s="3"/>
      <c r="H13" s="3">
        <v>35153.15</v>
      </c>
      <c r="K13" s="1" t="s">
        <v>37</v>
      </c>
      <c r="L13" s="1" t="s">
        <v>46</v>
      </c>
      <c r="M13" s="1" t="s">
        <v>16</v>
      </c>
      <c r="N13" s="3">
        <v>8378833.0730539998</v>
      </c>
      <c r="O13" s="3">
        <v>5325089.0061189989</v>
      </c>
      <c r="Q13" s="1" t="s">
        <v>21</v>
      </c>
      <c r="R13" s="1"/>
      <c r="S13" s="12">
        <v>1102</v>
      </c>
      <c r="T13" s="12">
        <v>838</v>
      </c>
      <c r="U13" s="12">
        <v>25.588235294117649</v>
      </c>
      <c r="V13" s="12">
        <v>24.5</v>
      </c>
      <c r="W13" s="12">
        <v>18.715686274509803</v>
      </c>
      <c r="X13" s="12">
        <v>14.6</v>
      </c>
      <c r="Y13" s="12">
        <v>18.341288782816228</v>
      </c>
      <c r="Z13" s="12">
        <v>18.715686274509803</v>
      </c>
      <c r="AC13" s="1" t="s">
        <v>21</v>
      </c>
      <c r="AD13" s="1"/>
      <c r="AE13" s="12">
        <v>220</v>
      </c>
      <c r="AF13" s="12">
        <v>148</v>
      </c>
      <c r="AH13" s="1" t="s">
        <v>21</v>
      </c>
      <c r="AI13" s="1"/>
      <c r="AJ13" s="12">
        <v>841</v>
      </c>
      <c r="AK13" s="12">
        <v>513</v>
      </c>
      <c r="AM13" s="1" t="s">
        <v>21</v>
      </c>
      <c r="AN13" s="1"/>
      <c r="AO13" s="12">
        <v>30</v>
      </c>
      <c r="AP13" s="12">
        <v>27</v>
      </c>
      <c r="AR13" s="1" t="s">
        <v>42</v>
      </c>
      <c r="AS13" s="1" t="s">
        <v>47</v>
      </c>
      <c r="AT13" s="12">
        <v>790</v>
      </c>
      <c r="AU13" s="12">
        <v>127</v>
      </c>
      <c r="AV13" s="12">
        <v>917</v>
      </c>
      <c r="AY13" s="2" t="s">
        <v>168</v>
      </c>
      <c r="AZ13" s="3">
        <v>127033525.61069997</v>
      </c>
      <c r="BA13" s="3">
        <v>99777403.589999959</v>
      </c>
      <c r="BB13" s="3">
        <v>136631036.2961129</v>
      </c>
    </row>
    <row r="14" spans="1:60" x14ac:dyDescent="0.35">
      <c r="A14" s="2" t="s">
        <v>21</v>
      </c>
      <c r="B14" s="3">
        <v>2437530272.1944351</v>
      </c>
      <c r="C14" s="3">
        <v>3061540045.5974689</v>
      </c>
      <c r="E14" s="2" t="s">
        <v>21</v>
      </c>
      <c r="F14" s="3">
        <v>2761987323.843945</v>
      </c>
      <c r="G14" s="3">
        <v>2921771089.046083</v>
      </c>
      <c r="H14" s="3">
        <v>1661370108.5172646</v>
      </c>
      <c r="K14" s="1" t="s">
        <v>37</v>
      </c>
      <c r="L14" s="1" t="s">
        <v>46</v>
      </c>
      <c r="M14" s="1" t="s">
        <v>18</v>
      </c>
      <c r="N14" s="3">
        <v>5839882.9133333331</v>
      </c>
      <c r="O14" s="3">
        <v>4781315.91</v>
      </c>
      <c r="AR14" s="1" t="s">
        <v>21</v>
      </c>
      <c r="AS14" s="1"/>
      <c r="AT14" s="12">
        <v>4786</v>
      </c>
      <c r="AU14" s="12">
        <v>871</v>
      </c>
      <c r="AV14" s="12">
        <v>5657</v>
      </c>
      <c r="AY14" s="2" t="s">
        <v>169</v>
      </c>
      <c r="AZ14" s="3">
        <v>127033525.61069997</v>
      </c>
      <c r="BA14" s="3">
        <v>113439081.9000001</v>
      </c>
      <c r="BB14" s="3">
        <v>118409161.55671559</v>
      </c>
      <c r="BE14" s="15" t="s">
        <v>191</v>
      </c>
      <c r="BF14" s="16">
        <f>SUM(BF4:BF5)</f>
        <v>690100000</v>
      </c>
      <c r="BG14" s="16">
        <f>SUM(BG4:BG5)</f>
        <v>334546185.31102854</v>
      </c>
      <c r="BH14" s="10">
        <f>BG14/BF14</f>
        <v>0.48477928606148174</v>
      </c>
    </row>
    <row r="15" spans="1:60" x14ac:dyDescent="0.35">
      <c r="K15" s="1" t="s">
        <v>38</v>
      </c>
      <c r="L15" s="1" t="s">
        <v>46</v>
      </c>
      <c r="M15" s="1" t="s">
        <v>15</v>
      </c>
      <c r="N15" s="3">
        <v>64655793.515380658</v>
      </c>
      <c r="O15" s="3">
        <v>46221532.689712971</v>
      </c>
      <c r="AY15" s="2" t="s">
        <v>170</v>
      </c>
      <c r="AZ15" s="3">
        <v>127033525.61069997</v>
      </c>
      <c r="BA15" s="3">
        <v>143898655.64999986</v>
      </c>
      <c r="BB15" s="3">
        <v>78291161.003804699</v>
      </c>
      <c r="BE15" s="15" t="s">
        <v>192</v>
      </c>
      <c r="BF15" s="16">
        <f>SUM(BF6:BF11)</f>
        <v>309900000</v>
      </c>
      <c r="BG15" s="16">
        <f>SUM(BG6:BG11)</f>
        <v>112513413.56661299</v>
      </c>
      <c r="BH15" s="10">
        <f>BG15/BF15</f>
        <v>0.36306361267058079</v>
      </c>
    </row>
    <row r="16" spans="1:60" x14ac:dyDescent="0.35">
      <c r="K16" s="1" t="s">
        <v>38</v>
      </c>
      <c r="L16" s="1" t="s">
        <v>46</v>
      </c>
      <c r="M16" s="1" t="s">
        <v>14</v>
      </c>
      <c r="N16" s="3">
        <v>11443077.020619998</v>
      </c>
      <c r="O16" s="3">
        <v>12153421.960415993</v>
      </c>
      <c r="AY16" s="2" t="s">
        <v>171</v>
      </c>
      <c r="AZ16" s="3">
        <v>127033525.61069997</v>
      </c>
      <c r="BA16" s="3">
        <v>182187241.75999978</v>
      </c>
      <c r="BB16" s="3">
        <v>111839910.51470487</v>
      </c>
    </row>
    <row r="17" spans="11:54" x14ac:dyDescent="0.35">
      <c r="K17" s="1" t="s">
        <v>38</v>
      </c>
      <c r="L17" s="1" t="s">
        <v>46</v>
      </c>
      <c r="M17" s="1" t="s">
        <v>13</v>
      </c>
      <c r="N17" s="3">
        <v>146857176.64144665</v>
      </c>
      <c r="O17" s="3">
        <v>156980979.62065166</v>
      </c>
      <c r="AY17" s="2" t="s">
        <v>172</v>
      </c>
      <c r="AZ17" s="3">
        <v>127033525.61069997</v>
      </c>
      <c r="BA17" s="3">
        <v>198084417.50999939</v>
      </c>
      <c r="BB17" s="3">
        <v>134528147.82196775</v>
      </c>
    </row>
    <row r="18" spans="11:54" x14ac:dyDescent="0.35">
      <c r="K18" s="1" t="s">
        <v>38</v>
      </c>
      <c r="L18" s="1" t="s">
        <v>46</v>
      </c>
      <c r="M18" s="1" t="s">
        <v>19</v>
      </c>
      <c r="N18" s="3"/>
      <c r="O18" s="3">
        <v>13558.55</v>
      </c>
      <c r="AY18" s="2" t="s">
        <v>173</v>
      </c>
      <c r="AZ18" s="3">
        <v>127033525.61069997</v>
      </c>
      <c r="BA18" s="3">
        <v>106925301.57999991</v>
      </c>
      <c r="BB18" s="3">
        <v>176596055.55207866</v>
      </c>
    </row>
    <row r="19" spans="11:54" x14ac:dyDescent="0.35">
      <c r="K19" s="1" t="s">
        <v>38</v>
      </c>
      <c r="L19" s="1" t="s">
        <v>46</v>
      </c>
      <c r="M19" s="1" t="s">
        <v>17</v>
      </c>
      <c r="N19" s="3">
        <v>56156.146666666667</v>
      </c>
      <c r="O19" s="3"/>
      <c r="AY19" s="2" t="s">
        <v>174</v>
      </c>
      <c r="AZ19" s="3">
        <v>127033525.61069997</v>
      </c>
      <c r="BA19" s="3">
        <v>56712810.990000151</v>
      </c>
      <c r="BB19" s="3">
        <v>153981655.56634012</v>
      </c>
    </row>
    <row r="20" spans="11:54" x14ac:dyDescent="0.35">
      <c r="K20" s="1" t="s">
        <v>38</v>
      </c>
      <c r="L20" s="1" t="s">
        <v>46</v>
      </c>
      <c r="M20" s="1" t="s">
        <v>16</v>
      </c>
      <c r="N20" s="3">
        <v>2079990.8771713332</v>
      </c>
      <c r="O20" s="3">
        <v>1595470.1733279999</v>
      </c>
      <c r="AY20" s="2" t="s">
        <v>175</v>
      </c>
      <c r="AZ20" s="3">
        <v>127033525.61069997</v>
      </c>
      <c r="BA20" s="3">
        <v>135160619.31000018</v>
      </c>
      <c r="BB20" s="3">
        <v>111200687.75466</v>
      </c>
    </row>
    <row r="21" spans="11:54" x14ac:dyDescent="0.35">
      <c r="K21" s="1" t="s">
        <v>38</v>
      </c>
      <c r="L21" s="1" t="s">
        <v>46</v>
      </c>
      <c r="M21" s="1" t="s">
        <v>18</v>
      </c>
      <c r="N21" s="3">
        <v>2078926.8066666673</v>
      </c>
      <c r="O21" s="3">
        <v>1737690.7500000005</v>
      </c>
      <c r="AY21" s="2" t="s">
        <v>176</v>
      </c>
      <c r="AZ21" s="3">
        <v>127033525.61069997</v>
      </c>
      <c r="BA21" s="3">
        <v>139626803.07999998</v>
      </c>
      <c r="BB21" s="3">
        <v>84225554.791078687</v>
      </c>
    </row>
    <row r="22" spans="11:54" x14ac:dyDescent="0.35">
      <c r="K22" s="1" t="s">
        <v>39</v>
      </c>
      <c r="L22" s="1" t="s">
        <v>46</v>
      </c>
      <c r="M22" s="1" t="s">
        <v>15</v>
      </c>
      <c r="N22" s="3">
        <v>154650944.01873702</v>
      </c>
      <c r="O22" s="3">
        <v>117182430.3436939</v>
      </c>
      <c r="AY22" s="2" t="s">
        <v>177</v>
      </c>
      <c r="AZ22" s="3">
        <v>127033525.61069997</v>
      </c>
      <c r="BA22" s="3">
        <v>183122730.94999915</v>
      </c>
      <c r="BB22" s="3">
        <v>66977942.97634501</v>
      </c>
    </row>
    <row r="23" spans="11:54" x14ac:dyDescent="0.35">
      <c r="K23" s="1" t="s">
        <v>39</v>
      </c>
      <c r="L23" s="1" t="s">
        <v>46</v>
      </c>
      <c r="M23" s="1" t="s">
        <v>14</v>
      </c>
      <c r="N23" s="3">
        <v>30494893.478794336</v>
      </c>
      <c r="O23" s="3">
        <v>15321890.420868989</v>
      </c>
      <c r="AY23" s="2" t="s">
        <v>178</v>
      </c>
      <c r="AZ23" s="3">
        <v>127033525.61069997</v>
      </c>
      <c r="BA23" s="3"/>
      <c r="BB23" s="3"/>
    </row>
    <row r="24" spans="11:54" x14ac:dyDescent="0.35">
      <c r="K24" s="1" t="s">
        <v>39</v>
      </c>
      <c r="L24" s="1" t="s">
        <v>46</v>
      </c>
      <c r="M24" s="1" t="s">
        <v>13</v>
      </c>
      <c r="N24" s="3">
        <v>305984619.0209257</v>
      </c>
      <c r="O24" s="3">
        <v>199110431.88253284</v>
      </c>
      <c r="AY24" s="2" t="s">
        <v>179</v>
      </c>
      <c r="AZ24" s="3">
        <v>127033525.61069997</v>
      </c>
      <c r="BA24" s="3"/>
      <c r="BB24" s="3"/>
    </row>
    <row r="25" spans="11:54" x14ac:dyDescent="0.35">
      <c r="K25" s="1" t="s">
        <v>39</v>
      </c>
      <c r="L25" s="1" t="s">
        <v>46</v>
      </c>
      <c r="M25" s="1" t="s">
        <v>19</v>
      </c>
      <c r="N25" s="3">
        <v>161260.62999999998</v>
      </c>
      <c r="O25" s="3">
        <v>13558.55</v>
      </c>
      <c r="AY25" s="2" t="s">
        <v>180</v>
      </c>
      <c r="AZ25" s="3">
        <v>127033525.61069997</v>
      </c>
      <c r="BA25" s="3"/>
      <c r="BB25" s="3"/>
    </row>
    <row r="26" spans="11:54" x14ac:dyDescent="0.35">
      <c r="K26" s="1" t="s">
        <v>39</v>
      </c>
      <c r="L26" s="1" t="s">
        <v>46</v>
      </c>
      <c r="M26" s="1" t="s">
        <v>17</v>
      </c>
      <c r="N26" s="3">
        <v>311411.3819793333</v>
      </c>
      <c r="O26" s="3">
        <v>44053.15</v>
      </c>
      <c r="AY26" s="2" t="s">
        <v>181</v>
      </c>
      <c r="AZ26" s="3">
        <v>127033525.61069997</v>
      </c>
      <c r="BA26" s="3"/>
      <c r="BB26" s="3"/>
    </row>
    <row r="27" spans="11:54" x14ac:dyDescent="0.35">
      <c r="K27" s="1" t="s">
        <v>39</v>
      </c>
      <c r="L27" s="1" t="s">
        <v>46</v>
      </c>
      <c r="M27" s="1" t="s">
        <v>16</v>
      </c>
      <c r="N27" s="3">
        <v>5469917.8278883332</v>
      </c>
      <c r="O27" s="3">
        <v>2336730.502696</v>
      </c>
      <c r="AY27" s="2" t="s">
        <v>182</v>
      </c>
      <c r="AZ27" s="3">
        <v>127033525.61069997</v>
      </c>
      <c r="BA27" s="3"/>
      <c r="BB27" s="3"/>
    </row>
    <row r="28" spans="11:54" x14ac:dyDescent="0.35">
      <c r="K28" s="1" t="s">
        <v>39</v>
      </c>
      <c r="L28" s="1" t="s">
        <v>46</v>
      </c>
      <c r="M28" s="1" t="s">
        <v>18</v>
      </c>
      <c r="N28" s="3">
        <v>5808490.5133333346</v>
      </c>
      <c r="O28" s="3">
        <v>5946658.1400000006</v>
      </c>
      <c r="AY28" s="2" t="s">
        <v>183</v>
      </c>
      <c r="AZ28" s="3">
        <v>127033525.61069997</v>
      </c>
      <c r="BA28" s="3"/>
      <c r="BB28" s="3"/>
    </row>
    <row r="29" spans="11:54" x14ac:dyDescent="0.35">
      <c r="K29" s="1" t="s">
        <v>40</v>
      </c>
      <c r="L29" s="1" t="s">
        <v>46</v>
      </c>
      <c r="M29" s="1" t="s">
        <v>15</v>
      </c>
      <c r="N29" s="3">
        <v>134054831.28469305</v>
      </c>
      <c r="O29" s="3">
        <v>63241615.364693061</v>
      </c>
      <c r="AY29" s="2" t="s">
        <v>21</v>
      </c>
      <c r="AZ29" s="3">
        <v>2921771089.0460997</v>
      </c>
      <c r="BA29" s="3">
        <v>1994410408.9099989</v>
      </c>
      <c r="BB29" s="3">
        <v>1661370108.5172608</v>
      </c>
    </row>
    <row r="30" spans="11:54" x14ac:dyDescent="0.35">
      <c r="K30" s="1" t="s">
        <v>40</v>
      </c>
      <c r="L30" s="1" t="s">
        <v>46</v>
      </c>
      <c r="M30" s="1" t="s">
        <v>14</v>
      </c>
      <c r="N30" s="3">
        <v>24745253.523156997</v>
      </c>
      <c r="O30" s="3">
        <v>12664458.029523989</v>
      </c>
    </row>
    <row r="31" spans="11:54" x14ac:dyDescent="0.35">
      <c r="K31" s="1" t="s">
        <v>40</v>
      </c>
      <c r="L31" s="1" t="s">
        <v>46</v>
      </c>
      <c r="M31" s="1" t="s">
        <v>13</v>
      </c>
      <c r="N31" s="3">
        <v>282687387.9404797</v>
      </c>
      <c r="O31" s="3">
        <v>150532296.9461033</v>
      </c>
    </row>
    <row r="32" spans="11:54" x14ac:dyDescent="0.35">
      <c r="K32" s="1" t="s">
        <v>40</v>
      </c>
      <c r="L32" s="1" t="s">
        <v>46</v>
      </c>
      <c r="M32" s="1" t="s">
        <v>19</v>
      </c>
      <c r="N32" s="3">
        <v>39609.593333333331</v>
      </c>
      <c r="O32" s="3">
        <v>67792.75</v>
      </c>
    </row>
    <row r="33" spans="11:15" x14ac:dyDescent="0.35">
      <c r="K33" s="1" t="s">
        <v>40</v>
      </c>
      <c r="L33" s="1" t="s">
        <v>46</v>
      </c>
      <c r="M33" s="1" t="s">
        <v>17</v>
      </c>
      <c r="N33" s="3">
        <v>188888.8666666667</v>
      </c>
      <c r="O33" s="3">
        <v>26431.53</v>
      </c>
    </row>
    <row r="34" spans="11:15" x14ac:dyDescent="0.35">
      <c r="K34" s="1" t="s">
        <v>40</v>
      </c>
      <c r="L34" s="1" t="s">
        <v>46</v>
      </c>
      <c r="M34" s="1" t="s">
        <v>16</v>
      </c>
      <c r="N34" s="3">
        <v>4595218.0902873324</v>
      </c>
      <c r="O34" s="3">
        <v>3342507.0454840008</v>
      </c>
    </row>
    <row r="35" spans="11:15" x14ac:dyDescent="0.35">
      <c r="K35" s="1" t="s">
        <v>40</v>
      </c>
      <c r="L35" s="1" t="s">
        <v>46</v>
      </c>
      <c r="M35" s="1" t="s">
        <v>18</v>
      </c>
      <c r="N35" s="3">
        <v>3204633.6199999992</v>
      </c>
      <c r="O35" s="3">
        <v>3648382.620000001</v>
      </c>
    </row>
    <row r="36" spans="11:15" x14ac:dyDescent="0.35">
      <c r="K36" s="1" t="s">
        <v>41</v>
      </c>
      <c r="L36" s="1" t="s">
        <v>46</v>
      </c>
      <c r="M36" s="1" t="s">
        <v>15</v>
      </c>
      <c r="N36" s="3">
        <v>115943047.310158</v>
      </c>
      <c r="O36" s="3">
        <v>83638646.11194402</v>
      </c>
    </row>
    <row r="37" spans="11:15" x14ac:dyDescent="0.35">
      <c r="K37" s="1" t="s">
        <v>41</v>
      </c>
      <c r="L37" s="1" t="s">
        <v>46</v>
      </c>
      <c r="M37" s="1" t="s">
        <v>14</v>
      </c>
      <c r="N37" s="3">
        <v>30807686.953566343</v>
      </c>
      <c r="O37" s="3">
        <v>13685449.026732981</v>
      </c>
    </row>
    <row r="38" spans="11:15" x14ac:dyDescent="0.35">
      <c r="K38" s="1" t="s">
        <v>41</v>
      </c>
      <c r="L38" s="1" t="s">
        <v>46</v>
      </c>
      <c r="M38" s="1" t="s">
        <v>13</v>
      </c>
      <c r="N38" s="3">
        <v>303145694.57543349</v>
      </c>
      <c r="O38" s="3">
        <v>193255710.87428257</v>
      </c>
    </row>
    <row r="39" spans="11:15" x14ac:dyDescent="0.35">
      <c r="K39" s="1" t="s">
        <v>41</v>
      </c>
      <c r="L39" s="1" t="s">
        <v>46</v>
      </c>
      <c r="M39" s="1" t="s">
        <v>19</v>
      </c>
      <c r="N39" s="3">
        <v>117747.71666666669</v>
      </c>
      <c r="O39" s="3">
        <v>54234.2</v>
      </c>
    </row>
    <row r="40" spans="11:15" x14ac:dyDescent="0.35">
      <c r="K40" s="1" t="s">
        <v>41</v>
      </c>
      <c r="L40" s="1" t="s">
        <v>46</v>
      </c>
      <c r="M40" s="1" t="s">
        <v>17</v>
      </c>
      <c r="N40" s="3">
        <v>326828.78234133334</v>
      </c>
      <c r="O40" s="3">
        <v>26431.53</v>
      </c>
    </row>
    <row r="41" spans="11:15" x14ac:dyDescent="0.35">
      <c r="K41" s="1" t="s">
        <v>41</v>
      </c>
      <c r="L41" s="1" t="s">
        <v>46</v>
      </c>
      <c r="M41" s="1" t="s">
        <v>16</v>
      </c>
      <c r="N41" s="3">
        <v>4554895.5633516675</v>
      </c>
      <c r="O41" s="3">
        <v>2140087.3025179999</v>
      </c>
    </row>
    <row r="42" spans="11:15" x14ac:dyDescent="0.35">
      <c r="K42" s="1" t="s">
        <v>41</v>
      </c>
      <c r="L42" s="1" t="s">
        <v>46</v>
      </c>
      <c r="M42" s="1" t="s">
        <v>18</v>
      </c>
      <c r="N42" s="3">
        <v>7475176.4466666644</v>
      </c>
      <c r="O42" s="3">
        <v>3508762.5900000008</v>
      </c>
    </row>
    <row r="43" spans="11:15" x14ac:dyDescent="0.35">
      <c r="K43" s="1" t="s">
        <v>42</v>
      </c>
      <c r="L43" s="1" t="s">
        <v>47</v>
      </c>
      <c r="M43" s="1" t="s">
        <v>15</v>
      </c>
      <c r="N43" s="3">
        <v>37643028.709056981</v>
      </c>
      <c r="O43" s="3">
        <v>32486212.865647011</v>
      </c>
    </row>
    <row r="44" spans="11:15" x14ac:dyDescent="0.35">
      <c r="K44" s="1" t="s">
        <v>42</v>
      </c>
      <c r="L44" s="1" t="s">
        <v>47</v>
      </c>
      <c r="M44" s="1" t="s">
        <v>14</v>
      </c>
      <c r="N44" s="3">
        <v>11312114.979593331</v>
      </c>
      <c r="O44" s="3">
        <v>7415808.9244799986</v>
      </c>
    </row>
    <row r="45" spans="11:15" x14ac:dyDescent="0.35">
      <c r="K45" s="1" t="s">
        <v>42</v>
      </c>
      <c r="L45" s="1" t="s">
        <v>47</v>
      </c>
      <c r="M45" s="1" t="s">
        <v>13</v>
      </c>
      <c r="N45" s="3">
        <v>128796712.27061228</v>
      </c>
      <c r="O45" s="3">
        <v>75912431.960725769</v>
      </c>
    </row>
    <row r="46" spans="11:15" x14ac:dyDescent="0.35">
      <c r="K46" s="1" t="s">
        <v>42</v>
      </c>
      <c r="L46" s="1" t="s">
        <v>47</v>
      </c>
      <c r="M46" s="1" t="s">
        <v>19</v>
      </c>
      <c r="N46" s="3">
        <v>67852.83</v>
      </c>
      <c r="O46" s="3">
        <v>54234.2</v>
      </c>
    </row>
    <row r="47" spans="11:15" x14ac:dyDescent="0.35">
      <c r="K47" s="1" t="s">
        <v>42</v>
      </c>
      <c r="L47" s="1" t="s">
        <v>47</v>
      </c>
      <c r="M47" s="1" t="s">
        <v>17</v>
      </c>
      <c r="N47" s="3">
        <v>336936.90585433337</v>
      </c>
      <c r="O47" s="3">
        <v>52863.06</v>
      </c>
    </row>
    <row r="48" spans="11:15" x14ac:dyDescent="0.35">
      <c r="K48" s="1" t="s">
        <v>42</v>
      </c>
      <c r="L48" s="1" t="s">
        <v>47</v>
      </c>
      <c r="M48" s="1" t="s">
        <v>16</v>
      </c>
      <c r="N48" s="3">
        <v>3777961.3344606659</v>
      </c>
      <c r="O48" s="3">
        <v>1929657.487918</v>
      </c>
    </row>
    <row r="49" spans="11:15" x14ac:dyDescent="0.35">
      <c r="K49" s="1" t="s">
        <v>42</v>
      </c>
      <c r="L49" s="1" t="s">
        <v>47</v>
      </c>
      <c r="M49" s="1" t="s">
        <v>18</v>
      </c>
      <c r="N49" s="3">
        <v>5118219.916666667</v>
      </c>
      <c r="O49" s="3">
        <v>4768704.0900000017</v>
      </c>
    </row>
    <row r="50" spans="11:15" x14ac:dyDescent="0.35">
      <c r="K50" s="1" t="s">
        <v>21</v>
      </c>
      <c r="L50" s="1"/>
      <c r="M50" s="1"/>
      <c r="N50" s="3">
        <v>2744976818.0649533</v>
      </c>
      <c r="O50" s="3">
        <v>1658170724.1215949</v>
      </c>
    </row>
  </sheetData>
  <pageMargins left="0.7" right="0.7" top="0.75" bottom="0.75" header="0.3" footer="0.3"/>
  <drawing r:id="rId11"/>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H14" sqref="H14"/>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1790025023.1162379</v>
      </c>
      <c r="E2" s="6">
        <f>SUMIF(Dsource!$A:$A,d.dashboard!$B2,Dsource!C:C)</f>
        <v>1940562557.4670351</v>
      </c>
      <c r="F2" s="6">
        <f>SUMIF(Dsource!$E:$E,$B2,Dsource!$G:$G)</f>
        <v>1750865933.9627936</v>
      </c>
      <c r="G2" s="6">
        <f>SUMIF(Dsource!$E:$E,$B2,Dsource!$H:$H)</f>
        <v>1081568028.9540176</v>
      </c>
      <c r="H2" s="9">
        <f>G2-F2</f>
        <v>-669297905.00877595</v>
      </c>
      <c r="I2" s="10">
        <f>IFERROR(G2/F2,0)</f>
        <v>0.61773320730849357</v>
      </c>
      <c r="J2" s="10">
        <f>IFERROR(G2/C2-1,0)</f>
        <v>-0.23647106769308113</v>
      </c>
      <c r="K2" s="10">
        <f>IFERROR(G2/D2-1,0)</f>
        <v>-0.39578049748649546</v>
      </c>
      <c r="L2" s="10">
        <f>IFERROR(G2/E2-1,0)</f>
        <v>-0.44265232533098042</v>
      </c>
    </row>
    <row r="3" spans="1:12" x14ac:dyDescent="0.35">
      <c r="A3" t="s">
        <v>7</v>
      </c>
      <c r="B3" t="s">
        <v>14</v>
      </c>
      <c r="C3" s="6">
        <f>SUMIF(Dsource!$A:$A,d.dashboard!$B3,Dsource!B:B)</f>
        <v>145510909.54880494</v>
      </c>
      <c r="D3" s="6">
        <f>SUMIF(Dsource!$E:$E,$B3,Dsource!$F:$F)</f>
        <v>179204117.83370411</v>
      </c>
      <c r="E3" s="6">
        <f>SUMIF(Dsource!$A:$A,d.dashboard!$B3,Dsource!C:C)</f>
        <v>197509715.86954999</v>
      </c>
      <c r="F3" s="6">
        <f>SUMIF(Dsource!$E:$E,$B3,Dsource!$G:$G)</f>
        <v>200501454.52993894</v>
      </c>
      <c r="G3" s="6">
        <f>SUMIF(Dsource!$E:$E,$B3,Dsource!$H:$H)</f>
        <v>92353505.137918979</v>
      </c>
      <c r="H3" s="9">
        <f t="shared" ref="H3:H10" si="0">G3-F3</f>
        <v>-108147949.39201996</v>
      </c>
      <c r="I3" s="10">
        <f t="shared" ref="I3:I9" si="1">IFERROR(G3/F3,0)</f>
        <v>0.46061264420467696</v>
      </c>
      <c r="J3" s="10">
        <f t="shared" ref="J3:J9" si="2">IFERROR(G3/C3-1,0)</f>
        <v>-0.36531559438199201</v>
      </c>
      <c r="K3" s="10">
        <f t="shared" ref="K3:K9" si="3">IFERROR(H3/D3-1,0)</f>
        <v>-1.6034903142816055</v>
      </c>
      <c r="L3" s="10">
        <f t="shared" ref="L3:L9" si="4">IFERROR(G3/E3-1,0)</f>
        <v>-0.53241031849331377</v>
      </c>
    </row>
    <row r="4" spans="1:12" x14ac:dyDescent="0.35">
      <c r="A4" t="s">
        <v>7</v>
      </c>
      <c r="B4" t="s">
        <v>15</v>
      </c>
      <c r="C4" s="6">
        <f>SUMIF(Dsource!$A:$A,d.dashboard!$B4,Dsource!B:B)</f>
        <v>825068004.5460434</v>
      </c>
      <c r="D4" s="6">
        <f>SUMIF(Dsource!$E:$E,$B4,Dsource!$F:$F)</f>
        <v>725774322.97611916</v>
      </c>
      <c r="E4" s="6">
        <f>SUMIF(Dsource!$A:$A,d.dashboard!$B4,Dsource!C:C)</f>
        <v>835635799.79853082</v>
      </c>
      <c r="F4" s="6">
        <f>SUMIF(Dsource!$E:$E,$B4,Dsource!$G:$G)</f>
        <v>929758973.86220074</v>
      </c>
      <c r="G4" s="6">
        <f>SUMIF(Dsource!$E:$E,$B4,Dsource!$H:$H)</f>
        <v>436835471.32726479</v>
      </c>
      <c r="H4" s="9">
        <f t="shared" si="0"/>
        <v>-492923502.53493595</v>
      </c>
      <c r="I4" s="10">
        <f t="shared" si="1"/>
        <v>0.46983732731576522</v>
      </c>
      <c r="J4" s="10">
        <f t="shared" si="2"/>
        <v>-0.47054610175119582</v>
      </c>
      <c r="K4" s="10">
        <f t="shared" si="3"/>
        <v>-1.679169112119657</v>
      </c>
      <c r="L4" s="10">
        <f t="shared" si="4"/>
        <v>-0.477241794292939</v>
      </c>
    </row>
    <row r="5" spans="1:12" x14ac:dyDescent="0.35">
      <c r="A5" t="s">
        <v>7</v>
      </c>
      <c r="B5" t="s">
        <v>16</v>
      </c>
      <c r="C5" s="6">
        <f>SUMIF(Dsource!$A:$A,d.dashboard!$B5,Dsource!B:B)</f>
        <v>23185839.411154002</v>
      </c>
      <c r="D5" s="6">
        <f>SUMIF(Dsource!$E:$E,$B5,Dsource!$F:$F)</f>
        <v>28905529.676633667</v>
      </c>
      <c r="E5" s="6">
        <f>SUMIF(Dsource!$A:$A,d.dashboard!$B5,Dsource!C:C)</f>
        <v>32369936.411370002</v>
      </c>
      <c r="F5" s="6">
        <f>SUMIF(Dsource!$E:$E,$B5,Dsource!$G:$G)</f>
        <v>27063736.73777001</v>
      </c>
      <c r="G5" s="6">
        <f>SUMIF(Dsource!$E:$E,$B5,Dsource!$H:$H)</f>
        <v>16669541.518063001</v>
      </c>
      <c r="H5" s="9">
        <f t="shared" si="0"/>
        <v>-10394195.219707008</v>
      </c>
      <c r="I5" s="10">
        <f t="shared" si="1"/>
        <v>0.61593643477912918</v>
      </c>
      <c r="J5" s="10">
        <f t="shared" si="2"/>
        <v>-0.28104645156630426</v>
      </c>
      <c r="K5" s="10">
        <f t="shared" si="3"/>
        <v>-1.3595919305401747</v>
      </c>
      <c r="L5" s="10">
        <f t="shared" si="4"/>
        <v>-0.48503014321004989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32394861.795462329</v>
      </c>
      <c r="E7" s="6">
        <f>SUMIF(Dsource!$A:$A,d.dashboard!$B7,Dsource!C:C)</f>
        <v>44310964.129999988</v>
      </c>
      <c r="F7" s="6">
        <f>SUMIF(Dsource!$E:$E,$B7,Dsource!$G:$G)</f>
        <v>6346325.8587499829</v>
      </c>
      <c r="G7" s="6">
        <f>SUMIF(Dsource!$E:$E,$B7,Dsource!$H:$H)</f>
        <v>24466438.420000002</v>
      </c>
      <c r="H7" s="9">
        <f t="shared" si="0"/>
        <v>18120112.56125002</v>
      </c>
      <c r="I7" s="10">
        <f t="shared" si="1"/>
        <v>3.8552130736033594</v>
      </c>
      <c r="J7" s="10">
        <f t="shared" si="2"/>
        <v>0</v>
      </c>
      <c r="K7" s="10">
        <f t="shared" si="3"/>
        <v>-0.44064856100765426</v>
      </c>
      <c r="L7" s="10">
        <f t="shared" si="4"/>
        <v>-0.44784685008838676</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325405.2</v>
      </c>
      <c r="H8" s="9">
        <f t="shared" si="0"/>
        <v>-1802028.1036799981</v>
      </c>
      <c r="I8" s="10">
        <f t="shared" si="1"/>
        <v>0.15295671052865423</v>
      </c>
      <c r="J8" s="10">
        <f t="shared" si="2"/>
        <v>0</v>
      </c>
      <c r="K8" s="10">
        <f t="shared" si="3"/>
        <v>-3.4096794010699352</v>
      </c>
      <c r="L8" s="10">
        <f t="shared" si="4"/>
        <v>0.30964416485319624</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8940354.0099999979</v>
      </c>
      <c r="H9" s="9">
        <f t="shared" si="0"/>
        <v>8940354.0099999979</v>
      </c>
      <c r="I9" s="10">
        <f t="shared" si="1"/>
        <v>0</v>
      </c>
      <c r="J9" s="10">
        <f t="shared" si="2"/>
        <v>0</v>
      </c>
      <c r="K9" s="10">
        <f t="shared" si="3"/>
        <v>1.710408743740397</v>
      </c>
      <c r="L9" s="10">
        <f t="shared" si="4"/>
        <v>-9.6530418753201119E-2</v>
      </c>
    </row>
    <row r="10" spans="1:12" x14ac:dyDescent="0.35">
      <c r="A10" t="s">
        <v>7</v>
      </c>
      <c r="B10" t="s">
        <v>158</v>
      </c>
      <c r="C10" s="6">
        <f>SUM(C2:C9)</f>
        <v>2437530272.1944346</v>
      </c>
      <c r="D10" s="6">
        <f t="shared" ref="D10:G10" si="5">SUM(D2:D9)</f>
        <v>2761987323.8439455</v>
      </c>
      <c r="E10" s="6">
        <f t="shared" si="5"/>
        <v>3061540045.5974684</v>
      </c>
      <c r="F10" s="6">
        <f t="shared" si="5"/>
        <v>2921771089.046083</v>
      </c>
      <c r="G10" s="6">
        <f t="shared" si="5"/>
        <v>1661334955.3672645</v>
      </c>
      <c r="H10" s="9">
        <f t="shared" si="0"/>
        <v>-1260436133.6788185</v>
      </c>
      <c r="I10" s="10">
        <f t="shared" ref="I10" si="6">IFERROR(G10/F10,0)</f>
        <v>0.56860544674280655</v>
      </c>
      <c r="J10" s="10">
        <f t="shared" ref="J10" si="7">IFERROR(G10/C10-1,0)</f>
        <v>-0.31843514957801322</v>
      </c>
      <c r="K10" s="10">
        <f t="shared" ref="K10" si="8">IFERROR(H10/D10-1,0)</f>
        <v>-1.4563511652633616</v>
      </c>
      <c r="L10" s="10">
        <f t="shared" ref="L10" si="9">IFERROR(G10/E10-1,0)</f>
        <v>-0.45735318479459897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45A76-A9D4-422C-A21B-CB3028DF4877}">
  <dimension ref="A1"/>
  <sheetViews>
    <sheetView workbookViewId="0">
      <selection activeCell="E9" sqref="E9"/>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D3BB-72F7-4CB6-B2B6-71C069AFFBF1}">
  <dimension ref="A1:D24"/>
  <sheetViews>
    <sheetView topLeftCell="A13" workbookViewId="0">
      <selection activeCell="A26" sqref="A26:D28"/>
    </sheetView>
  </sheetViews>
  <sheetFormatPr defaultRowHeight="14.5" x14ac:dyDescent="0.35"/>
  <cols>
    <col min="1" max="1" width="9.453125" bestFit="1" customWidth="1"/>
    <col min="2" max="4" width="14.6328125" style="6" bestFit="1" customWidth="1"/>
  </cols>
  <sheetData>
    <row r="1" spans="1:4" x14ac:dyDescent="0.35">
      <c r="A1" s="7" t="s">
        <v>185</v>
      </c>
      <c r="B1" s="8" t="s">
        <v>34</v>
      </c>
      <c r="C1" s="8" t="s">
        <v>186</v>
      </c>
      <c r="D1" s="8" t="s">
        <v>187</v>
      </c>
    </row>
    <row r="2" spans="1:4" x14ac:dyDescent="0.35">
      <c r="A2" t="str">
        <f>Dsource!AY6</f>
        <v>6/2/2025</v>
      </c>
      <c r="B2" s="6">
        <f>Dsource!AZ6</f>
        <v>127033525.61069997</v>
      </c>
      <c r="C2" s="6">
        <f>Dsource!BA6</f>
        <v>67834989.550000042</v>
      </c>
      <c r="D2" s="6">
        <f>Dsource!BB6</f>
        <v>44751913.633566007</v>
      </c>
    </row>
    <row r="3" spans="1:4" x14ac:dyDescent="0.35">
      <c r="A3" t="str">
        <f>Dsource!AY7</f>
        <v>6/3/2025</v>
      </c>
      <c r="B3" s="6">
        <f>Dsource!AZ7</f>
        <v>127033525.61069997</v>
      </c>
      <c r="C3" s="6">
        <f>Dsource!BA7</f>
        <v>79124212.470000118</v>
      </c>
      <c r="D3" s="6">
        <f>Dsource!BB7</f>
        <v>99834206.715707853</v>
      </c>
    </row>
    <row r="4" spans="1:4" x14ac:dyDescent="0.35">
      <c r="A4" t="str">
        <f>Dsource!AY8</f>
        <v>6/4/2025</v>
      </c>
      <c r="B4" s="6">
        <f>Dsource!AZ8</f>
        <v>127033525.61069997</v>
      </c>
      <c r="C4" s="6">
        <f>Dsource!BA8</f>
        <v>59650865.870000057</v>
      </c>
      <c r="D4" s="6">
        <f>Dsource!BB8</f>
        <v>70955179.609755993</v>
      </c>
    </row>
    <row r="5" spans="1:4" x14ac:dyDescent="0.35">
      <c r="A5" t="str">
        <f>Dsource!AY9</f>
        <v>6/5/2025</v>
      </c>
      <c r="B5" s="6">
        <f>Dsource!AZ9</f>
        <v>127033525.61069997</v>
      </c>
      <c r="C5" s="6">
        <f>Dsource!BA9</f>
        <v>48214987.14000006</v>
      </c>
      <c r="D5" s="6">
        <f>Dsource!BB9</f>
        <v>84994376.34224394</v>
      </c>
    </row>
    <row r="6" spans="1:4" x14ac:dyDescent="0.35">
      <c r="A6" t="str">
        <f>Dsource!AY10</f>
        <v>6/7/2025</v>
      </c>
      <c r="B6" s="6">
        <f>Dsource!AZ10</f>
        <v>127033525.61069997</v>
      </c>
      <c r="C6" s="6">
        <f>Dsource!BA10</f>
        <v>102086006.37000003</v>
      </c>
      <c r="D6" s="6">
        <f>Dsource!BB10</f>
        <v>23379287.848538015</v>
      </c>
    </row>
    <row r="7" spans="1:4" x14ac:dyDescent="0.35">
      <c r="A7" t="str">
        <f>Dsource!AY11</f>
        <v>6/9/2025</v>
      </c>
      <c r="B7" s="6">
        <f>Dsource!AZ11</f>
        <v>127033525.61069997</v>
      </c>
      <c r="C7" s="6">
        <f>Dsource!BA11</f>
        <v>178872854.57000026</v>
      </c>
      <c r="D7" s="6">
        <f>Dsource!BB11</f>
        <v>51828303.012371972</v>
      </c>
    </row>
    <row r="8" spans="1:4" x14ac:dyDescent="0.35">
      <c r="A8" t="str">
        <f>Dsource!AY12</f>
        <v>6/10/2025</v>
      </c>
      <c r="B8" s="6">
        <f>Dsource!AZ12</f>
        <v>127033525.61069997</v>
      </c>
      <c r="C8" s="6">
        <f>Dsource!BA12</f>
        <v>99691426.620000005</v>
      </c>
      <c r="D8" s="6">
        <f>Dsource!BB12</f>
        <v>112945527.52126889</v>
      </c>
    </row>
    <row r="9" spans="1:4" x14ac:dyDescent="0.35">
      <c r="A9" t="str">
        <f>Dsource!AY13</f>
        <v>6/11/2025</v>
      </c>
      <c r="B9" s="6">
        <f>Dsource!AZ13</f>
        <v>127033525.61069997</v>
      </c>
      <c r="C9" s="6">
        <f>Dsource!BA13</f>
        <v>99777403.589999959</v>
      </c>
      <c r="D9" s="6">
        <f>Dsource!BB13</f>
        <v>136631036.2961129</v>
      </c>
    </row>
    <row r="10" spans="1:4" x14ac:dyDescent="0.35">
      <c r="A10" t="str">
        <f>Dsource!AY14</f>
        <v>6/12/2025</v>
      </c>
      <c r="B10" s="6">
        <f>Dsource!AZ14</f>
        <v>127033525.61069997</v>
      </c>
      <c r="C10" s="6">
        <f>Dsource!BA14</f>
        <v>113439081.9000001</v>
      </c>
      <c r="D10" s="6">
        <f>Dsource!BB14</f>
        <v>118409161.55671559</v>
      </c>
    </row>
    <row r="11" spans="1:4" x14ac:dyDescent="0.35">
      <c r="A11" t="str">
        <f>Dsource!AY15</f>
        <v>6/13/2025</v>
      </c>
      <c r="B11" s="6">
        <f>Dsource!AZ15</f>
        <v>127033525.61069997</v>
      </c>
      <c r="C11" s="6">
        <f>Dsource!BA15</f>
        <v>143898655.64999986</v>
      </c>
      <c r="D11" s="6">
        <f>Dsource!BB15</f>
        <v>78291161.003804699</v>
      </c>
    </row>
    <row r="12" spans="1:4" x14ac:dyDescent="0.35">
      <c r="A12" t="str">
        <f>Dsource!AY16</f>
        <v>6/14/2025</v>
      </c>
      <c r="B12" s="6">
        <f>Dsource!AZ16</f>
        <v>127033525.61069997</v>
      </c>
      <c r="C12" s="6">
        <f>Dsource!BA16</f>
        <v>182187241.75999978</v>
      </c>
      <c r="D12" s="6">
        <f>Dsource!BB16</f>
        <v>111839910.51470487</v>
      </c>
    </row>
    <row r="13" spans="1:4" x14ac:dyDescent="0.35">
      <c r="A13" t="str">
        <f>Dsource!AY17</f>
        <v>6/16/2025</v>
      </c>
      <c r="B13" s="6">
        <f>Dsource!AZ17</f>
        <v>127033525.61069997</v>
      </c>
      <c r="C13" s="6">
        <f>Dsource!BA17</f>
        <v>198084417.50999939</v>
      </c>
      <c r="D13" s="6">
        <f>Dsource!BB17</f>
        <v>134528147.82196775</v>
      </c>
    </row>
    <row r="14" spans="1:4" x14ac:dyDescent="0.35">
      <c r="A14" t="str">
        <f>Dsource!AY18</f>
        <v>6/17/2025</v>
      </c>
      <c r="B14" s="6">
        <f>Dsource!AZ18</f>
        <v>127033525.61069997</v>
      </c>
      <c r="C14" s="6">
        <f>Dsource!BA18</f>
        <v>106925301.57999991</v>
      </c>
      <c r="D14" s="6">
        <f>Dsource!BB18</f>
        <v>176596055.55207866</v>
      </c>
    </row>
    <row r="15" spans="1:4" x14ac:dyDescent="0.35">
      <c r="A15" t="str">
        <f>Dsource!AY19</f>
        <v>6/18/2025</v>
      </c>
      <c r="B15" s="6">
        <f>Dsource!AZ19</f>
        <v>127033525.61069997</v>
      </c>
      <c r="C15" s="6">
        <f>Dsource!BA19</f>
        <v>56712810.990000151</v>
      </c>
      <c r="D15" s="6">
        <f>Dsource!BB19</f>
        <v>153981655.56634012</v>
      </c>
    </row>
    <row r="16" spans="1:4" x14ac:dyDescent="0.35">
      <c r="A16" t="str">
        <f>Dsource!AY20</f>
        <v>6/19/2025</v>
      </c>
      <c r="B16" s="6">
        <f>Dsource!AZ20</f>
        <v>127033525.61069997</v>
      </c>
      <c r="C16" s="6">
        <f>Dsource!BA20</f>
        <v>135160619.31000018</v>
      </c>
      <c r="D16" s="6">
        <f>Dsource!BB20</f>
        <v>111200687.75466</v>
      </c>
    </row>
    <row r="17" spans="1:4" x14ac:dyDescent="0.35">
      <c r="A17" t="str">
        <f>Dsource!AY21</f>
        <v>6/20/2025</v>
      </c>
      <c r="B17" s="6">
        <f>Dsource!AZ21</f>
        <v>127033525.61069997</v>
      </c>
      <c r="C17" s="6">
        <f>Dsource!BA21</f>
        <v>139626803.07999998</v>
      </c>
      <c r="D17" s="6">
        <f>Dsource!BB21</f>
        <v>84225554.791078687</v>
      </c>
    </row>
    <row r="18" spans="1:4" x14ac:dyDescent="0.35">
      <c r="A18" t="str">
        <f>Dsource!AY22</f>
        <v>6/21/2025</v>
      </c>
      <c r="B18" s="6">
        <f>Dsource!AZ22</f>
        <v>127033525.61069997</v>
      </c>
      <c r="C18" s="6">
        <f>Dsource!BA22</f>
        <v>183122730.94999915</v>
      </c>
      <c r="D18" s="6">
        <f>Dsource!BB22</f>
        <v>66977942.97634501</v>
      </c>
    </row>
    <row r="19" spans="1:4" x14ac:dyDescent="0.35">
      <c r="A19" t="str">
        <f>Dsource!AY23</f>
        <v>6/23/2025</v>
      </c>
      <c r="B19" s="6">
        <f>Dsource!AZ23</f>
        <v>127033525.61069997</v>
      </c>
      <c r="C19" s="6">
        <f>Dsource!BA23</f>
        <v>0</v>
      </c>
      <c r="D19" s="6">
        <f>Dsource!BB23</f>
        <v>0</v>
      </c>
    </row>
    <row r="20" spans="1:4" x14ac:dyDescent="0.35">
      <c r="A20" t="str">
        <f>Dsource!AY24</f>
        <v>6/24/2025</v>
      </c>
      <c r="B20" s="6">
        <f>Dsource!AZ24</f>
        <v>127033525.61069997</v>
      </c>
      <c r="C20" s="6">
        <f>Dsource!BA24</f>
        <v>0</v>
      </c>
      <c r="D20" s="6">
        <f>Dsource!BB24</f>
        <v>0</v>
      </c>
    </row>
    <row r="21" spans="1:4" x14ac:dyDescent="0.35">
      <c r="A21" t="str">
        <f>Dsource!AY25</f>
        <v>6/25/2025</v>
      </c>
      <c r="B21" s="6">
        <f>Dsource!AZ25</f>
        <v>127033525.61069997</v>
      </c>
      <c r="C21" s="6">
        <f>Dsource!BA25</f>
        <v>0</v>
      </c>
      <c r="D21" s="6">
        <f>Dsource!BB25</f>
        <v>0</v>
      </c>
    </row>
    <row r="22" spans="1:4" x14ac:dyDescent="0.35">
      <c r="A22" t="str">
        <f>Dsource!AY26</f>
        <v>6/26/2025</v>
      </c>
      <c r="B22" s="6">
        <f>Dsource!AZ26</f>
        <v>127033525.61069997</v>
      </c>
      <c r="C22" s="6">
        <f>Dsource!BA26</f>
        <v>0</v>
      </c>
      <c r="D22" s="6">
        <f>Dsource!BB26</f>
        <v>0</v>
      </c>
    </row>
    <row r="23" spans="1:4" x14ac:dyDescent="0.35">
      <c r="A23" t="str">
        <f>Dsource!AY27</f>
        <v>6/28/2025</v>
      </c>
      <c r="B23" s="6">
        <f>Dsource!AZ27</f>
        <v>127033525.61069997</v>
      </c>
      <c r="C23" s="6">
        <f>Dsource!BA27</f>
        <v>0</v>
      </c>
      <c r="D23" s="6">
        <f>Dsource!BB27</f>
        <v>0</v>
      </c>
    </row>
    <row r="24" spans="1:4" x14ac:dyDescent="0.35">
      <c r="A24" t="str">
        <f>Dsource!AY28</f>
        <v>6/30/2025</v>
      </c>
      <c r="B24" s="6">
        <f>Dsource!AZ28</f>
        <v>127033525.61069997</v>
      </c>
      <c r="C24" s="6">
        <f>Dsource!BA28</f>
        <v>0</v>
      </c>
      <c r="D24" s="6">
        <f>Dsource!BB28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M7"/>
  <sheetViews>
    <sheetView tabSelected="1" topLeftCell="D1" workbookViewId="0">
      <selection activeCell="J8" sqref="J1:M8"/>
    </sheetView>
  </sheetViews>
  <sheetFormatPr defaultRowHeight="14.5" x14ac:dyDescent="0.35"/>
  <cols>
    <col min="1" max="1" width="12.36328125" bestFit="1" customWidth="1"/>
    <col min="2" max="2" width="12.90625" bestFit="1"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 min="10" max="10" width="13.1796875" bestFit="1" customWidth="1"/>
    <col min="11" max="11" width="15.6328125" bestFit="1" customWidth="1"/>
    <col min="12" max="12" width="13.1796875" bestFit="1" customWidth="1"/>
    <col min="13" max="13" width="15.6328125" bestFit="1" customWidth="1"/>
  </cols>
  <sheetData>
    <row r="1" spans="1:13" x14ac:dyDescent="0.35">
      <c r="A1" t="s">
        <v>144</v>
      </c>
      <c r="B1" t="s">
        <v>142</v>
      </c>
      <c r="C1" s="7" t="s">
        <v>33</v>
      </c>
      <c r="D1" s="7" t="s">
        <v>45</v>
      </c>
      <c r="E1" s="7" t="s">
        <v>34</v>
      </c>
      <c r="F1" s="7" t="s">
        <v>5</v>
      </c>
      <c r="G1" s="7" t="s">
        <v>35</v>
      </c>
      <c r="H1" s="7" t="s">
        <v>28</v>
      </c>
      <c r="I1" s="7" t="s">
        <v>36</v>
      </c>
      <c r="J1" s="7"/>
      <c r="K1" s="7"/>
      <c r="L1" s="7"/>
      <c r="M1" s="7"/>
    </row>
    <row r="2" spans="1:13"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447059598.87764156</v>
      </c>
      <c r="G2" s="10">
        <f>F2/E2</f>
        <v>0.44705959887764157</v>
      </c>
      <c r="H2" s="9">
        <f>F2-E2</f>
        <v>-552940401.12235844</v>
      </c>
      <c r="I2">
        <f>RANK(G2,$G$2:$G$7,0)</f>
        <v>6</v>
      </c>
    </row>
    <row r="3" spans="1:13"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218702653.74410865</v>
      </c>
      <c r="G3" s="10">
        <f t="shared" ref="G3:G7" si="0">F3/E3</f>
        <v>0.62486472498316759</v>
      </c>
      <c r="H3" s="9">
        <f t="shared" ref="H3:H7" si="1">F3-E3</f>
        <v>-131297346.25589135</v>
      </c>
      <c r="I3">
        <f t="shared" ref="I3:I7" si="2">RANK(G3,$G$2:$G$7,0)</f>
        <v>3</v>
      </c>
    </row>
    <row r="4" spans="1:13"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339955752.98979169</v>
      </c>
      <c r="G4" s="10">
        <f t="shared" si="0"/>
        <v>0.67012764240053557</v>
      </c>
      <c r="H4" s="9">
        <f t="shared" si="1"/>
        <v>-167344247.01020831</v>
      </c>
      <c r="I4">
        <f t="shared" si="2"/>
        <v>1</v>
      </c>
    </row>
    <row r="5" spans="1:13"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233523484.28580436</v>
      </c>
      <c r="G5" s="10">
        <f t="shared" si="0"/>
        <v>0.49370715493827561</v>
      </c>
      <c r="H5" s="9">
        <f t="shared" si="1"/>
        <v>-239476515.71419564</v>
      </c>
      <c r="I5">
        <f t="shared" si="2"/>
        <v>5</v>
      </c>
    </row>
    <row r="6" spans="1:13"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296309321.63547754</v>
      </c>
      <c r="G6" s="10">
        <f t="shared" si="0"/>
        <v>0.63084803413982871</v>
      </c>
      <c r="H6" s="9">
        <f t="shared" si="1"/>
        <v>-173390678.36452246</v>
      </c>
      <c r="I6">
        <f t="shared" si="2"/>
        <v>2</v>
      </c>
    </row>
    <row r="7" spans="1:13"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122619912.58877079</v>
      </c>
      <c r="G7" s="10">
        <f t="shared" si="0"/>
        <v>0.61309956294385393</v>
      </c>
      <c r="H7" s="9">
        <f t="shared" si="1"/>
        <v>-77380087.411229208</v>
      </c>
      <c r="I7">
        <f t="shared" si="2"/>
        <v>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B1" sqref="B1:M19"/>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93318196.160494</v>
      </c>
      <c r="K2" s="10">
        <f>IFERROR(J2/I2,0)</f>
        <v>0.31896677704876197</v>
      </c>
      <c r="L2" s="10">
        <f>IFERROR(J2/H2-1,0)</f>
        <v>-0.56535855288383852</v>
      </c>
      <c r="M2" t="s">
        <v>15</v>
      </c>
    </row>
    <row r="3" spans="1:13" x14ac:dyDescent="0.35">
      <c r="A3" t="s">
        <v>7</v>
      </c>
      <c r="B3" t="s">
        <v>51</v>
      </c>
      <c r="C3" t="s">
        <v>52</v>
      </c>
      <c r="D3" t="s">
        <v>58</v>
      </c>
      <c r="E3" t="s">
        <v>39</v>
      </c>
      <c r="F3" t="s">
        <v>54</v>
      </c>
      <c r="G3" t="s">
        <v>46</v>
      </c>
      <c r="H3" s="5">
        <f>SUMIFS(Dsource!$N:$N,Dsource!$K:$K,d.salesmanlob!$E3,Dsource!$M:$M,d.salesmanlob!$M3)</f>
        <v>154650944.01873702</v>
      </c>
      <c r="I3" s="5">
        <f>SUMIFS(TargetSalesBTI!$L:$L,TargetSalesBTI!$P:$P,d.salesmanlob!$M3,TargetSalesBTI!$G:$G,d.salesmanlob!$E3)</f>
        <v>205314000</v>
      </c>
      <c r="J3" s="5">
        <f>SUMIFS(Dsource!$O:$O,Dsource!$K:$K,d.salesmanlob!$E3,Dsource!$M:$M,d.salesmanlob!$M3)</f>
        <v>117182430.3436939</v>
      </c>
      <c r="K3" s="10">
        <f t="shared" ref="K3:K49" si="0">IFERROR(J3/I3,0)</f>
        <v>0.57074739347386882</v>
      </c>
      <c r="L3" s="10">
        <f t="shared" ref="L3:L49" si="1">IFERROR(J3/H3-1,0)</f>
        <v>-0.24227794995227159</v>
      </c>
      <c r="M3" t="s">
        <v>15</v>
      </c>
    </row>
    <row r="4" spans="1:13" x14ac:dyDescent="0.35">
      <c r="A4" t="s">
        <v>7</v>
      </c>
      <c r="B4" t="s">
        <v>51</v>
      </c>
      <c r="C4" t="s">
        <v>52</v>
      </c>
      <c r="D4" t="s">
        <v>59</v>
      </c>
      <c r="E4" t="s">
        <v>41</v>
      </c>
      <c r="F4" t="s">
        <v>54</v>
      </c>
      <c r="G4" t="s">
        <v>46</v>
      </c>
      <c r="H4" s="5">
        <f>SUMIFS(Dsource!$N:$N,Dsource!$K:$K,d.salesmanlob!$E4,Dsource!$M:$M,d.salesmanlob!$M4)</f>
        <v>115943047.310158</v>
      </c>
      <c r="I4" s="5">
        <f>SUMIFS(TargetSalesBTI!$L:$L,TargetSalesBTI!$P:$P,d.salesmanlob!$M4,TargetSalesBTI!$G:$G,d.salesmanlob!$E4)</f>
        <v>117564000</v>
      </c>
      <c r="J4" s="5">
        <f>SUMIFS(Dsource!$O:$O,Dsource!$K:$K,d.salesmanlob!$E4,Dsource!$M:$M,d.salesmanlob!$M4)</f>
        <v>83638646.11194402</v>
      </c>
      <c r="K4" s="10">
        <f t="shared" si="0"/>
        <v>0.71143076206954525</v>
      </c>
      <c r="L4" s="10">
        <f t="shared" si="1"/>
        <v>-0.27862301317470828</v>
      </c>
      <c r="M4" t="s">
        <v>15</v>
      </c>
    </row>
    <row r="5" spans="1:13" x14ac:dyDescent="0.35">
      <c r="A5" t="s">
        <v>7</v>
      </c>
      <c r="B5" t="s">
        <v>51</v>
      </c>
      <c r="C5" t="s">
        <v>52</v>
      </c>
      <c r="D5" t="s">
        <v>60</v>
      </c>
      <c r="E5" t="s">
        <v>40</v>
      </c>
      <c r="F5" t="s">
        <v>54</v>
      </c>
      <c r="G5" t="s">
        <v>46</v>
      </c>
      <c r="H5" s="5">
        <f>SUMIFS(Dsource!$N:$N,Dsource!$K:$K,d.salesmanlob!$E5,Dsource!$M:$M,d.salesmanlob!$M5)</f>
        <v>134054831.28469305</v>
      </c>
      <c r="I5" s="5">
        <f>SUMIFS(TargetSalesBTI!$L:$L,TargetSalesBTI!$P:$P,d.salesmanlob!$M5,TargetSalesBTI!$G:$G,d.salesmanlob!$E5)</f>
        <v>165164000</v>
      </c>
      <c r="J5" s="5">
        <f>SUMIFS(Dsource!$O:$O,Dsource!$K:$K,d.salesmanlob!$E5,Dsource!$M:$M,d.salesmanlob!$M5)</f>
        <v>63241615.364693061</v>
      </c>
      <c r="K5" s="10">
        <f t="shared" si="0"/>
        <v>0.38290193604352679</v>
      </c>
      <c r="L5" s="10">
        <f t="shared" si="1"/>
        <v>-0.52824068510901734</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46221532.689712971</v>
      </c>
      <c r="K6" s="10">
        <f t="shared" si="0"/>
        <v>0.43889257543833649</v>
      </c>
      <c r="L6" s="10">
        <f t="shared" si="1"/>
        <v>-0.2851138285277165</v>
      </c>
      <c r="M6" t="s">
        <v>15</v>
      </c>
    </row>
    <row r="7" spans="1:13" x14ac:dyDescent="0.35">
      <c r="A7" t="s">
        <v>7</v>
      </c>
      <c r="B7" t="s">
        <v>51</v>
      </c>
      <c r="C7" t="s">
        <v>52</v>
      </c>
      <c r="D7" t="s">
        <v>62</v>
      </c>
      <c r="E7" t="s">
        <v>42</v>
      </c>
      <c r="F7" t="s">
        <v>63</v>
      </c>
      <c r="G7" t="s">
        <v>47</v>
      </c>
      <c r="H7" s="5">
        <f>SUMIFS(Dsource!$N:$N,Dsource!$K:$K,d.salesmanlob!$E7,Dsource!$M:$M,d.salesmanlob!$M7)</f>
        <v>37643028.709056981</v>
      </c>
      <c r="I7" s="5">
        <f>SUMIFS(TargetSalesBTI!$L:$L,TargetSalesBTI!$P:$P,d.salesmanlob!$M7,TargetSalesBTI!$G:$G,d.salesmanlob!$E7)</f>
        <v>43564000</v>
      </c>
      <c r="J7" s="5">
        <f>SUMIFS(Dsource!$O:$O,Dsource!$K:$K,d.salesmanlob!$E7,Dsource!$M:$M,d.salesmanlob!$M7)</f>
        <v>32486212.865647011</v>
      </c>
      <c r="K7" s="10">
        <f t="shared" si="0"/>
        <v>0.74571235115340673</v>
      </c>
      <c r="L7" s="10">
        <f t="shared" si="1"/>
        <v>-0.13699258588534435</v>
      </c>
      <c r="M7" t="s">
        <v>15</v>
      </c>
    </row>
    <row r="8" spans="1:13" x14ac:dyDescent="0.35">
      <c r="A8" t="s">
        <v>7</v>
      </c>
      <c r="B8" t="s">
        <v>51</v>
      </c>
      <c r="C8" t="s">
        <v>52</v>
      </c>
      <c r="D8" t="s">
        <v>53</v>
      </c>
      <c r="E8" t="s">
        <v>37</v>
      </c>
      <c r="F8" t="s">
        <v>54</v>
      </c>
      <c r="G8" t="s">
        <v>46</v>
      </c>
      <c r="H8" s="5">
        <f>SUMIFS(Dsource!$N:$N,Dsource!$K:$K,d.salesmanlob!$E8,Dsource!$M:$M,d.salesmanlob!$M8)</f>
        <v>68189262.487884656</v>
      </c>
      <c r="I8" s="5">
        <f>SUMIFS(TargetSalesBTI!$L:$L,TargetSalesBTI!$P:$P,d.salesmanlob!$M8,TargetSalesBTI!$G:$G,d.salesmanlob!$E8)</f>
        <v>72100000</v>
      </c>
      <c r="J8" s="5">
        <f>SUMIFS(Dsource!$O:$O,Dsource!$K:$K,d.salesmanlob!$E8,Dsource!$M:$M,d.salesmanlob!$M8)</f>
        <v>30664998.435896993</v>
      </c>
      <c r="K8" s="10">
        <f t="shared" si="0"/>
        <v>0.42531204488067953</v>
      </c>
      <c r="L8" s="10">
        <f t="shared" si="1"/>
        <v>-0.55029578973162652</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15321890.420868989</v>
      </c>
      <c r="K9" s="10">
        <f t="shared" si="0"/>
        <v>0.38209203044561069</v>
      </c>
      <c r="L9" s="10">
        <f t="shared" si="1"/>
        <v>-0.49755881483817654</v>
      </c>
      <c r="M9" t="s">
        <v>14</v>
      </c>
    </row>
    <row r="10" spans="1:13" x14ac:dyDescent="0.35">
      <c r="A10" t="s">
        <v>7</v>
      </c>
      <c r="B10" t="s">
        <v>51</v>
      </c>
      <c r="C10" t="s">
        <v>52</v>
      </c>
      <c r="D10" t="s">
        <v>59</v>
      </c>
      <c r="E10" t="s">
        <v>41</v>
      </c>
      <c r="F10" t="s">
        <v>54</v>
      </c>
      <c r="G10" t="s">
        <v>46</v>
      </c>
      <c r="H10" s="5">
        <f>SUMIFS(Dsource!$N:$N,Dsource!$K:$K,d.salesmanlob!$E10,Dsource!$M:$M,d.salesmanlob!$M10)</f>
        <v>30807686.953566343</v>
      </c>
      <c r="I10" s="5">
        <f>SUMIFS(TargetSalesBTI!$L:$L,TargetSalesBTI!$P:$P,d.salesmanlob!$M10,TargetSalesBTI!$G:$G,d.salesmanlob!$E10)</f>
        <v>34400000</v>
      </c>
      <c r="J10" s="5">
        <f>SUMIFS(Dsource!$O:$O,Dsource!$K:$K,d.salesmanlob!$E10,Dsource!$M:$M,d.salesmanlob!$M10)</f>
        <v>13685449.026732981</v>
      </c>
      <c r="K10" s="10">
        <f t="shared" si="0"/>
        <v>0.39783282054456343</v>
      </c>
      <c r="L10" s="10">
        <f t="shared" si="1"/>
        <v>-0.55577810669915506</v>
      </c>
      <c r="M10" t="s">
        <v>14</v>
      </c>
    </row>
    <row r="11" spans="1:13" x14ac:dyDescent="0.35">
      <c r="A11" t="s">
        <v>7</v>
      </c>
      <c r="B11" t="s">
        <v>51</v>
      </c>
      <c r="C11" t="s">
        <v>52</v>
      </c>
      <c r="D11" t="s">
        <v>60</v>
      </c>
      <c r="E11" t="s">
        <v>40</v>
      </c>
      <c r="F11" t="s">
        <v>54</v>
      </c>
      <c r="G11" t="s">
        <v>46</v>
      </c>
      <c r="H11" s="5">
        <f>SUMIFS(Dsource!$N:$N,Dsource!$K:$K,d.salesmanlob!$E11,Dsource!$M:$M,d.salesmanlob!$M11)</f>
        <v>24745253.523156997</v>
      </c>
      <c r="I11" s="5">
        <f>SUMIFS(TargetSalesBTI!$L:$L,TargetSalesBTI!$P:$P,d.salesmanlob!$M11,TargetSalesBTI!$G:$G,d.salesmanlob!$E11)</f>
        <v>26500000</v>
      </c>
      <c r="J11" s="5">
        <f>SUMIFS(Dsource!$O:$O,Dsource!$K:$K,d.salesmanlob!$E11,Dsource!$M:$M,d.salesmanlob!$M11)</f>
        <v>12664458.029523989</v>
      </c>
      <c r="K11" s="10">
        <f t="shared" si="0"/>
        <v>0.47790407658581091</v>
      </c>
      <c r="L11" s="10">
        <f t="shared" si="1"/>
        <v>-0.48820657595314632</v>
      </c>
      <c r="M11" t="s">
        <v>14</v>
      </c>
    </row>
    <row r="12" spans="1:13" x14ac:dyDescent="0.35">
      <c r="A12" t="s">
        <v>7</v>
      </c>
      <c r="B12" t="s">
        <v>51</v>
      </c>
      <c r="C12" t="s">
        <v>52</v>
      </c>
      <c r="D12" t="s">
        <v>61</v>
      </c>
      <c r="E12" t="s">
        <v>38</v>
      </c>
      <c r="F12" t="s">
        <v>54</v>
      </c>
      <c r="G12" t="s">
        <v>46</v>
      </c>
      <c r="H12" s="5">
        <f>SUMIFS(Dsource!$N:$N,Dsource!$K:$K,d.salesmanlob!$E12,Dsource!$M:$M,d.salesmanlob!$M12)</f>
        <v>11443077.020619998</v>
      </c>
      <c r="I12" s="5">
        <f>SUMIFS(TargetSalesBTI!$L:$L,TargetSalesBTI!$P:$P,d.salesmanlob!$M12,TargetSalesBTI!$G:$G,d.salesmanlob!$E12)</f>
        <v>16600000</v>
      </c>
      <c r="J12" s="5">
        <f>SUMIFS(Dsource!$O:$O,Dsource!$K:$K,d.salesmanlob!$E12,Dsource!$M:$M,d.salesmanlob!$M12)</f>
        <v>12153421.960415993</v>
      </c>
      <c r="K12" s="10">
        <f t="shared" si="0"/>
        <v>0.73213385303710798</v>
      </c>
      <c r="L12" s="10">
        <f t="shared" si="1"/>
        <v>6.2076392435004957E-2</v>
      </c>
      <c r="M12" t="s">
        <v>14</v>
      </c>
    </row>
    <row r="13" spans="1:13" x14ac:dyDescent="0.35">
      <c r="A13" t="s">
        <v>7</v>
      </c>
      <c r="B13" t="s">
        <v>51</v>
      </c>
      <c r="C13" t="s">
        <v>52</v>
      </c>
      <c r="D13" t="s">
        <v>62</v>
      </c>
      <c r="E13" t="s">
        <v>42</v>
      </c>
      <c r="F13" t="s">
        <v>63</v>
      </c>
      <c r="G13" t="s">
        <v>47</v>
      </c>
      <c r="H13" s="5">
        <f>SUMIFS(Dsource!$N:$N,Dsource!$K:$K,d.salesmanlob!$E13,Dsource!$M:$M,d.salesmanlob!$M13)</f>
        <v>11312114.979593331</v>
      </c>
      <c r="I13" s="5">
        <f>SUMIFS(TargetSalesBTI!$L:$L,TargetSalesBTI!$P:$P,d.salesmanlob!$M13,TargetSalesBTI!$G:$G,d.salesmanlob!$E13)</f>
        <v>12000000</v>
      </c>
      <c r="J13" s="5">
        <f>SUMIFS(Dsource!$O:$O,Dsource!$K:$K,d.salesmanlob!$E13,Dsource!$M:$M,d.salesmanlob!$M13)</f>
        <v>7415808.9244799986</v>
      </c>
      <c r="K13" s="10">
        <f t="shared" si="0"/>
        <v>0.61798407703999991</v>
      </c>
      <c r="L13" s="10">
        <f t="shared" si="1"/>
        <v>-0.34443656753331586</v>
      </c>
      <c r="M13" t="s">
        <v>14</v>
      </c>
    </row>
    <row r="14" spans="1:13" x14ac:dyDescent="0.35">
      <c r="A14" t="s">
        <v>7</v>
      </c>
      <c r="B14" t="s">
        <v>51</v>
      </c>
      <c r="C14" t="s">
        <v>52</v>
      </c>
      <c r="D14" t="s">
        <v>53</v>
      </c>
      <c r="E14" t="s">
        <v>37</v>
      </c>
      <c r="F14" t="s">
        <v>54</v>
      </c>
      <c r="G14" t="s">
        <v>46</v>
      </c>
      <c r="H14" s="5">
        <f>SUMIFS(Dsource!$N:$N,Dsource!$K:$K,d.salesmanlob!$E14,Dsource!$M:$M,d.salesmanlob!$M14)</f>
        <v>615024274.27389705</v>
      </c>
      <c r="I14" s="5">
        <f>SUMIFS(TargetSalesBTI!$L:$L,TargetSalesBTI!$P:$P,d.salesmanlob!$M14,TargetSalesBTI!$G:$G,d.salesmanlob!$E14)</f>
        <v>618000000</v>
      </c>
      <c r="J14" s="5">
        <f>SUMIFS(Dsource!$O:$O,Dsource!$K:$K,d.salesmanlob!$E14,Dsource!$M:$M,d.salesmanlob!$M14)</f>
        <v>303881186.87513155</v>
      </c>
      <c r="K14" s="10">
        <f t="shared" si="0"/>
        <v>0.49171713086590868</v>
      </c>
      <c r="L14" s="10">
        <f t="shared" si="1"/>
        <v>-0.5059037511423492</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199110431.88253284</v>
      </c>
      <c r="K15" s="10">
        <f t="shared" si="0"/>
        <v>0.7862208563969707</v>
      </c>
      <c r="L15" s="10">
        <f t="shared" si="1"/>
        <v>-0.34927960588464724</v>
      </c>
      <c r="M15" t="s">
        <v>13</v>
      </c>
    </row>
    <row r="16" spans="1:13" x14ac:dyDescent="0.35">
      <c r="A16" t="s">
        <v>7</v>
      </c>
      <c r="B16" t="s">
        <v>51</v>
      </c>
      <c r="C16" t="s">
        <v>52</v>
      </c>
      <c r="D16" t="s">
        <v>59</v>
      </c>
      <c r="E16" t="s">
        <v>41</v>
      </c>
      <c r="F16" t="s">
        <v>54</v>
      </c>
      <c r="G16" t="s">
        <v>46</v>
      </c>
      <c r="H16" s="5">
        <f>SUMIFS(Dsource!$N:$N,Dsource!$K:$K,d.salesmanlob!$E16,Dsource!$M:$M,d.salesmanlob!$M16)</f>
        <v>303145694.57543349</v>
      </c>
      <c r="I16" s="5">
        <f>SUMIFS(TargetSalesBTI!$L:$L,TargetSalesBTI!$P:$P,d.salesmanlob!$M16,TargetSalesBTI!$G:$G,d.salesmanlob!$E16)</f>
        <v>308800000</v>
      </c>
      <c r="J16" s="5">
        <f>SUMIFS(Dsource!$O:$O,Dsource!$K:$K,d.salesmanlob!$E16,Dsource!$M:$M,d.salesmanlob!$M16)</f>
        <v>193255710.87428257</v>
      </c>
      <c r="K16" s="10">
        <f t="shared" si="0"/>
        <v>0.6258280792560964</v>
      </c>
      <c r="L16" s="10">
        <f t="shared" si="1"/>
        <v>-0.36249890949319208</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150532296.9461033</v>
      </c>
      <c r="K17" s="10">
        <f t="shared" si="0"/>
        <v>0.54838723841931991</v>
      </c>
      <c r="L17" s="10">
        <f t="shared" si="1"/>
        <v>-0.46749553263480526</v>
      </c>
      <c r="M17" t="s">
        <v>13</v>
      </c>
    </row>
    <row r="18" spans="1:13" x14ac:dyDescent="0.35">
      <c r="A18" t="s">
        <v>7</v>
      </c>
      <c r="B18" t="s">
        <v>51</v>
      </c>
      <c r="C18" t="s">
        <v>52</v>
      </c>
      <c r="D18" t="s">
        <v>61</v>
      </c>
      <c r="E18" t="s">
        <v>38</v>
      </c>
      <c r="F18" t="s">
        <v>54</v>
      </c>
      <c r="G18" t="s">
        <v>46</v>
      </c>
      <c r="H18" s="5">
        <f>SUMIFS(Dsource!$N:$N,Dsource!$K:$K,d.salesmanlob!$E18,Dsource!$M:$M,d.salesmanlob!$M18)</f>
        <v>146857176.64144665</v>
      </c>
      <c r="I18" s="5">
        <f>SUMIFS(TargetSalesBTI!$L:$L,TargetSalesBTI!$P:$P,d.salesmanlob!$M18,TargetSalesBTI!$G:$G,d.salesmanlob!$E18)</f>
        <v>223250000</v>
      </c>
      <c r="J18" s="5">
        <f>SUMIFS(Dsource!$O:$O,Dsource!$K:$K,d.salesmanlob!$E18,Dsource!$M:$M,d.salesmanlob!$M18)</f>
        <v>156980979.62065166</v>
      </c>
      <c r="K18" s="10">
        <f t="shared" si="0"/>
        <v>0.70316228273528181</v>
      </c>
      <c r="L18" s="10">
        <f t="shared" si="1"/>
        <v>6.8936385750642426E-2</v>
      </c>
      <c r="M18" t="s">
        <v>13</v>
      </c>
    </row>
    <row r="19" spans="1:13" x14ac:dyDescent="0.35">
      <c r="A19" t="s">
        <v>7</v>
      </c>
      <c r="B19" t="s">
        <v>51</v>
      </c>
      <c r="C19" t="s">
        <v>52</v>
      </c>
      <c r="D19" t="s">
        <v>62</v>
      </c>
      <c r="E19" t="s">
        <v>42</v>
      </c>
      <c r="F19" t="s">
        <v>63</v>
      </c>
      <c r="G19" t="s">
        <v>47</v>
      </c>
      <c r="H19" s="5">
        <f>SUMIFS(Dsource!$N:$N,Dsource!$K:$K,d.salesmanlob!$E19,Dsource!$M:$M,d.salesmanlob!$M19)</f>
        <v>128796712.27061228</v>
      </c>
      <c r="I19" s="5">
        <f>SUMIFS(TargetSalesBTI!$L:$L,TargetSalesBTI!$P:$P,d.salesmanlob!$M19,TargetSalesBTI!$G:$G,d.salesmanlob!$E19)</f>
        <v>139350000</v>
      </c>
      <c r="J19" s="5">
        <f>SUMIFS(Dsource!$O:$O,Dsource!$K:$K,d.salesmanlob!$E19,Dsource!$M:$M,d.salesmanlob!$M19)</f>
        <v>75912431.960725769</v>
      </c>
      <c r="K19" s="10">
        <f t="shared" si="0"/>
        <v>0.54476090391622367</v>
      </c>
      <c r="L19" s="10">
        <f t="shared" si="1"/>
        <v>-0.41060271941392712</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336936.90585433337</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5325089.0061189989</v>
      </c>
      <c r="K26" s="10">
        <f t="shared" si="0"/>
        <v>0.50715133391609513</v>
      </c>
      <c r="L26" s="10">
        <f t="shared" si="1"/>
        <v>-0.36445935135713858</v>
      </c>
      <c r="M26" t="s">
        <v>16</v>
      </c>
    </row>
    <row r="27" spans="1:13" x14ac:dyDescent="0.35">
      <c r="A27" t="s">
        <v>7</v>
      </c>
      <c r="B27" t="s">
        <v>51</v>
      </c>
      <c r="C27" t="s">
        <v>52</v>
      </c>
      <c r="D27" t="s">
        <v>58</v>
      </c>
      <c r="E27" t="s">
        <v>39</v>
      </c>
      <c r="F27" t="s">
        <v>54</v>
      </c>
      <c r="G27" t="s">
        <v>46</v>
      </c>
      <c r="H27" s="5">
        <f>SUMIFS(Dsource!$N:$N,Dsource!$K:$K,d.salesmanlob!$E27,Dsource!$M:$M,d.salesmanlob!$M27)</f>
        <v>5469917.8278883332</v>
      </c>
      <c r="I27" s="5">
        <f>SUMIFS(TargetSalesBTI!$L:$L,TargetSalesBTI!$P:$P,d.salesmanlob!$M27,TargetSalesBTI!$G:$G,d.salesmanlob!$E27)</f>
        <v>4800000</v>
      </c>
      <c r="J27" s="5">
        <f>SUMIFS(Dsource!$O:$O,Dsource!$K:$K,d.salesmanlob!$E27,Dsource!$M:$M,d.salesmanlob!$M27)</f>
        <v>2336730.502696</v>
      </c>
      <c r="K27" s="10">
        <f t="shared" si="0"/>
        <v>0.48681885472833336</v>
      </c>
      <c r="L27" s="10">
        <f t="shared" si="1"/>
        <v>-0.5728033626424518</v>
      </c>
      <c r="M27" t="s">
        <v>16</v>
      </c>
    </row>
    <row r="28" spans="1:13" x14ac:dyDescent="0.35">
      <c r="A28" t="s">
        <v>7</v>
      </c>
      <c r="B28" t="s">
        <v>51</v>
      </c>
      <c r="C28" t="s">
        <v>52</v>
      </c>
      <c r="D28" t="s">
        <v>59</v>
      </c>
      <c r="E28" t="s">
        <v>41</v>
      </c>
      <c r="F28" t="s">
        <v>54</v>
      </c>
      <c r="G28" t="s">
        <v>46</v>
      </c>
      <c r="H28" s="5">
        <f>SUMIFS(Dsource!$N:$N,Dsource!$K:$K,d.salesmanlob!$E28,Dsource!$M:$M,d.salesmanlob!$M28)</f>
        <v>4554895.5633516675</v>
      </c>
      <c r="I28" s="5">
        <f>SUMIFS(TargetSalesBTI!$L:$L,TargetSalesBTI!$P:$P,d.salesmanlob!$M28,TargetSalesBTI!$G:$G,d.salesmanlob!$E28)</f>
        <v>2986000</v>
      </c>
      <c r="J28" s="5">
        <f>SUMIFS(Dsource!$O:$O,Dsource!$K:$K,d.salesmanlob!$E28,Dsource!$M:$M,d.salesmanlob!$M28)</f>
        <v>2140087.3025179999</v>
      </c>
      <c r="K28" s="10">
        <f t="shared" si="0"/>
        <v>0.7167070671527126</v>
      </c>
      <c r="L28" s="10">
        <f t="shared" si="1"/>
        <v>-0.53015666929073535</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3342507.0454840008</v>
      </c>
      <c r="K29" s="10">
        <f t="shared" si="0"/>
        <v>0.66850140909680011</v>
      </c>
      <c r="L29" s="10">
        <f t="shared" si="1"/>
        <v>-0.2726118804787786</v>
      </c>
      <c r="M29" t="s">
        <v>16</v>
      </c>
    </row>
    <row r="30" spans="1:13" x14ac:dyDescent="0.35">
      <c r="A30" t="s">
        <v>7</v>
      </c>
      <c r="B30" t="s">
        <v>51</v>
      </c>
      <c r="C30" t="s">
        <v>52</v>
      </c>
      <c r="D30" t="s">
        <v>61</v>
      </c>
      <c r="E30" t="s">
        <v>38</v>
      </c>
      <c r="F30" t="s">
        <v>54</v>
      </c>
      <c r="G30" t="s">
        <v>46</v>
      </c>
      <c r="H30" s="5">
        <f>SUMIFS(Dsource!$N:$N,Dsource!$K:$K,d.salesmanlob!$E30,Dsource!$M:$M,d.salesmanlob!$M30)</f>
        <v>2079990.8771713332</v>
      </c>
      <c r="I30" s="5">
        <f>SUMIFS(TargetSalesBTI!$L:$L,TargetSalesBTI!$P:$P,d.salesmanlob!$M30,TargetSalesBTI!$G:$G,d.salesmanlob!$E30)</f>
        <v>3300000</v>
      </c>
      <c r="J30" s="5">
        <f>SUMIFS(Dsource!$O:$O,Dsource!$K:$K,d.salesmanlob!$E30,Dsource!$M:$M,d.salesmanlob!$M30)</f>
        <v>1595470.1733279999</v>
      </c>
      <c r="K30" s="10">
        <f t="shared" si="0"/>
        <v>0.48347581009939389</v>
      </c>
      <c r="L30" s="10">
        <f t="shared" si="1"/>
        <v>-0.23294366776370357</v>
      </c>
      <c r="M30" t="s">
        <v>16</v>
      </c>
    </row>
    <row r="31" spans="1:13" x14ac:dyDescent="0.35">
      <c r="A31" t="s">
        <v>7</v>
      </c>
      <c r="B31" t="s">
        <v>51</v>
      </c>
      <c r="C31" t="s">
        <v>52</v>
      </c>
      <c r="D31" t="s">
        <v>62</v>
      </c>
      <c r="E31" t="s">
        <v>42</v>
      </c>
      <c r="F31" t="s">
        <v>63</v>
      </c>
      <c r="G31" t="s">
        <v>47</v>
      </c>
      <c r="H31" s="5">
        <f>SUMIFS(Dsource!$N:$N,Dsource!$K:$K,d.salesmanlob!$E31,Dsource!$M:$M,d.salesmanlob!$M31)</f>
        <v>3777961.3344606659</v>
      </c>
      <c r="I31" s="5">
        <f>SUMIFS(TargetSalesBTI!$L:$L,TargetSalesBTI!$P:$P,d.salesmanlob!$M31,TargetSalesBTI!$G:$G,d.salesmanlob!$E31)</f>
        <v>3950000</v>
      </c>
      <c r="J31" s="5">
        <f>SUMIFS(Dsource!$O:$O,Dsource!$K:$K,d.salesmanlob!$E31,Dsource!$M:$M,d.salesmanlob!$M31)</f>
        <v>1929657.487918</v>
      </c>
      <c r="K31" s="10">
        <f t="shared" si="0"/>
        <v>0.48852088301721519</v>
      </c>
      <c r="L31" s="10">
        <f t="shared" si="1"/>
        <v>-0.48923312943501207</v>
      </c>
      <c r="M31" t="s">
        <v>16</v>
      </c>
    </row>
    <row r="32" spans="1:13" x14ac:dyDescent="0.35">
      <c r="A32" t="s">
        <v>7</v>
      </c>
      <c r="B32" t="s">
        <v>51</v>
      </c>
      <c r="C32" t="s">
        <v>52</v>
      </c>
      <c r="D32" t="s">
        <v>53</v>
      </c>
      <c r="E32" t="s">
        <v>37</v>
      </c>
      <c r="F32" t="s">
        <v>54</v>
      </c>
      <c r="G32" t="s">
        <v>46</v>
      </c>
      <c r="H32" s="5">
        <f>SUMIFS(Dsource!$N:$N,Dsource!$K:$K,d.salesmanlob!$E32,Dsource!$M:$M,d.salesmanlob!$M32)</f>
        <v>5839882.9133333331</v>
      </c>
      <c r="I32" s="5">
        <f>H32/SUMIF($E$32:$E$49,$E32,$H$32:$H$49)*SUMIFS(TargetSalesBTI!$L:$L,TargetSalesBTI!$G:$G,d.salesmanlob!$E32,TargetSalesBTI!$P:$P,"OTHERS")</f>
        <v>2628719.3902504952</v>
      </c>
      <c r="J32" s="5">
        <f>SUMIFS(Dsource!$O:$O,Dsource!$K:$K,d.salesmanlob!$E32,Dsource!$M:$M,d.salesmanlob!$M32)</f>
        <v>4781315.91</v>
      </c>
      <c r="K32" s="10">
        <f t="shared" si="0"/>
        <v>1.8188764946662415</v>
      </c>
      <c r="L32" s="10">
        <f t="shared" si="1"/>
        <v>-0.18126510737337986</v>
      </c>
      <c r="M32" t="s">
        <v>18</v>
      </c>
    </row>
    <row r="33" spans="1:13" x14ac:dyDescent="0.35">
      <c r="A33" t="s">
        <v>7</v>
      </c>
      <c r="B33" t="s">
        <v>51</v>
      </c>
      <c r="C33" t="s">
        <v>52</v>
      </c>
      <c r="D33" t="s">
        <v>58</v>
      </c>
      <c r="E33" t="s">
        <v>39</v>
      </c>
      <c r="F33" t="s">
        <v>54</v>
      </c>
      <c r="G33" t="s">
        <v>46</v>
      </c>
      <c r="H33" s="5">
        <f>SUMIFS(Dsource!$N:$N,Dsource!$K:$K,d.salesmanlob!$E33,Dsource!$M:$M,d.salesmanlob!$M33)</f>
        <v>5808490.5133333346</v>
      </c>
      <c r="I33" s="5">
        <f>H33/SUMIF($E$32:$E$49,$E33,$H$32:$H$49)*SUMIFS(TargetSalesBTI!$L:$L,TargetSalesBTI!$G:$G,d.salesmanlob!$E33,TargetSalesBTI!$P:$P,"OTHERS")</f>
        <v>3099936.7194973021</v>
      </c>
      <c r="J33" s="5">
        <f>SUMIFS(Dsource!$O:$O,Dsource!$K:$K,d.salesmanlob!$E33,Dsource!$M:$M,d.salesmanlob!$M33)</f>
        <v>5946658.1400000006</v>
      </c>
      <c r="K33" s="10">
        <f t="shared" si="0"/>
        <v>1.9183159780643309</v>
      </c>
      <c r="L33" s="10">
        <f t="shared" si="1"/>
        <v>2.3787182978004973E-2</v>
      </c>
      <c r="M33" t="s">
        <v>18</v>
      </c>
    </row>
    <row r="34" spans="1:13" x14ac:dyDescent="0.35">
      <c r="A34" t="s">
        <v>7</v>
      </c>
      <c r="B34" t="s">
        <v>51</v>
      </c>
      <c r="C34" t="s">
        <v>52</v>
      </c>
      <c r="D34" t="s">
        <v>59</v>
      </c>
      <c r="E34" t="s">
        <v>41</v>
      </c>
      <c r="F34" t="s">
        <v>54</v>
      </c>
      <c r="G34" t="s">
        <v>46</v>
      </c>
      <c r="H34" s="5">
        <f>SUMIFS(Dsource!$N:$N,Dsource!$K:$K,d.salesmanlob!$E34,Dsource!$M:$M,d.salesmanlob!$M34)</f>
        <v>7475176.4466666644</v>
      </c>
      <c r="I34" s="5">
        <f>H34/SUMIF($E$32:$E$49,$E34,$H$32:$H$49)*SUMIFS(TargetSalesBTI!$L:$L,TargetSalesBTI!$G:$G,d.salesmanlob!$E34,TargetSalesBTI!$P:$P,"OTHERS")</f>
        <v>5217809.9392396184</v>
      </c>
      <c r="J34" s="5">
        <f>SUMIFS(Dsource!$O:$O,Dsource!$K:$K,d.salesmanlob!$E34,Dsource!$M:$M,d.salesmanlob!$M34)</f>
        <v>3508762.5900000008</v>
      </c>
      <c r="K34" s="10">
        <f t="shared" si="0"/>
        <v>0.67245887275674254</v>
      </c>
      <c r="L34" s="10">
        <f t="shared" si="1"/>
        <v>-0.53061140228139625</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3648382.620000001</v>
      </c>
      <c r="K35" s="10">
        <f t="shared" si="0"/>
        <v>3.1142301817301465</v>
      </c>
      <c r="L35" s="10">
        <f t="shared" si="1"/>
        <v>0.13847105554612571</v>
      </c>
      <c r="M35" t="s">
        <v>18</v>
      </c>
    </row>
    <row r="36" spans="1:13" x14ac:dyDescent="0.35">
      <c r="A36" t="s">
        <v>7</v>
      </c>
      <c r="B36" t="s">
        <v>51</v>
      </c>
      <c r="C36" t="s">
        <v>52</v>
      </c>
      <c r="D36" t="s">
        <v>61</v>
      </c>
      <c r="E36" t="s">
        <v>38</v>
      </c>
      <c r="F36" t="s">
        <v>54</v>
      </c>
      <c r="G36" t="s">
        <v>46</v>
      </c>
      <c r="H36" s="5">
        <f>SUMIFS(Dsource!$N:$N,Dsource!$K:$K,d.salesmanlob!$E36,Dsource!$M:$M,d.salesmanlob!$M36)</f>
        <v>2078926.8066666673</v>
      </c>
      <c r="I36" s="5">
        <f>H36/SUMIF($E$32:$E$49,$E36,$H$32:$H$49)*SUMIFS(TargetSalesBTI!$L:$L,TargetSalesBTI!$G:$G,d.salesmanlob!$E36,TargetSalesBTI!$P:$P,"OTHERS")</f>
        <v>886000</v>
      </c>
      <c r="J36" s="5">
        <f>SUMIFS(Dsource!$O:$O,Dsource!$K:$K,d.salesmanlob!$E36,Dsource!$M:$M,d.salesmanlob!$M36)</f>
        <v>1737690.7500000005</v>
      </c>
      <c r="K36" s="10">
        <f t="shared" si="0"/>
        <v>1.9612762415349891</v>
      </c>
      <c r="L36" s="10">
        <f t="shared" si="1"/>
        <v>-0.16414048612601317</v>
      </c>
      <c r="M36" t="s">
        <v>18</v>
      </c>
    </row>
    <row r="37" spans="1:13" x14ac:dyDescent="0.35">
      <c r="A37" t="s">
        <v>7</v>
      </c>
      <c r="B37" t="s">
        <v>51</v>
      </c>
      <c r="C37" t="s">
        <v>52</v>
      </c>
      <c r="D37" t="s">
        <v>62</v>
      </c>
      <c r="E37" t="s">
        <v>42</v>
      </c>
      <c r="F37" t="s">
        <v>63</v>
      </c>
      <c r="G37" t="s">
        <v>47</v>
      </c>
      <c r="H37" s="5">
        <f>SUMIFS(Dsource!$N:$N,Dsource!$K:$K,d.salesmanlob!$E37,Dsource!$M:$M,d.salesmanlob!$M37)</f>
        <v>5118219.916666667</v>
      </c>
      <c r="I37" s="5">
        <f>H37/SUMIF($E$32:$E$49,$E37,$H$32:$H$49)*SUMIFS(TargetSalesBTI!$L:$L,TargetSalesBTI!$G:$G,d.salesmanlob!$E37,TargetSalesBTI!$P:$P,"OTHERS")</f>
        <v>775716.24059568404</v>
      </c>
      <c r="J37" s="5">
        <f>SUMIFS(Dsource!$O:$O,Dsource!$K:$K,d.salesmanlob!$E37,Dsource!$M:$M,d.salesmanlob!$M37)</f>
        <v>4768704.0900000017</v>
      </c>
      <c r="K37" s="10">
        <f t="shared" si="0"/>
        <v>6.1474851762005693</v>
      </c>
      <c r="L37" s="10">
        <f t="shared" si="1"/>
        <v>-6.8288551949188925E-2</v>
      </c>
      <c r="M37" t="s">
        <v>18</v>
      </c>
    </row>
    <row r="38" spans="1:13" x14ac:dyDescent="0.35">
      <c r="A38" t="s">
        <v>7</v>
      </c>
      <c r="B38" t="s">
        <v>51</v>
      </c>
      <c r="C38" t="s">
        <v>52</v>
      </c>
      <c r="D38" t="s">
        <v>53</v>
      </c>
      <c r="E38" t="s">
        <v>37</v>
      </c>
      <c r="F38" t="s">
        <v>54</v>
      </c>
      <c r="G38" t="s">
        <v>46</v>
      </c>
      <c r="H38" s="5">
        <f>SUMIFS(Dsource!$N:$N,Dsource!$K:$K,d.salesmanlob!$E38,Dsource!$M:$M,d.salesmanlob!$M38)</f>
        <v>161081.05000000002</v>
      </c>
      <c r="I38" s="5">
        <f>H38/SUMIF($E$32:$E$49,$E38,$H$32:$H$49)*SUMIFS(TargetSalesBTI!$L:$L,TargetSalesBTI!$G:$G,d.salesmanlob!$E38,TargetSalesBTI!$P:$P,"OTHERS")</f>
        <v>72507.768703742229</v>
      </c>
      <c r="J38" s="5">
        <f>SUMIFS(Dsource!$O:$O,Dsource!$K:$K,d.salesmanlob!$E38,Dsource!$M:$M,d.salesmanlob!$M38)</f>
        <v>122026.95000000001</v>
      </c>
      <c r="K38" s="10">
        <f t="shared" si="0"/>
        <v>1.6829500091029836</v>
      </c>
      <c r="L38" s="10">
        <f t="shared" si="1"/>
        <v>-0.2424499964458886</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86063.28050269818</v>
      </c>
      <c r="J39" s="5">
        <f>SUMIFS(Dsource!$O:$O,Dsource!$K:$K,d.salesmanlob!$E39,Dsource!$M:$M,d.salesmanlob!$M39)</f>
        <v>13558.55</v>
      </c>
      <c r="K39" s="10">
        <f t="shared" si="0"/>
        <v>0.15754163588471304</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117747.71666666669</v>
      </c>
      <c r="I40" s="5">
        <f>H40/SUMIF($E$32:$E$49,$E40,$H$32:$H$49)*SUMIFS(TargetSalesBTI!$L:$L,TargetSalesBTI!$G:$G,d.salesmanlob!$E40,TargetSalesBTI!$P:$P,"OTHERS")</f>
        <v>82190.060760381253</v>
      </c>
      <c r="J40" s="5">
        <f>SUMIFS(Dsource!$O:$O,Dsource!$K:$K,d.salesmanlob!$E40,Dsource!$M:$M,d.salesmanlob!$M40)</f>
        <v>54234.2</v>
      </c>
      <c r="K40" s="10">
        <f t="shared" si="0"/>
        <v>0.65986324256549223</v>
      </c>
      <c r="L40" s="10">
        <f t="shared" si="1"/>
        <v>-0.53940338262751886</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67792.75</v>
      </c>
      <c r="K41" s="10">
        <f t="shared" si="0"/>
        <v>4.6817862685090361</v>
      </c>
      <c r="L41" s="10">
        <f t="shared" si="1"/>
        <v>0.71152350465939329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10283.759404315953</v>
      </c>
      <c r="J43" s="5">
        <f>SUMIFS(Dsource!$O:$O,Dsource!$K:$K,d.salesmanlob!$E43,Dsource!$M:$M,d.salesmanlob!$M43)</f>
        <v>54234.2</v>
      </c>
      <c r="K43" s="10">
        <f t="shared" si="0"/>
        <v>5.2737717665038568</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1484772.8410457624</v>
      </c>
      <c r="J44" s="5">
        <f>SUMIFS(Dsource!$O:$O,Dsource!$K:$K,d.salesmanlob!$E44,Dsource!$M:$M,d.salesmanlob!$M44)</f>
        <v>8940354.0099999979</v>
      </c>
      <c r="K44" s="10">
        <f t="shared" si="0"/>
        <v>6.0213614923768972</v>
      </c>
      <c r="L44" s="10">
        <f t="shared" si="1"/>
        <v>1.7104087437403974</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opLeftCell="L1" workbookViewId="0">
      <selection activeCell="AD4" sqref="AD4"/>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121</v>
      </c>
      <c r="I2" s="10">
        <f>H2/F2</f>
        <v>0.87050359712230219</v>
      </c>
      <c r="J2" s="6">
        <f>SUMIF(target_proses!$A:$A,d.salesmanproses!$D2,target_proses!C:C)</f>
        <v>25</v>
      </c>
      <c r="K2" s="6">
        <f>SUMIFS(Dsource!U:U,Dsource!$Q:$Q,d.salesmanproses!$C2)</f>
        <v>23.176470588235293</v>
      </c>
      <c r="L2" s="10">
        <f>K2/J2</f>
        <v>0.92705882352941171</v>
      </c>
      <c r="M2" s="6">
        <f>SUMIF(target_proses!$A:$A,d.salesmanproses!$D2,target_proses!D:D)</f>
        <v>24</v>
      </c>
      <c r="N2" s="6">
        <f>SUMIFS(Dsource!V:V,Dsource!$Q:$Q,d.salesmanproses!$C2)</f>
        <v>23.176470588235293</v>
      </c>
      <c r="O2" s="10">
        <f>N2/M2</f>
        <v>0.96568627450980393</v>
      </c>
      <c r="P2" s="6">
        <f>SUMIF(target_proses!$A:$A,d.salesmanproses!$D2,target_proses!E:E)</f>
        <v>18.75</v>
      </c>
      <c r="Q2" s="6">
        <f>SUMIFS(Dsource!W:W,Dsource!$Q:$Q,d.salesmanproses!$C2)</f>
        <v>18.294117647058822</v>
      </c>
      <c r="R2" s="10">
        <f>Q2/P2</f>
        <v>0.97568627450980383</v>
      </c>
      <c r="S2" s="6">
        <f>SUMIF(target_proses!$A:$A,d.salesmanproses!$D2,target_proses!F:F)</f>
        <v>16.875</v>
      </c>
      <c r="T2" s="6">
        <f>SUMIFS(Dsource!X:X,Dsource!$Q:$Q,d.salesmanproses!$C2)</f>
        <v>14</v>
      </c>
      <c r="U2" s="10">
        <f>T2/S2</f>
        <v>0.82962962962962961</v>
      </c>
      <c r="V2" s="6">
        <f>SUMIF(target_proses!$A:$A,d.salesmanproses!$D2,target_proses!G:G)</f>
        <v>26</v>
      </c>
      <c r="W2" s="6">
        <f>SUMIFS(Dsource!Y:Y,Dsource!$Q:$Q,d.salesmanproses!$C2)</f>
        <v>21.669421487603305</v>
      </c>
      <c r="X2" s="10">
        <f>W2/V2</f>
        <v>0.83343928798474254</v>
      </c>
      <c r="Y2" s="6">
        <f>SUMIF(Dsource!$AC:$AC,$C2,Dsource!AE:AE)</f>
        <v>77</v>
      </c>
      <c r="Z2" s="6">
        <f>SUMIF(Dsource!$AC:$AC,$C2,Dsource!AF:AF)</f>
        <v>54</v>
      </c>
      <c r="AA2" s="10">
        <f>Z2/Y2</f>
        <v>0.70129870129870131</v>
      </c>
      <c r="AB2" s="6">
        <f>SUMIF(Dsource!$AH:$AH,$C2,Dsource!AJ:AJ)</f>
        <v>47</v>
      </c>
      <c r="AC2" s="6">
        <f>SUMIF(Dsource!$AH:$AH,$C2,Dsource!AK:AK)</f>
        <v>46</v>
      </c>
      <c r="AD2" s="10">
        <f>AC2/AB2</f>
        <v>0.97872340425531912</v>
      </c>
      <c r="AE2" s="6">
        <f>SUMIF(Dsource!$AM:$AM,$C2,Dsource!AO:AO)</f>
        <v>14</v>
      </c>
      <c r="AF2" s="6">
        <f>SUMIF(Dsource!$AM:$AM,$C2,Dsource!AP:AP)</f>
        <v>14</v>
      </c>
      <c r="AG2" s="10">
        <f>AF2/AE2</f>
        <v>1</v>
      </c>
      <c r="AH2" s="13">
        <f>AVERAGE(AA2,AD2,AG2)</f>
        <v>0.89334070185134007</v>
      </c>
      <c r="AI2">
        <f>SUMIF(target_proses!$A:$A,$D2,target_proses!H:H)</f>
        <v>920</v>
      </c>
      <c r="AJ2">
        <f>SUMIF(Dsource!$AR:$AR,$C2,Dsource!AT:AT)</f>
        <v>933</v>
      </c>
      <c r="AK2" s="10">
        <f>AJ2/AI2</f>
        <v>1.0141304347826088</v>
      </c>
      <c r="AL2">
        <f>SUMIF(target_proses!$A:$A,$D2,target_proses!I:I)</f>
        <v>300</v>
      </c>
      <c r="AM2">
        <f>SUMIF(Dsource!$AR:$AR,$C2,Dsource!AU:AU)</f>
        <v>180</v>
      </c>
      <c r="AN2" s="10">
        <f>AM2/AL2</f>
        <v>0.6</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146</v>
      </c>
      <c r="I3" s="10">
        <f t="shared" ref="I3:I7" si="1">H3/F3</f>
        <v>0.90123456790123457</v>
      </c>
      <c r="J3" s="6">
        <f>SUMIF(target_proses!$A:$A,d.salesmanproses!$D3,target_proses!C:C)</f>
        <v>25</v>
      </c>
      <c r="K3" s="6">
        <f>SUMIFS(Dsource!U:U,Dsource!$Q:$Q,d.salesmanproses!$C3)</f>
        <v>26.352941176470587</v>
      </c>
      <c r="L3" s="10">
        <f t="shared" ref="L3:L7" si="2">K3/J3</f>
        <v>1.0541176470588234</v>
      </c>
      <c r="M3" s="6">
        <f>SUMIF(target_proses!$A:$A,d.salesmanproses!$D3,target_proses!D:D)</f>
        <v>24</v>
      </c>
      <c r="N3" s="6">
        <f>SUMIFS(Dsource!V:V,Dsource!$Q:$Q,d.salesmanproses!$C3)</f>
        <v>26.352941176470587</v>
      </c>
      <c r="O3" s="10">
        <f t="shared" ref="O3:O7" si="3">N3/M3</f>
        <v>1.0980392156862744</v>
      </c>
      <c r="P3" s="6">
        <f>SUMIF(target_proses!$A:$A,d.salesmanproses!$D3,target_proses!E:E)</f>
        <v>18.75</v>
      </c>
      <c r="Q3" s="6">
        <f>SUMIFS(Dsource!W:W,Dsource!$Q:$Q,d.salesmanproses!$C3)</f>
        <v>20.352941176470587</v>
      </c>
      <c r="R3" s="10">
        <f t="shared" ref="R3:R7" si="4">Q3/P3</f>
        <v>1.0854901960784313</v>
      </c>
      <c r="S3" s="6">
        <f>SUMIF(target_proses!$A:$A,d.salesmanproses!$D3,target_proses!F:F)</f>
        <v>16.875</v>
      </c>
      <c r="T3" s="6">
        <f>SUMIFS(Dsource!X:X,Dsource!$Q:$Q,d.salesmanproses!$C3)</f>
        <v>16.294117647058822</v>
      </c>
      <c r="U3" s="10">
        <f t="shared" ref="U3:U7" si="5">T3/S3</f>
        <v>0.96557734204793022</v>
      </c>
      <c r="V3" s="6">
        <f>SUMIF(target_proses!$A:$A,d.salesmanproses!$D3,target_proses!G:G)</f>
        <v>26</v>
      </c>
      <c r="W3" s="6">
        <f>SUMIFS(Dsource!Y:Y,Dsource!$Q:$Q,d.salesmanproses!$C3)</f>
        <v>17.945205479452056</v>
      </c>
      <c r="X3" s="10">
        <f t="shared" ref="X3:X7" si="6">W3/V3</f>
        <v>0.69020021074815596</v>
      </c>
      <c r="Y3" s="6">
        <f>SUMIF(Dsource!$AC:$AC,$C3,Dsource!AE:AE)</f>
        <v>35</v>
      </c>
      <c r="Z3" s="6">
        <f>SUMIF(Dsource!$AC:$AC,$C3,Dsource!AF:AF)</f>
        <v>26</v>
      </c>
      <c r="AA3" s="10">
        <f t="shared" ref="AA3:AA7" si="7">Z3/Y3</f>
        <v>0.74285714285714288</v>
      </c>
      <c r="AB3" s="6">
        <f>SUMIF(Dsource!$AH:$AH,$C3,Dsource!AJ:AJ)</f>
        <v>126</v>
      </c>
      <c r="AC3" s="6">
        <f>SUMIF(Dsource!$AH:$AH,$C3,Dsource!AK:AK)</f>
        <v>96</v>
      </c>
      <c r="AD3" s="10">
        <f t="shared" ref="AD3:AD7" si="8">AC3/AB3</f>
        <v>0.76190476190476186</v>
      </c>
      <c r="AE3" s="6">
        <f>SUMIF(Dsource!$AM:$AM,$C3,Dsource!AO:AO)</f>
        <v>1</v>
      </c>
      <c r="AF3" s="6">
        <f>SUMIF(Dsource!$AM:$AM,$C3,Dsource!AP:AP)</f>
        <v>1</v>
      </c>
      <c r="AG3" s="10">
        <f t="shared" ref="AG3:AG7" si="9">AF3/AE3</f>
        <v>1</v>
      </c>
      <c r="AH3" s="13">
        <f t="shared" ref="AH3:AH7" si="10">AVERAGE(AA3,AD3,AG3)</f>
        <v>0.83492063492063495</v>
      </c>
      <c r="AI3">
        <f>SUMIF(target_proses!$A:$A,$D3,target_proses!H:H)</f>
        <v>920</v>
      </c>
      <c r="AJ3">
        <f>SUMIF(Dsource!$AR:$AR,$C3,Dsource!AT:AT)</f>
        <v>825</v>
      </c>
      <c r="AK3" s="10">
        <f t="shared" ref="AK3:AK7" si="11">AJ3/AI3</f>
        <v>0.89673913043478259</v>
      </c>
      <c r="AL3">
        <f>SUMIF(target_proses!$A:$A,$D3,target_proses!I:I)</f>
        <v>300</v>
      </c>
      <c r="AM3">
        <f>SUMIF(Dsource!$AR:$AR,$C3,Dsource!AU:AU)</f>
        <v>128</v>
      </c>
      <c r="AN3" s="10">
        <f t="shared" ref="AN3:AN7" si="12">AM3/AL3</f>
        <v>0.42666666666666669</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129</v>
      </c>
      <c r="I4" s="10">
        <f t="shared" si="1"/>
        <v>0.85430463576158944</v>
      </c>
      <c r="J4" s="6">
        <f>SUMIF(target_proses!$A:$A,d.salesmanproses!$D4,target_proses!C:C)</f>
        <v>25</v>
      </c>
      <c r="K4" s="6">
        <f>SUMIFS(Dsource!U:U,Dsource!$Q:$Q,d.salesmanproses!$C4)</f>
        <v>25.176470588235293</v>
      </c>
      <c r="L4" s="10">
        <f t="shared" si="2"/>
        <v>1.0070588235294118</v>
      </c>
      <c r="M4" s="6">
        <f>SUMIF(target_proses!$A:$A,d.salesmanproses!$D4,target_proses!D:D)</f>
        <v>24</v>
      </c>
      <c r="N4" s="6">
        <f>SUMIFS(Dsource!V:V,Dsource!$Q:$Q,d.salesmanproses!$C4)</f>
        <v>24.058823529411764</v>
      </c>
      <c r="O4" s="10">
        <f t="shared" si="3"/>
        <v>1.0024509803921569</v>
      </c>
      <c r="P4" s="6">
        <f>SUMIF(target_proses!$A:$A,d.salesmanproses!$D4,target_proses!E:E)</f>
        <v>18.75</v>
      </c>
      <c r="Q4" s="6">
        <f>SUMIFS(Dsource!W:W,Dsource!$Q:$Q,d.salesmanproses!$C4)</f>
        <v>18.588235294117649</v>
      </c>
      <c r="R4" s="10">
        <f t="shared" si="4"/>
        <v>0.99137254901960792</v>
      </c>
      <c r="S4" s="6">
        <f>SUMIF(target_proses!$A:$A,d.salesmanproses!$D4,target_proses!F:F)</f>
        <v>16.875</v>
      </c>
      <c r="T4" s="6">
        <f>SUMIFS(Dsource!X:X,Dsource!$Q:$Q,d.salesmanproses!$C4)</f>
        <v>14</v>
      </c>
      <c r="U4" s="10">
        <f t="shared" si="5"/>
        <v>0.82962962962962961</v>
      </c>
      <c r="V4" s="6">
        <f>SUMIF(target_proses!$A:$A,d.salesmanproses!$D4,target_proses!G:G)</f>
        <v>26</v>
      </c>
      <c r="W4" s="6">
        <f>SUMIFS(Dsource!Y:Y,Dsource!$Q:$Q,d.salesmanproses!$C4)</f>
        <v>18.813953488372093</v>
      </c>
      <c r="X4" s="10">
        <f t="shared" si="6"/>
        <v>0.72361359570661898</v>
      </c>
      <c r="Y4" s="6">
        <f>SUMIF(Dsource!$AC:$AC,$C4,Dsource!AE:AE)</f>
        <v>29</v>
      </c>
      <c r="Z4" s="6">
        <f>SUMIF(Dsource!$AC:$AC,$C4,Dsource!AF:AF)</f>
        <v>19</v>
      </c>
      <c r="AA4" s="10">
        <f t="shared" si="7"/>
        <v>0.65517241379310343</v>
      </c>
      <c r="AB4" s="6">
        <f>SUMIF(Dsource!$AH:$AH,$C4,Dsource!AJ:AJ)</f>
        <v>117</v>
      </c>
      <c r="AC4" s="6">
        <f>SUMIF(Dsource!$AH:$AH,$C4,Dsource!AK:AK)</f>
        <v>81</v>
      </c>
      <c r="AD4" s="10">
        <f t="shared" si="8"/>
        <v>0.69230769230769229</v>
      </c>
      <c r="AE4" s="6">
        <f>SUMIF(Dsource!$AM:$AM,$C4,Dsource!AO:AO)</f>
        <v>3</v>
      </c>
      <c r="AF4" s="6">
        <f>SUMIF(Dsource!$AM:$AM,$C4,Dsource!AP:AP)</f>
        <v>3</v>
      </c>
      <c r="AG4" s="10">
        <f t="shared" si="9"/>
        <v>1</v>
      </c>
      <c r="AH4" s="13">
        <f t="shared" si="10"/>
        <v>0.7824933687002652</v>
      </c>
      <c r="AI4">
        <f>SUMIF(target_proses!$A:$A,$D4,target_proses!H:H)</f>
        <v>920</v>
      </c>
      <c r="AJ4">
        <f>SUMIF(Dsource!$AR:$AR,$C4,Dsource!AT:AT)</f>
        <v>738</v>
      </c>
      <c r="AK4" s="10">
        <f t="shared" si="11"/>
        <v>0.80217391304347829</v>
      </c>
      <c r="AL4">
        <f>SUMIF(target_proses!$A:$A,$D4,target_proses!I:I)</f>
        <v>300</v>
      </c>
      <c r="AM4">
        <f>SUMIF(Dsource!$AR:$AR,$C4,Dsource!AU:AU)</f>
        <v>124</v>
      </c>
      <c r="AN4" s="10">
        <f t="shared" si="12"/>
        <v>0.41333333333333333</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131</v>
      </c>
      <c r="I5" s="10">
        <f t="shared" si="1"/>
        <v>0.87333333333333329</v>
      </c>
      <c r="J5" s="6">
        <f>SUMIF(target_proses!$A:$A,d.salesmanproses!$D5,target_proses!C:C)</f>
        <v>25</v>
      </c>
      <c r="K5" s="6">
        <f>SUMIFS(Dsource!U:U,Dsource!$Q:$Q,d.salesmanproses!$C5)</f>
        <v>24.941176470588236</v>
      </c>
      <c r="L5" s="10">
        <f t="shared" si="2"/>
        <v>0.99764705882352944</v>
      </c>
      <c r="M5" s="6">
        <f>SUMIF(target_proses!$A:$A,d.salesmanproses!$D5,target_proses!D:D)</f>
        <v>24</v>
      </c>
      <c r="N5" s="6">
        <f>SUMIFS(Dsource!V:V,Dsource!$Q:$Q,d.salesmanproses!$C5)</f>
        <v>22.294117647058822</v>
      </c>
      <c r="O5" s="10">
        <f t="shared" si="3"/>
        <v>0.9289215686274509</v>
      </c>
      <c r="P5" s="6">
        <f>SUMIF(target_proses!$A:$A,d.salesmanproses!$D5,target_proses!E:E)</f>
        <v>18.75</v>
      </c>
      <c r="Q5" s="6">
        <f>SUMIFS(Dsource!W:W,Dsource!$Q:$Q,d.salesmanproses!$C5)</f>
        <v>17.588235294117649</v>
      </c>
      <c r="R5" s="10">
        <f t="shared" si="4"/>
        <v>0.93803921568627457</v>
      </c>
      <c r="S5" s="6">
        <f>SUMIF(target_proses!$A:$A,d.salesmanproses!$D5,target_proses!F:F)</f>
        <v>16.875</v>
      </c>
      <c r="T5" s="6">
        <f>SUMIFS(Dsource!X:X,Dsource!$Q:$Q,d.salesmanproses!$C5)</f>
        <v>14.764705882352942</v>
      </c>
      <c r="U5" s="10">
        <f t="shared" si="5"/>
        <v>0.87494553376906326</v>
      </c>
      <c r="V5" s="6">
        <f>SUMIF(target_proses!$A:$A,d.salesmanproses!$D5,target_proses!G:G)</f>
        <v>26</v>
      </c>
      <c r="W5" s="6">
        <f>SUMIFS(Dsource!Y:Y,Dsource!$Q:$Q,d.salesmanproses!$C5)</f>
        <v>18.267175572519083</v>
      </c>
      <c r="X5" s="10">
        <f t="shared" si="6"/>
        <v>0.70258367586611858</v>
      </c>
      <c r="Y5" s="6">
        <f>SUMIF(Dsource!$AC:$AC,$C5,Dsource!AE:AE)</f>
        <v>35</v>
      </c>
      <c r="Z5" s="6">
        <f>SUMIF(Dsource!$AC:$AC,$C5,Dsource!AF:AF)</f>
        <v>20</v>
      </c>
      <c r="AA5" s="10">
        <f t="shared" si="7"/>
        <v>0.5714285714285714</v>
      </c>
      <c r="AB5" s="6">
        <f>SUMIF(Dsource!$AH:$AH,$C5,Dsource!AJ:AJ)</f>
        <v>110</v>
      </c>
      <c r="AC5" s="6">
        <f>SUMIF(Dsource!$AH:$AH,$C5,Dsource!AK:AK)</f>
        <v>82</v>
      </c>
      <c r="AD5" s="10">
        <f t="shared" si="8"/>
        <v>0.74545454545454548</v>
      </c>
      <c r="AE5" s="6">
        <f>SUMIF(Dsource!$AM:$AM,$C5,Dsource!AO:AO)</f>
        <v>2</v>
      </c>
      <c r="AF5" s="6">
        <f>SUMIF(Dsource!$AM:$AM,$C5,Dsource!AP:AP)</f>
        <v>2</v>
      </c>
      <c r="AG5" s="10">
        <f t="shared" si="9"/>
        <v>1</v>
      </c>
      <c r="AH5" s="13">
        <f t="shared" si="10"/>
        <v>0.77229437229437226</v>
      </c>
      <c r="AI5">
        <f>SUMIF(target_proses!$A:$A,$D5,target_proses!H:H)</f>
        <v>920</v>
      </c>
      <c r="AJ5">
        <f>SUMIF(Dsource!$AR:$AR,$C5,Dsource!AT:AT)</f>
        <v>749</v>
      </c>
      <c r="AK5" s="10">
        <f t="shared" si="11"/>
        <v>0.81413043478260871</v>
      </c>
      <c r="AL5">
        <f>SUMIF(target_proses!$A:$A,$D5,target_proses!I:I)</f>
        <v>300</v>
      </c>
      <c r="AM5">
        <f>SUMIF(Dsource!$AR:$AR,$C5,Dsource!AU:AU)</f>
        <v>116</v>
      </c>
      <c r="AN5" s="10">
        <f t="shared" si="12"/>
        <v>0.38666666666666666</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24.705882352941178</v>
      </c>
      <c r="L6" s="10">
        <f t="shared" si="2"/>
        <v>0.9882352941176471</v>
      </c>
      <c r="M6" s="6">
        <f>SUMIF(target_proses!$A:$A,d.salesmanproses!$D6,target_proses!D:D)</f>
        <v>24</v>
      </c>
      <c r="N6" s="6">
        <f>SUMIFS(Dsource!V:V,Dsource!$Q:$Q,d.salesmanproses!$C6)</f>
        <v>21.941176470588236</v>
      </c>
      <c r="O6" s="10">
        <f t="shared" si="3"/>
        <v>0.91421568627450978</v>
      </c>
      <c r="P6" s="6">
        <f>SUMIF(target_proses!$A:$A,d.salesmanproses!$D6,target_proses!E:E)</f>
        <v>18.75</v>
      </c>
      <c r="Q6" s="6">
        <f>SUMIFS(Dsource!W:W,Dsource!$Q:$Q,d.salesmanproses!$C6)</f>
        <v>16.823529411764707</v>
      </c>
      <c r="R6" s="10">
        <f t="shared" si="4"/>
        <v>0.89725490196078439</v>
      </c>
      <c r="S6" s="6">
        <f>SUMIF(target_proses!$A:$A,d.salesmanproses!$D6,target_proses!F:F)</f>
        <v>16.875</v>
      </c>
      <c r="T6" s="6">
        <f>SUMIFS(Dsource!X:X,Dsource!$Q:$Q,d.salesmanproses!$C6)</f>
        <v>14</v>
      </c>
      <c r="U6" s="10">
        <f t="shared" si="5"/>
        <v>0.82962962962962961</v>
      </c>
      <c r="V6" s="6">
        <f>SUMIF(target_proses!$A:$A,d.salesmanproses!$D6,target_proses!G:G)</f>
        <v>26</v>
      </c>
      <c r="W6" s="6">
        <f>SUMIFS(Dsource!Y:Y,Dsource!$Q:$Q,d.salesmanproses!$C6)</f>
        <v>20.211382113821138</v>
      </c>
      <c r="X6" s="10">
        <f t="shared" si="6"/>
        <v>0.77736085053158221</v>
      </c>
      <c r="Y6" s="6">
        <f>SUMIF(Dsource!$AC:$AC,$C6,Dsource!AE:AE)</f>
        <v>40</v>
      </c>
      <c r="Z6" s="6">
        <f>SUMIF(Dsource!$AC:$AC,$C6,Dsource!AF:AF)</f>
        <v>27</v>
      </c>
      <c r="AA6" s="10">
        <f t="shared" si="7"/>
        <v>0.67500000000000004</v>
      </c>
      <c r="AB6" s="6">
        <f>SUMIF(Dsource!$AH:$AH,$C6,Dsource!AJ:AJ)</f>
        <v>104</v>
      </c>
      <c r="AC6" s="6">
        <f>SUMIF(Dsource!$AH:$AH,$C6,Dsource!AK:AK)</f>
        <v>73</v>
      </c>
      <c r="AD6" s="10">
        <f t="shared" si="8"/>
        <v>0.70192307692307687</v>
      </c>
      <c r="AE6" s="6">
        <f>SUMIF(Dsource!$AM:$AM,$C6,Dsource!AO:AO)</f>
        <v>1</v>
      </c>
      <c r="AF6" s="6">
        <f>SUMIF(Dsource!$AM:$AM,$C6,Dsource!AP:AP)</f>
        <v>1</v>
      </c>
      <c r="AG6" s="10">
        <f t="shared" si="9"/>
        <v>1</v>
      </c>
      <c r="AH6" s="13">
        <f t="shared" si="10"/>
        <v>0.79230769230769227</v>
      </c>
      <c r="AI6">
        <f>SUMIF(target_proses!$A:$A,$D6,target_proses!H:H)</f>
        <v>920</v>
      </c>
      <c r="AJ6">
        <f>SUMIF(Dsource!$AR:$AR,$C6,Dsource!AT:AT)</f>
        <v>751</v>
      </c>
      <c r="AK6" s="10">
        <f t="shared" si="11"/>
        <v>0.81630434782608696</v>
      </c>
      <c r="AL6">
        <f>SUMIF(target_proses!$A:$A,$D6,target_proses!I:I)</f>
        <v>300</v>
      </c>
      <c r="AM6">
        <f>SUMIF(Dsource!$AR:$AR,$C6,Dsource!AU:AU)</f>
        <v>196</v>
      </c>
      <c r="AN6" s="10">
        <f t="shared" si="12"/>
        <v>0.65333333333333332</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189</v>
      </c>
      <c r="I7" s="10">
        <f t="shared" si="1"/>
        <v>0.53541076487252126</v>
      </c>
      <c r="J7" s="6">
        <f>SUMIF(target_proses!$A:$A,d.salesmanproses!$D7,target_proses!C:C)</f>
        <v>30</v>
      </c>
      <c r="K7" s="6">
        <f>SUMIFS(Dsource!U:U,Dsource!$Q:$Q,d.salesmanproses!$C7)</f>
        <v>29.176470588235293</v>
      </c>
      <c r="L7" s="10">
        <f t="shared" si="2"/>
        <v>0.97254901960784312</v>
      </c>
      <c r="M7" s="6">
        <f>SUMIF(target_proses!$A:$A,d.salesmanproses!$D7,target_proses!D:D)</f>
        <v>29</v>
      </c>
      <c r="N7" s="6">
        <f>SUMIFS(Dsource!V:V,Dsource!$Q:$Q,d.salesmanproses!$C7)</f>
        <v>29.176470588235293</v>
      </c>
      <c r="O7" s="10">
        <f t="shared" si="3"/>
        <v>1.0060851926977687</v>
      </c>
      <c r="P7" s="6">
        <f>SUMIF(target_proses!$A:$A,d.salesmanproses!$D7,target_proses!E:E)</f>
        <v>22.5</v>
      </c>
      <c r="Q7" s="6">
        <f>SUMIFS(Dsource!W:W,Dsource!$Q:$Q,d.salesmanproses!$C7)</f>
        <v>20.647058823529413</v>
      </c>
      <c r="R7" s="10">
        <f t="shared" si="4"/>
        <v>0.91764705882352948</v>
      </c>
      <c r="S7" s="6">
        <f>SUMIF(target_proses!$A:$A,d.salesmanproses!$D7,target_proses!F:F)</f>
        <v>20.25</v>
      </c>
      <c r="T7" s="6">
        <f>SUMIFS(Dsource!X:X,Dsource!$Q:$Q,d.salesmanproses!$C7)</f>
        <v>14.470588235294118</v>
      </c>
      <c r="U7" s="10">
        <f t="shared" si="5"/>
        <v>0.71459694989106759</v>
      </c>
      <c r="V7" s="6">
        <f>SUMIF(target_proses!$A:$A,d.salesmanproses!$D7,target_proses!G:G)</f>
        <v>21</v>
      </c>
      <c r="W7" s="6">
        <f>SUMIFS(Dsource!Y:Y,Dsource!$Q:$Q,d.salesmanproses!$C7)</f>
        <v>14.962962962962964</v>
      </c>
      <c r="X7" s="10">
        <f t="shared" si="6"/>
        <v>0.71252204585537926</v>
      </c>
      <c r="Y7" s="6">
        <f>SUMIF(Dsource!$AC:$AC,$C7,Dsource!AE:AE)</f>
        <v>4</v>
      </c>
      <c r="Z7" s="6">
        <f>SUMIF(Dsource!$AC:$AC,$C7,Dsource!AF:AF)</f>
        <v>2</v>
      </c>
      <c r="AA7" s="10">
        <f t="shared" si="7"/>
        <v>0.5</v>
      </c>
      <c r="AB7" s="6">
        <f>SUMIF(Dsource!$AH:$AH,$C7,Dsource!AJ:AJ)</f>
        <v>338</v>
      </c>
      <c r="AC7" s="6">
        <f>SUMIF(Dsource!$AH:$AH,$C7,Dsource!AK:AK)</f>
        <v>136</v>
      </c>
      <c r="AD7" s="10">
        <f t="shared" si="8"/>
        <v>0.40236686390532544</v>
      </c>
      <c r="AE7" s="6">
        <f>SUMIF(Dsource!$AM:$AM,$C7,Dsource!AO:AO)</f>
        <v>9</v>
      </c>
      <c r="AF7" s="6">
        <f>SUMIF(Dsource!$AM:$AM,$C7,Dsource!AP:AP)</f>
        <v>6</v>
      </c>
      <c r="AG7" s="10">
        <f t="shared" si="9"/>
        <v>0.66666666666666663</v>
      </c>
      <c r="AH7" s="13">
        <f t="shared" si="10"/>
        <v>0.52301117685733078</v>
      </c>
      <c r="AI7">
        <f>SUMIF(target_proses!$A:$A,$D7,target_proses!H:H)</f>
        <v>600</v>
      </c>
      <c r="AJ7">
        <f>SUMIF(Dsource!$AR:$AR,$C7,Dsource!AT:AT)</f>
        <v>790</v>
      </c>
      <c r="AK7" s="10">
        <f t="shared" si="11"/>
        <v>1.3166666666666667</v>
      </c>
      <c r="AL7">
        <f>SUMIF(target_proses!$A:$A,$D7,target_proses!I:I)</f>
        <v>200</v>
      </c>
      <c r="AM7">
        <f>SUMIF(Dsource!$AR:$AR,$C7,Dsource!AU:AU)</f>
        <v>127</v>
      </c>
      <c r="AN7" s="10">
        <f t="shared" si="12"/>
        <v>0.63500000000000001</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TargetPOMBTI</vt:lpstr>
      <vt:lpstr>TargetSalesBTI</vt:lpstr>
      <vt:lpstr>target_proses</vt:lpstr>
      <vt:lpstr>Dsource</vt:lpstr>
      <vt:lpstr>d.dashboard</vt:lpstr>
      <vt:lpstr>d.pareto</vt:lpstr>
      <vt:lpstr>d.soharian</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2025-06-23T15:24:06Z</dcterms:modified>
</cp:coreProperties>
</file>