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ry\Downloads\New folder\"/>
    </mc:Choice>
  </mc:AlternateContent>
  <bookViews>
    <workbookView xWindow="0" yWindow="0" windowWidth="28800" windowHeight="12435" firstSheet="1" activeTab="5"/>
  </bookViews>
  <sheets>
    <sheet name="Sheet1" sheetId="2" state="hidden" r:id="rId1"/>
    <sheet name="Source" sheetId="1" r:id="rId2"/>
    <sheet name="Sheet3" sheetId="4" state="hidden" r:id="rId3"/>
    <sheet name="Sheet2" sheetId="3" state="hidden" r:id="rId4"/>
    <sheet name="Pyramid" sheetId="5" r:id="rId5"/>
    <sheet name="pandas" sheetId="6" r:id="rId6"/>
  </sheets>
  <definedNames>
    <definedName name="_xlnm._FilterDatabase" localSheetId="5" hidden="1">pandas!$A$1:$T$416</definedName>
    <definedName name="_xlnm._FilterDatabase" localSheetId="4" hidden="1">Pyramid!$C$3:$Y$418</definedName>
    <definedName name="_xlnm._FilterDatabase" localSheetId="3" hidden="1">Sheet2!$M$2:$T$85</definedName>
    <definedName name="_xlnm._FilterDatabase" localSheetId="1" hidden="1">Source!$A$1:$K$232</definedName>
  </definedNames>
  <calcPr calcId="0"/>
  <pivotCaches>
    <pivotCache cacheId="7" r:id="rId7"/>
  </pivotCaches>
</workbook>
</file>

<file path=xl/calcChain.xml><?xml version="1.0" encoding="utf-8"?>
<calcChain xmlns="http://schemas.openxmlformats.org/spreadsheetml/2006/main">
  <c r="I2" i="6" l="1"/>
  <c r="M2" i="6"/>
  <c r="I3" i="6"/>
  <c r="M3" i="6"/>
  <c r="I4" i="6"/>
  <c r="M4" i="6"/>
  <c r="I5" i="6"/>
  <c r="M5" i="6"/>
  <c r="I6" i="6"/>
  <c r="M6" i="6"/>
  <c r="I7" i="6"/>
  <c r="M7" i="6"/>
  <c r="I8" i="6"/>
  <c r="M8" i="6"/>
  <c r="I9" i="6"/>
  <c r="M9" i="6"/>
  <c r="I10" i="6"/>
  <c r="M10" i="6"/>
  <c r="I11" i="6"/>
  <c r="M11" i="6"/>
  <c r="I12" i="6"/>
  <c r="M12" i="6"/>
  <c r="I13" i="6"/>
  <c r="M13" i="6"/>
  <c r="I14" i="6"/>
  <c r="M14" i="6"/>
  <c r="I15" i="6"/>
  <c r="M15" i="6"/>
  <c r="I16" i="6"/>
  <c r="M16" i="6"/>
  <c r="I17" i="6"/>
  <c r="M17" i="6"/>
  <c r="I18" i="6"/>
  <c r="M18" i="6"/>
  <c r="I19" i="6"/>
  <c r="M19" i="6"/>
  <c r="I20" i="6"/>
  <c r="M20" i="6"/>
  <c r="I21" i="6"/>
  <c r="M21" i="6"/>
  <c r="I22" i="6"/>
  <c r="M22" i="6"/>
  <c r="I23" i="6"/>
  <c r="M23" i="6"/>
  <c r="I24" i="6"/>
  <c r="M24" i="6"/>
  <c r="I25" i="6"/>
  <c r="M25" i="6"/>
  <c r="I26" i="6"/>
  <c r="M26" i="6"/>
  <c r="I27" i="6"/>
  <c r="M27" i="6"/>
  <c r="I28" i="6"/>
  <c r="M28" i="6"/>
  <c r="I29" i="6"/>
  <c r="M29" i="6"/>
  <c r="I30" i="6"/>
  <c r="M30" i="6"/>
  <c r="I31" i="6"/>
  <c r="M31" i="6"/>
  <c r="I32" i="6"/>
  <c r="M32" i="6"/>
  <c r="I33" i="6"/>
  <c r="M33" i="6"/>
  <c r="I34" i="6"/>
  <c r="M34" i="6"/>
  <c r="I35" i="6"/>
  <c r="M35" i="6"/>
  <c r="I36" i="6"/>
  <c r="M36" i="6"/>
  <c r="I37" i="6"/>
  <c r="M37" i="6"/>
  <c r="I38" i="6"/>
  <c r="M38" i="6"/>
  <c r="I39" i="6"/>
  <c r="M39" i="6"/>
  <c r="I40" i="6"/>
  <c r="M40" i="6"/>
  <c r="I41" i="6"/>
  <c r="M41" i="6"/>
  <c r="I42" i="6"/>
  <c r="M42" i="6"/>
  <c r="I43" i="6"/>
  <c r="M43" i="6"/>
  <c r="I44" i="6"/>
  <c r="M44" i="6"/>
  <c r="I45" i="6"/>
  <c r="M45" i="6"/>
  <c r="I46" i="6"/>
  <c r="M46" i="6"/>
  <c r="I47" i="6"/>
  <c r="M47" i="6"/>
  <c r="I48" i="6"/>
  <c r="M48" i="6"/>
  <c r="I49" i="6"/>
  <c r="M49" i="6"/>
  <c r="I50" i="6"/>
  <c r="M50" i="6"/>
  <c r="I51" i="6"/>
  <c r="M51" i="6"/>
  <c r="I52" i="6"/>
  <c r="M52" i="6"/>
  <c r="I53" i="6"/>
  <c r="M53" i="6"/>
  <c r="I54" i="6"/>
  <c r="M54" i="6"/>
  <c r="I55" i="6"/>
  <c r="M55" i="6"/>
  <c r="I56" i="6"/>
  <c r="M56" i="6"/>
  <c r="I57" i="6"/>
  <c r="M57" i="6"/>
  <c r="I58" i="6"/>
  <c r="M58" i="6"/>
  <c r="I59" i="6"/>
  <c r="M59" i="6"/>
  <c r="I60" i="6"/>
  <c r="M60" i="6"/>
  <c r="I61" i="6"/>
  <c r="M61" i="6"/>
  <c r="I62" i="6"/>
  <c r="M62" i="6"/>
  <c r="I63" i="6"/>
  <c r="M63" i="6"/>
  <c r="I64" i="6"/>
  <c r="M64" i="6"/>
  <c r="I65" i="6"/>
  <c r="M65" i="6"/>
  <c r="I66" i="6"/>
  <c r="M66" i="6"/>
  <c r="I67" i="6"/>
  <c r="M67" i="6"/>
  <c r="I68" i="6"/>
  <c r="M68" i="6"/>
  <c r="I69" i="6"/>
  <c r="M69" i="6"/>
  <c r="I70" i="6"/>
  <c r="M70" i="6"/>
  <c r="I71" i="6"/>
  <c r="M71" i="6"/>
  <c r="I72" i="6"/>
  <c r="M72" i="6"/>
  <c r="I73" i="6"/>
  <c r="M73" i="6"/>
  <c r="I74" i="6"/>
  <c r="M74" i="6"/>
  <c r="I75" i="6"/>
  <c r="M75" i="6"/>
  <c r="I76" i="6"/>
  <c r="M76" i="6"/>
  <c r="I77" i="6"/>
  <c r="M77" i="6"/>
  <c r="I78" i="6"/>
  <c r="M78" i="6"/>
  <c r="I79" i="6"/>
  <c r="M79" i="6"/>
  <c r="I80" i="6"/>
  <c r="M80" i="6"/>
  <c r="I81" i="6"/>
  <c r="M81" i="6"/>
  <c r="I82" i="6"/>
  <c r="M82" i="6"/>
  <c r="I83" i="6"/>
  <c r="M83" i="6"/>
  <c r="I84" i="6"/>
  <c r="M84" i="6"/>
  <c r="I85" i="6"/>
  <c r="M85" i="6"/>
  <c r="I86" i="6"/>
  <c r="M86" i="6"/>
  <c r="I87" i="6"/>
  <c r="M87" i="6"/>
  <c r="I88" i="6"/>
  <c r="M88" i="6"/>
  <c r="I89" i="6"/>
  <c r="M89" i="6"/>
  <c r="I90" i="6"/>
  <c r="M90" i="6"/>
  <c r="I91" i="6"/>
  <c r="M91" i="6"/>
  <c r="I92" i="6"/>
  <c r="M92" i="6"/>
  <c r="I93" i="6"/>
  <c r="M93" i="6"/>
  <c r="I94" i="6"/>
  <c r="M94" i="6"/>
  <c r="I95" i="6"/>
  <c r="M95" i="6"/>
  <c r="I96" i="6"/>
  <c r="M96" i="6"/>
  <c r="I97" i="6"/>
  <c r="M97" i="6"/>
  <c r="I98" i="6"/>
  <c r="M98" i="6"/>
  <c r="I99" i="6"/>
  <c r="M99" i="6"/>
  <c r="I100" i="6"/>
  <c r="M100" i="6"/>
  <c r="I101" i="6"/>
  <c r="M101" i="6"/>
  <c r="I102" i="6"/>
  <c r="M102" i="6"/>
  <c r="I103" i="6"/>
  <c r="M103" i="6"/>
  <c r="I104" i="6"/>
  <c r="M104" i="6"/>
  <c r="I105" i="6"/>
  <c r="M105" i="6"/>
  <c r="I106" i="6"/>
  <c r="M106" i="6"/>
  <c r="I107" i="6"/>
  <c r="M107" i="6"/>
  <c r="I108" i="6"/>
  <c r="M108" i="6"/>
  <c r="I109" i="6"/>
  <c r="M109" i="6"/>
  <c r="I110" i="6"/>
  <c r="M110" i="6"/>
  <c r="I111" i="6"/>
  <c r="M111" i="6"/>
  <c r="I112" i="6"/>
  <c r="M112" i="6"/>
  <c r="I113" i="6"/>
  <c r="M113" i="6"/>
  <c r="I114" i="6"/>
  <c r="M114" i="6"/>
  <c r="I115" i="6"/>
  <c r="M115" i="6"/>
  <c r="I116" i="6"/>
  <c r="M116" i="6"/>
  <c r="I117" i="6"/>
  <c r="M117" i="6"/>
  <c r="I118" i="6"/>
  <c r="M118" i="6"/>
  <c r="I119" i="6"/>
  <c r="M119" i="6"/>
  <c r="I120" i="6"/>
  <c r="M120" i="6"/>
  <c r="I121" i="6"/>
  <c r="M121" i="6"/>
  <c r="I122" i="6"/>
  <c r="M122" i="6"/>
  <c r="I123" i="6"/>
  <c r="M123" i="6"/>
  <c r="I124" i="6"/>
  <c r="M124" i="6"/>
  <c r="I125" i="6"/>
  <c r="M125" i="6"/>
  <c r="I126" i="6"/>
  <c r="M126" i="6"/>
  <c r="I127" i="6"/>
  <c r="M127" i="6"/>
  <c r="I128" i="6"/>
  <c r="M128" i="6"/>
  <c r="I129" i="6"/>
  <c r="M129" i="6"/>
  <c r="I130" i="6"/>
  <c r="M130" i="6"/>
  <c r="I131" i="6"/>
  <c r="M131" i="6"/>
  <c r="I132" i="6"/>
  <c r="M132" i="6"/>
  <c r="I133" i="6"/>
  <c r="M133" i="6"/>
  <c r="I134" i="6"/>
  <c r="M134" i="6"/>
  <c r="I135" i="6"/>
  <c r="M135" i="6"/>
  <c r="I136" i="6"/>
  <c r="M136" i="6"/>
  <c r="I137" i="6"/>
  <c r="M137" i="6"/>
  <c r="I138" i="6"/>
  <c r="M138" i="6"/>
  <c r="I139" i="6"/>
  <c r="M139" i="6"/>
  <c r="I140" i="6"/>
  <c r="M140" i="6"/>
  <c r="I141" i="6"/>
  <c r="M141" i="6"/>
  <c r="I142" i="6"/>
  <c r="M142" i="6"/>
  <c r="I143" i="6"/>
  <c r="M143" i="6"/>
  <c r="I144" i="6"/>
  <c r="M144" i="6"/>
  <c r="I145" i="6"/>
  <c r="M145" i="6"/>
  <c r="I146" i="6"/>
  <c r="M146" i="6"/>
  <c r="I147" i="6"/>
  <c r="M147" i="6"/>
  <c r="I148" i="6"/>
  <c r="M148" i="6"/>
  <c r="I149" i="6"/>
  <c r="M149" i="6"/>
  <c r="I150" i="6"/>
  <c r="M150" i="6"/>
  <c r="I151" i="6"/>
  <c r="M151" i="6"/>
  <c r="I152" i="6"/>
  <c r="M152" i="6"/>
  <c r="I153" i="6"/>
  <c r="M153" i="6"/>
  <c r="I154" i="6"/>
  <c r="M154" i="6"/>
  <c r="I155" i="6"/>
  <c r="M155" i="6"/>
  <c r="I156" i="6"/>
  <c r="M156" i="6"/>
  <c r="I157" i="6"/>
  <c r="M157" i="6"/>
  <c r="I158" i="6"/>
  <c r="M158" i="6"/>
  <c r="I159" i="6"/>
  <c r="M159" i="6"/>
  <c r="I160" i="6"/>
  <c r="M160" i="6"/>
  <c r="I161" i="6"/>
  <c r="M161" i="6"/>
  <c r="I162" i="6"/>
  <c r="M162" i="6"/>
  <c r="I163" i="6"/>
  <c r="M163" i="6"/>
  <c r="I164" i="6"/>
  <c r="M164" i="6"/>
  <c r="I165" i="6"/>
  <c r="M165" i="6"/>
  <c r="I166" i="6"/>
  <c r="M166" i="6"/>
  <c r="I167" i="6"/>
  <c r="M167" i="6"/>
  <c r="I168" i="6"/>
  <c r="M168" i="6"/>
  <c r="I169" i="6"/>
  <c r="M169" i="6"/>
  <c r="I170" i="6"/>
  <c r="M170" i="6"/>
  <c r="I171" i="6"/>
  <c r="M171" i="6"/>
  <c r="I172" i="6"/>
  <c r="M172" i="6"/>
  <c r="I173" i="6"/>
  <c r="M173" i="6"/>
  <c r="I174" i="6"/>
  <c r="M174" i="6"/>
  <c r="I175" i="6"/>
  <c r="M175" i="6"/>
  <c r="I176" i="6"/>
  <c r="M176" i="6"/>
  <c r="I177" i="6"/>
  <c r="M177" i="6"/>
  <c r="I178" i="6"/>
  <c r="M178" i="6"/>
  <c r="I179" i="6"/>
  <c r="M179" i="6"/>
  <c r="I180" i="6"/>
  <c r="M180" i="6"/>
  <c r="I181" i="6"/>
  <c r="M181" i="6"/>
  <c r="I182" i="6"/>
  <c r="M182" i="6"/>
  <c r="I183" i="6"/>
  <c r="M183" i="6"/>
  <c r="I184" i="6"/>
  <c r="M184" i="6"/>
  <c r="I185" i="6"/>
  <c r="M185" i="6"/>
  <c r="I186" i="6"/>
  <c r="M186" i="6"/>
  <c r="I187" i="6"/>
  <c r="M187" i="6"/>
  <c r="I188" i="6"/>
  <c r="M188" i="6"/>
  <c r="I189" i="6"/>
  <c r="M189" i="6"/>
  <c r="I190" i="6"/>
  <c r="M190" i="6"/>
  <c r="I191" i="6"/>
  <c r="M191" i="6"/>
  <c r="I192" i="6"/>
  <c r="M192" i="6"/>
  <c r="I193" i="6"/>
  <c r="M193" i="6"/>
  <c r="I194" i="6"/>
  <c r="M194" i="6"/>
  <c r="I195" i="6"/>
  <c r="M195" i="6"/>
  <c r="I196" i="6"/>
  <c r="M196" i="6"/>
  <c r="I197" i="6"/>
  <c r="M197" i="6"/>
  <c r="I198" i="6"/>
  <c r="M198" i="6"/>
  <c r="I199" i="6"/>
  <c r="M199" i="6"/>
  <c r="I200" i="6"/>
  <c r="M200" i="6"/>
  <c r="I201" i="6"/>
  <c r="M201" i="6"/>
  <c r="I202" i="6"/>
  <c r="M202" i="6"/>
  <c r="I203" i="6"/>
  <c r="M203" i="6"/>
  <c r="I204" i="6"/>
  <c r="M204" i="6"/>
  <c r="I205" i="6"/>
  <c r="M205" i="6"/>
  <c r="I206" i="6"/>
  <c r="M206" i="6"/>
  <c r="I207" i="6"/>
  <c r="M207" i="6"/>
  <c r="I208" i="6"/>
  <c r="M208" i="6"/>
  <c r="I209" i="6"/>
  <c r="M209" i="6"/>
  <c r="I210" i="6"/>
  <c r="M210" i="6"/>
  <c r="I211" i="6"/>
  <c r="M211" i="6"/>
  <c r="I212" i="6"/>
  <c r="M212" i="6"/>
  <c r="I213" i="6"/>
  <c r="M213" i="6"/>
  <c r="I214" i="6"/>
  <c r="M214" i="6"/>
  <c r="I215" i="6"/>
  <c r="M215" i="6"/>
  <c r="I216" i="6"/>
  <c r="M216" i="6"/>
  <c r="I217" i="6"/>
  <c r="M217" i="6"/>
  <c r="I218" i="6"/>
  <c r="M218" i="6"/>
  <c r="I219" i="6"/>
  <c r="M219" i="6"/>
  <c r="I220" i="6"/>
  <c r="M220" i="6"/>
  <c r="I221" i="6"/>
  <c r="M221" i="6"/>
  <c r="I222" i="6"/>
  <c r="M222" i="6"/>
  <c r="I223" i="6"/>
  <c r="M223" i="6"/>
  <c r="I224" i="6"/>
  <c r="M224" i="6"/>
  <c r="I225" i="6"/>
  <c r="M225" i="6"/>
  <c r="I226" i="6"/>
  <c r="M226" i="6"/>
  <c r="I227" i="6"/>
  <c r="M227" i="6"/>
  <c r="I228" i="6"/>
  <c r="M228" i="6"/>
  <c r="I229" i="6"/>
  <c r="M229" i="6"/>
  <c r="I230" i="6"/>
  <c r="M230" i="6"/>
  <c r="I231" i="6"/>
  <c r="M231" i="6"/>
  <c r="I232" i="6"/>
  <c r="M232" i="6"/>
  <c r="I233" i="6"/>
  <c r="M233" i="6"/>
  <c r="I234" i="6"/>
  <c r="M234" i="6"/>
  <c r="I235" i="6"/>
  <c r="M235" i="6"/>
  <c r="I236" i="6"/>
  <c r="M236" i="6"/>
  <c r="I237" i="6"/>
  <c r="M237" i="6"/>
  <c r="I238" i="6"/>
  <c r="M238" i="6"/>
  <c r="I239" i="6"/>
  <c r="M239" i="6"/>
  <c r="I240" i="6"/>
  <c r="M240" i="6"/>
  <c r="I241" i="6"/>
  <c r="M241" i="6"/>
  <c r="I242" i="6"/>
  <c r="M242" i="6"/>
  <c r="I243" i="6"/>
  <c r="M243" i="6"/>
  <c r="I244" i="6"/>
  <c r="M244" i="6"/>
  <c r="I245" i="6"/>
  <c r="M245" i="6"/>
  <c r="I246" i="6"/>
  <c r="M246" i="6"/>
  <c r="I247" i="6"/>
  <c r="M247" i="6"/>
  <c r="I248" i="6"/>
  <c r="M248" i="6"/>
  <c r="I249" i="6"/>
  <c r="M249" i="6"/>
  <c r="I250" i="6"/>
  <c r="M250" i="6"/>
  <c r="I251" i="6"/>
  <c r="M251" i="6"/>
  <c r="I252" i="6"/>
  <c r="M252" i="6"/>
  <c r="I253" i="6"/>
  <c r="M253" i="6"/>
  <c r="I254" i="6"/>
  <c r="M254" i="6"/>
  <c r="I255" i="6"/>
  <c r="M255" i="6"/>
  <c r="I256" i="6"/>
  <c r="M256" i="6"/>
  <c r="I257" i="6"/>
  <c r="M257" i="6"/>
  <c r="I258" i="6"/>
  <c r="M258" i="6"/>
  <c r="I259" i="6"/>
  <c r="M259" i="6"/>
  <c r="I260" i="6"/>
  <c r="M260" i="6"/>
  <c r="I261" i="6"/>
  <c r="M261" i="6"/>
  <c r="I262" i="6"/>
  <c r="M262" i="6"/>
  <c r="I263" i="6"/>
  <c r="M263" i="6"/>
  <c r="I264" i="6"/>
  <c r="M264" i="6"/>
  <c r="I265" i="6"/>
  <c r="M265" i="6"/>
  <c r="I266" i="6"/>
  <c r="M266" i="6"/>
  <c r="I267" i="6"/>
  <c r="M267" i="6"/>
  <c r="I268" i="6"/>
  <c r="M268" i="6"/>
  <c r="I269" i="6"/>
  <c r="M269" i="6"/>
  <c r="I270" i="6"/>
  <c r="M270" i="6"/>
  <c r="I271" i="6"/>
  <c r="M271" i="6"/>
  <c r="I272" i="6"/>
  <c r="M272" i="6"/>
  <c r="I273" i="6"/>
  <c r="M273" i="6"/>
  <c r="I274" i="6"/>
  <c r="M274" i="6"/>
  <c r="I275" i="6"/>
  <c r="M275" i="6"/>
  <c r="I276" i="6"/>
  <c r="M276" i="6"/>
  <c r="I277" i="6"/>
  <c r="M277" i="6"/>
  <c r="I278" i="6"/>
  <c r="M278" i="6"/>
  <c r="I279" i="6"/>
  <c r="M279" i="6"/>
  <c r="I280" i="6"/>
  <c r="M280" i="6"/>
  <c r="I281" i="6"/>
  <c r="M281" i="6"/>
  <c r="I282" i="6"/>
  <c r="M282" i="6"/>
  <c r="I283" i="6"/>
  <c r="M283" i="6"/>
  <c r="I284" i="6"/>
  <c r="M284" i="6"/>
  <c r="I285" i="6"/>
  <c r="M285" i="6"/>
  <c r="I286" i="6"/>
  <c r="M286" i="6"/>
  <c r="I287" i="6"/>
  <c r="M287" i="6"/>
  <c r="I288" i="6"/>
  <c r="M288" i="6"/>
  <c r="I289" i="6"/>
  <c r="M289" i="6"/>
  <c r="I290" i="6"/>
  <c r="M290" i="6"/>
  <c r="I291" i="6"/>
  <c r="M291" i="6"/>
  <c r="I292" i="6"/>
  <c r="M292" i="6"/>
  <c r="I293" i="6"/>
  <c r="M293" i="6"/>
  <c r="I294" i="6"/>
  <c r="M294" i="6"/>
  <c r="I295" i="6"/>
  <c r="M295" i="6"/>
  <c r="I296" i="6"/>
  <c r="M296" i="6"/>
  <c r="I297" i="6"/>
  <c r="M297" i="6"/>
  <c r="I298" i="6"/>
  <c r="M298" i="6"/>
  <c r="I299" i="6"/>
  <c r="M299" i="6"/>
  <c r="I300" i="6"/>
  <c r="M300" i="6"/>
  <c r="I301" i="6"/>
  <c r="M301" i="6"/>
  <c r="I302" i="6"/>
  <c r="M302" i="6"/>
  <c r="I303" i="6"/>
  <c r="M303" i="6"/>
  <c r="I304" i="6"/>
  <c r="M304" i="6"/>
  <c r="I305" i="6"/>
  <c r="M305" i="6"/>
  <c r="I306" i="6"/>
  <c r="M306" i="6"/>
  <c r="I307" i="6"/>
  <c r="M307" i="6"/>
  <c r="I308" i="6"/>
  <c r="M308" i="6"/>
  <c r="I309" i="6"/>
  <c r="M309" i="6"/>
  <c r="I310" i="6"/>
  <c r="M310" i="6"/>
  <c r="I311" i="6"/>
  <c r="M311" i="6"/>
  <c r="I312" i="6"/>
  <c r="M312" i="6"/>
  <c r="I313" i="6"/>
  <c r="M313" i="6"/>
  <c r="I314" i="6"/>
  <c r="M314" i="6"/>
  <c r="I315" i="6"/>
  <c r="M315" i="6"/>
  <c r="I316" i="6"/>
  <c r="M316" i="6"/>
  <c r="I317" i="6"/>
  <c r="M317" i="6"/>
  <c r="I318" i="6"/>
  <c r="M318" i="6"/>
  <c r="I319" i="6"/>
  <c r="M319" i="6"/>
  <c r="I320" i="6"/>
  <c r="M320" i="6"/>
  <c r="I321" i="6"/>
  <c r="M321" i="6"/>
  <c r="I322" i="6"/>
  <c r="M322" i="6"/>
  <c r="I323" i="6"/>
  <c r="M323" i="6"/>
  <c r="I324" i="6"/>
  <c r="M324" i="6"/>
  <c r="I325" i="6"/>
  <c r="M325" i="6"/>
  <c r="I326" i="6"/>
  <c r="M326" i="6"/>
  <c r="I327" i="6"/>
  <c r="M327" i="6"/>
  <c r="I328" i="6"/>
  <c r="M328" i="6"/>
  <c r="I329" i="6"/>
  <c r="M329" i="6"/>
  <c r="I330" i="6"/>
  <c r="M330" i="6"/>
  <c r="I331" i="6"/>
  <c r="M331" i="6"/>
  <c r="I332" i="6"/>
  <c r="M332" i="6"/>
  <c r="I333" i="6"/>
  <c r="M333" i="6"/>
  <c r="I334" i="6"/>
  <c r="M334" i="6"/>
  <c r="I335" i="6"/>
  <c r="M335" i="6"/>
  <c r="I336" i="6"/>
  <c r="M336" i="6"/>
  <c r="I337" i="6"/>
  <c r="M337" i="6"/>
  <c r="I338" i="6"/>
  <c r="M338" i="6"/>
  <c r="I339" i="6"/>
  <c r="M339" i="6"/>
  <c r="I340" i="6"/>
  <c r="M340" i="6"/>
  <c r="I341" i="6"/>
  <c r="M341" i="6"/>
  <c r="I342" i="6"/>
  <c r="M342" i="6"/>
  <c r="I343" i="6"/>
  <c r="M343" i="6"/>
  <c r="I344" i="6"/>
  <c r="M344" i="6"/>
  <c r="I345" i="6"/>
  <c r="M345" i="6"/>
  <c r="I346" i="6"/>
  <c r="M346" i="6"/>
  <c r="I347" i="6"/>
  <c r="M347" i="6"/>
  <c r="I348" i="6"/>
  <c r="M348" i="6"/>
  <c r="I349" i="6"/>
  <c r="M349" i="6"/>
  <c r="I350" i="6"/>
  <c r="M350" i="6"/>
  <c r="I351" i="6"/>
  <c r="M351" i="6"/>
  <c r="I352" i="6"/>
  <c r="M352" i="6"/>
  <c r="I353" i="6"/>
  <c r="M353" i="6"/>
  <c r="I354" i="6"/>
  <c r="M354" i="6"/>
  <c r="I355" i="6"/>
  <c r="M355" i="6"/>
  <c r="I356" i="6"/>
  <c r="M356" i="6"/>
  <c r="I357" i="6"/>
  <c r="M357" i="6"/>
  <c r="I358" i="6"/>
  <c r="M358" i="6"/>
  <c r="I359" i="6"/>
  <c r="M359" i="6"/>
  <c r="I360" i="6"/>
  <c r="M360" i="6"/>
  <c r="I361" i="6"/>
  <c r="M361" i="6"/>
  <c r="I362" i="6"/>
  <c r="M362" i="6"/>
  <c r="I363" i="6"/>
  <c r="M363" i="6"/>
  <c r="I364" i="6"/>
  <c r="M364" i="6"/>
  <c r="I365" i="6"/>
  <c r="M365" i="6"/>
  <c r="I366" i="6"/>
  <c r="M366" i="6"/>
  <c r="I367" i="6"/>
  <c r="M367" i="6"/>
  <c r="I368" i="6"/>
  <c r="M368" i="6"/>
  <c r="I369" i="6"/>
  <c r="M369" i="6"/>
  <c r="I370" i="6"/>
  <c r="M370" i="6"/>
  <c r="I371" i="6"/>
  <c r="M371" i="6"/>
  <c r="I372" i="6"/>
  <c r="M372" i="6"/>
  <c r="I373" i="6"/>
  <c r="M373" i="6"/>
  <c r="I374" i="6"/>
  <c r="M374" i="6"/>
  <c r="I375" i="6"/>
  <c r="M375" i="6"/>
  <c r="I376" i="6"/>
  <c r="M376" i="6"/>
  <c r="I377" i="6"/>
  <c r="M377" i="6"/>
  <c r="I378" i="6"/>
  <c r="M378" i="6"/>
  <c r="I379" i="6"/>
  <c r="M379" i="6"/>
  <c r="I380" i="6"/>
  <c r="M380" i="6"/>
  <c r="I381" i="6"/>
  <c r="M381" i="6"/>
  <c r="I382" i="6"/>
  <c r="M382" i="6"/>
  <c r="I383" i="6"/>
  <c r="M383" i="6"/>
  <c r="I384" i="6"/>
  <c r="M384" i="6"/>
  <c r="I385" i="6"/>
  <c r="M385" i="6"/>
  <c r="I386" i="6"/>
  <c r="M386" i="6"/>
  <c r="I387" i="6"/>
  <c r="M387" i="6"/>
  <c r="I388" i="6"/>
  <c r="M388" i="6"/>
  <c r="I389" i="6"/>
  <c r="M389" i="6"/>
  <c r="I390" i="6"/>
  <c r="M390" i="6"/>
  <c r="I391" i="6"/>
  <c r="M391" i="6"/>
  <c r="I392" i="6"/>
  <c r="M392" i="6"/>
  <c r="I393" i="6"/>
  <c r="M393" i="6"/>
  <c r="I394" i="6"/>
  <c r="M394" i="6"/>
  <c r="I395" i="6"/>
  <c r="M395" i="6"/>
  <c r="I396" i="6"/>
  <c r="M396" i="6"/>
  <c r="I397" i="6"/>
  <c r="M397" i="6"/>
  <c r="I398" i="6"/>
  <c r="M398" i="6"/>
  <c r="I399" i="6"/>
  <c r="M399" i="6"/>
  <c r="I400" i="6"/>
  <c r="M400" i="6"/>
  <c r="I401" i="6"/>
  <c r="M401" i="6"/>
  <c r="I402" i="6"/>
  <c r="M402" i="6"/>
  <c r="I403" i="6"/>
  <c r="M403" i="6"/>
  <c r="I404" i="6"/>
  <c r="M404" i="6"/>
  <c r="I405" i="6"/>
  <c r="M405" i="6"/>
  <c r="I406" i="6"/>
  <c r="M406" i="6"/>
  <c r="I407" i="6"/>
  <c r="M407" i="6"/>
  <c r="I408" i="6"/>
  <c r="M408" i="6"/>
  <c r="I409" i="6"/>
  <c r="M409" i="6"/>
  <c r="I410" i="6"/>
  <c r="M410" i="6"/>
  <c r="I411" i="6"/>
  <c r="M411" i="6"/>
  <c r="I412" i="6"/>
  <c r="M412" i="6"/>
  <c r="I413" i="6"/>
  <c r="M413" i="6"/>
  <c r="I414" i="6"/>
  <c r="M414" i="6"/>
  <c r="I415" i="6"/>
  <c r="M415" i="6"/>
  <c r="I416" i="6"/>
  <c r="M416" i="6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O5" i="5"/>
  <c r="K3" i="6" s="1"/>
  <c r="O6" i="5"/>
  <c r="K4" i="6" s="1"/>
  <c r="O7" i="5"/>
  <c r="K5" i="6" s="1"/>
  <c r="O8" i="5"/>
  <c r="K6" i="6" s="1"/>
  <c r="O9" i="5"/>
  <c r="O10" i="5"/>
  <c r="K8" i="6" s="1"/>
  <c r="O11" i="5"/>
  <c r="K9" i="6" s="1"/>
  <c r="O12" i="5"/>
  <c r="K10" i="6" s="1"/>
  <c r="O13" i="5"/>
  <c r="I13" i="5" s="1" a="1"/>
  <c r="I13" i="5" s="1"/>
  <c r="E11" i="6" s="1"/>
  <c r="O14" i="5"/>
  <c r="K12" i="6" s="1"/>
  <c r="O15" i="5"/>
  <c r="K13" i="6" s="1"/>
  <c r="O16" i="5"/>
  <c r="K14" i="6" s="1"/>
  <c r="O17" i="5"/>
  <c r="O18" i="5"/>
  <c r="K16" i="6" s="1"/>
  <c r="O19" i="5"/>
  <c r="K17" i="6" s="1"/>
  <c r="O20" i="5"/>
  <c r="K18" i="6" s="1"/>
  <c r="O21" i="5"/>
  <c r="O22" i="5"/>
  <c r="I22" i="5" s="1" a="1"/>
  <c r="I22" i="5" s="1"/>
  <c r="E20" i="6" s="1"/>
  <c r="O23" i="5"/>
  <c r="K21" i="6" s="1"/>
  <c r="O24" i="5"/>
  <c r="K22" i="6" s="1"/>
  <c r="O25" i="5"/>
  <c r="O26" i="5"/>
  <c r="K24" i="6" s="1"/>
  <c r="O27" i="5"/>
  <c r="K25" i="6" s="1"/>
  <c r="O28" i="5"/>
  <c r="K26" i="6" s="1"/>
  <c r="O29" i="5"/>
  <c r="O30" i="5"/>
  <c r="K28" i="6" s="1"/>
  <c r="O31" i="5"/>
  <c r="K29" i="6" s="1"/>
  <c r="O32" i="5"/>
  <c r="K30" i="6" s="1"/>
  <c r="O33" i="5"/>
  <c r="O34" i="5"/>
  <c r="K32" i="6" s="1"/>
  <c r="O35" i="5"/>
  <c r="K33" i="6" s="1"/>
  <c r="O36" i="5"/>
  <c r="K34" i="6" s="1"/>
  <c r="O37" i="5"/>
  <c r="E37" i="5" s="1" a="1"/>
  <c r="E37" i="5" s="1"/>
  <c r="A35" i="6" s="1"/>
  <c r="O38" i="5"/>
  <c r="O39" i="5"/>
  <c r="K37" i="6" s="1"/>
  <c r="O40" i="5"/>
  <c r="K38" i="6" s="1"/>
  <c r="O41" i="5"/>
  <c r="K41" i="5" s="1" a="1"/>
  <c r="K41" i="5" s="1"/>
  <c r="G39" i="6" s="1"/>
  <c r="O42" i="5"/>
  <c r="K40" i="6" s="1"/>
  <c r="O43" i="5"/>
  <c r="K41" i="6" s="1"/>
  <c r="O44" i="5"/>
  <c r="K42" i="6" s="1"/>
  <c r="O45" i="5"/>
  <c r="O46" i="5"/>
  <c r="O47" i="5"/>
  <c r="K45" i="6" s="1"/>
  <c r="O48" i="5"/>
  <c r="K46" i="6" s="1"/>
  <c r="O49" i="5"/>
  <c r="O50" i="5"/>
  <c r="K48" i="6" s="1"/>
  <c r="O51" i="5"/>
  <c r="K49" i="6" s="1"/>
  <c r="O52" i="5"/>
  <c r="K50" i="6" s="1"/>
  <c r="O53" i="5"/>
  <c r="O54" i="5"/>
  <c r="F54" i="5" s="1" a="1"/>
  <c r="F54" i="5" s="1"/>
  <c r="B52" i="6" s="1"/>
  <c r="O55" i="5"/>
  <c r="K53" i="6" s="1"/>
  <c r="O56" i="5"/>
  <c r="K54" i="6" s="1"/>
  <c r="O57" i="5"/>
  <c r="O58" i="5"/>
  <c r="K56" i="6" s="1"/>
  <c r="O59" i="5"/>
  <c r="K57" i="6" s="1"/>
  <c r="O60" i="5"/>
  <c r="K58" i="6" s="1"/>
  <c r="O61" i="5"/>
  <c r="O62" i="5"/>
  <c r="L62" i="5" s="1" a="1"/>
  <c r="L62" i="5" s="1"/>
  <c r="H60" i="6" s="1"/>
  <c r="O63" i="5"/>
  <c r="K61" i="6" s="1"/>
  <c r="O64" i="5"/>
  <c r="K62" i="6" s="1"/>
  <c r="O65" i="5"/>
  <c r="K65" i="5" s="1" a="1"/>
  <c r="K65" i="5" s="1"/>
  <c r="G63" i="6" s="1"/>
  <c r="O66" i="5"/>
  <c r="K64" i="6" s="1"/>
  <c r="O67" i="5"/>
  <c r="K65" i="6" s="1"/>
  <c r="O68" i="5"/>
  <c r="O69" i="5"/>
  <c r="O70" i="5"/>
  <c r="K68" i="6" s="1"/>
  <c r="O71" i="5"/>
  <c r="K69" i="6" s="1"/>
  <c r="O72" i="5"/>
  <c r="K70" i="6" s="1"/>
  <c r="O73" i="5"/>
  <c r="O74" i="5"/>
  <c r="K72" i="6" s="1"/>
  <c r="O75" i="5"/>
  <c r="K73" i="6" s="1"/>
  <c r="O76" i="5"/>
  <c r="O77" i="5"/>
  <c r="O78" i="5"/>
  <c r="K76" i="6" s="1"/>
  <c r="O79" i="5"/>
  <c r="K77" i="6" s="1"/>
  <c r="O80" i="5"/>
  <c r="K78" i="6" s="1"/>
  <c r="O81" i="5"/>
  <c r="O82" i="5"/>
  <c r="K80" i="6" s="1"/>
  <c r="O83" i="5"/>
  <c r="K81" i="6" s="1"/>
  <c r="O84" i="5"/>
  <c r="K82" i="6" s="1"/>
  <c r="O85" i="5"/>
  <c r="G85" i="5" s="1" a="1"/>
  <c r="G85" i="5" s="1"/>
  <c r="C83" i="6" s="1"/>
  <c r="O86" i="5"/>
  <c r="K84" i="6" s="1"/>
  <c r="O87" i="5"/>
  <c r="K85" i="6" s="1"/>
  <c r="O88" i="5"/>
  <c r="K86" i="6" s="1"/>
  <c r="O89" i="5"/>
  <c r="K87" i="6" s="1"/>
  <c r="O90" i="5"/>
  <c r="K88" i="6" s="1"/>
  <c r="O91" i="5"/>
  <c r="K89" i="6" s="1"/>
  <c r="O92" i="5"/>
  <c r="K90" i="6" s="1"/>
  <c r="O93" i="5"/>
  <c r="K91" i="6" s="1"/>
  <c r="O94" i="5"/>
  <c r="K92" i="6" s="1"/>
  <c r="O95" i="5"/>
  <c r="K93" i="6" s="1"/>
  <c r="O96" i="5"/>
  <c r="K94" i="6" s="1"/>
  <c r="O97" i="5"/>
  <c r="K95" i="6" s="1"/>
  <c r="O98" i="5"/>
  <c r="K96" i="6" s="1"/>
  <c r="O99" i="5"/>
  <c r="K97" i="6" s="1"/>
  <c r="O100" i="5"/>
  <c r="K98" i="6" s="1"/>
  <c r="O101" i="5"/>
  <c r="K99" i="6" s="1"/>
  <c r="O102" i="5"/>
  <c r="K100" i="6" s="1"/>
  <c r="O103" i="5"/>
  <c r="K101" i="6" s="1"/>
  <c r="O104" i="5"/>
  <c r="K102" i="6" s="1"/>
  <c r="O105" i="5"/>
  <c r="K103" i="6" s="1"/>
  <c r="O106" i="5"/>
  <c r="K104" i="6" s="1"/>
  <c r="O107" i="5"/>
  <c r="K105" i="6" s="1"/>
  <c r="O108" i="5"/>
  <c r="K106" i="6" s="1"/>
  <c r="O109" i="5"/>
  <c r="K107" i="6" s="1"/>
  <c r="O110" i="5"/>
  <c r="K108" i="6" s="1"/>
  <c r="O111" i="5"/>
  <c r="K109" i="6" s="1"/>
  <c r="O112" i="5"/>
  <c r="K110" i="6" s="1"/>
  <c r="O113" i="5"/>
  <c r="K111" i="6" s="1"/>
  <c r="O114" i="5"/>
  <c r="K112" i="6" s="1"/>
  <c r="O115" i="5"/>
  <c r="K113" i="6" s="1"/>
  <c r="O116" i="5"/>
  <c r="K114" i="6" s="1"/>
  <c r="O117" i="5"/>
  <c r="K115" i="6" s="1"/>
  <c r="O118" i="5"/>
  <c r="K116" i="6" s="1"/>
  <c r="O119" i="5"/>
  <c r="K117" i="6" s="1"/>
  <c r="O120" i="5"/>
  <c r="K118" i="6" s="1"/>
  <c r="O121" i="5"/>
  <c r="K119" i="6" s="1"/>
  <c r="O122" i="5"/>
  <c r="K120" i="6" s="1"/>
  <c r="O123" i="5"/>
  <c r="K121" i="6" s="1"/>
  <c r="O124" i="5"/>
  <c r="K122" i="6" s="1"/>
  <c r="O125" i="5"/>
  <c r="K123" i="6" s="1"/>
  <c r="O126" i="5"/>
  <c r="K124" i="6" s="1"/>
  <c r="O127" i="5"/>
  <c r="K125" i="6" s="1"/>
  <c r="O128" i="5"/>
  <c r="K126" i="6" s="1"/>
  <c r="O129" i="5"/>
  <c r="K127" i="6" s="1"/>
  <c r="O130" i="5"/>
  <c r="K128" i="6" s="1"/>
  <c r="O131" i="5"/>
  <c r="K129" i="6" s="1"/>
  <c r="O132" i="5"/>
  <c r="K130" i="6" s="1"/>
  <c r="O133" i="5"/>
  <c r="K131" i="6" s="1"/>
  <c r="O134" i="5"/>
  <c r="K132" i="6" s="1"/>
  <c r="O135" i="5"/>
  <c r="K133" i="6" s="1"/>
  <c r="O136" i="5"/>
  <c r="K134" i="6" s="1"/>
  <c r="O137" i="5"/>
  <c r="K135" i="6" s="1"/>
  <c r="O138" i="5"/>
  <c r="K136" i="6" s="1"/>
  <c r="O139" i="5"/>
  <c r="K137" i="6" s="1"/>
  <c r="O140" i="5"/>
  <c r="K138" i="6" s="1"/>
  <c r="O141" i="5"/>
  <c r="K139" i="6" s="1"/>
  <c r="O142" i="5"/>
  <c r="O143" i="5"/>
  <c r="K141" i="6" s="1"/>
  <c r="O144" i="5"/>
  <c r="K142" i="6" s="1"/>
  <c r="O145" i="5"/>
  <c r="K143" i="6" s="1"/>
  <c r="O146" i="5"/>
  <c r="K144" i="6" s="1"/>
  <c r="O147" i="5"/>
  <c r="K145" i="6" s="1"/>
  <c r="O148" i="5"/>
  <c r="K146" i="6" s="1"/>
  <c r="O149" i="5"/>
  <c r="K147" i="6" s="1"/>
  <c r="O150" i="5"/>
  <c r="K148" i="6" s="1"/>
  <c r="O151" i="5"/>
  <c r="K149" i="6" s="1"/>
  <c r="O152" i="5"/>
  <c r="K150" i="6" s="1"/>
  <c r="O153" i="5"/>
  <c r="K151" i="6" s="1"/>
  <c r="O154" i="5"/>
  <c r="K152" i="6" s="1"/>
  <c r="O155" i="5"/>
  <c r="K153" i="6" s="1"/>
  <c r="O156" i="5"/>
  <c r="K154" i="6" s="1"/>
  <c r="O157" i="5"/>
  <c r="I157" i="5" s="1" a="1"/>
  <c r="I157" i="5" s="1"/>
  <c r="E155" i="6" s="1"/>
  <c r="O158" i="5"/>
  <c r="K156" i="6" s="1"/>
  <c r="O159" i="5"/>
  <c r="K157" i="6" s="1"/>
  <c r="O160" i="5"/>
  <c r="K158" i="6" s="1"/>
  <c r="O161" i="5"/>
  <c r="K159" i="6" s="1"/>
  <c r="O162" i="5"/>
  <c r="K160" i="6" s="1"/>
  <c r="O163" i="5"/>
  <c r="K161" i="6" s="1"/>
  <c r="O164" i="5"/>
  <c r="K162" i="6" s="1"/>
  <c r="O165" i="5"/>
  <c r="O166" i="5"/>
  <c r="K164" i="6" s="1"/>
  <c r="O167" i="5"/>
  <c r="K165" i="6" s="1"/>
  <c r="O168" i="5"/>
  <c r="K166" i="6" s="1"/>
  <c r="O169" i="5"/>
  <c r="K167" i="6" s="1"/>
  <c r="O170" i="5"/>
  <c r="K168" i="6" s="1"/>
  <c r="O171" i="5"/>
  <c r="K169" i="6" s="1"/>
  <c r="O172" i="5"/>
  <c r="K170" i="6" s="1"/>
  <c r="O173" i="5"/>
  <c r="K171" i="6" s="1"/>
  <c r="O174" i="5"/>
  <c r="K172" i="6" s="1"/>
  <c r="O175" i="5"/>
  <c r="K173" i="6" s="1"/>
  <c r="O176" i="5"/>
  <c r="K174" i="6" s="1"/>
  <c r="O177" i="5"/>
  <c r="K175" i="6" s="1"/>
  <c r="O178" i="5"/>
  <c r="K176" i="6" s="1"/>
  <c r="O179" i="5"/>
  <c r="K177" i="6" s="1"/>
  <c r="O180" i="5"/>
  <c r="K178" i="6" s="1"/>
  <c r="O181" i="5"/>
  <c r="K179" i="6" s="1"/>
  <c r="O182" i="5"/>
  <c r="K180" i="6" s="1"/>
  <c r="O183" i="5"/>
  <c r="K181" i="6" s="1"/>
  <c r="O184" i="5"/>
  <c r="K182" i="6" s="1"/>
  <c r="O185" i="5"/>
  <c r="K183" i="6" s="1"/>
  <c r="O186" i="5"/>
  <c r="K184" i="6" s="1"/>
  <c r="O187" i="5"/>
  <c r="K185" i="6" s="1"/>
  <c r="O188" i="5"/>
  <c r="K186" i="6" s="1"/>
  <c r="O189" i="5"/>
  <c r="K187" i="6" s="1"/>
  <c r="O190" i="5"/>
  <c r="O191" i="5"/>
  <c r="K189" i="6" s="1"/>
  <c r="O192" i="5"/>
  <c r="K190" i="6" s="1"/>
  <c r="O193" i="5"/>
  <c r="K191" i="6" s="1"/>
  <c r="O194" i="5"/>
  <c r="K192" i="6" s="1"/>
  <c r="O195" i="5"/>
  <c r="K193" i="6" s="1"/>
  <c r="O196" i="5"/>
  <c r="K194" i="6" s="1"/>
  <c r="O197" i="5"/>
  <c r="K195" i="6" s="1"/>
  <c r="O198" i="5"/>
  <c r="K196" i="6" s="1"/>
  <c r="O199" i="5"/>
  <c r="K197" i="6" s="1"/>
  <c r="O200" i="5"/>
  <c r="K198" i="6" s="1"/>
  <c r="O201" i="5"/>
  <c r="K199" i="6" s="1"/>
  <c r="O202" i="5"/>
  <c r="K200" i="6" s="1"/>
  <c r="O203" i="5"/>
  <c r="K201" i="6" s="1"/>
  <c r="O204" i="5"/>
  <c r="K202" i="6" s="1"/>
  <c r="O205" i="5"/>
  <c r="K203" i="6" s="1"/>
  <c r="O206" i="5"/>
  <c r="K204" i="6" s="1"/>
  <c r="O207" i="5"/>
  <c r="K205" i="6" s="1"/>
  <c r="O208" i="5"/>
  <c r="K206" i="6" s="1"/>
  <c r="O209" i="5"/>
  <c r="O210" i="5"/>
  <c r="K208" i="6" s="1"/>
  <c r="O211" i="5"/>
  <c r="K209" i="6" s="1"/>
  <c r="O212" i="5"/>
  <c r="K210" i="6" s="1"/>
  <c r="O213" i="5"/>
  <c r="O214" i="5"/>
  <c r="K212" i="6" s="1"/>
  <c r="O215" i="5"/>
  <c r="K213" i="6" s="1"/>
  <c r="O216" i="5"/>
  <c r="K214" i="6" s="1"/>
  <c r="O217" i="5"/>
  <c r="K215" i="6" s="1"/>
  <c r="O218" i="5"/>
  <c r="K216" i="6" s="1"/>
  <c r="O219" i="5"/>
  <c r="K217" i="6" s="1"/>
  <c r="O220" i="5"/>
  <c r="K218" i="6" s="1"/>
  <c r="O221" i="5"/>
  <c r="O222" i="5"/>
  <c r="K220" i="6" s="1"/>
  <c r="O223" i="5"/>
  <c r="K221" i="6" s="1"/>
  <c r="O224" i="5"/>
  <c r="K222" i="6" s="1"/>
  <c r="O225" i="5"/>
  <c r="K223" i="6" s="1"/>
  <c r="O226" i="5"/>
  <c r="K224" i="6" s="1"/>
  <c r="O227" i="5"/>
  <c r="K225" i="6" s="1"/>
  <c r="O228" i="5"/>
  <c r="K226" i="6" s="1"/>
  <c r="O229" i="5"/>
  <c r="O230" i="5"/>
  <c r="O231" i="5"/>
  <c r="K229" i="6" s="1"/>
  <c r="O232" i="5"/>
  <c r="K230" i="6" s="1"/>
  <c r="O233" i="5"/>
  <c r="O234" i="5"/>
  <c r="K232" i="6" s="1"/>
  <c r="O235" i="5"/>
  <c r="K233" i="6" s="1"/>
  <c r="O236" i="5"/>
  <c r="K234" i="6" s="1"/>
  <c r="O237" i="5"/>
  <c r="O238" i="5"/>
  <c r="K236" i="6" s="1"/>
  <c r="O239" i="5"/>
  <c r="K237" i="6" s="1"/>
  <c r="O240" i="5"/>
  <c r="K238" i="6" s="1"/>
  <c r="O241" i="5"/>
  <c r="O242" i="5"/>
  <c r="K240" i="6" s="1"/>
  <c r="O243" i="5"/>
  <c r="K241" i="6" s="1"/>
  <c r="O244" i="5"/>
  <c r="K242" i="6" s="1"/>
  <c r="O245" i="5"/>
  <c r="K243" i="6" s="1"/>
  <c r="O246" i="5"/>
  <c r="K244" i="6" s="1"/>
  <c r="O247" i="5"/>
  <c r="K245" i="6" s="1"/>
  <c r="O248" i="5"/>
  <c r="K246" i="6" s="1"/>
  <c r="O249" i="5"/>
  <c r="K247" i="6" s="1"/>
  <c r="O250" i="5"/>
  <c r="K248" i="6" s="1"/>
  <c r="O251" i="5"/>
  <c r="K249" i="6" s="1"/>
  <c r="O252" i="5"/>
  <c r="K250" i="6" s="1"/>
  <c r="O253" i="5"/>
  <c r="O254" i="5"/>
  <c r="K254" i="5" s="1" a="1"/>
  <c r="K254" i="5" s="1"/>
  <c r="G252" i="6" s="1"/>
  <c r="O255" i="5"/>
  <c r="K253" i="6" s="1"/>
  <c r="O256" i="5"/>
  <c r="K254" i="6" s="1"/>
  <c r="O257" i="5"/>
  <c r="K255" i="6" s="1"/>
  <c r="O258" i="5"/>
  <c r="K256" i="6" s="1"/>
  <c r="O259" i="5"/>
  <c r="K257" i="6" s="1"/>
  <c r="O260" i="5"/>
  <c r="K258" i="6" s="1"/>
  <c r="O261" i="5"/>
  <c r="K259" i="6" s="1"/>
  <c r="O262" i="5"/>
  <c r="O263" i="5"/>
  <c r="K261" i="6" s="1"/>
  <c r="O264" i="5"/>
  <c r="K262" i="6" s="1"/>
  <c r="O265" i="5"/>
  <c r="K263" i="6" s="1"/>
  <c r="O266" i="5"/>
  <c r="K264" i="6" s="1"/>
  <c r="O267" i="5"/>
  <c r="K265" i="6" s="1"/>
  <c r="O268" i="5"/>
  <c r="K266" i="6" s="1"/>
  <c r="O269" i="5"/>
  <c r="O270" i="5"/>
  <c r="O271" i="5"/>
  <c r="K269" i="6" s="1"/>
  <c r="O272" i="5"/>
  <c r="K270" i="6" s="1"/>
  <c r="O273" i="5"/>
  <c r="K271" i="6" s="1"/>
  <c r="O274" i="5"/>
  <c r="K272" i="6" s="1"/>
  <c r="O275" i="5"/>
  <c r="K273" i="6" s="1"/>
  <c r="O276" i="5"/>
  <c r="K274" i="6" s="1"/>
  <c r="O277" i="5"/>
  <c r="O278" i="5"/>
  <c r="F278" i="5" s="1" a="1"/>
  <c r="F278" i="5" s="1"/>
  <c r="B276" i="6" s="1"/>
  <c r="O279" i="5"/>
  <c r="K277" i="6" s="1"/>
  <c r="O280" i="5"/>
  <c r="K278" i="6" s="1"/>
  <c r="O281" i="5"/>
  <c r="K279" i="6" s="1"/>
  <c r="O282" i="5"/>
  <c r="K280" i="6" s="1"/>
  <c r="O283" i="5"/>
  <c r="K281" i="6" s="1"/>
  <c r="O284" i="5"/>
  <c r="K282" i="6" s="1"/>
  <c r="O285" i="5"/>
  <c r="O286" i="5"/>
  <c r="K286" i="5" s="1" a="1"/>
  <c r="K286" i="5" s="1"/>
  <c r="G284" i="6" s="1"/>
  <c r="O287" i="5"/>
  <c r="K285" i="6" s="1"/>
  <c r="O288" i="5"/>
  <c r="K286" i="6" s="1"/>
  <c r="O289" i="5"/>
  <c r="O290" i="5"/>
  <c r="K288" i="6" s="1"/>
  <c r="O291" i="5"/>
  <c r="K289" i="6" s="1"/>
  <c r="O292" i="5"/>
  <c r="K290" i="6" s="1"/>
  <c r="O293" i="5"/>
  <c r="O294" i="5"/>
  <c r="O295" i="5"/>
  <c r="K293" i="6" s="1"/>
  <c r="O296" i="5"/>
  <c r="K294" i="6" s="1"/>
  <c r="O297" i="5"/>
  <c r="K295" i="6" s="1"/>
  <c r="O298" i="5"/>
  <c r="K296" i="6" s="1"/>
  <c r="O299" i="5"/>
  <c r="K297" i="6" s="1"/>
  <c r="O300" i="5"/>
  <c r="K298" i="6" s="1"/>
  <c r="O301" i="5"/>
  <c r="O302" i="5"/>
  <c r="O303" i="5"/>
  <c r="K301" i="6" s="1"/>
  <c r="O304" i="5"/>
  <c r="K302" i="6" s="1"/>
  <c r="O305" i="5"/>
  <c r="O306" i="5"/>
  <c r="K304" i="6" s="1"/>
  <c r="O307" i="5"/>
  <c r="K305" i="6" s="1"/>
  <c r="O308" i="5"/>
  <c r="K306" i="6" s="1"/>
  <c r="O309" i="5"/>
  <c r="K307" i="6" s="1"/>
  <c r="O310" i="5"/>
  <c r="F310" i="5" s="1" a="1"/>
  <c r="F310" i="5" s="1"/>
  <c r="B308" i="6" s="1"/>
  <c r="O311" i="5"/>
  <c r="K309" i="6" s="1"/>
  <c r="O312" i="5"/>
  <c r="K310" i="6" s="1"/>
  <c r="O313" i="5"/>
  <c r="K311" i="6" s="1"/>
  <c r="O314" i="5"/>
  <c r="K312" i="6" s="1"/>
  <c r="O315" i="5"/>
  <c r="K313" i="6" s="1"/>
  <c r="O316" i="5"/>
  <c r="K314" i="6" s="1"/>
  <c r="O317" i="5"/>
  <c r="O318" i="5"/>
  <c r="K318" i="5" s="1" a="1"/>
  <c r="K318" i="5" s="1"/>
  <c r="G316" i="6" s="1"/>
  <c r="O319" i="5"/>
  <c r="K317" i="6" s="1"/>
  <c r="O320" i="5"/>
  <c r="K318" i="6" s="1"/>
  <c r="O321" i="5"/>
  <c r="K319" i="6" s="1"/>
  <c r="O322" i="5"/>
  <c r="K320" i="6" s="1"/>
  <c r="O323" i="5"/>
  <c r="K321" i="6" s="1"/>
  <c r="O324" i="5"/>
  <c r="K322" i="6" s="1"/>
  <c r="O325" i="5"/>
  <c r="O326" i="5"/>
  <c r="O327" i="5"/>
  <c r="K325" i="6" s="1"/>
  <c r="O328" i="5"/>
  <c r="K326" i="6" s="1"/>
  <c r="O329" i="5"/>
  <c r="K327" i="6" s="1"/>
  <c r="O330" i="5"/>
  <c r="K328" i="6" s="1"/>
  <c r="O331" i="5"/>
  <c r="K329" i="6" s="1"/>
  <c r="O332" i="5"/>
  <c r="K330" i="6" s="1"/>
  <c r="O333" i="5"/>
  <c r="O334" i="5"/>
  <c r="O335" i="5"/>
  <c r="K333" i="6" s="1"/>
  <c r="O336" i="5"/>
  <c r="K334" i="6" s="1"/>
  <c r="O337" i="5"/>
  <c r="O338" i="5"/>
  <c r="E338" i="5" s="1" a="1"/>
  <c r="E338" i="5" s="1"/>
  <c r="A336" i="6" s="1"/>
  <c r="O339" i="5"/>
  <c r="K337" i="6" s="1"/>
  <c r="O340" i="5"/>
  <c r="K338" i="6" s="1"/>
  <c r="O341" i="5"/>
  <c r="O342" i="5"/>
  <c r="F342" i="5" s="1" a="1"/>
  <c r="F342" i="5" s="1"/>
  <c r="B340" i="6" s="1"/>
  <c r="O343" i="5"/>
  <c r="K341" i="6" s="1"/>
  <c r="O344" i="5"/>
  <c r="K342" i="6" s="1"/>
  <c r="O345" i="5"/>
  <c r="O346" i="5"/>
  <c r="K344" i="6" s="1"/>
  <c r="O347" i="5"/>
  <c r="K345" i="6" s="1"/>
  <c r="O348" i="5"/>
  <c r="K346" i="6" s="1"/>
  <c r="O349" i="5"/>
  <c r="O350" i="5"/>
  <c r="E350" i="5" s="1" a="1"/>
  <c r="E350" i="5" s="1"/>
  <c r="A348" i="6" s="1"/>
  <c r="O351" i="5"/>
  <c r="K349" i="6" s="1"/>
  <c r="O352" i="5"/>
  <c r="K350" i="6" s="1"/>
  <c r="O353" i="5"/>
  <c r="O354" i="5"/>
  <c r="I354" i="5" s="1" a="1"/>
  <c r="I354" i="5" s="1"/>
  <c r="E352" i="6" s="1"/>
  <c r="O355" i="5"/>
  <c r="K353" i="6" s="1"/>
  <c r="O356" i="5"/>
  <c r="K354" i="6" s="1"/>
  <c r="O357" i="5"/>
  <c r="O358" i="5"/>
  <c r="O359" i="5"/>
  <c r="K357" i="6" s="1"/>
  <c r="O360" i="5"/>
  <c r="K358" i="6" s="1"/>
  <c r="O361" i="5"/>
  <c r="O362" i="5"/>
  <c r="K360" i="6" s="1"/>
  <c r="O363" i="5"/>
  <c r="K361" i="6" s="1"/>
  <c r="O364" i="5"/>
  <c r="K362" i="6" s="1"/>
  <c r="O365" i="5"/>
  <c r="O366" i="5"/>
  <c r="O367" i="5"/>
  <c r="K365" i="6" s="1"/>
  <c r="O368" i="5"/>
  <c r="K366" i="6" s="1"/>
  <c r="O369" i="5"/>
  <c r="O370" i="5"/>
  <c r="F370" i="5" s="1" a="1"/>
  <c r="F370" i="5" s="1"/>
  <c r="B368" i="6" s="1"/>
  <c r="O371" i="5"/>
  <c r="K369" i="6" s="1"/>
  <c r="O372" i="5"/>
  <c r="K370" i="6" s="1"/>
  <c r="O373" i="5"/>
  <c r="O374" i="5"/>
  <c r="I374" i="5" s="1" a="1"/>
  <c r="I374" i="5" s="1"/>
  <c r="E372" i="6" s="1"/>
  <c r="O375" i="5"/>
  <c r="K373" i="6" s="1"/>
  <c r="O376" i="5"/>
  <c r="K374" i="6" s="1"/>
  <c r="O377" i="5"/>
  <c r="O378" i="5"/>
  <c r="K376" i="6" s="1"/>
  <c r="O379" i="5"/>
  <c r="K377" i="6" s="1"/>
  <c r="O380" i="5"/>
  <c r="K378" i="6" s="1"/>
  <c r="O381" i="5"/>
  <c r="O382" i="5"/>
  <c r="I382" i="5" s="1" a="1"/>
  <c r="I382" i="5" s="1"/>
  <c r="E380" i="6" s="1"/>
  <c r="O383" i="5"/>
  <c r="K381" i="6" s="1"/>
  <c r="O384" i="5"/>
  <c r="K382" i="6" s="1"/>
  <c r="O385" i="5"/>
  <c r="O386" i="5"/>
  <c r="I386" i="5" s="1" a="1"/>
  <c r="I386" i="5" s="1"/>
  <c r="E384" i="6" s="1"/>
  <c r="O387" i="5"/>
  <c r="K385" i="6" s="1"/>
  <c r="O388" i="5"/>
  <c r="K386" i="6" s="1"/>
  <c r="O389" i="5"/>
  <c r="O390" i="5"/>
  <c r="O391" i="5"/>
  <c r="K389" i="6" s="1"/>
  <c r="O392" i="5"/>
  <c r="K390" i="6" s="1"/>
  <c r="O393" i="5"/>
  <c r="O394" i="5"/>
  <c r="K392" i="6" s="1"/>
  <c r="O395" i="5"/>
  <c r="K393" i="6" s="1"/>
  <c r="O396" i="5"/>
  <c r="K394" i="6" s="1"/>
  <c r="O397" i="5"/>
  <c r="J397" i="5" s="1" a="1"/>
  <c r="J397" i="5" s="1"/>
  <c r="F395" i="6" s="1"/>
  <c r="O398" i="5"/>
  <c r="O399" i="5"/>
  <c r="K397" i="6" s="1"/>
  <c r="O400" i="5"/>
  <c r="K398" i="6" s="1"/>
  <c r="O401" i="5"/>
  <c r="F401" i="5" s="1" a="1"/>
  <c r="F401" i="5" s="1"/>
  <c r="B399" i="6" s="1"/>
  <c r="O402" i="5"/>
  <c r="O403" i="5"/>
  <c r="K401" i="6" s="1"/>
  <c r="O404" i="5"/>
  <c r="K402" i="6" s="1"/>
  <c r="O405" i="5"/>
  <c r="I405" i="5" s="1" a="1"/>
  <c r="I405" i="5" s="1"/>
  <c r="E403" i="6" s="1"/>
  <c r="O406" i="5"/>
  <c r="O407" i="5"/>
  <c r="K405" i="6" s="1"/>
  <c r="O408" i="5"/>
  <c r="K406" i="6" s="1"/>
  <c r="O409" i="5"/>
  <c r="J409" i="5" s="1" a="1"/>
  <c r="J409" i="5" s="1"/>
  <c r="F407" i="6" s="1"/>
  <c r="O410" i="5"/>
  <c r="K408" i="6" s="1"/>
  <c r="O411" i="5"/>
  <c r="K409" i="6" s="1"/>
  <c r="O412" i="5"/>
  <c r="K410" i="6" s="1"/>
  <c r="O413" i="5"/>
  <c r="J413" i="5" s="1" a="1"/>
  <c r="J413" i="5" s="1"/>
  <c r="F411" i="6" s="1"/>
  <c r="O414" i="5"/>
  <c r="O415" i="5"/>
  <c r="K413" i="6" s="1"/>
  <c r="O416" i="5"/>
  <c r="K414" i="6" s="1"/>
  <c r="O417" i="5"/>
  <c r="F417" i="5" s="1" a="1"/>
  <c r="F417" i="5" s="1"/>
  <c r="B415" i="6" s="1"/>
  <c r="O418" i="5"/>
  <c r="O4" i="5"/>
  <c r="K2" i="6" s="1"/>
  <c r="G6" i="4"/>
  <c r="G7" i="4"/>
  <c r="H7" i="4"/>
  <c r="I7" i="4"/>
  <c r="G8" i="4"/>
  <c r="H8" i="4"/>
  <c r="I8" i="4"/>
  <c r="G10" i="4"/>
  <c r="G13" i="4"/>
  <c r="H13" i="4"/>
  <c r="I13" i="4"/>
  <c r="G15" i="4"/>
  <c r="G16" i="4"/>
  <c r="H16" i="4"/>
  <c r="I16" i="4"/>
  <c r="H20" i="4"/>
  <c r="H21" i="4" s="1"/>
  <c r="H22" i="4" s="1"/>
  <c r="I20" i="4"/>
  <c r="I21" i="4"/>
  <c r="I22" i="4"/>
  <c r="G20" i="4"/>
  <c r="G21" i="4"/>
  <c r="G22" i="4"/>
  <c r="G23" i="4" s="1"/>
  <c r="G24" i="4" s="1"/>
  <c r="G25" i="4" s="1"/>
  <c r="H24" i="4"/>
  <c r="I24" i="4"/>
  <c r="H25" i="4"/>
  <c r="I25" i="4"/>
  <c r="H28" i="4"/>
  <c r="H29" i="4" s="1"/>
  <c r="I28" i="4"/>
  <c r="I29" i="4"/>
  <c r="G28" i="4"/>
  <c r="G29" i="4"/>
  <c r="G30" i="4"/>
  <c r="G31" i="4"/>
  <c r="G32" i="4" s="1"/>
  <c r="H31" i="4"/>
  <c r="H32" i="4" s="1"/>
  <c r="I32" i="4"/>
  <c r="G36" i="4"/>
  <c r="H36" i="4"/>
  <c r="I36" i="4"/>
  <c r="H39" i="4"/>
  <c r="H40" i="4" s="1"/>
  <c r="I39" i="4"/>
  <c r="I40" i="4" s="1"/>
  <c r="G39" i="4"/>
  <c r="G40" i="4"/>
  <c r="G41" i="4"/>
  <c r="G42" i="4"/>
  <c r="G43" i="4" s="1"/>
  <c r="H42" i="4"/>
  <c r="H43" i="4" s="1"/>
  <c r="I42" i="4"/>
  <c r="I43" i="4" s="1"/>
  <c r="H49" i="4"/>
  <c r="I49" i="4"/>
  <c r="H50" i="4"/>
  <c r="I50" i="4"/>
  <c r="I51" i="4" s="1"/>
  <c r="H51" i="4"/>
  <c r="H53" i="4"/>
  <c r="I53" i="4"/>
  <c r="H54" i="4"/>
  <c r="I54" i="4"/>
  <c r="H55" i="4"/>
  <c r="I55" i="4"/>
  <c r="G49" i="4"/>
  <c r="G50" i="4" s="1"/>
  <c r="G51" i="4" s="1"/>
  <c r="G52" i="4" s="1"/>
  <c r="G53" i="4" s="1"/>
  <c r="G54" i="4" s="1"/>
  <c r="G55" i="4" s="1"/>
  <c r="G56" i="4" s="1"/>
  <c r="G57" i="4" s="1"/>
  <c r="G58" i="4" s="1"/>
  <c r="H58" i="4"/>
  <c r="I58" i="4"/>
  <c r="G63" i="4"/>
  <c r="H63" i="4"/>
  <c r="I63" i="4"/>
  <c r="G64" i="4"/>
  <c r="G65" i="4" s="1"/>
  <c r="G66" i="4" s="1"/>
  <c r="G67" i="4" s="1"/>
  <c r="G68" i="4" s="1"/>
  <c r="H64" i="4"/>
  <c r="H65" i="4" s="1"/>
  <c r="H66" i="4" s="1"/>
  <c r="H67" i="4" s="1"/>
  <c r="H68" i="4" s="1"/>
  <c r="I65" i="4"/>
  <c r="I66" i="4"/>
  <c r="I67" i="4" s="1"/>
  <c r="I68" i="4" s="1"/>
  <c r="G71" i="4"/>
  <c r="H71" i="4"/>
  <c r="H72" i="4" s="1"/>
  <c r="H73" i="4" s="1"/>
  <c r="H74" i="4" s="1"/>
  <c r="I71" i="4"/>
  <c r="G72" i="4"/>
  <c r="G73" i="4" s="1"/>
  <c r="G74" i="4" s="1"/>
  <c r="I73" i="4"/>
  <c r="I74" i="4"/>
  <c r="G78" i="4"/>
  <c r="H78" i="4"/>
  <c r="I78" i="4"/>
  <c r="H80" i="4"/>
  <c r="I80" i="4"/>
  <c r="G80" i="4"/>
  <c r="G81" i="4"/>
  <c r="G82" i="4"/>
  <c r="G83" i="4"/>
  <c r="G84" i="4" s="1"/>
  <c r="H83" i="4"/>
  <c r="I83" i="4"/>
  <c r="H84" i="4"/>
  <c r="I84" i="4"/>
  <c r="G87" i="4"/>
  <c r="I91" i="4"/>
  <c r="H91" i="4"/>
  <c r="H92" i="4" s="1"/>
  <c r="H94" i="4"/>
  <c r="I94" i="4"/>
  <c r="H95" i="4"/>
  <c r="I95" i="4"/>
  <c r="G91" i="4"/>
  <c r="G92" i="4"/>
  <c r="G93" i="4"/>
  <c r="G94" i="4" s="1"/>
  <c r="G95" i="4" s="1"/>
  <c r="G96" i="4" s="1"/>
  <c r="G97" i="4" s="1"/>
  <c r="G98" i="4" s="1"/>
  <c r="H97" i="4"/>
  <c r="I97" i="4"/>
  <c r="I98" i="4" s="1"/>
  <c r="H98" i="4"/>
  <c r="H101" i="4"/>
  <c r="I101" i="4"/>
  <c r="I103" i="4"/>
  <c r="I104" i="4"/>
  <c r="I105" i="4"/>
  <c r="I106" i="4"/>
  <c r="H103" i="4"/>
  <c r="H104" i="4" s="1"/>
  <c r="H105" i="4" s="1"/>
  <c r="H106" i="4" s="1"/>
  <c r="H107" i="4" s="1"/>
  <c r="H108" i="4" s="1"/>
  <c r="H109" i="4" s="1"/>
  <c r="I108" i="4"/>
  <c r="I109" i="4"/>
  <c r="G101" i="4"/>
  <c r="G102" i="4"/>
  <c r="G103" i="4"/>
  <c r="G104" i="4"/>
  <c r="G105" i="4"/>
  <c r="G106" i="4"/>
  <c r="G107" i="4"/>
  <c r="G108" i="4"/>
  <c r="G109" i="4" s="1"/>
  <c r="G110" i="4" s="1"/>
  <c r="G111" i="4" s="1"/>
  <c r="H111" i="4"/>
  <c r="I111" i="4"/>
  <c r="G113" i="4"/>
  <c r="H113" i="4"/>
  <c r="H115" i="4"/>
  <c r="I115" i="4"/>
  <c r="G115" i="4"/>
  <c r="G116" i="4"/>
  <c r="G117" i="4"/>
  <c r="H117" i="4"/>
  <c r="I117" i="4"/>
  <c r="G119" i="4"/>
  <c r="I122" i="4"/>
  <c r="H122" i="4"/>
  <c r="H123" i="4"/>
  <c r="G122" i="4"/>
  <c r="G123" i="4"/>
  <c r="G124" i="4"/>
  <c r="G125" i="4"/>
  <c r="H125" i="4"/>
  <c r="I125" i="4"/>
  <c r="H129" i="4"/>
  <c r="I129" i="4"/>
  <c r="G129" i="4"/>
  <c r="G130" i="4"/>
  <c r="G131" i="4"/>
  <c r="H131" i="4"/>
  <c r="H132" i="4" s="1"/>
  <c r="H133" i="4" s="1"/>
  <c r="I131" i="4"/>
  <c r="I132" i="4" s="1"/>
  <c r="I133" i="4" s="1"/>
  <c r="G132" i="4"/>
  <c r="G133" i="4" s="1"/>
  <c r="H136" i="4"/>
  <c r="I136" i="4"/>
  <c r="I137" i="4" s="1"/>
  <c r="H137" i="4"/>
  <c r="G136" i="4"/>
  <c r="G137" i="4"/>
  <c r="G138" i="4"/>
  <c r="G139" i="4"/>
  <c r="H139" i="4"/>
  <c r="H140" i="4" s="1"/>
  <c r="I139" i="4"/>
  <c r="I140" i="4" s="1"/>
  <c r="G140" i="4"/>
  <c r="G142" i="4"/>
  <c r="I144" i="4"/>
  <c r="I145" i="4"/>
  <c r="I146" i="4"/>
  <c r="H144" i="4"/>
  <c r="H145" i="4"/>
  <c r="H146" i="4" s="1"/>
  <c r="H147" i="4" s="1"/>
  <c r="H148" i="4" s="1"/>
  <c r="I148" i="4"/>
  <c r="H150" i="4"/>
  <c r="I150" i="4"/>
  <c r="H151" i="4"/>
  <c r="H152" i="4" s="1"/>
  <c r="I151" i="4"/>
  <c r="I152" i="4" s="1"/>
  <c r="G144" i="4"/>
  <c r="G145" i="4"/>
  <c r="G146" i="4"/>
  <c r="G147" i="4"/>
  <c r="G148" i="4"/>
  <c r="G149" i="4"/>
  <c r="G150" i="4" s="1"/>
  <c r="G151" i="4" s="1"/>
  <c r="G152" i="4" s="1"/>
  <c r="G153" i="4" s="1"/>
  <c r="G154" i="4" s="1"/>
  <c r="G155" i="4" s="1"/>
  <c r="H154" i="4"/>
  <c r="H155" i="4" s="1"/>
  <c r="I154" i="4"/>
  <c r="I155" i="4" s="1"/>
  <c r="G157" i="4"/>
  <c r="H162" i="4"/>
  <c r="I162" i="4"/>
  <c r="H163" i="4"/>
  <c r="I163" i="4"/>
  <c r="G160" i="4"/>
  <c r="G161" i="4" s="1"/>
  <c r="G162" i="4" s="1"/>
  <c r="G163" i="4" s="1"/>
  <c r="G164" i="4" s="1"/>
  <c r="G165" i="4" s="1"/>
  <c r="G166" i="4" s="1"/>
  <c r="H165" i="4"/>
  <c r="H166" i="4" s="1"/>
  <c r="I165" i="4"/>
  <c r="I166" i="4" s="1"/>
  <c r="H169" i="4"/>
  <c r="I169" i="4"/>
  <c r="H170" i="4"/>
  <c r="I170" i="4"/>
  <c r="G169" i="4"/>
  <c r="G170" i="4"/>
  <c r="G171" i="4" s="1"/>
  <c r="I173" i="4"/>
  <c r="H173" i="4"/>
  <c r="H174" i="4"/>
  <c r="G173" i="4"/>
  <c r="G174" i="4"/>
  <c r="G175" i="4"/>
  <c r="G176" i="4"/>
  <c r="H176" i="4"/>
  <c r="I176" i="4"/>
  <c r="G178" i="4"/>
  <c r="H178" i="4"/>
  <c r="I178" i="4"/>
  <c r="G179" i="4"/>
  <c r="G180" i="4" s="1"/>
  <c r="G181" i="4" s="1"/>
  <c r="G182" i="4" s="1"/>
  <c r="H179" i="4"/>
  <c r="H180" i="4" s="1"/>
  <c r="H181" i="4" s="1"/>
  <c r="H182" i="4" s="1"/>
  <c r="I179" i="4"/>
  <c r="I180" i="4" s="1"/>
  <c r="I181" i="4" s="1"/>
  <c r="I182" i="4" s="1"/>
  <c r="H186" i="4"/>
  <c r="I186" i="4"/>
  <c r="H187" i="4"/>
  <c r="I187" i="4"/>
  <c r="G185" i="4"/>
  <c r="G186" i="4"/>
  <c r="G187" i="4"/>
  <c r="G188" i="4" s="1"/>
  <c r="G191" i="4"/>
  <c r="H191" i="4"/>
  <c r="G194" i="4"/>
  <c r="H194" i="4"/>
  <c r="I194" i="4"/>
  <c r="G195" i="4"/>
  <c r="H195" i="4"/>
  <c r="G199" i="4"/>
  <c r="G200" i="4"/>
  <c r="H200" i="4"/>
  <c r="I200" i="4"/>
  <c r="G202" i="4"/>
  <c r="H202" i="4"/>
  <c r="I202" i="4"/>
  <c r="H206" i="4"/>
  <c r="H207" i="4" s="1"/>
  <c r="I206" i="4"/>
  <c r="I207" i="4"/>
  <c r="G206" i="4"/>
  <c r="G207" i="4"/>
  <c r="G208" i="4"/>
  <c r="G209" i="4"/>
  <c r="H209" i="4"/>
  <c r="I209" i="4"/>
  <c r="G211" i="4"/>
  <c r="H211" i="4"/>
  <c r="G215" i="4"/>
  <c r="H215" i="4"/>
  <c r="I215" i="4"/>
  <c r="I216" i="4" s="1"/>
  <c r="G216" i="4"/>
  <c r="H216" i="4"/>
  <c r="G218" i="4"/>
  <c r="H218" i="4"/>
  <c r="I218" i="4"/>
  <c r="G219" i="4"/>
  <c r="H219" i="4"/>
  <c r="I219" i="4"/>
  <c r="G222" i="4"/>
  <c r="G223" i="4" s="1"/>
  <c r="G224" i="4" s="1"/>
  <c r="H222" i="4"/>
  <c r="I222" i="4"/>
  <c r="H223" i="4"/>
  <c r="I223" i="4"/>
  <c r="H224" i="4"/>
  <c r="I224" i="4"/>
  <c r="G228" i="4"/>
  <c r="G229" i="4"/>
  <c r="H229" i="4"/>
  <c r="I229" i="4"/>
  <c r="G230" i="4"/>
  <c r="H230" i="4"/>
  <c r="H231" i="4" s="1"/>
  <c r="I230" i="4"/>
  <c r="I231" i="4" s="1"/>
  <c r="G231" i="4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E6" i="3" a="1"/>
  <c r="E6" i="3" s="1"/>
  <c r="F6" i="3" a="1"/>
  <c r="F6" i="3" s="1"/>
  <c r="G6" i="3" a="1"/>
  <c r="G6" i="3" s="1"/>
  <c r="H6" i="3" a="1"/>
  <c r="H6" i="3"/>
  <c r="I6" i="3" a="1"/>
  <c r="I6" i="3" s="1"/>
  <c r="J6" i="3" a="1"/>
  <c r="J6" i="3" s="1"/>
  <c r="K6" i="3" a="1"/>
  <c r="K6" i="3" s="1"/>
  <c r="L6" i="3" a="1"/>
  <c r="L6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/>
  <c r="L8" i="3" a="1"/>
  <c r="L8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/>
  <c r="L10" i="3" a="1"/>
  <c r="L10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E13" i="3" a="1"/>
  <c r="E13" i="3" s="1"/>
  <c r="F13" i="3" a="1"/>
  <c r="F13" i="3" s="1"/>
  <c r="G13" i="3" a="1"/>
  <c r="G13" i="3" s="1"/>
  <c r="H13" i="3" a="1"/>
  <c r="H13" i="3"/>
  <c r="I13" i="3" a="1"/>
  <c r="I13" i="3" s="1"/>
  <c r="J13" i="3" a="1"/>
  <c r="J13" i="3" s="1"/>
  <c r="K13" i="3" a="1"/>
  <c r="K13" i="3" s="1"/>
  <c r="L13" i="3" a="1"/>
  <c r="L13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/>
  <c r="L15" i="3" a="1"/>
  <c r="L15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/>
  <c r="L23" i="3" a="1"/>
  <c r="L23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/>
  <c r="L28" i="3" a="1"/>
  <c r="L28" i="3" s="1"/>
  <c r="E29" i="3" a="1"/>
  <c r="E29" i="3" s="1"/>
  <c r="F29" i="3" a="1"/>
  <c r="F29" i="3" s="1"/>
  <c r="G29" i="3" a="1"/>
  <c r="G29" i="3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E31" i="3" a="1"/>
  <c r="E31" i="3" s="1"/>
  <c r="F31" i="3" a="1"/>
  <c r="F31" i="3" s="1"/>
  <c r="G31" i="3" a="1"/>
  <c r="G31" i="3" s="1"/>
  <c r="H31" i="3" a="1"/>
  <c r="H31" i="3"/>
  <c r="I31" i="3" a="1"/>
  <c r="I31" i="3" s="1"/>
  <c r="J31" i="3" a="1"/>
  <c r="J31" i="3" s="1"/>
  <c r="K31" i="3" a="1"/>
  <c r="K31" i="3" s="1"/>
  <c r="L31" i="3" a="1"/>
  <c r="L31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E33" i="3" a="1"/>
  <c r="E33" i="3" s="1"/>
  <c r="F33" i="3" a="1"/>
  <c r="F33" i="3" s="1"/>
  <c r="G33" i="3" a="1"/>
  <c r="G33" i="3" s="1"/>
  <c r="H33" i="3" a="1"/>
  <c r="H33" i="3"/>
  <c r="I33" i="3" a="1"/>
  <c r="I33" i="3" s="1"/>
  <c r="J33" i="3" a="1"/>
  <c r="J33" i="3" s="1"/>
  <c r="K33" i="3" a="1"/>
  <c r="K33" i="3" s="1"/>
  <c r="L33" i="3" a="1"/>
  <c r="L33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/>
  <c r="L36" i="3" a="1"/>
  <c r="L36" i="3" s="1"/>
  <c r="E37" i="3" a="1"/>
  <c r="E37" i="3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E41" i="3" a="1"/>
  <c r="E41" i="3" s="1"/>
  <c r="F41" i="3" a="1"/>
  <c r="F41" i="3" s="1"/>
  <c r="G41" i="3" a="1"/>
  <c r="G41" i="3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E42" i="3" a="1"/>
  <c r="E42" i="3" s="1"/>
  <c r="F42" i="3" a="1"/>
  <c r="F42" i="3" s="1"/>
  <c r="G42" i="3" a="1"/>
  <c r="G42" i="3" s="1"/>
  <c r="H42" i="3" a="1"/>
  <c r="H42" i="3"/>
  <c r="I42" i="3" a="1"/>
  <c r="I42" i="3" s="1"/>
  <c r="J42" i="3" a="1"/>
  <c r="J42" i="3" s="1"/>
  <c r="K42" i="3" a="1"/>
  <c r="K42" i="3" s="1"/>
  <c r="L42" i="3" a="1"/>
  <c r="L42" i="3" s="1"/>
  <c r="E43" i="3" a="1"/>
  <c r="E43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E44" i="3" a="1"/>
  <c r="E44" i="3" s="1"/>
  <c r="F44" i="3" a="1"/>
  <c r="F44" i="3" s="1"/>
  <c r="G44" i="3" a="1"/>
  <c r="G44" i="3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E47" i="3" a="1"/>
  <c r="E47" i="3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E50" i="3" a="1"/>
  <c r="E50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E51" i="3" a="1"/>
  <c r="E51" i="3" s="1"/>
  <c r="F51" i="3" a="1"/>
  <c r="F51" i="3" s="1"/>
  <c r="G51" i="3" a="1"/>
  <c r="G51" i="3" s="1"/>
  <c r="H51" i="3" a="1"/>
  <c r="H51" i="3" s="1"/>
  <c r="I51" i="3" a="1"/>
  <c r="I51" i="3"/>
  <c r="J51" i="3" a="1"/>
  <c r="J51" i="3" s="1"/>
  <c r="K51" i="3" a="1"/>
  <c r="K51" i="3" s="1"/>
  <c r="L51" i="3" a="1"/>
  <c r="L51" i="3" s="1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E53" i="3" a="1"/>
  <c r="E53" i="3"/>
  <c r="F53" i="3" a="1"/>
  <c r="F53" i="3" s="1"/>
  <c r="G53" i="3" a="1"/>
  <c r="G53" i="3" s="1"/>
  <c r="H53" i="3" a="1"/>
  <c r="H53" i="3"/>
  <c r="I53" i="3" a="1"/>
  <c r="I53" i="3" s="1"/>
  <c r="J53" i="3" a="1"/>
  <c r="J53" i="3" s="1"/>
  <c r="K53" i="3" a="1"/>
  <c r="K53" i="3" s="1"/>
  <c r="L53" i="3" a="1"/>
  <c r="L53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E55" i="3" a="1"/>
  <c r="E55" i="3" s="1"/>
  <c r="F55" i="3" a="1"/>
  <c r="F55" i="3" s="1"/>
  <c r="G55" i="3" a="1"/>
  <c r="G55" i="3" s="1"/>
  <c r="H55" i="3" a="1"/>
  <c r="H55" i="3"/>
  <c r="I55" i="3" a="1"/>
  <c r="I55" i="3" s="1"/>
  <c r="J55" i="3" a="1"/>
  <c r="J55" i="3" s="1"/>
  <c r="K55" i="3" a="1"/>
  <c r="K55" i="3" s="1"/>
  <c r="L55" i="3" a="1"/>
  <c r="L55" i="3" s="1"/>
  <c r="E56" i="3" a="1"/>
  <c r="E56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E57" i="3" a="1"/>
  <c r="E57" i="3" s="1"/>
  <c r="F57" i="3" a="1"/>
  <c r="F57" i="3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E58" i="3" a="1"/>
  <c r="E58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/>
  <c r="E60" i="3" a="1"/>
  <c r="E60" i="3" s="1"/>
  <c r="F60" i="3" a="1"/>
  <c r="F60" i="3" s="1"/>
  <c r="G60" i="3" a="1"/>
  <c r="G60" i="3" s="1"/>
  <c r="H60" i="3" a="1"/>
  <c r="H60" i="3"/>
  <c r="I60" i="3" a="1"/>
  <c r="I60" i="3" s="1"/>
  <c r="J60" i="3" a="1"/>
  <c r="J60" i="3" s="1"/>
  <c r="K60" i="3" a="1"/>
  <c r="K60" i="3" s="1"/>
  <c r="L60" i="3" a="1"/>
  <c r="L60" i="3" s="1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E62" i="3" a="1"/>
  <c r="E62" i="3" s="1"/>
  <c r="F62" i="3" a="1"/>
  <c r="F62" i="3" s="1"/>
  <c r="G62" i="3" a="1"/>
  <c r="G62" i="3" s="1"/>
  <c r="H62" i="3" a="1"/>
  <c r="H62" i="3"/>
  <c r="I62" i="3" a="1"/>
  <c r="I62" i="3" s="1"/>
  <c r="J62" i="3" a="1"/>
  <c r="J62" i="3" s="1"/>
  <c r="K62" i="3" a="1"/>
  <c r="K62" i="3" s="1"/>
  <c r="L62" i="3" a="1"/>
  <c r="L62" i="3" s="1"/>
  <c r="E63" i="3" a="1"/>
  <c r="E63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E64" i="3" a="1"/>
  <c r="E64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E65" i="3" a="1"/>
  <c r="E65" i="3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J66" i="3" a="1"/>
  <c r="J66" i="3"/>
  <c r="K66" i="3" a="1"/>
  <c r="K66" i="3" s="1"/>
  <c r="L66" i="3" a="1"/>
  <c r="L66" i="3" s="1"/>
  <c r="E67" i="3" a="1"/>
  <c r="E67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E68" i="3" a="1"/>
  <c r="E68" i="3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/>
  <c r="E70" i="3" a="1"/>
  <c r="E70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E71" i="3" a="1"/>
  <c r="E71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E73" i="3" a="1"/>
  <c r="E73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E74" i="3" a="1"/>
  <c r="E74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E76" i="3" a="1"/>
  <c r="E76" i="3"/>
  <c r="F76" i="3" a="1"/>
  <c r="F76" i="3" s="1"/>
  <c r="G76" i="3" a="1"/>
  <c r="G76" i="3" s="1"/>
  <c r="H76" i="3" a="1"/>
  <c r="H76" i="3" s="1"/>
  <c r="I76" i="3" a="1"/>
  <c r="I76" i="3" s="1"/>
  <c r="J76" i="3" a="1"/>
  <c r="J76" i="3"/>
  <c r="K76" i="3" a="1"/>
  <c r="K76" i="3" s="1"/>
  <c r="L76" i="3" a="1"/>
  <c r="L76" i="3" s="1"/>
  <c r="E77" i="3" a="1"/>
  <c r="E77" i="3" s="1"/>
  <c r="F77" i="3" a="1"/>
  <c r="F77" i="3" s="1"/>
  <c r="G77" i="3" a="1"/>
  <c r="G77" i="3" s="1"/>
  <c r="H77" i="3" a="1"/>
  <c r="H77" i="3" s="1"/>
  <c r="I77" i="3" a="1"/>
  <c r="I77" i="3"/>
  <c r="J77" i="3" a="1"/>
  <c r="J77" i="3" s="1"/>
  <c r="K77" i="3" a="1"/>
  <c r="K77" i="3" s="1"/>
  <c r="L77" i="3" a="1"/>
  <c r="L77" i="3" s="1"/>
  <c r="E78" i="3" a="1"/>
  <c r="E78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E82" i="3" a="1"/>
  <c r="E82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E83" i="3" a="1"/>
  <c r="E83" i="3" s="1"/>
  <c r="F83" i="3" a="1"/>
  <c r="F83" i="3" s="1"/>
  <c r="G83" i="3" a="1"/>
  <c r="G83" i="3" s="1"/>
  <c r="H83" i="3" a="1"/>
  <c r="H83" i="3" s="1"/>
  <c r="I83" i="3" a="1"/>
  <c r="I83" i="3"/>
  <c r="J83" i="3" a="1"/>
  <c r="J83" i="3" s="1"/>
  <c r="K83" i="3" a="1"/>
  <c r="K83" i="3" s="1"/>
  <c r="L83" i="3" a="1"/>
  <c r="L83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E85" i="3" a="1"/>
  <c r="E85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P4" i="3" a="1"/>
  <c r="P4" i="3" s="1"/>
  <c r="Q4" i="3" a="1"/>
  <c r="Q4" i="3" s="1"/>
  <c r="R4" i="3" a="1"/>
  <c r="R4" i="3"/>
  <c r="S4" i="3" a="1"/>
  <c r="S4" i="3" s="1"/>
  <c r="T4" i="3" a="1"/>
  <c r="T4" i="3" s="1"/>
  <c r="U4" i="3" a="1"/>
  <c r="U4" i="3" s="1"/>
  <c r="V4" i="3" a="1"/>
  <c r="V4" i="3" s="1"/>
  <c r="P5" i="3" a="1"/>
  <c r="P5" i="3" s="1"/>
  <c r="Q5" i="3" a="1"/>
  <c r="Q5" i="3" s="1"/>
  <c r="R5" i="3" a="1"/>
  <c r="R5" i="3"/>
  <c r="S5" i="3" a="1"/>
  <c r="S5" i="3" s="1"/>
  <c r="T5" i="3" a="1"/>
  <c r="T5" i="3" s="1"/>
  <c r="U5" i="3" a="1"/>
  <c r="U5" i="3" s="1"/>
  <c r="V5" i="3" a="1"/>
  <c r="V5" i="3" s="1"/>
  <c r="P6" i="3" a="1"/>
  <c r="P6" i="3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/>
  <c r="V11" i="3" a="1"/>
  <c r="V11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P15" i="3" a="1"/>
  <c r="P15" i="3" s="1"/>
  <c r="Q15" i="3" a="1"/>
  <c r="Q15" i="3" s="1"/>
  <c r="R15" i="3" a="1"/>
  <c r="R15" i="3" s="1"/>
  <c r="S15" i="3" a="1"/>
  <c r="S15" i="3" s="1"/>
  <c r="T15" i="3" a="1"/>
  <c r="T15" i="3"/>
  <c r="U15" i="3" a="1"/>
  <c r="U15" i="3" s="1"/>
  <c r="V15" i="3" a="1"/>
  <c r="V15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P20" i="3" a="1"/>
  <c r="P20" i="3" s="1"/>
  <c r="Q20" i="3" a="1"/>
  <c r="Q20" i="3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P22" i="3" a="1"/>
  <c r="P22" i="3" s="1"/>
  <c r="Q22" i="3" a="1"/>
  <c r="Q22" i="3" s="1"/>
  <c r="R22" i="3" a="1"/>
  <c r="R22" i="3" s="1"/>
  <c r="S22" i="3" a="1"/>
  <c r="S22" i="3" s="1"/>
  <c r="T22" i="3" a="1"/>
  <c r="T22" i="3"/>
  <c r="U22" i="3" a="1"/>
  <c r="U22" i="3" s="1"/>
  <c r="V22" i="3" a="1"/>
  <c r="V22" i="3" s="1"/>
  <c r="P23" i="3" a="1"/>
  <c r="P23" i="3" s="1"/>
  <c r="Q23" i="3" a="1"/>
  <c r="Q23" i="3" s="1"/>
  <c r="R23" i="3" a="1"/>
  <c r="R23" i="3" s="1"/>
  <c r="S23" i="3" a="1"/>
  <c r="S23" i="3" s="1"/>
  <c r="T23" i="3" a="1"/>
  <c r="T23" i="3"/>
  <c r="U23" i="3" a="1"/>
  <c r="U23" i="3" s="1"/>
  <c r="V23" i="3" a="1"/>
  <c r="V23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P31" i="3" a="1"/>
  <c r="P31" i="3" s="1"/>
  <c r="Q31" i="3" a="1"/>
  <c r="Q31" i="3" s="1"/>
  <c r="R31" i="3" a="1"/>
  <c r="R31" i="3" s="1"/>
  <c r="S31" i="3" a="1"/>
  <c r="S31" i="3" s="1"/>
  <c r="T31" i="3" a="1"/>
  <c r="T31" i="3"/>
  <c r="U31" i="3" a="1"/>
  <c r="U31" i="3" s="1"/>
  <c r="V31" i="3" a="1"/>
  <c r="V31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P33" i="3" a="1"/>
  <c r="P33" i="3" s="1"/>
  <c r="Q33" i="3" a="1"/>
  <c r="Q33" i="3" s="1"/>
  <c r="R33" i="3" a="1"/>
  <c r="R33" i="3" s="1"/>
  <c r="S33" i="3" a="1"/>
  <c r="S33" i="3"/>
  <c r="T33" i="3" a="1"/>
  <c r="T33" i="3" s="1"/>
  <c r="U33" i="3" a="1"/>
  <c r="U33" i="3" s="1"/>
  <c r="V33" i="3" a="1"/>
  <c r="V33" i="3" s="1"/>
  <c r="P34" i="3" a="1"/>
  <c r="P34" i="3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/>
  <c r="V40" i="3" a="1"/>
  <c r="V40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P47" i="3" a="1"/>
  <c r="P47" i="3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P48" i="3" a="1"/>
  <c r="P48" i="3" s="1"/>
  <c r="Q48" i="3" a="1"/>
  <c r="Q48" i="3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/>
  <c r="V52" i="3" a="1"/>
  <c r="V52" i="3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P57" i="3" a="1"/>
  <c r="P57" i="3" s="1"/>
  <c r="Q57" i="3" a="1"/>
  <c r="Q57" i="3" s="1"/>
  <c r="R57" i="3" a="1"/>
  <c r="R57" i="3" s="1"/>
  <c r="S57" i="3" a="1"/>
  <c r="S57" i="3"/>
  <c r="T57" i="3" a="1"/>
  <c r="T57" i="3" s="1"/>
  <c r="U57" i="3" a="1"/>
  <c r="U57" i="3" s="1"/>
  <c r="V57" i="3" a="1"/>
  <c r="V57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/>
  <c r="V59" i="3" a="1"/>
  <c r="V59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/>
  <c r="V60" i="3" a="1"/>
  <c r="V60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/>
  <c r="V67" i="3" a="1"/>
  <c r="V67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/>
  <c r="V71" i="3" a="1"/>
  <c r="V71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/>
  <c r="V75" i="3" a="1"/>
  <c r="V75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P82" i="3" a="1"/>
  <c r="P82" i="3" s="1"/>
  <c r="Q82" i="3" a="1"/>
  <c r="Q82" i="3" s="1"/>
  <c r="R82" i="3" a="1"/>
  <c r="R82" i="3" s="1"/>
  <c r="S82" i="3" a="1"/>
  <c r="S82" i="3" s="1"/>
  <c r="T82" i="3" a="1"/>
  <c r="T82" i="3"/>
  <c r="U82" i="3" a="1"/>
  <c r="U82" i="3" s="1"/>
  <c r="V82" i="3" a="1"/>
  <c r="V82" i="3" s="1"/>
  <c r="P83" i="3" a="1"/>
  <c r="P83" i="3" s="1"/>
  <c r="Q83" i="3" a="1"/>
  <c r="Q83" i="3" s="1"/>
  <c r="R83" i="3" a="1"/>
  <c r="R83" i="3" s="1"/>
  <c r="S83" i="3" a="1"/>
  <c r="S83" i="3" s="1"/>
  <c r="T83" i="3" a="1"/>
  <c r="T83" i="3"/>
  <c r="U83" i="3" a="1"/>
  <c r="U83" i="3" s="1"/>
  <c r="V83" i="3" a="1"/>
  <c r="V83" i="3" s="1"/>
  <c r="P84" i="3" a="1"/>
  <c r="P84" i="3" s="1"/>
  <c r="Q84" i="3" a="1"/>
  <c r="Q84" i="3" s="1"/>
  <c r="R84" i="3" a="1"/>
  <c r="R84" i="3" s="1"/>
  <c r="S84" i="3" a="1"/>
  <c r="S84" i="3" s="1"/>
  <c r="T84" i="3" a="1"/>
  <c r="T84" i="3"/>
  <c r="U84" i="3" a="1"/>
  <c r="U84" i="3" s="1"/>
  <c r="V84" i="3" a="1"/>
  <c r="V84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P3" i="3" a="1"/>
  <c r="P3" i="3" s="1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K63" i="6" l="1"/>
  <c r="K384" i="6"/>
  <c r="K52" i="6"/>
  <c r="K39" i="6"/>
  <c r="K20" i="6"/>
  <c r="K11" i="6"/>
  <c r="K411" i="6"/>
  <c r="K352" i="6"/>
  <c r="E358" i="5" a="1"/>
  <c r="E358" i="5" s="1"/>
  <c r="A356" i="6" s="1"/>
  <c r="K356" i="6"/>
  <c r="J414" i="5" a="1"/>
  <c r="J414" i="5" s="1"/>
  <c r="F412" i="6" s="1"/>
  <c r="K412" i="6"/>
  <c r="I406" i="5" a="1"/>
  <c r="I406" i="5" s="1"/>
  <c r="E404" i="6" s="1"/>
  <c r="K404" i="6"/>
  <c r="I398" i="5" a="1"/>
  <c r="I398" i="5" s="1"/>
  <c r="E396" i="6" s="1"/>
  <c r="K396" i="6"/>
  <c r="E390" i="5" a="1"/>
  <c r="E390" i="5" s="1"/>
  <c r="A388" i="6" s="1"/>
  <c r="K388" i="6"/>
  <c r="E366" i="5" a="1"/>
  <c r="E366" i="5" s="1"/>
  <c r="A364" i="6" s="1"/>
  <c r="K364" i="6"/>
  <c r="E334" i="5" a="1"/>
  <c r="E334" i="5" s="1"/>
  <c r="A332" i="6" s="1"/>
  <c r="K332" i="6"/>
  <c r="F326" i="5" a="1"/>
  <c r="F326" i="5" s="1"/>
  <c r="B324" i="6" s="1"/>
  <c r="K324" i="6"/>
  <c r="J302" i="5" a="1"/>
  <c r="J302" i="5" s="1"/>
  <c r="F300" i="6" s="1"/>
  <c r="K300" i="6"/>
  <c r="G294" i="5" a="1"/>
  <c r="G294" i="5" s="1"/>
  <c r="C292" i="6" s="1"/>
  <c r="K292" i="6"/>
  <c r="K270" i="5" a="1"/>
  <c r="K270" i="5" s="1"/>
  <c r="G268" i="6" s="1"/>
  <c r="K268" i="6"/>
  <c r="F262" i="5" a="1"/>
  <c r="F262" i="5" s="1"/>
  <c r="B260" i="6" s="1"/>
  <c r="K260" i="6"/>
  <c r="L230" i="5" a="1"/>
  <c r="L230" i="5" s="1"/>
  <c r="H228" i="6" s="1"/>
  <c r="K228" i="6"/>
  <c r="F190" i="5" a="1"/>
  <c r="F190" i="5" s="1"/>
  <c r="B188" i="6" s="1"/>
  <c r="K188" i="6"/>
  <c r="L142" i="5" a="1"/>
  <c r="L142" i="5" s="1"/>
  <c r="H140" i="6" s="1"/>
  <c r="K140" i="6"/>
  <c r="K60" i="6"/>
  <c r="F389" i="5" a="1"/>
  <c r="F389" i="5" s="1"/>
  <c r="B387" i="6" s="1"/>
  <c r="K387" i="6"/>
  <c r="F381" i="5" a="1"/>
  <c r="F381" i="5" s="1"/>
  <c r="B379" i="6" s="1"/>
  <c r="K379" i="6"/>
  <c r="I373" i="5" a="1"/>
  <c r="I373" i="5" s="1"/>
  <c r="E371" i="6" s="1"/>
  <c r="K371" i="6"/>
  <c r="J365" i="5" a="1"/>
  <c r="J365" i="5" s="1"/>
  <c r="F363" i="6" s="1"/>
  <c r="K363" i="6"/>
  <c r="F357" i="5" a="1"/>
  <c r="F357" i="5" s="1"/>
  <c r="B355" i="6" s="1"/>
  <c r="K355" i="6"/>
  <c r="I349" i="5" a="1"/>
  <c r="I349" i="5" s="1"/>
  <c r="E347" i="6" s="1"/>
  <c r="K347" i="6"/>
  <c r="E341" i="5" a="1"/>
  <c r="E341" i="5" s="1"/>
  <c r="A339" i="6" s="1"/>
  <c r="K339" i="6"/>
  <c r="E333" i="5" a="1"/>
  <c r="E333" i="5" s="1"/>
  <c r="A331" i="6" s="1"/>
  <c r="K331" i="6"/>
  <c r="I325" i="5" a="1"/>
  <c r="I325" i="5" s="1"/>
  <c r="E323" i="6" s="1"/>
  <c r="K323" i="6"/>
  <c r="F317" i="5" a="1"/>
  <c r="F317" i="5" s="1"/>
  <c r="B315" i="6" s="1"/>
  <c r="K315" i="6"/>
  <c r="J301" i="5" a="1"/>
  <c r="J301" i="5" s="1"/>
  <c r="F299" i="6" s="1"/>
  <c r="K299" i="6"/>
  <c r="J293" i="5" a="1"/>
  <c r="J293" i="5" s="1"/>
  <c r="F291" i="6" s="1"/>
  <c r="K291" i="6"/>
  <c r="G285" i="5" a="1"/>
  <c r="G285" i="5" s="1"/>
  <c r="C283" i="6" s="1"/>
  <c r="K283" i="6"/>
  <c r="L277" i="5" a="1"/>
  <c r="L277" i="5" s="1"/>
  <c r="H275" i="6" s="1"/>
  <c r="K275" i="6"/>
  <c r="G269" i="5" a="1"/>
  <c r="G269" i="5" s="1"/>
  <c r="C267" i="6" s="1"/>
  <c r="K267" i="6"/>
  <c r="F253" i="5" a="1"/>
  <c r="F253" i="5" s="1"/>
  <c r="B251" i="6" s="1"/>
  <c r="K251" i="6"/>
  <c r="F237" i="5" a="1"/>
  <c r="F237" i="5" s="1"/>
  <c r="B235" i="6" s="1"/>
  <c r="K235" i="6"/>
  <c r="G229" i="5" a="1"/>
  <c r="G229" i="5" s="1"/>
  <c r="C227" i="6" s="1"/>
  <c r="K227" i="6"/>
  <c r="K221" i="5" a="1"/>
  <c r="K221" i="5" s="1"/>
  <c r="G219" i="6" s="1"/>
  <c r="K219" i="6"/>
  <c r="I213" i="5" a="1"/>
  <c r="I213" i="5" s="1"/>
  <c r="E211" i="6" s="1"/>
  <c r="K211" i="6"/>
  <c r="E165" i="5" a="1"/>
  <c r="E165" i="5" s="1"/>
  <c r="A163" i="6" s="1"/>
  <c r="K163" i="6"/>
  <c r="W77" i="5" a="1"/>
  <c r="W77" i="5" s="1"/>
  <c r="S75" i="6" s="1"/>
  <c r="K75" i="6"/>
  <c r="G69" i="5" a="1"/>
  <c r="G69" i="5" s="1"/>
  <c r="C67" i="6" s="1"/>
  <c r="K67" i="6"/>
  <c r="V61" i="5" a="1"/>
  <c r="V61" i="5" s="1"/>
  <c r="R59" i="6" s="1"/>
  <c r="K59" i="6"/>
  <c r="F53" i="5" a="1"/>
  <c r="F53" i="5" s="1"/>
  <c r="B51" i="6" s="1"/>
  <c r="K51" i="6"/>
  <c r="E45" i="5" a="1"/>
  <c r="E45" i="5" s="1"/>
  <c r="A43" i="6" s="1"/>
  <c r="K43" i="6"/>
  <c r="I29" i="5" a="1"/>
  <c r="I29" i="5" s="1"/>
  <c r="E27" i="6" s="1"/>
  <c r="K27" i="6"/>
  <c r="I21" i="5" a="1"/>
  <c r="I21" i="5" s="1"/>
  <c r="E19" i="6" s="1"/>
  <c r="K19" i="6"/>
  <c r="K395" i="6"/>
  <c r="K372" i="6"/>
  <c r="K308" i="6"/>
  <c r="X76" i="5" a="1"/>
  <c r="X76" i="5" s="1"/>
  <c r="T74" i="6" s="1"/>
  <c r="K74" i="6"/>
  <c r="X68" i="5" a="1"/>
  <c r="X68" i="5" s="1"/>
  <c r="T66" i="6" s="1"/>
  <c r="K66" i="6"/>
  <c r="K380" i="6"/>
  <c r="K316" i="6"/>
  <c r="K252" i="6"/>
  <c r="K35" i="6"/>
  <c r="K403" i="6"/>
  <c r="K155" i="6"/>
  <c r="K340" i="6"/>
  <c r="K276" i="6"/>
  <c r="K348" i="6"/>
  <c r="K284" i="6"/>
  <c r="K83" i="6"/>
  <c r="E418" i="5" a="1"/>
  <c r="E418" i="5" s="1"/>
  <c r="A416" i="6" s="1"/>
  <c r="K416" i="6"/>
  <c r="F402" i="5" a="1"/>
  <c r="F402" i="5" s="1"/>
  <c r="B400" i="6" s="1"/>
  <c r="K400" i="6"/>
  <c r="F393" i="5" a="1"/>
  <c r="F393" i="5" s="1"/>
  <c r="B391" i="6" s="1"/>
  <c r="K391" i="6"/>
  <c r="J385" i="5" a="1"/>
  <c r="J385" i="5" s="1"/>
  <c r="F383" i="6" s="1"/>
  <c r="K383" i="6"/>
  <c r="I377" i="5" a="1"/>
  <c r="I377" i="5" s="1"/>
  <c r="E375" i="6" s="1"/>
  <c r="K375" i="6"/>
  <c r="J369" i="5" a="1"/>
  <c r="J369" i="5" s="1"/>
  <c r="F367" i="6" s="1"/>
  <c r="K367" i="6"/>
  <c r="F361" i="5" a="1"/>
  <c r="F361" i="5" s="1"/>
  <c r="B359" i="6" s="1"/>
  <c r="K359" i="6"/>
  <c r="J353" i="5" a="1"/>
  <c r="J353" i="5" s="1"/>
  <c r="F351" i="6" s="1"/>
  <c r="K351" i="6"/>
  <c r="F345" i="5" a="1"/>
  <c r="F345" i="5" s="1"/>
  <c r="B343" i="6" s="1"/>
  <c r="K343" i="6"/>
  <c r="F337" i="5" a="1"/>
  <c r="F337" i="5" s="1"/>
  <c r="B335" i="6" s="1"/>
  <c r="K335" i="6"/>
  <c r="F305" i="5" a="1"/>
  <c r="F305" i="5" s="1"/>
  <c r="B303" i="6" s="1"/>
  <c r="K303" i="6"/>
  <c r="E289" i="5" a="1"/>
  <c r="E289" i="5" s="1"/>
  <c r="A287" i="6" s="1"/>
  <c r="K287" i="6"/>
  <c r="I241" i="5" a="1"/>
  <c r="I241" i="5" s="1"/>
  <c r="E239" i="6" s="1"/>
  <c r="K239" i="6"/>
  <c r="K233" i="5" a="1"/>
  <c r="K233" i="5" s="1"/>
  <c r="G231" i="6" s="1"/>
  <c r="K231" i="6"/>
  <c r="I209" i="5" a="1"/>
  <c r="I209" i="5" s="1"/>
  <c r="E207" i="6" s="1"/>
  <c r="K207" i="6"/>
  <c r="L81" i="5" a="1"/>
  <c r="L81" i="5" s="1"/>
  <c r="H79" i="6" s="1"/>
  <c r="K79" i="6"/>
  <c r="L73" i="5" a="1"/>
  <c r="L73" i="5" s="1"/>
  <c r="H71" i="6" s="1"/>
  <c r="K71" i="6"/>
  <c r="E17" i="5" a="1"/>
  <c r="E17" i="5" s="1"/>
  <c r="A15" i="6" s="1"/>
  <c r="K15" i="6"/>
  <c r="K407" i="6"/>
  <c r="K399" i="6"/>
  <c r="K368" i="6"/>
  <c r="K336" i="6"/>
  <c r="K57" i="5" a="1"/>
  <c r="K57" i="5" s="1"/>
  <c r="G55" i="6" s="1"/>
  <c r="K55" i="6"/>
  <c r="J49" i="5" a="1"/>
  <c r="J49" i="5" s="1"/>
  <c r="F47" i="6" s="1"/>
  <c r="K47" i="6"/>
  <c r="F33" i="5" a="1"/>
  <c r="F33" i="5" s="1"/>
  <c r="B31" i="6" s="1"/>
  <c r="K31" i="6"/>
  <c r="K25" i="5" a="1"/>
  <c r="K25" i="5" s="1"/>
  <c r="G23" i="6" s="1"/>
  <c r="K23" i="6"/>
  <c r="J9" i="5" a="1"/>
  <c r="J9" i="5" s="1"/>
  <c r="F7" i="6" s="1"/>
  <c r="K7" i="6"/>
  <c r="K415" i="6"/>
  <c r="F46" i="5" a="1"/>
  <c r="F46" i="5" s="1"/>
  <c r="B44" i="6" s="1"/>
  <c r="K44" i="6"/>
  <c r="K38" i="5" a="1"/>
  <c r="K38" i="5" s="1"/>
  <c r="G36" i="6" s="1"/>
  <c r="K36" i="6"/>
  <c r="X86" i="5" a="1"/>
  <c r="X86" i="5" s="1"/>
  <c r="T84" i="6" s="1"/>
  <c r="X78" i="5" a="1"/>
  <c r="X78" i="5" s="1"/>
  <c r="T76" i="6" s="1"/>
  <c r="W70" i="5" a="1"/>
  <c r="W70" i="5" s="1"/>
  <c r="S68" i="6" s="1"/>
  <c r="F14" i="5" a="1"/>
  <c r="F14" i="5" s="1"/>
  <c r="B12" i="6" s="1"/>
  <c r="K6" i="5" a="1"/>
  <c r="K6" i="5" s="1"/>
  <c r="G4" i="6" s="1"/>
  <c r="E408" i="5" a="1"/>
  <c r="E408" i="5" s="1"/>
  <c r="A406" i="6" s="1"/>
  <c r="E384" i="5" a="1"/>
  <c r="E384" i="5" s="1"/>
  <c r="A382" i="6" s="1"/>
  <c r="J360" i="5" a="1"/>
  <c r="J360" i="5" s="1"/>
  <c r="F358" i="6" s="1"/>
  <c r="E336" i="5" a="1"/>
  <c r="E336" i="5" s="1"/>
  <c r="A334" i="6" s="1"/>
  <c r="I320" i="5" a="1"/>
  <c r="I320" i="5" s="1"/>
  <c r="E318" i="6" s="1"/>
  <c r="G304" i="5" a="1"/>
  <c r="G304" i="5" s="1"/>
  <c r="C302" i="6" s="1"/>
  <c r="J256" i="5" a="1"/>
  <c r="J256" i="5" s="1"/>
  <c r="F254" i="6" s="1"/>
  <c r="J224" i="5" a="1"/>
  <c r="J224" i="5" s="1"/>
  <c r="F222" i="6" s="1"/>
  <c r="E216" i="5" a="1"/>
  <c r="E216" i="5" s="1"/>
  <c r="A214" i="6" s="1"/>
  <c r="I200" i="5" a="1"/>
  <c r="I200" i="5" s="1"/>
  <c r="E198" i="6" s="1"/>
  <c r="H416" i="5" a="1"/>
  <c r="H416" i="5" s="1"/>
  <c r="D414" i="6" s="1"/>
  <c r="J392" i="5" a="1"/>
  <c r="J392" i="5" s="1"/>
  <c r="F390" i="6" s="1"/>
  <c r="E376" i="5" a="1"/>
  <c r="E376" i="5" s="1"/>
  <c r="A374" i="6" s="1"/>
  <c r="E352" i="5" a="1"/>
  <c r="E352" i="5" s="1"/>
  <c r="A350" i="6" s="1"/>
  <c r="E344" i="5" a="1"/>
  <c r="E344" i="5" s="1"/>
  <c r="A342" i="6" s="1"/>
  <c r="G328" i="5" a="1"/>
  <c r="G328" i="5" s="1"/>
  <c r="C326" i="6" s="1"/>
  <c r="H312" i="5" a="1"/>
  <c r="H312" i="5" s="1"/>
  <c r="D310" i="6" s="1"/>
  <c r="E264" i="5" a="1"/>
  <c r="E264" i="5" s="1"/>
  <c r="A262" i="6" s="1"/>
  <c r="I240" i="5" a="1"/>
  <c r="I240" i="5" s="1"/>
  <c r="E238" i="6" s="1"/>
  <c r="L208" i="5" a="1"/>
  <c r="L208" i="5" s="1"/>
  <c r="H206" i="6" s="1"/>
  <c r="G322" i="5" a="1"/>
  <c r="G322" i="5" s="1"/>
  <c r="C320" i="6" s="1"/>
  <c r="F306" i="5" a="1"/>
  <c r="F306" i="5" s="1"/>
  <c r="B304" i="6" s="1"/>
  <c r="L266" i="5" a="1"/>
  <c r="L266" i="5" s="1"/>
  <c r="H264" i="6" s="1"/>
  <c r="H258" i="5" a="1"/>
  <c r="H258" i="5" s="1"/>
  <c r="D256" i="6" s="1"/>
  <c r="L242" i="5" a="1"/>
  <c r="L242" i="5" s="1"/>
  <c r="H240" i="6" s="1"/>
  <c r="J234" i="5" a="1"/>
  <c r="J234" i="5" s="1"/>
  <c r="F232" i="6" s="1"/>
  <c r="G226" i="5" a="1"/>
  <c r="G226" i="5" s="1"/>
  <c r="C224" i="6" s="1"/>
  <c r="G218" i="5" a="1"/>
  <c r="G218" i="5" s="1"/>
  <c r="C216" i="6" s="1"/>
  <c r="I162" i="5" a="1"/>
  <c r="I162" i="5" s="1"/>
  <c r="E160" i="6" s="1"/>
  <c r="G82" i="5" a="1"/>
  <c r="G82" i="5" s="1"/>
  <c r="C80" i="6" s="1"/>
  <c r="H74" i="5" a="1"/>
  <c r="H74" i="5" s="1"/>
  <c r="D72" i="6" s="1"/>
  <c r="H58" i="5" a="1"/>
  <c r="H58" i="5" s="1"/>
  <c r="D56" i="6" s="1"/>
  <c r="G152" i="5" a="1"/>
  <c r="G152" i="5" s="1"/>
  <c r="C150" i="6" s="1"/>
  <c r="L80" i="5" a="1"/>
  <c r="L80" i="5" s="1"/>
  <c r="H78" i="6" s="1"/>
  <c r="G72" i="5" a="1"/>
  <c r="G72" i="5" s="1"/>
  <c r="C70" i="6" s="1"/>
  <c r="H64" i="5" a="1"/>
  <c r="H64" i="5" s="1"/>
  <c r="D62" i="6" s="1"/>
  <c r="K188" i="5" a="1"/>
  <c r="K188" i="5" s="1"/>
  <c r="G186" i="6" s="1"/>
  <c r="J415" i="5" a="1"/>
  <c r="J415" i="5" s="1"/>
  <c r="F413" i="6" s="1"/>
  <c r="F407" i="5" a="1"/>
  <c r="F407" i="5" s="1"/>
  <c r="B405" i="6" s="1"/>
  <c r="E399" i="5" a="1"/>
  <c r="E399" i="5" s="1"/>
  <c r="A397" i="6" s="1"/>
  <c r="F391" i="5" a="1"/>
  <c r="F391" i="5" s="1"/>
  <c r="B389" i="6" s="1"/>
  <c r="E383" i="5" a="1"/>
  <c r="E383" i="5" s="1"/>
  <c r="A381" i="6" s="1"/>
  <c r="E375" i="5" a="1"/>
  <c r="E375" i="5" s="1"/>
  <c r="A373" i="6" s="1"/>
  <c r="E367" i="5" a="1"/>
  <c r="E367" i="5" s="1"/>
  <c r="A365" i="6" s="1"/>
  <c r="F359" i="5" a="1"/>
  <c r="F359" i="5" s="1"/>
  <c r="B357" i="6" s="1"/>
  <c r="F351" i="5" a="1"/>
  <c r="F351" i="5" s="1"/>
  <c r="B349" i="6" s="1"/>
  <c r="L343" i="5" a="1"/>
  <c r="L343" i="5" s="1"/>
  <c r="H341" i="6" s="1"/>
  <c r="L335" i="5" a="1"/>
  <c r="L335" i="5" s="1"/>
  <c r="H333" i="6" s="1"/>
  <c r="H327" i="5" a="1"/>
  <c r="H327" i="5" s="1"/>
  <c r="D325" i="6" s="1"/>
  <c r="G319" i="5" a="1"/>
  <c r="G319" i="5" s="1"/>
  <c r="C317" i="6" s="1"/>
  <c r="H311" i="5" a="1"/>
  <c r="H311" i="5" s="1"/>
  <c r="D309" i="6" s="1"/>
  <c r="H295" i="5" a="1"/>
  <c r="H295" i="5" s="1"/>
  <c r="D293" i="6" s="1"/>
  <c r="L287" i="5" a="1"/>
  <c r="L287" i="5" s="1"/>
  <c r="H285" i="6" s="1"/>
  <c r="H271" i="5" a="1"/>
  <c r="H271" i="5" s="1"/>
  <c r="D269" i="6" s="1"/>
  <c r="H263" i="5" a="1"/>
  <c r="H263" i="5" s="1"/>
  <c r="D261" i="6" s="1"/>
  <c r="E255" i="5" a="1"/>
  <c r="E255" i="5" s="1"/>
  <c r="A253" i="6" s="1"/>
  <c r="I247" i="5" a="1"/>
  <c r="I247" i="5" s="1"/>
  <c r="E245" i="6" s="1"/>
  <c r="I239" i="5" a="1"/>
  <c r="I239" i="5" s="1"/>
  <c r="E237" i="6" s="1"/>
  <c r="J207" i="5" a="1"/>
  <c r="J207" i="5" s="1"/>
  <c r="F205" i="6" s="1"/>
  <c r="F71" i="5" a="1"/>
  <c r="F71" i="5" s="1"/>
  <c r="B69" i="6" s="1"/>
  <c r="F63" i="5" a="1"/>
  <c r="F63" i="5" s="1"/>
  <c r="B61" i="6" s="1"/>
  <c r="E55" i="5" a="1"/>
  <c r="E55" i="5" s="1"/>
  <c r="A53" i="6" s="1"/>
  <c r="J404" i="5" a="1"/>
  <c r="J404" i="5" s="1"/>
  <c r="F402" i="6" s="1"/>
  <c r="J380" i="5" a="1"/>
  <c r="J380" i="5" s="1"/>
  <c r="F378" i="6" s="1"/>
  <c r="E356" i="5" a="1"/>
  <c r="E356" i="5" s="1"/>
  <c r="A354" i="6" s="1"/>
  <c r="I324" i="5" a="1"/>
  <c r="I324" i="5" s="1"/>
  <c r="E322" i="6" s="1"/>
  <c r="I268" i="5" a="1"/>
  <c r="I268" i="5" s="1"/>
  <c r="E266" i="6" s="1"/>
  <c r="K204" i="5" a="1"/>
  <c r="K204" i="5" s="1"/>
  <c r="G202" i="6" s="1"/>
  <c r="F52" i="5" a="1"/>
  <c r="F52" i="5" s="1"/>
  <c r="B50" i="6" s="1"/>
  <c r="E36" i="5" a="1"/>
  <c r="E36" i="5" s="1"/>
  <c r="A34" i="6" s="1"/>
  <c r="I28" i="5" a="1"/>
  <c r="I28" i="5" s="1"/>
  <c r="E26" i="6" s="1"/>
  <c r="F411" i="5" a="1"/>
  <c r="F411" i="5" s="1"/>
  <c r="B409" i="6" s="1"/>
  <c r="E387" i="5" a="1"/>
  <c r="E387" i="5" s="1"/>
  <c r="A385" i="6" s="1"/>
  <c r="F363" i="5" a="1"/>
  <c r="F363" i="5" s="1"/>
  <c r="B361" i="6" s="1"/>
  <c r="F339" i="5" a="1"/>
  <c r="F339" i="5" s="1"/>
  <c r="B337" i="6" s="1"/>
  <c r="G307" i="5" a="1"/>
  <c r="G307" i="5" s="1"/>
  <c r="C305" i="6" s="1"/>
  <c r="E283" i="5" a="1"/>
  <c r="E283" i="5" s="1"/>
  <c r="A281" i="6" s="1"/>
  <c r="I251" i="5" a="1"/>
  <c r="I251" i="5" s="1"/>
  <c r="E249" i="6" s="1"/>
  <c r="J179" i="5" a="1"/>
  <c r="J179" i="5" s="1"/>
  <c r="F177" i="6" s="1"/>
  <c r="G75" i="5" a="1"/>
  <c r="G75" i="5" s="1"/>
  <c r="C73" i="6" s="1"/>
  <c r="H51" i="5" a="1"/>
  <c r="H51" i="5" s="1"/>
  <c r="D49" i="6" s="1"/>
  <c r="H19" i="5" a="1"/>
  <c r="H19" i="5" s="1"/>
  <c r="D17" i="6" s="1"/>
  <c r="G11" i="5" a="1"/>
  <c r="G11" i="5" s="1"/>
  <c r="C9" i="6" s="1"/>
  <c r="L50" i="5" a="1"/>
  <c r="L50" i="5" s="1"/>
  <c r="H48" i="6" s="1"/>
  <c r="I42" i="5" a="1"/>
  <c r="I42" i="5" s="1"/>
  <c r="E40" i="6" s="1"/>
  <c r="I34" i="5" a="1"/>
  <c r="I34" i="5" s="1"/>
  <c r="E32" i="6" s="1"/>
  <c r="G26" i="5" a="1"/>
  <c r="G26" i="5" s="1"/>
  <c r="C24" i="6" s="1"/>
  <c r="L18" i="5" a="1"/>
  <c r="L18" i="5" s="1"/>
  <c r="H16" i="6" s="1"/>
  <c r="G10" i="5" a="1"/>
  <c r="G10" i="5" s="1"/>
  <c r="C8" i="6" s="1"/>
  <c r="E412" i="5" a="1"/>
  <c r="E412" i="5" s="1"/>
  <c r="A410" i="6" s="1"/>
  <c r="E388" i="5" a="1"/>
  <c r="E388" i="5" s="1"/>
  <c r="A386" i="6" s="1"/>
  <c r="E364" i="5" a="1"/>
  <c r="E364" i="5" s="1"/>
  <c r="A362" i="6" s="1"/>
  <c r="L340" i="5" a="1"/>
  <c r="L340" i="5" s="1"/>
  <c r="H338" i="6" s="1"/>
  <c r="G316" i="5" a="1"/>
  <c r="G316" i="5" s="1"/>
  <c r="C314" i="6" s="1"/>
  <c r="E300" i="5" a="1"/>
  <c r="E300" i="5" s="1"/>
  <c r="A298" i="6" s="1"/>
  <c r="I284" i="5" a="1"/>
  <c r="I284" i="5" s="1"/>
  <c r="E282" i="6" s="1"/>
  <c r="F252" i="5" a="1"/>
  <c r="F252" i="5" s="1"/>
  <c r="B250" i="6" s="1"/>
  <c r="J20" i="5" a="1"/>
  <c r="J20" i="5" s="1"/>
  <c r="F18" i="6" s="1"/>
  <c r="E403" i="5" a="1"/>
  <c r="E403" i="5" s="1"/>
  <c r="A401" i="6" s="1"/>
  <c r="E379" i="5" a="1"/>
  <c r="E379" i="5" s="1"/>
  <c r="A377" i="6" s="1"/>
  <c r="E355" i="5" a="1"/>
  <c r="E355" i="5" s="1"/>
  <c r="A353" i="6" s="1"/>
  <c r="G331" i="5" a="1"/>
  <c r="G331" i="5" s="1"/>
  <c r="C329" i="6" s="1"/>
  <c r="K299" i="5" a="1"/>
  <c r="K299" i="5" s="1"/>
  <c r="G297" i="6" s="1"/>
  <c r="E275" i="5" a="1"/>
  <c r="E275" i="5" s="1"/>
  <c r="A273" i="6" s="1"/>
  <c r="G227" i="5" a="1"/>
  <c r="G227" i="5" s="1"/>
  <c r="C225" i="6" s="1"/>
  <c r="G171" i="5" a="1"/>
  <c r="G171" i="5" s="1"/>
  <c r="C169" i="6" s="1"/>
  <c r="F67" i="5" a="1"/>
  <c r="F67" i="5" s="1"/>
  <c r="B65" i="6" s="1"/>
  <c r="G35" i="5" a="1"/>
  <c r="G35" i="5" s="1"/>
  <c r="C33" i="6" s="1"/>
  <c r="G60" i="5" a="1"/>
  <c r="G60" i="5" s="1"/>
  <c r="C58" i="6" s="1"/>
  <c r="I44" i="5" a="1"/>
  <c r="I44" i="5" s="1"/>
  <c r="E42" i="6" s="1"/>
  <c r="I12" i="5" a="1"/>
  <c r="I12" i="5" s="1"/>
  <c r="E10" i="6" s="1"/>
  <c r="G4" i="5" a="1"/>
  <c r="G4" i="5" s="1"/>
  <c r="C2" i="6" s="1"/>
  <c r="F395" i="5" a="1"/>
  <c r="F395" i="5" s="1"/>
  <c r="B393" i="6" s="1"/>
  <c r="E371" i="5" a="1"/>
  <c r="E371" i="5" s="1"/>
  <c r="A369" i="6" s="1"/>
  <c r="G347" i="5" a="1"/>
  <c r="G347" i="5" s="1"/>
  <c r="C345" i="6" s="1"/>
  <c r="H323" i="5" a="1"/>
  <c r="H323" i="5" s="1"/>
  <c r="D321" i="6" s="1"/>
  <c r="E291" i="5" a="1"/>
  <c r="E291" i="5" s="1"/>
  <c r="A289" i="6" s="1"/>
  <c r="H259" i="5" a="1"/>
  <c r="H259" i="5" s="1"/>
  <c r="D257" i="6" s="1"/>
  <c r="H187" i="5" a="1"/>
  <c r="H187" i="5" s="1"/>
  <c r="D185" i="6" s="1"/>
  <c r="F83" i="5" a="1"/>
  <c r="F83" i="5" s="1"/>
  <c r="B81" i="6" s="1"/>
  <c r="E59" i="5" a="1"/>
  <c r="E59" i="5" s="1"/>
  <c r="A57" i="6" s="1"/>
  <c r="G43" i="5" a="1"/>
  <c r="G43" i="5" s="1"/>
  <c r="C41" i="6" s="1"/>
  <c r="H56" i="5" a="1"/>
  <c r="H56" i="5" s="1"/>
  <c r="D54" i="6" s="1"/>
  <c r="J48" i="5" a="1"/>
  <c r="J48" i="5" s="1"/>
  <c r="F46" i="6" s="1"/>
  <c r="G24" i="5" a="1"/>
  <c r="G24" i="5" s="1"/>
  <c r="C22" i="6" s="1"/>
  <c r="E396" i="5" a="1"/>
  <c r="E396" i="5" s="1"/>
  <c r="A394" i="6" s="1"/>
  <c r="J372" i="5" a="1"/>
  <c r="J372" i="5" s="1"/>
  <c r="F370" i="6" s="1"/>
  <c r="E348" i="5" a="1"/>
  <c r="E348" i="5" s="1"/>
  <c r="A346" i="6" s="1"/>
  <c r="L332" i="5" a="1"/>
  <c r="L332" i="5" s="1"/>
  <c r="H330" i="6" s="1"/>
  <c r="H308" i="5" a="1"/>
  <c r="H308" i="5" s="1"/>
  <c r="D306" i="6" s="1"/>
  <c r="G292" i="5" a="1"/>
  <c r="G292" i="5" s="1"/>
  <c r="C290" i="6" s="1"/>
  <c r="J260" i="5" a="1"/>
  <c r="J260" i="5" s="1"/>
  <c r="F258" i="6" s="1"/>
  <c r="L244" i="5" a="1"/>
  <c r="L244" i="5" s="1"/>
  <c r="H242" i="6" s="1"/>
  <c r="H84" i="5" a="1"/>
  <c r="H84" i="5" s="1"/>
  <c r="D82" i="6" s="1"/>
  <c r="E360" i="5" a="1"/>
  <c r="E360" i="5" s="1"/>
  <c r="A358" i="6" s="1"/>
  <c r="J325" i="5" a="1"/>
  <c r="J325" i="5" s="1"/>
  <c r="F323" i="6" s="1"/>
  <c r="K269" i="5" a="1"/>
  <c r="K269" i="5" s="1"/>
  <c r="G267" i="6" s="1"/>
  <c r="F341" i="5" a="1"/>
  <c r="F341" i="5" s="1"/>
  <c r="B339" i="6" s="1"/>
  <c r="F416" i="5" a="1"/>
  <c r="F416" i="5" s="1"/>
  <c r="B414" i="6" s="1"/>
  <c r="L416" i="5" a="1"/>
  <c r="L416" i="5" s="1"/>
  <c r="H414" i="6" s="1"/>
  <c r="J405" i="5" a="1"/>
  <c r="J405" i="5" s="1"/>
  <c r="F403" i="6" s="1"/>
  <c r="E70" i="5" a="1"/>
  <c r="E70" i="5" s="1"/>
  <c r="A68" i="6" s="1"/>
  <c r="I393" i="5" a="1"/>
  <c r="I393" i="5" s="1"/>
  <c r="E391" i="6" s="1"/>
  <c r="I312" i="5" a="1"/>
  <c r="I312" i="5" s="1"/>
  <c r="E310" i="6" s="1"/>
  <c r="L336" i="5" a="1"/>
  <c r="L336" i="5" s="1"/>
  <c r="H334" i="6" s="1"/>
  <c r="H304" i="5" a="1"/>
  <c r="H304" i="5" s="1"/>
  <c r="D302" i="6" s="1"/>
  <c r="I59" i="5" a="1"/>
  <c r="I59" i="5" s="1"/>
  <c r="E57" i="6" s="1"/>
  <c r="F365" i="5" a="1"/>
  <c r="F365" i="5" s="1"/>
  <c r="B363" i="6" s="1"/>
  <c r="K53" i="5" a="1"/>
  <c r="K53" i="5" s="1"/>
  <c r="G51" i="6" s="1"/>
  <c r="F294" i="5" a="1"/>
  <c r="F294" i="5" s="1"/>
  <c r="B292" i="6" s="1"/>
  <c r="I413" i="5" a="1"/>
  <c r="I413" i="5" s="1"/>
  <c r="E411" i="6" s="1"/>
  <c r="J381" i="5" a="1"/>
  <c r="J381" i="5" s="1"/>
  <c r="F379" i="6" s="1"/>
  <c r="L77" i="5" a="1"/>
  <c r="L77" i="5" s="1"/>
  <c r="H75" i="6" s="1"/>
  <c r="L334" i="5" a="1"/>
  <c r="L334" i="5" s="1"/>
  <c r="H332" i="6" s="1"/>
  <c r="J70" i="5" a="1"/>
  <c r="J70" i="5" s="1"/>
  <c r="F68" i="6" s="1"/>
  <c r="E61" i="5" a="1"/>
  <c r="E61" i="5" s="1"/>
  <c r="A59" i="6" s="1"/>
  <c r="J408" i="5" a="1"/>
  <c r="J408" i="5" s="1"/>
  <c r="F406" i="6" s="1"/>
  <c r="I366" i="5" a="1"/>
  <c r="I366" i="5" s="1"/>
  <c r="E364" i="6" s="1"/>
  <c r="J349" i="5" a="1"/>
  <c r="J349" i="5" s="1"/>
  <c r="F347" i="6" s="1"/>
  <c r="E301" i="5" a="1"/>
  <c r="E301" i="5" s="1"/>
  <c r="A299" i="6" s="1"/>
  <c r="G271" i="5" a="1"/>
  <c r="G271" i="5" s="1"/>
  <c r="C269" i="6" s="1"/>
  <c r="E229" i="5" a="1"/>
  <c r="E229" i="5" s="1"/>
  <c r="A227" i="6" s="1"/>
  <c r="K86" i="5" a="1"/>
  <c r="K86" i="5" s="1"/>
  <c r="G84" i="6" s="1"/>
  <c r="L78" i="5" a="1"/>
  <c r="L78" i="5" s="1"/>
  <c r="H76" i="6" s="1"/>
  <c r="K67" i="5" a="1"/>
  <c r="K67" i="5" s="1"/>
  <c r="G65" i="6" s="1"/>
  <c r="I51" i="5" a="1"/>
  <c r="I51" i="5" s="1"/>
  <c r="E49" i="6" s="1"/>
  <c r="F397" i="5" a="1"/>
  <c r="F397" i="5" s="1"/>
  <c r="B395" i="6" s="1"/>
  <c r="I381" i="5" a="1"/>
  <c r="I381" i="5" s="1"/>
  <c r="E379" i="6" s="1"/>
  <c r="I358" i="5" a="1"/>
  <c r="I358" i="5" s="1"/>
  <c r="E356" i="6" s="1"/>
  <c r="K285" i="5" a="1"/>
  <c r="K285" i="5" s="1"/>
  <c r="G283" i="6" s="1"/>
  <c r="I259" i="5" a="1"/>
  <c r="I259" i="5" s="1"/>
  <c r="E257" i="6" s="1"/>
  <c r="H86" i="5" a="1"/>
  <c r="H86" i="5" s="1"/>
  <c r="D84" i="6" s="1"/>
  <c r="G53" i="5" a="1"/>
  <c r="G53" i="5" s="1"/>
  <c r="C51" i="6" s="1"/>
  <c r="F398" i="5" a="1"/>
  <c r="F398" i="5" s="1"/>
  <c r="B396" i="6" s="1"/>
  <c r="F413" i="5" a="1"/>
  <c r="F413" i="5" s="1"/>
  <c r="B411" i="6" s="1"/>
  <c r="K61" i="5" a="1"/>
  <c r="K61" i="5" s="1"/>
  <c r="G59" i="6" s="1"/>
  <c r="L38" i="5" a="1"/>
  <c r="L38" i="5" s="1"/>
  <c r="H36" i="6" s="1"/>
  <c r="E411" i="5" a="1"/>
  <c r="E411" i="5" s="1"/>
  <c r="A409" i="6" s="1"/>
  <c r="E391" i="5" a="1"/>
  <c r="E391" i="5" s="1"/>
  <c r="A389" i="6" s="1"/>
  <c r="J376" i="5" a="1"/>
  <c r="J376" i="5" s="1"/>
  <c r="F374" i="6" s="1"/>
  <c r="I357" i="5" a="1"/>
  <c r="I357" i="5" s="1"/>
  <c r="E355" i="6" s="1"/>
  <c r="K334" i="5" a="1"/>
  <c r="K334" i="5" s="1"/>
  <c r="G332" i="6" s="1"/>
  <c r="E382" i="5" a="1"/>
  <c r="E382" i="5" s="1"/>
  <c r="A380" i="6" s="1"/>
  <c r="F318" i="5" a="1"/>
  <c r="F318" i="5" s="1"/>
  <c r="B316" i="6" s="1"/>
  <c r="K77" i="5" a="1"/>
  <c r="K77" i="5" s="1"/>
  <c r="G75" i="6" s="1"/>
  <c r="L19" i="5" a="1"/>
  <c r="L19" i="5" s="1"/>
  <c r="H17" i="6" s="1"/>
  <c r="I390" i="5" a="1"/>
  <c r="I390" i="5" s="1"/>
  <c r="E388" i="6" s="1"/>
  <c r="F374" i="5" a="1"/>
  <c r="F374" i="5" s="1"/>
  <c r="B372" i="6" s="1"/>
  <c r="I333" i="5" a="1"/>
  <c r="I333" i="5" s="1"/>
  <c r="E331" i="6" s="1"/>
  <c r="I301" i="5" a="1"/>
  <c r="I301" i="5" s="1"/>
  <c r="E299" i="6" s="1"/>
  <c r="G86" i="5" a="1"/>
  <c r="G86" i="5" s="1"/>
  <c r="C84" i="6" s="1"/>
  <c r="J83" i="5" a="1"/>
  <c r="J83" i="5" s="1"/>
  <c r="F81" i="6" s="1"/>
  <c r="J67" i="5" a="1"/>
  <c r="J67" i="5" s="1"/>
  <c r="F65" i="6" s="1"/>
  <c r="F383" i="5" a="1"/>
  <c r="F383" i="5" s="1"/>
  <c r="B381" i="6" s="1"/>
  <c r="J364" i="5" a="1"/>
  <c r="J364" i="5" s="1"/>
  <c r="F362" i="6" s="1"/>
  <c r="L85" i="5" a="1"/>
  <c r="L85" i="5" s="1"/>
  <c r="H83" i="6" s="1"/>
  <c r="H83" i="5" a="1"/>
  <c r="H83" i="5" s="1"/>
  <c r="D81" i="6" s="1"/>
  <c r="H77" i="5" a="1"/>
  <c r="H77" i="5" s="1"/>
  <c r="D75" i="6" s="1"/>
  <c r="H75" i="5" a="1"/>
  <c r="H75" i="5" s="1"/>
  <c r="D73" i="6" s="1"/>
  <c r="L68" i="5" a="1"/>
  <c r="L68" i="5" s="1"/>
  <c r="H66" i="6" s="1"/>
  <c r="E67" i="5" a="1"/>
  <c r="E67" i="5" s="1"/>
  <c r="A65" i="6" s="1"/>
  <c r="L60" i="5" a="1"/>
  <c r="L60" i="5" s="1"/>
  <c r="H58" i="6" s="1"/>
  <c r="E51" i="5" a="1"/>
  <c r="E51" i="5" s="1"/>
  <c r="A49" i="6" s="1"/>
  <c r="E416" i="5" a="1"/>
  <c r="E416" i="5" s="1"/>
  <c r="A414" i="6" s="1"/>
  <c r="J396" i="5" a="1"/>
  <c r="J396" i="5" s="1"/>
  <c r="F394" i="6" s="1"/>
  <c r="I389" i="5" a="1"/>
  <c r="I389" i="5" s="1"/>
  <c r="E387" i="6" s="1"/>
  <c r="E380" i="5" a="1"/>
  <c r="E380" i="5" s="1"/>
  <c r="A378" i="6" s="1"/>
  <c r="F375" i="5" a="1"/>
  <c r="F375" i="5" s="1"/>
  <c r="B373" i="6" s="1"/>
  <c r="F371" i="5" a="1"/>
  <c r="F371" i="5" s="1"/>
  <c r="B369" i="6" s="1"/>
  <c r="E351" i="5" a="1"/>
  <c r="E351" i="5" s="1"/>
  <c r="A349" i="6" s="1"/>
  <c r="E340" i="5" a="1"/>
  <c r="E340" i="5" s="1"/>
  <c r="A338" i="6" s="1"/>
  <c r="G326" i="5" a="1"/>
  <c r="G326" i="5" s="1"/>
  <c r="C324" i="6" s="1"/>
  <c r="G323" i="5" a="1"/>
  <c r="G323" i="5" s="1"/>
  <c r="C321" i="6" s="1"/>
  <c r="E316" i="5" a="1"/>
  <c r="E316" i="5" s="1"/>
  <c r="A314" i="6" s="1"/>
  <c r="E308" i="5" a="1"/>
  <c r="E308" i="5" s="1"/>
  <c r="A306" i="6" s="1"/>
  <c r="L300" i="5" a="1"/>
  <c r="L300" i="5" s="1"/>
  <c r="H298" i="6" s="1"/>
  <c r="L275" i="5" a="1"/>
  <c r="L275" i="5" s="1"/>
  <c r="H273" i="6" s="1"/>
  <c r="F59" i="5" a="1"/>
  <c r="F59" i="5" s="1"/>
  <c r="B57" i="6" s="1"/>
  <c r="H348" i="5" a="1"/>
  <c r="H348" i="5" s="1"/>
  <c r="D346" i="6" s="1"/>
  <c r="L327" i="5" a="1"/>
  <c r="L327" i="5" s="1"/>
  <c r="H325" i="6" s="1"/>
  <c r="H324" i="5" a="1"/>
  <c r="H324" i="5" s="1"/>
  <c r="D322" i="6" s="1"/>
  <c r="H316" i="5" a="1"/>
  <c r="H316" i="5" s="1"/>
  <c r="D314" i="6" s="1"/>
  <c r="L308" i="5" a="1"/>
  <c r="L308" i="5" s="1"/>
  <c r="H306" i="6" s="1"/>
  <c r="K75" i="5" a="1"/>
  <c r="K75" i="5" s="1"/>
  <c r="G73" i="6" s="1"/>
  <c r="K54" i="5" a="1"/>
  <c r="K54" i="5" s="1"/>
  <c r="G52" i="6" s="1"/>
  <c r="J326" i="5" a="1"/>
  <c r="J326" i="5" s="1"/>
  <c r="F324" i="6" s="1"/>
  <c r="H85" i="5" a="1"/>
  <c r="H85" i="5" s="1"/>
  <c r="D83" i="6" s="1"/>
  <c r="G83" i="5" a="1"/>
  <c r="G83" i="5" s="1"/>
  <c r="C81" i="6" s="1"/>
  <c r="K76" i="5" a="1"/>
  <c r="K76" i="5" s="1"/>
  <c r="G74" i="6" s="1"/>
  <c r="L72" i="5" a="1"/>
  <c r="L72" i="5" s="1"/>
  <c r="H70" i="6" s="1"/>
  <c r="F65" i="5" a="1"/>
  <c r="F65" i="5" s="1"/>
  <c r="B63" i="6" s="1"/>
  <c r="I60" i="5" a="1"/>
  <c r="I60" i="5" s="1"/>
  <c r="E58" i="6" s="1"/>
  <c r="E54" i="5" a="1"/>
  <c r="E54" i="5" s="1"/>
  <c r="A52" i="6" s="1"/>
  <c r="G46" i="5" a="1"/>
  <c r="G46" i="5" s="1"/>
  <c r="C44" i="6" s="1"/>
  <c r="F37" i="5" a="1"/>
  <c r="F37" i="5" s="1"/>
  <c r="B35" i="6" s="1"/>
  <c r="H12" i="5" a="1"/>
  <c r="H12" i="5" s="1"/>
  <c r="D10" i="6" s="1"/>
  <c r="F403" i="5" a="1"/>
  <c r="F403" i="5" s="1"/>
  <c r="B401" i="6" s="1"/>
  <c r="F369" i="5" a="1"/>
  <c r="F369" i="5" s="1"/>
  <c r="B367" i="6" s="1"/>
  <c r="I361" i="5" a="1"/>
  <c r="I361" i="5" s="1"/>
  <c r="E359" i="6" s="1"/>
  <c r="H343" i="5" a="1"/>
  <c r="H343" i="5" s="1"/>
  <c r="D341" i="6" s="1"/>
  <c r="K339" i="5" a="1"/>
  <c r="K339" i="5" s="1"/>
  <c r="G337" i="6" s="1"/>
  <c r="E320" i="5" a="1"/>
  <c r="E320" i="5" s="1"/>
  <c r="A318" i="6" s="1"/>
  <c r="H307" i="5" a="1"/>
  <c r="H307" i="5" s="1"/>
  <c r="D305" i="6" s="1"/>
  <c r="H275" i="5" a="1"/>
  <c r="H275" i="5" s="1"/>
  <c r="D273" i="6" s="1"/>
  <c r="J239" i="5" a="1"/>
  <c r="J239" i="5" s="1"/>
  <c r="F237" i="6" s="1"/>
  <c r="G76" i="5" a="1"/>
  <c r="G76" i="5" s="1"/>
  <c r="C74" i="6" s="1"/>
  <c r="K68" i="5" a="1"/>
  <c r="K68" i="5" s="1"/>
  <c r="G66" i="6" s="1"/>
  <c r="H44" i="5" a="1"/>
  <c r="H44" i="5" s="1"/>
  <c r="D42" i="6" s="1"/>
  <c r="G12" i="5" a="1"/>
  <c r="G12" i="5" s="1"/>
  <c r="C10" i="6" s="1"/>
  <c r="F415" i="5" a="1"/>
  <c r="F415" i="5" s="1"/>
  <c r="B413" i="6" s="1"/>
  <c r="G339" i="5" a="1"/>
  <c r="G339" i="5" s="1"/>
  <c r="C337" i="6" s="1"/>
  <c r="G84" i="5" a="1"/>
  <c r="G84" i="5" s="1"/>
  <c r="C82" i="6" s="1"/>
  <c r="K84" i="5" a="1"/>
  <c r="K84" i="5" s="1"/>
  <c r="G82" i="6" s="1"/>
  <c r="H60" i="5" a="1"/>
  <c r="H60" i="5" s="1"/>
  <c r="D58" i="6" s="1"/>
  <c r="F379" i="5" a="1"/>
  <c r="F379" i="5" s="1"/>
  <c r="B377" i="6" s="1"/>
  <c r="L319" i="5" a="1"/>
  <c r="L319" i="5" s="1"/>
  <c r="H317" i="6" s="1"/>
  <c r="F295" i="5" a="1"/>
  <c r="F295" i="5" s="1"/>
  <c r="B293" i="6" s="1"/>
  <c r="H78" i="5" a="1"/>
  <c r="H78" i="5" s="1"/>
  <c r="D76" i="6" s="1"/>
  <c r="J76" i="5" a="1"/>
  <c r="J76" i="5" s="1"/>
  <c r="F74" i="6" s="1"/>
  <c r="I62" i="5" a="1"/>
  <c r="I62" i="5" s="1"/>
  <c r="E60" i="6" s="1"/>
  <c r="K59" i="5" a="1"/>
  <c r="K59" i="5" s="1"/>
  <c r="G57" i="6" s="1"/>
  <c r="G44" i="5" a="1"/>
  <c r="G44" i="5" s="1"/>
  <c r="C42" i="6" s="1"/>
  <c r="E28" i="5" a="1"/>
  <c r="E28" i="5" s="1"/>
  <c r="A26" i="6" s="1"/>
  <c r="E12" i="5" a="1"/>
  <c r="E12" i="5" s="1"/>
  <c r="A10" i="6" s="1"/>
  <c r="F406" i="5" a="1"/>
  <c r="F406" i="5" s="1"/>
  <c r="B404" i="6" s="1"/>
  <c r="E374" i="5" a="1"/>
  <c r="E374" i="5" s="1"/>
  <c r="A372" i="6" s="1"/>
  <c r="F343" i="5" a="1"/>
  <c r="F343" i="5" s="1"/>
  <c r="B341" i="6" s="1"/>
  <c r="K331" i="5" a="1"/>
  <c r="K331" i="5" s="1"/>
  <c r="G329" i="6" s="1"/>
  <c r="H319" i="5" a="1"/>
  <c r="H319" i="5" s="1"/>
  <c r="D317" i="6" s="1"/>
  <c r="L310" i="5" a="1"/>
  <c r="L310" i="5" s="1"/>
  <c r="H308" i="6" s="1"/>
  <c r="L86" i="5" a="1"/>
  <c r="L86" i="5" s="1"/>
  <c r="H84" i="6" s="1"/>
  <c r="G78" i="5" a="1"/>
  <c r="G78" i="5" s="1"/>
  <c r="C76" i="6" s="1"/>
  <c r="H76" i="5" a="1"/>
  <c r="H76" i="5" s="1"/>
  <c r="D74" i="6" s="1"/>
  <c r="I70" i="5" a="1"/>
  <c r="I70" i="5" s="1"/>
  <c r="E68" i="6" s="1"/>
  <c r="F68" i="5" a="1"/>
  <c r="F68" i="5" s="1"/>
  <c r="B66" i="6" s="1"/>
  <c r="H62" i="5" a="1"/>
  <c r="H62" i="5" s="1"/>
  <c r="D60" i="6" s="1"/>
  <c r="E52" i="5" a="1"/>
  <c r="E52" i="5" s="1"/>
  <c r="A50" i="6" s="1"/>
  <c r="H43" i="5" a="1"/>
  <c r="H43" i="5" s="1"/>
  <c r="D41" i="6" s="1"/>
  <c r="F414" i="5" a="1"/>
  <c r="F414" i="5" s="1"/>
  <c r="B412" i="6" s="1"/>
  <c r="E406" i="5" a="1"/>
  <c r="E406" i="5" s="1"/>
  <c r="A404" i="6" s="1"/>
  <c r="E392" i="5" a="1"/>
  <c r="E392" i="5" s="1"/>
  <c r="A390" i="6" s="1"/>
  <c r="J373" i="5" a="1"/>
  <c r="J373" i="5" s="1"/>
  <c r="F371" i="6" s="1"/>
  <c r="F366" i="5" a="1"/>
  <c r="F366" i="5" s="1"/>
  <c r="B364" i="6" s="1"/>
  <c r="E359" i="5" a="1"/>
  <c r="E359" i="5" s="1"/>
  <c r="A357" i="6" s="1"/>
  <c r="K342" i="5" a="1"/>
  <c r="K342" i="5" s="1"/>
  <c r="G340" i="6" s="1"/>
  <c r="I336" i="5" a="1"/>
  <c r="I336" i="5" s="1"/>
  <c r="E334" i="6" s="1"/>
  <c r="H410" i="5" a="1"/>
  <c r="H410" i="5" s="1"/>
  <c r="D408" i="6" s="1"/>
  <c r="L410" i="5" a="1"/>
  <c r="L410" i="5" s="1"/>
  <c r="H408" i="6" s="1"/>
  <c r="G410" i="5" a="1"/>
  <c r="G410" i="5" s="1"/>
  <c r="C408" i="6" s="1"/>
  <c r="K410" i="5" a="1"/>
  <c r="K410" i="5" s="1"/>
  <c r="G408" i="6" s="1"/>
  <c r="J410" i="5" a="1"/>
  <c r="J410" i="5" s="1"/>
  <c r="F408" i="6" s="1"/>
  <c r="H394" i="5" a="1"/>
  <c r="H394" i="5" s="1"/>
  <c r="D392" i="6" s="1"/>
  <c r="L394" i="5" a="1"/>
  <c r="L394" i="5" s="1"/>
  <c r="H392" i="6" s="1"/>
  <c r="G394" i="5" a="1"/>
  <c r="G394" i="5" s="1"/>
  <c r="C392" i="6" s="1"/>
  <c r="K394" i="5" a="1"/>
  <c r="K394" i="5" s="1"/>
  <c r="G392" i="6" s="1"/>
  <c r="J394" i="5" a="1"/>
  <c r="J394" i="5" s="1"/>
  <c r="F392" i="6" s="1"/>
  <c r="W378" i="5" a="1"/>
  <c r="W378" i="5" s="1"/>
  <c r="S376" i="6" s="1"/>
  <c r="H378" i="5" a="1"/>
  <c r="H378" i="5" s="1"/>
  <c r="D376" i="6" s="1"/>
  <c r="L378" i="5" a="1"/>
  <c r="L378" i="5" s="1"/>
  <c r="H376" i="6" s="1"/>
  <c r="G378" i="5" a="1"/>
  <c r="G378" i="5" s="1"/>
  <c r="C376" i="6" s="1"/>
  <c r="K378" i="5" a="1"/>
  <c r="K378" i="5" s="1"/>
  <c r="G376" i="6" s="1"/>
  <c r="J378" i="5" a="1"/>
  <c r="J378" i="5" s="1"/>
  <c r="F376" i="6" s="1"/>
  <c r="H362" i="5" a="1"/>
  <c r="H362" i="5" s="1"/>
  <c r="D360" i="6" s="1"/>
  <c r="L362" i="5" a="1"/>
  <c r="L362" i="5" s="1"/>
  <c r="H360" i="6" s="1"/>
  <c r="G362" i="5" a="1"/>
  <c r="G362" i="5" s="1"/>
  <c r="C360" i="6" s="1"/>
  <c r="K362" i="5" a="1"/>
  <c r="K362" i="5" s="1"/>
  <c r="G360" i="6" s="1"/>
  <c r="J362" i="5" a="1"/>
  <c r="J362" i="5" s="1"/>
  <c r="F360" i="6" s="1"/>
  <c r="X346" i="5" a="1"/>
  <c r="X346" i="5" s="1"/>
  <c r="T344" i="6" s="1"/>
  <c r="I346" i="5" a="1"/>
  <c r="I346" i="5" s="1"/>
  <c r="E344" i="6" s="1"/>
  <c r="H346" i="5" a="1"/>
  <c r="H346" i="5" s="1"/>
  <c r="D344" i="6" s="1"/>
  <c r="L346" i="5" a="1"/>
  <c r="L346" i="5" s="1"/>
  <c r="H344" i="6" s="1"/>
  <c r="K346" i="5" a="1"/>
  <c r="K346" i="5" s="1"/>
  <c r="G344" i="6" s="1"/>
  <c r="F346" i="5" a="1"/>
  <c r="F346" i="5" s="1"/>
  <c r="B344" i="6" s="1"/>
  <c r="X330" i="5" a="1"/>
  <c r="X330" i="5" s="1"/>
  <c r="T328" i="6" s="1"/>
  <c r="I330" i="5" a="1"/>
  <c r="I330" i="5" s="1"/>
  <c r="E328" i="6" s="1"/>
  <c r="H330" i="5" a="1"/>
  <c r="H330" i="5" s="1"/>
  <c r="D328" i="6" s="1"/>
  <c r="F330" i="5" a="1"/>
  <c r="F330" i="5" s="1"/>
  <c r="B328" i="6" s="1"/>
  <c r="G330" i="5" a="1"/>
  <c r="G330" i="5" s="1"/>
  <c r="C328" i="6" s="1"/>
  <c r="X314" i="5" a="1"/>
  <c r="X314" i="5" s="1"/>
  <c r="T312" i="6" s="1"/>
  <c r="I314" i="5" a="1"/>
  <c r="I314" i="5" s="1"/>
  <c r="E312" i="6" s="1"/>
  <c r="H314" i="5" a="1"/>
  <c r="H314" i="5" s="1"/>
  <c r="D312" i="6" s="1"/>
  <c r="E314" i="5" a="1"/>
  <c r="E314" i="5" s="1"/>
  <c r="A312" i="6" s="1"/>
  <c r="K314" i="5" a="1"/>
  <c r="K314" i="5" s="1"/>
  <c r="G312" i="6" s="1"/>
  <c r="L314" i="5" a="1"/>
  <c r="L314" i="5" s="1"/>
  <c r="H312" i="6" s="1"/>
  <c r="F314" i="5" a="1"/>
  <c r="F314" i="5" s="1"/>
  <c r="B312" i="6" s="1"/>
  <c r="X298" i="5" a="1"/>
  <c r="X298" i="5" s="1"/>
  <c r="T296" i="6" s="1"/>
  <c r="I298" i="5" a="1"/>
  <c r="I298" i="5" s="1"/>
  <c r="E296" i="6" s="1"/>
  <c r="H298" i="5" a="1"/>
  <c r="H298" i="5" s="1"/>
  <c r="D296" i="6" s="1"/>
  <c r="G298" i="5" a="1"/>
  <c r="G298" i="5" s="1"/>
  <c r="C296" i="6" s="1"/>
  <c r="J298" i="5" a="1"/>
  <c r="J298" i="5" s="1"/>
  <c r="F296" i="6" s="1"/>
  <c r="L298" i="5" a="1"/>
  <c r="L298" i="5" s="1"/>
  <c r="H296" i="6" s="1"/>
  <c r="X274" i="5" a="1"/>
  <c r="X274" i="5" s="1"/>
  <c r="T272" i="6" s="1"/>
  <c r="E274" i="5" a="1"/>
  <c r="E274" i="5" s="1"/>
  <c r="A272" i="6" s="1"/>
  <c r="J274" i="5" a="1"/>
  <c r="J274" i="5" s="1"/>
  <c r="F272" i="6" s="1"/>
  <c r="I274" i="5" a="1"/>
  <c r="I274" i="5" s="1"/>
  <c r="E272" i="6" s="1"/>
  <c r="K274" i="5" a="1"/>
  <c r="K274" i="5" s="1"/>
  <c r="G272" i="6" s="1"/>
  <c r="H274" i="5" a="1"/>
  <c r="H274" i="5" s="1"/>
  <c r="D272" i="6" s="1"/>
  <c r="L274" i="5" a="1"/>
  <c r="L274" i="5" s="1"/>
  <c r="H272" i="6" s="1"/>
  <c r="G274" i="5" a="1"/>
  <c r="G274" i="5" s="1"/>
  <c r="C272" i="6" s="1"/>
  <c r="E250" i="5" a="1"/>
  <c r="E250" i="5" s="1"/>
  <c r="A248" i="6" s="1"/>
  <c r="J250" i="5" a="1"/>
  <c r="J250" i="5" s="1"/>
  <c r="F248" i="6" s="1"/>
  <c r="I250" i="5" a="1"/>
  <c r="I250" i="5" s="1"/>
  <c r="E248" i="6" s="1"/>
  <c r="L250" i="5" a="1"/>
  <c r="L250" i="5" s="1"/>
  <c r="H248" i="6" s="1"/>
  <c r="F250" i="5" a="1"/>
  <c r="F250" i="5" s="1"/>
  <c r="B248" i="6" s="1"/>
  <c r="K250" i="5" a="1"/>
  <c r="K250" i="5" s="1"/>
  <c r="G248" i="6" s="1"/>
  <c r="L210" i="5" a="1"/>
  <c r="L210" i="5" s="1"/>
  <c r="H208" i="6" s="1"/>
  <c r="H210" i="5" a="1"/>
  <c r="H210" i="5" s="1"/>
  <c r="D208" i="6" s="1"/>
  <c r="E210" i="5" a="1"/>
  <c r="E210" i="5" s="1"/>
  <c r="A208" i="6" s="1"/>
  <c r="F210" i="5" a="1"/>
  <c r="F210" i="5" s="1"/>
  <c r="B208" i="6" s="1"/>
  <c r="I210" i="5" a="1"/>
  <c r="I210" i="5" s="1"/>
  <c r="E208" i="6" s="1"/>
  <c r="J210" i="5" a="1"/>
  <c r="J210" i="5" s="1"/>
  <c r="F208" i="6" s="1"/>
  <c r="G210" i="5" a="1"/>
  <c r="G210" i="5" s="1"/>
  <c r="C208" i="6" s="1"/>
  <c r="K210" i="5" a="1"/>
  <c r="K210" i="5" s="1"/>
  <c r="G208" i="6" s="1"/>
  <c r="F410" i="5" a="1"/>
  <c r="F410" i="5" s="1"/>
  <c r="B408" i="6" s="1"/>
  <c r="E330" i="5" a="1"/>
  <c r="E330" i="5" s="1"/>
  <c r="A328" i="6" s="1"/>
  <c r="J218" i="5" a="1"/>
  <c r="J218" i="5" s="1"/>
  <c r="F216" i="6" s="1"/>
  <c r="G34" i="5" a="1"/>
  <c r="G34" i="5" s="1"/>
  <c r="C32" i="6" s="1"/>
  <c r="L26" i="5" a="1"/>
  <c r="L26" i="5" s="1"/>
  <c r="H24" i="6" s="1"/>
  <c r="J377" i="5" a="1"/>
  <c r="J377" i="5" s="1"/>
  <c r="F375" i="6" s="1"/>
  <c r="G314" i="5" a="1"/>
  <c r="G314" i="5" s="1"/>
  <c r="C312" i="6" s="1"/>
  <c r="I18" i="5" a="1"/>
  <c r="I18" i="5" s="1"/>
  <c r="E16" i="6" s="1"/>
  <c r="J418" i="5" a="1"/>
  <c r="J418" i="5" s="1"/>
  <c r="F416" i="6" s="1"/>
  <c r="G417" i="5" a="1"/>
  <c r="G417" i="5" s="1"/>
  <c r="C415" i="6" s="1"/>
  <c r="L415" i="5" a="1"/>
  <c r="L415" i="5" s="1"/>
  <c r="H413" i="6" s="1"/>
  <c r="E415" i="5" a="1"/>
  <c r="E415" i="5" s="1"/>
  <c r="A413" i="6" s="1"/>
  <c r="L247" i="5" a="1"/>
  <c r="L247" i="5" s="1"/>
  <c r="H245" i="6" s="1"/>
  <c r="I10" i="5" a="1"/>
  <c r="I10" i="5" s="1"/>
  <c r="E8" i="6" s="1"/>
  <c r="L417" i="5" a="1"/>
  <c r="L417" i="5" s="1"/>
  <c r="H415" i="6" s="1"/>
  <c r="I416" i="5" a="1"/>
  <c r="I416" i="5" s="1"/>
  <c r="E414" i="6" s="1"/>
  <c r="E414" i="5" a="1"/>
  <c r="E414" i="5" s="1"/>
  <c r="A412" i="6" s="1"/>
  <c r="F367" i="5" a="1"/>
  <c r="F367" i="5" s="1"/>
  <c r="B365" i="6" s="1"/>
  <c r="U69" i="5" a="1"/>
  <c r="U69" i="5" s="1"/>
  <c r="Q67" i="6" s="1"/>
  <c r="H69" i="5" a="1"/>
  <c r="H69" i="5" s="1"/>
  <c r="D67" i="6" s="1"/>
  <c r="G77" i="5" a="1"/>
  <c r="G77" i="5" s="1"/>
  <c r="C75" i="6" s="1"/>
  <c r="I56" i="5" a="1"/>
  <c r="I56" i="5" s="1"/>
  <c r="E54" i="6" s="1"/>
  <c r="K50" i="5" a="1"/>
  <c r="K50" i="5" s="1"/>
  <c r="G48" i="6" s="1"/>
  <c r="L35" i="5" a="1"/>
  <c r="L35" i="5" s="1"/>
  <c r="H33" i="6" s="1"/>
  <c r="K29" i="5" a="1"/>
  <c r="K29" i="5" s="1"/>
  <c r="G27" i="6" s="1"/>
  <c r="H24" i="5" a="1"/>
  <c r="H24" i="5" s="1"/>
  <c r="D22" i="6" s="1"/>
  <c r="K417" i="5" a="1"/>
  <c r="K417" i="5" s="1"/>
  <c r="G415" i="6" s="1"/>
  <c r="I410" i="5" a="1"/>
  <c r="I410" i="5" s="1"/>
  <c r="E408" i="6" s="1"/>
  <c r="E394" i="5" a="1"/>
  <c r="E394" i="5" s="1"/>
  <c r="A392" i="6" s="1"/>
  <c r="F390" i="5" a="1"/>
  <c r="F390" i="5" s="1"/>
  <c r="B388" i="6" s="1"/>
  <c r="I378" i="5" a="1"/>
  <c r="I378" i="5" s="1"/>
  <c r="E376" i="6" s="1"/>
  <c r="E362" i="5" a="1"/>
  <c r="E362" i="5" s="1"/>
  <c r="A360" i="6" s="1"/>
  <c r="F358" i="5" a="1"/>
  <c r="F358" i="5" s="1"/>
  <c r="B356" i="6" s="1"/>
  <c r="H347" i="5" a="1"/>
  <c r="H347" i="5" s="1"/>
  <c r="D345" i="6" s="1"/>
  <c r="K335" i="5" a="1"/>
  <c r="K335" i="5" s="1"/>
  <c r="G333" i="6" s="1"/>
  <c r="F319" i="5" a="1"/>
  <c r="F319" i="5" s="1"/>
  <c r="B317" i="6" s="1"/>
  <c r="F298" i="5" a="1"/>
  <c r="F298" i="5" s="1"/>
  <c r="B296" i="6" s="1"/>
  <c r="L254" i="5" a="1"/>
  <c r="L254" i="5" s="1"/>
  <c r="H252" i="6" s="1"/>
  <c r="X418" i="5" a="1"/>
  <c r="X418" i="5" s="1"/>
  <c r="T416" i="6" s="1"/>
  <c r="I418" i="5" a="1"/>
  <c r="I418" i="5" s="1"/>
  <c r="E416" i="6" s="1"/>
  <c r="X402" i="5" a="1"/>
  <c r="X402" i="5" s="1"/>
  <c r="T400" i="6" s="1"/>
  <c r="H402" i="5" a="1"/>
  <c r="H402" i="5" s="1"/>
  <c r="D400" i="6" s="1"/>
  <c r="L402" i="5" a="1"/>
  <c r="L402" i="5" s="1"/>
  <c r="H400" i="6" s="1"/>
  <c r="G402" i="5" a="1"/>
  <c r="G402" i="5" s="1"/>
  <c r="C400" i="6" s="1"/>
  <c r="K402" i="5" a="1"/>
  <c r="K402" i="5" s="1"/>
  <c r="G400" i="6" s="1"/>
  <c r="J402" i="5" a="1"/>
  <c r="J402" i="5" s="1"/>
  <c r="F400" i="6" s="1"/>
  <c r="X386" i="5" a="1"/>
  <c r="X386" i="5" s="1"/>
  <c r="T384" i="6" s="1"/>
  <c r="H386" i="5" a="1"/>
  <c r="H386" i="5" s="1"/>
  <c r="D384" i="6" s="1"/>
  <c r="L386" i="5" a="1"/>
  <c r="L386" i="5" s="1"/>
  <c r="H384" i="6" s="1"/>
  <c r="G386" i="5" a="1"/>
  <c r="G386" i="5" s="1"/>
  <c r="C384" i="6" s="1"/>
  <c r="K386" i="5" a="1"/>
  <c r="K386" i="5" s="1"/>
  <c r="G384" i="6" s="1"/>
  <c r="J386" i="5" a="1"/>
  <c r="J386" i="5" s="1"/>
  <c r="F384" i="6" s="1"/>
  <c r="H370" i="5" a="1"/>
  <c r="H370" i="5" s="1"/>
  <c r="D368" i="6" s="1"/>
  <c r="L370" i="5" a="1"/>
  <c r="L370" i="5" s="1"/>
  <c r="H368" i="6" s="1"/>
  <c r="G370" i="5" a="1"/>
  <c r="G370" i="5" s="1"/>
  <c r="C368" i="6" s="1"/>
  <c r="K370" i="5" a="1"/>
  <c r="K370" i="5" s="1"/>
  <c r="G368" i="6" s="1"/>
  <c r="J370" i="5" a="1"/>
  <c r="J370" i="5" s="1"/>
  <c r="F368" i="6" s="1"/>
  <c r="X354" i="5" a="1"/>
  <c r="X354" i="5" s="1"/>
  <c r="T352" i="6" s="1"/>
  <c r="H354" i="5" a="1"/>
  <c r="H354" i="5" s="1"/>
  <c r="D352" i="6" s="1"/>
  <c r="L354" i="5" a="1"/>
  <c r="L354" i="5" s="1"/>
  <c r="H352" i="6" s="1"/>
  <c r="G354" i="5" a="1"/>
  <c r="G354" i="5" s="1"/>
  <c r="C352" i="6" s="1"/>
  <c r="K354" i="5" a="1"/>
  <c r="K354" i="5" s="1"/>
  <c r="G352" i="6" s="1"/>
  <c r="J354" i="5" a="1"/>
  <c r="J354" i="5" s="1"/>
  <c r="F352" i="6" s="1"/>
  <c r="X338" i="5" a="1"/>
  <c r="X338" i="5" s="1"/>
  <c r="T336" i="6" s="1"/>
  <c r="I338" i="5" a="1"/>
  <c r="I338" i="5" s="1"/>
  <c r="E336" i="6" s="1"/>
  <c r="H338" i="5" a="1"/>
  <c r="H338" i="5" s="1"/>
  <c r="D336" i="6" s="1"/>
  <c r="K338" i="5" a="1"/>
  <c r="K338" i="5" s="1"/>
  <c r="G336" i="6" s="1"/>
  <c r="G338" i="5" a="1"/>
  <c r="G338" i="5" s="1"/>
  <c r="C336" i="6" s="1"/>
  <c r="X322" i="5" a="1"/>
  <c r="X322" i="5" s="1"/>
  <c r="T320" i="6" s="1"/>
  <c r="I322" i="5" a="1"/>
  <c r="I322" i="5" s="1"/>
  <c r="E320" i="6" s="1"/>
  <c r="H322" i="5" a="1"/>
  <c r="H322" i="5" s="1"/>
  <c r="D320" i="6" s="1"/>
  <c r="K322" i="5" a="1"/>
  <c r="K322" i="5" s="1"/>
  <c r="G320" i="6" s="1"/>
  <c r="I306" i="5" a="1"/>
  <c r="I306" i="5" s="1"/>
  <c r="E304" i="6" s="1"/>
  <c r="H306" i="5" a="1"/>
  <c r="H306" i="5" s="1"/>
  <c r="D304" i="6" s="1"/>
  <c r="J306" i="5" a="1"/>
  <c r="J306" i="5" s="1"/>
  <c r="F304" i="6" s="1"/>
  <c r="E306" i="5" a="1"/>
  <c r="E306" i="5" s="1"/>
  <c r="A304" i="6" s="1"/>
  <c r="K306" i="5" a="1"/>
  <c r="K306" i="5" s="1"/>
  <c r="G304" i="6" s="1"/>
  <c r="G306" i="5" a="1"/>
  <c r="G306" i="5" s="1"/>
  <c r="C304" i="6" s="1"/>
  <c r="L306" i="5" a="1"/>
  <c r="L306" i="5" s="1"/>
  <c r="H304" i="6" s="1"/>
  <c r="X290" i="5" a="1"/>
  <c r="X290" i="5" s="1"/>
  <c r="T288" i="6" s="1"/>
  <c r="J290" i="5" a="1"/>
  <c r="J290" i="5" s="1"/>
  <c r="F288" i="6" s="1"/>
  <c r="E290" i="5" a="1"/>
  <c r="E290" i="5" s="1"/>
  <c r="A288" i="6" s="1"/>
  <c r="I290" i="5" a="1"/>
  <c r="I290" i="5" s="1"/>
  <c r="E288" i="6" s="1"/>
  <c r="K290" i="5" a="1"/>
  <c r="K290" i="5" s="1"/>
  <c r="G288" i="6" s="1"/>
  <c r="L290" i="5" a="1"/>
  <c r="L290" i="5" s="1"/>
  <c r="H288" i="6" s="1"/>
  <c r="F290" i="5" a="1"/>
  <c r="F290" i="5" s="1"/>
  <c r="B288" i="6" s="1"/>
  <c r="G290" i="5" a="1"/>
  <c r="G290" i="5" s="1"/>
  <c r="C288" i="6" s="1"/>
  <c r="X282" i="5" a="1"/>
  <c r="X282" i="5" s="1"/>
  <c r="T280" i="6" s="1"/>
  <c r="E282" i="5" a="1"/>
  <c r="E282" i="5" s="1"/>
  <c r="A280" i="6" s="1"/>
  <c r="J282" i="5" a="1"/>
  <c r="J282" i="5" s="1"/>
  <c r="F280" i="6" s="1"/>
  <c r="I282" i="5" a="1"/>
  <c r="I282" i="5" s="1"/>
  <c r="E280" i="6" s="1"/>
  <c r="L282" i="5" a="1"/>
  <c r="L282" i="5" s="1"/>
  <c r="H280" i="6" s="1"/>
  <c r="F282" i="5" a="1"/>
  <c r="F282" i="5" s="1"/>
  <c r="B280" i="6" s="1"/>
  <c r="K282" i="5" a="1"/>
  <c r="K282" i="5" s="1"/>
  <c r="G280" i="6" s="1"/>
  <c r="G282" i="5" a="1"/>
  <c r="G282" i="5" s="1"/>
  <c r="C280" i="6" s="1"/>
  <c r="H282" i="5" a="1"/>
  <c r="H282" i="5" s="1"/>
  <c r="D280" i="6" s="1"/>
  <c r="E266" i="5" a="1"/>
  <c r="E266" i="5" s="1"/>
  <c r="A264" i="6" s="1"/>
  <c r="J266" i="5" a="1"/>
  <c r="J266" i="5" s="1"/>
  <c r="F264" i="6" s="1"/>
  <c r="I266" i="5" a="1"/>
  <c r="I266" i="5" s="1"/>
  <c r="E264" i="6" s="1"/>
  <c r="H266" i="5" a="1"/>
  <c r="H266" i="5" s="1"/>
  <c r="D264" i="6" s="1"/>
  <c r="G266" i="5" a="1"/>
  <c r="G266" i="5" s="1"/>
  <c r="C264" i="6" s="1"/>
  <c r="F266" i="5" a="1"/>
  <c r="F266" i="5" s="1"/>
  <c r="B264" i="6" s="1"/>
  <c r="X258" i="5" a="1"/>
  <c r="X258" i="5" s="1"/>
  <c r="T256" i="6" s="1"/>
  <c r="E258" i="5" a="1"/>
  <c r="E258" i="5" s="1"/>
  <c r="A256" i="6" s="1"/>
  <c r="J258" i="5" a="1"/>
  <c r="J258" i="5" s="1"/>
  <c r="F256" i="6" s="1"/>
  <c r="I258" i="5" a="1"/>
  <c r="I258" i="5" s="1"/>
  <c r="E256" i="6" s="1"/>
  <c r="G258" i="5" a="1"/>
  <c r="G258" i="5" s="1"/>
  <c r="C256" i="6" s="1"/>
  <c r="F258" i="5" a="1"/>
  <c r="F258" i="5" s="1"/>
  <c r="B256" i="6" s="1"/>
  <c r="K258" i="5" a="1"/>
  <c r="K258" i="5" s="1"/>
  <c r="G256" i="6" s="1"/>
  <c r="L258" i="5" a="1"/>
  <c r="L258" i="5" s="1"/>
  <c r="H256" i="6" s="1"/>
  <c r="G242" i="5" a="1"/>
  <c r="G242" i="5" s="1"/>
  <c r="C240" i="6" s="1"/>
  <c r="K242" i="5" a="1"/>
  <c r="K242" i="5" s="1"/>
  <c r="G240" i="6" s="1"/>
  <c r="E242" i="5" a="1"/>
  <c r="E242" i="5" s="1"/>
  <c r="A240" i="6" s="1"/>
  <c r="J242" i="5" a="1"/>
  <c r="J242" i="5" s="1"/>
  <c r="F240" i="6" s="1"/>
  <c r="F242" i="5" a="1"/>
  <c r="F242" i="5" s="1"/>
  <c r="B240" i="6" s="1"/>
  <c r="H242" i="5" a="1"/>
  <c r="H242" i="5" s="1"/>
  <c r="D240" i="6" s="1"/>
  <c r="X234" i="5" a="1"/>
  <c r="X234" i="5" s="1"/>
  <c r="T232" i="6" s="1"/>
  <c r="E234" i="5" a="1"/>
  <c r="E234" i="5" s="1"/>
  <c r="A232" i="6" s="1"/>
  <c r="K234" i="5" a="1"/>
  <c r="K234" i="5" s="1"/>
  <c r="G232" i="6" s="1"/>
  <c r="I234" i="5" a="1"/>
  <c r="I234" i="5" s="1"/>
  <c r="E232" i="6" s="1"/>
  <c r="G234" i="5" a="1"/>
  <c r="G234" i="5" s="1"/>
  <c r="C232" i="6" s="1"/>
  <c r="F234" i="5" a="1"/>
  <c r="F234" i="5" s="1"/>
  <c r="B232" i="6" s="1"/>
  <c r="H234" i="5" a="1"/>
  <c r="H234" i="5" s="1"/>
  <c r="D232" i="6" s="1"/>
  <c r="L234" i="5" a="1"/>
  <c r="L234" i="5" s="1"/>
  <c r="H232" i="6" s="1"/>
  <c r="X226" i="5" a="1"/>
  <c r="X226" i="5" s="1"/>
  <c r="T224" i="6" s="1"/>
  <c r="E226" i="5" a="1"/>
  <c r="E226" i="5" s="1"/>
  <c r="A224" i="6" s="1"/>
  <c r="K226" i="5" a="1"/>
  <c r="K226" i="5" s="1"/>
  <c r="G224" i="6" s="1"/>
  <c r="I226" i="5" a="1"/>
  <c r="I226" i="5" s="1"/>
  <c r="E224" i="6" s="1"/>
  <c r="L226" i="5" a="1"/>
  <c r="L226" i="5" s="1"/>
  <c r="H224" i="6" s="1"/>
  <c r="F226" i="5" a="1"/>
  <c r="F226" i="5" s="1"/>
  <c r="B224" i="6" s="1"/>
  <c r="J226" i="5" a="1"/>
  <c r="J226" i="5" s="1"/>
  <c r="F224" i="6" s="1"/>
  <c r="X218" i="5" a="1"/>
  <c r="X218" i="5" s="1"/>
  <c r="T216" i="6" s="1"/>
  <c r="L218" i="5" a="1"/>
  <c r="L218" i="5" s="1"/>
  <c r="H216" i="6" s="1"/>
  <c r="E218" i="5" a="1"/>
  <c r="E218" i="5" s="1"/>
  <c r="A216" i="6" s="1"/>
  <c r="I218" i="5" a="1"/>
  <c r="I218" i="5" s="1"/>
  <c r="E216" i="6" s="1"/>
  <c r="K218" i="5" a="1"/>
  <c r="K218" i="5" s="1"/>
  <c r="G216" i="6" s="1"/>
  <c r="H218" i="5" a="1"/>
  <c r="H218" i="5" s="1"/>
  <c r="D216" i="6" s="1"/>
  <c r="F218" i="5" a="1"/>
  <c r="F218" i="5" s="1"/>
  <c r="B216" i="6" s="1"/>
  <c r="X202" i="5" a="1"/>
  <c r="X202" i="5" s="1"/>
  <c r="T200" i="6" s="1"/>
  <c r="L202" i="5" a="1"/>
  <c r="L202" i="5" s="1"/>
  <c r="H200" i="6" s="1"/>
  <c r="H202" i="5" a="1"/>
  <c r="H202" i="5" s="1"/>
  <c r="D200" i="6" s="1"/>
  <c r="E202" i="5" a="1"/>
  <c r="E202" i="5" s="1"/>
  <c r="A200" i="6" s="1"/>
  <c r="K202" i="5" a="1"/>
  <c r="K202" i="5" s="1"/>
  <c r="G200" i="6" s="1"/>
  <c r="I202" i="5" a="1"/>
  <c r="I202" i="5" s="1"/>
  <c r="E200" i="6" s="1"/>
  <c r="J202" i="5" a="1"/>
  <c r="J202" i="5" s="1"/>
  <c r="F200" i="6" s="1"/>
  <c r="G202" i="5" a="1"/>
  <c r="G202" i="5" s="1"/>
  <c r="C200" i="6" s="1"/>
  <c r="F202" i="5" a="1"/>
  <c r="F202" i="5" s="1"/>
  <c r="B200" i="6" s="1"/>
  <c r="X194" i="5" a="1"/>
  <c r="X194" i="5" s="1"/>
  <c r="T192" i="6" s="1"/>
  <c r="L194" i="5" a="1"/>
  <c r="L194" i="5" s="1"/>
  <c r="H192" i="6" s="1"/>
  <c r="H194" i="5" a="1"/>
  <c r="H194" i="5" s="1"/>
  <c r="D192" i="6" s="1"/>
  <c r="E194" i="5" a="1"/>
  <c r="E194" i="5" s="1"/>
  <c r="A192" i="6" s="1"/>
  <c r="J194" i="5" a="1"/>
  <c r="J194" i="5" s="1"/>
  <c r="F192" i="6" s="1"/>
  <c r="I194" i="5" a="1"/>
  <c r="I194" i="5" s="1"/>
  <c r="E192" i="6" s="1"/>
  <c r="G194" i="5" a="1"/>
  <c r="G194" i="5" s="1"/>
  <c r="C192" i="6" s="1"/>
  <c r="F194" i="5" a="1"/>
  <c r="F194" i="5" s="1"/>
  <c r="B192" i="6" s="1"/>
  <c r="V186" i="5" a="1"/>
  <c r="V186" i="5" s="1"/>
  <c r="R184" i="6" s="1"/>
  <c r="L186" i="5" a="1"/>
  <c r="L186" i="5" s="1"/>
  <c r="H184" i="6" s="1"/>
  <c r="H186" i="5" a="1"/>
  <c r="H186" i="5" s="1"/>
  <c r="D184" i="6" s="1"/>
  <c r="E186" i="5" a="1"/>
  <c r="E186" i="5" s="1"/>
  <c r="A184" i="6" s="1"/>
  <c r="G186" i="5" a="1"/>
  <c r="G186" i="5" s="1"/>
  <c r="C184" i="6" s="1"/>
  <c r="I186" i="5" a="1"/>
  <c r="I186" i="5" s="1"/>
  <c r="E184" i="6" s="1"/>
  <c r="J186" i="5" a="1"/>
  <c r="J186" i="5" s="1"/>
  <c r="F184" i="6" s="1"/>
  <c r="F186" i="5" a="1"/>
  <c r="F186" i="5" s="1"/>
  <c r="B184" i="6" s="1"/>
  <c r="K186" i="5" a="1"/>
  <c r="K186" i="5" s="1"/>
  <c r="G184" i="6" s="1"/>
  <c r="X178" i="5" a="1"/>
  <c r="X178" i="5" s="1"/>
  <c r="T176" i="6" s="1"/>
  <c r="L178" i="5" a="1"/>
  <c r="L178" i="5" s="1"/>
  <c r="H176" i="6" s="1"/>
  <c r="H178" i="5" a="1"/>
  <c r="H178" i="5" s="1"/>
  <c r="D176" i="6" s="1"/>
  <c r="E178" i="5" a="1"/>
  <c r="E178" i="5" s="1"/>
  <c r="A176" i="6" s="1"/>
  <c r="F178" i="5" a="1"/>
  <c r="F178" i="5" s="1"/>
  <c r="B176" i="6" s="1"/>
  <c r="I178" i="5" a="1"/>
  <c r="I178" i="5" s="1"/>
  <c r="E176" i="6" s="1"/>
  <c r="K178" i="5" a="1"/>
  <c r="K178" i="5" s="1"/>
  <c r="G176" i="6" s="1"/>
  <c r="L170" i="5" a="1"/>
  <c r="L170" i="5" s="1"/>
  <c r="H168" i="6" s="1"/>
  <c r="H170" i="5" a="1"/>
  <c r="H170" i="5" s="1"/>
  <c r="D168" i="6" s="1"/>
  <c r="E170" i="5" a="1"/>
  <c r="E170" i="5" s="1"/>
  <c r="A168" i="6" s="1"/>
  <c r="K170" i="5" a="1"/>
  <c r="K170" i="5" s="1"/>
  <c r="G168" i="6" s="1"/>
  <c r="G170" i="5" a="1"/>
  <c r="G170" i="5" s="1"/>
  <c r="C168" i="6" s="1"/>
  <c r="I170" i="5" a="1"/>
  <c r="I170" i="5" s="1"/>
  <c r="E168" i="6" s="1"/>
  <c r="F170" i="5" a="1"/>
  <c r="F170" i="5" s="1"/>
  <c r="B168" i="6" s="1"/>
  <c r="J170" i="5" a="1"/>
  <c r="J170" i="5" s="1"/>
  <c r="F168" i="6" s="1"/>
  <c r="X162" i="5" a="1"/>
  <c r="X162" i="5" s="1"/>
  <c r="T160" i="6" s="1"/>
  <c r="L162" i="5" a="1"/>
  <c r="L162" i="5" s="1"/>
  <c r="H160" i="6" s="1"/>
  <c r="H162" i="5" a="1"/>
  <c r="H162" i="5" s="1"/>
  <c r="D160" i="6" s="1"/>
  <c r="G162" i="5" a="1"/>
  <c r="G162" i="5" s="1"/>
  <c r="C160" i="6" s="1"/>
  <c r="E162" i="5" a="1"/>
  <c r="E162" i="5" s="1"/>
  <c r="A160" i="6" s="1"/>
  <c r="K162" i="5" a="1"/>
  <c r="K162" i="5" s="1"/>
  <c r="G160" i="6" s="1"/>
  <c r="F162" i="5" a="1"/>
  <c r="F162" i="5" s="1"/>
  <c r="B160" i="6" s="1"/>
  <c r="J162" i="5" a="1"/>
  <c r="J162" i="5" s="1"/>
  <c r="F160" i="6" s="1"/>
  <c r="X154" i="5" a="1"/>
  <c r="X154" i="5" s="1"/>
  <c r="T152" i="6" s="1"/>
  <c r="L154" i="5" a="1"/>
  <c r="L154" i="5" s="1"/>
  <c r="H152" i="6" s="1"/>
  <c r="H154" i="5" a="1"/>
  <c r="H154" i="5" s="1"/>
  <c r="D152" i="6" s="1"/>
  <c r="G154" i="5" a="1"/>
  <c r="G154" i="5" s="1"/>
  <c r="C152" i="6" s="1"/>
  <c r="J154" i="5" a="1"/>
  <c r="J154" i="5" s="1"/>
  <c r="F152" i="6" s="1"/>
  <c r="E154" i="5" a="1"/>
  <c r="E154" i="5" s="1"/>
  <c r="A152" i="6" s="1"/>
  <c r="K154" i="5" a="1"/>
  <c r="K154" i="5" s="1"/>
  <c r="G152" i="6" s="1"/>
  <c r="I154" i="5" a="1"/>
  <c r="I154" i="5" s="1"/>
  <c r="E152" i="6" s="1"/>
  <c r="F154" i="5" a="1"/>
  <c r="F154" i="5" s="1"/>
  <c r="B152" i="6" s="1"/>
  <c r="F146" i="5" a="1"/>
  <c r="F146" i="5" s="1"/>
  <c r="B144" i="6" s="1"/>
  <c r="K146" i="5" a="1"/>
  <c r="K146" i="5" s="1"/>
  <c r="G144" i="6" s="1"/>
  <c r="E146" i="5" a="1"/>
  <c r="E146" i="5" s="1"/>
  <c r="A144" i="6" s="1"/>
  <c r="J146" i="5" a="1"/>
  <c r="J146" i="5" s="1"/>
  <c r="F144" i="6" s="1"/>
  <c r="H146" i="5" a="1"/>
  <c r="H146" i="5" s="1"/>
  <c r="D144" i="6" s="1"/>
  <c r="G146" i="5" a="1"/>
  <c r="G146" i="5" s="1"/>
  <c r="C144" i="6" s="1"/>
  <c r="I146" i="5" a="1"/>
  <c r="I146" i="5" s="1"/>
  <c r="E144" i="6" s="1"/>
  <c r="L146" i="5" a="1"/>
  <c r="L146" i="5" s="1"/>
  <c r="H144" i="6" s="1"/>
  <c r="F138" i="5" a="1"/>
  <c r="F138" i="5" s="1"/>
  <c r="B136" i="6" s="1"/>
  <c r="K138" i="5" a="1"/>
  <c r="K138" i="5" s="1"/>
  <c r="G136" i="6" s="1"/>
  <c r="E138" i="5" a="1"/>
  <c r="E138" i="5" s="1"/>
  <c r="A136" i="6" s="1"/>
  <c r="J138" i="5" a="1"/>
  <c r="J138" i="5" s="1"/>
  <c r="F136" i="6" s="1"/>
  <c r="G138" i="5" a="1"/>
  <c r="G138" i="5" s="1"/>
  <c r="C136" i="6" s="1"/>
  <c r="L138" i="5" a="1"/>
  <c r="L138" i="5" s="1"/>
  <c r="H136" i="6" s="1"/>
  <c r="H138" i="5" a="1"/>
  <c r="H138" i="5" s="1"/>
  <c r="D136" i="6" s="1"/>
  <c r="I138" i="5" a="1"/>
  <c r="I138" i="5" s="1"/>
  <c r="E136" i="6" s="1"/>
  <c r="W130" i="5" a="1"/>
  <c r="W130" i="5" s="1"/>
  <c r="S128" i="6" s="1"/>
  <c r="E130" i="5" a="1"/>
  <c r="E130" i="5" s="1"/>
  <c r="A128" i="6" s="1"/>
  <c r="I130" i="5" a="1"/>
  <c r="I130" i="5" s="1"/>
  <c r="E128" i="6" s="1"/>
  <c r="F130" i="5" a="1"/>
  <c r="F130" i="5" s="1"/>
  <c r="B128" i="6" s="1"/>
  <c r="J130" i="5" a="1"/>
  <c r="J130" i="5" s="1"/>
  <c r="F128" i="6" s="1"/>
  <c r="H130" i="5" a="1"/>
  <c r="H130" i="5" s="1"/>
  <c r="D128" i="6" s="1"/>
  <c r="K130" i="5" a="1"/>
  <c r="K130" i="5" s="1"/>
  <c r="G128" i="6" s="1"/>
  <c r="G130" i="5" a="1"/>
  <c r="G130" i="5" s="1"/>
  <c r="C128" i="6" s="1"/>
  <c r="L130" i="5" a="1"/>
  <c r="L130" i="5" s="1"/>
  <c r="H128" i="6" s="1"/>
  <c r="X122" i="5" a="1"/>
  <c r="X122" i="5" s="1"/>
  <c r="T120" i="6" s="1"/>
  <c r="E122" i="5" a="1"/>
  <c r="E122" i="5" s="1"/>
  <c r="A120" i="6" s="1"/>
  <c r="J122" i="5" a="1"/>
  <c r="J122" i="5" s="1"/>
  <c r="F120" i="6" s="1"/>
  <c r="G122" i="5" a="1"/>
  <c r="G122" i="5" s="1"/>
  <c r="C120" i="6" s="1"/>
  <c r="I122" i="5" a="1"/>
  <c r="I122" i="5" s="1"/>
  <c r="E120" i="6" s="1"/>
  <c r="H122" i="5" a="1"/>
  <c r="H122" i="5" s="1"/>
  <c r="D120" i="6" s="1"/>
  <c r="K122" i="5" a="1"/>
  <c r="K122" i="5" s="1"/>
  <c r="G120" i="6" s="1"/>
  <c r="L122" i="5" a="1"/>
  <c r="L122" i="5" s="1"/>
  <c r="H120" i="6" s="1"/>
  <c r="F122" i="5" a="1"/>
  <c r="F122" i="5" s="1"/>
  <c r="B120" i="6" s="1"/>
  <c r="E114" i="5" a="1"/>
  <c r="E114" i="5" s="1"/>
  <c r="A112" i="6" s="1"/>
  <c r="J114" i="5" a="1"/>
  <c r="J114" i="5" s="1"/>
  <c r="F112" i="6" s="1"/>
  <c r="G114" i="5" a="1"/>
  <c r="G114" i="5" s="1"/>
  <c r="C112" i="6" s="1"/>
  <c r="H114" i="5" a="1"/>
  <c r="H114" i="5" s="1"/>
  <c r="D112" i="6" s="1"/>
  <c r="F114" i="5" a="1"/>
  <c r="F114" i="5" s="1"/>
  <c r="B112" i="6" s="1"/>
  <c r="I114" i="5" a="1"/>
  <c r="I114" i="5" s="1"/>
  <c r="E112" i="6" s="1"/>
  <c r="K114" i="5" a="1"/>
  <c r="K114" i="5" s="1"/>
  <c r="G112" i="6" s="1"/>
  <c r="L114" i="5" a="1"/>
  <c r="L114" i="5" s="1"/>
  <c r="H112" i="6" s="1"/>
  <c r="E106" i="5" a="1"/>
  <c r="E106" i="5" s="1"/>
  <c r="A104" i="6" s="1"/>
  <c r="J106" i="5" a="1"/>
  <c r="J106" i="5" s="1"/>
  <c r="F104" i="6" s="1"/>
  <c r="G106" i="5" a="1"/>
  <c r="G106" i="5" s="1"/>
  <c r="C104" i="6" s="1"/>
  <c r="F106" i="5" a="1"/>
  <c r="F106" i="5" s="1"/>
  <c r="B104" i="6" s="1"/>
  <c r="L106" i="5" a="1"/>
  <c r="L106" i="5" s="1"/>
  <c r="H104" i="6" s="1"/>
  <c r="H106" i="5" a="1"/>
  <c r="H106" i="5" s="1"/>
  <c r="D104" i="6" s="1"/>
  <c r="I106" i="5" a="1"/>
  <c r="I106" i="5" s="1"/>
  <c r="E104" i="6" s="1"/>
  <c r="K106" i="5" a="1"/>
  <c r="K106" i="5" s="1"/>
  <c r="G104" i="6" s="1"/>
  <c r="X98" i="5" a="1"/>
  <c r="X98" i="5" s="1"/>
  <c r="T96" i="6" s="1"/>
  <c r="E98" i="5" a="1"/>
  <c r="E98" i="5" s="1"/>
  <c r="A96" i="6" s="1"/>
  <c r="I98" i="5" a="1"/>
  <c r="I98" i="5" s="1"/>
  <c r="E96" i="6" s="1"/>
  <c r="H98" i="5" a="1"/>
  <c r="H98" i="5" s="1"/>
  <c r="D96" i="6" s="1"/>
  <c r="J98" i="5" a="1"/>
  <c r="J98" i="5" s="1"/>
  <c r="F96" i="6" s="1"/>
  <c r="L98" i="5" a="1"/>
  <c r="L98" i="5" s="1"/>
  <c r="H96" i="6" s="1"/>
  <c r="G98" i="5" a="1"/>
  <c r="G98" i="5" s="1"/>
  <c r="C96" i="6" s="1"/>
  <c r="F98" i="5" a="1"/>
  <c r="F98" i="5" s="1"/>
  <c r="B96" i="6" s="1"/>
  <c r="K98" i="5" a="1"/>
  <c r="K98" i="5" s="1"/>
  <c r="G96" i="6" s="1"/>
  <c r="E90" i="5" a="1"/>
  <c r="E90" i="5" s="1"/>
  <c r="A88" i="6" s="1"/>
  <c r="I90" i="5" a="1"/>
  <c r="I90" i="5" s="1"/>
  <c r="E88" i="6" s="1"/>
  <c r="H90" i="5" a="1"/>
  <c r="H90" i="5" s="1"/>
  <c r="D88" i="6" s="1"/>
  <c r="J90" i="5" a="1"/>
  <c r="J90" i="5" s="1"/>
  <c r="F88" i="6" s="1"/>
  <c r="G90" i="5" a="1"/>
  <c r="G90" i="5" s="1"/>
  <c r="C88" i="6" s="1"/>
  <c r="L90" i="5" a="1"/>
  <c r="L90" i="5" s="1"/>
  <c r="H88" i="6" s="1"/>
  <c r="K90" i="5" a="1"/>
  <c r="K90" i="5" s="1"/>
  <c r="G88" i="6" s="1"/>
  <c r="F90" i="5" a="1"/>
  <c r="F90" i="5" s="1"/>
  <c r="B88" i="6" s="1"/>
  <c r="E82" i="5" a="1"/>
  <c r="E82" i="5" s="1"/>
  <c r="A80" i="6" s="1"/>
  <c r="K82" i="5" a="1"/>
  <c r="K82" i="5" s="1"/>
  <c r="G80" i="6" s="1"/>
  <c r="X74" i="5" a="1"/>
  <c r="X74" i="5" s="1"/>
  <c r="T72" i="6" s="1"/>
  <c r="K74" i="5" a="1"/>
  <c r="K74" i="5" s="1"/>
  <c r="G72" i="6" s="1"/>
  <c r="E66" i="5" a="1"/>
  <c r="E66" i="5" s="1"/>
  <c r="A64" i="6" s="1"/>
  <c r="G66" i="5" a="1"/>
  <c r="G66" i="5" s="1"/>
  <c r="C64" i="6" s="1"/>
  <c r="V58" i="5" a="1"/>
  <c r="V58" i="5" s="1"/>
  <c r="R56" i="6" s="1"/>
  <c r="I58" i="5" a="1"/>
  <c r="I58" i="5" s="1"/>
  <c r="E56" i="6" s="1"/>
  <c r="L74" i="5" a="1"/>
  <c r="L74" i="5" s="1"/>
  <c r="H72" i="6" s="1"/>
  <c r="F74" i="5" a="1"/>
  <c r="F74" i="5" s="1"/>
  <c r="B72" i="6" s="1"/>
  <c r="K58" i="5" a="1"/>
  <c r="K58" i="5" s="1"/>
  <c r="G56" i="6" s="1"/>
  <c r="L418" i="5" a="1"/>
  <c r="L418" i="5" s="1"/>
  <c r="H416" i="6" s="1"/>
  <c r="F378" i="5" a="1"/>
  <c r="F378" i="5" s="1"/>
  <c r="B376" i="6" s="1"/>
  <c r="X417" i="5" a="1"/>
  <c r="X417" i="5" s="1"/>
  <c r="T415" i="6" s="1"/>
  <c r="H417" i="5" a="1"/>
  <c r="H417" i="5" s="1"/>
  <c r="D415" i="6" s="1"/>
  <c r="X409" i="5" a="1"/>
  <c r="X409" i="5" s="1"/>
  <c r="T407" i="6" s="1"/>
  <c r="H409" i="5" a="1"/>
  <c r="H409" i="5" s="1"/>
  <c r="D407" i="6" s="1"/>
  <c r="L409" i="5" a="1"/>
  <c r="L409" i="5" s="1"/>
  <c r="H407" i="6" s="1"/>
  <c r="G409" i="5" a="1"/>
  <c r="G409" i="5" s="1"/>
  <c r="C407" i="6" s="1"/>
  <c r="K409" i="5" a="1"/>
  <c r="K409" i="5" s="1"/>
  <c r="G407" i="6" s="1"/>
  <c r="E409" i="5" a="1"/>
  <c r="E409" i="5" s="1"/>
  <c r="A407" i="6" s="1"/>
  <c r="X401" i="5" a="1"/>
  <c r="X401" i="5" s="1"/>
  <c r="T399" i="6" s="1"/>
  <c r="H401" i="5" a="1"/>
  <c r="H401" i="5" s="1"/>
  <c r="D399" i="6" s="1"/>
  <c r="L401" i="5" a="1"/>
  <c r="L401" i="5" s="1"/>
  <c r="H399" i="6" s="1"/>
  <c r="G401" i="5" a="1"/>
  <c r="G401" i="5" s="1"/>
  <c r="C399" i="6" s="1"/>
  <c r="K401" i="5" a="1"/>
  <c r="K401" i="5" s="1"/>
  <c r="G399" i="6" s="1"/>
  <c r="E401" i="5" a="1"/>
  <c r="E401" i="5" s="1"/>
  <c r="A399" i="6" s="1"/>
  <c r="X393" i="5" a="1"/>
  <c r="X393" i="5" s="1"/>
  <c r="T391" i="6" s="1"/>
  <c r="H393" i="5" a="1"/>
  <c r="H393" i="5" s="1"/>
  <c r="D391" i="6" s="1"/>
  <c r="L393" i="5" a="1"/>
  <c r="L393" i="5" s="1"/>
  <c r="H391" i="6" s="1"/>
  <c r="G393" i="5" a="1"/>
  <c r="G393" i="5" s="1"/>
  <c r="C391" i="6" s="1"/>
  <c r="K393" i="5" a="1"/>
  <c r="K393" i="5" s="1"/>
  <c r="G391" i="6" s="1"/>
  <c r="E393" i="5" a="1"/>
  <c r="E393" i="5" s="1"/>
  <c r="A391" i="6" s="1"/>
  <c r="V385" i="5" a="1"/>
  <c r="V385" i="5" s="1"/>
  <c r="R383" i="6" s="1"/>
  <c r="H385" i="5" a="1"/>
  <c r="H385" i="5" s="1"/>
  <c r="D383" i="6" s="1"/>
  <c r="L385" i="5" a="1"/>
  <c r="L385" i="5" s="1"/>
  <c r="H383" i="6" s="1"/>
  <c r="G385" i="5" a="1"/>
  <c r="G385" i="5" s="1"/>
  <c r="C383" i="6" s="1"/>
  <c r="K385" i="5" a="1"/>
  <c r="K385" i="5" s="1"/>
  <c r="G383" i="6" s="1"/>
  <c r="E385" i="5" a="1"/>
  <c r="E385" i="5" s="1"/>
  <c r="A383" i="6" s="1"/>
  <c r="X377" i="5" a="1"/>
  <c r="X377" i="5" s="1"/>
  <c r="T375" i="6" s="1"/>
  <c r="H377" i="5" a="1"/>
  <c r="H377" i="5" s="1"/>
  <c r="D375" i="6" s="1"/>
  <c r="L377" i="5" a="1"/>
  <c r="L377" i="5" s="1"/>
  <c r="H375" i="6" s="1"/>
  <c r="G377" i="5" a="1"/>
  <c r="G377" i="5" s="1"/>
  <c r="C375" i="6" s="1"/>
  <c r="K377" i="5" a="1"/>
  <c r="K377" i="5" s="1"/>
  <c r="G375" i="6" s="1"/>
  <c r="E377" i="5" a="1"/>
  <c r="E377" i="5" s="1"/>
  <c r="A375" i="6" s="1"/>
  <c r="H369" i="5" a="1"/>
  <c r="H369" i="5" s="1"/>
  <c r="D367" i="6" s="1"/>
  <c r="L369" i="5" a="1"/>
  <c r="L369" i="5" s="1"/>
  <c r="H367" i="6" s="1"/>
  <c r="G369" i="5" a="1"/>
  <c r="G369" i="5" s="1"/>
  <c r="C367" i="6" s="1"/>
  <c r="K369" i="5" a="1"/>
  <c r="K369" i="5" s="1"/>
  <c r="G367" i="6" s="1"/>
  <c r="E369" i="5" a="1"/>
  <c r="E369" i="5" s="1"/>
  <c r="A367" i="6" s="1"/>
  <c r="X361" i="5" a="1"/>
  <c r="X361" i="5" s="1"/>
  <c r="T359" i="6" s="1"/>
  <c r="H361" i="5" a="1"/>
  <c r="H361" i="5" s="1"/>
  <c r="D359" i="6" s="1"/>
  <c r="L361" i="5" a="1"/>
  <c r="L361" i="5" s="1"/>
  <c r="H359" i="6" s="1"/>
  <c r="G361" i="5" a="1"/>
  <c r="G361" i="5" s="1"/>
  <c r="C359" i="6" s="1"/>
  <c r="K361" i="5" a="1"/>
  <c r="K361" i="5" s="1"/>
  <c r="G359" i="6" s="1"/>
  <c r="E361" i="5" a="1"/>
  <c r="E361" i="5" s="1"/>
  <c r="A359" i="6" s="1"/>
  <c r="V353" i="5" a="1"/>
  <c r="V353" i="5" s="1"/>
  <c r="R351" i="6" s="1"/>
  <c r="H353" i="5" a="1"/>
  <c r="H353" i="5" s="1"/>
  <c r="D351" i="6" s="1"/>
  <c r="L353" i="5" a="1"/>
  <c r="L353" i="5" s="1"/>
  <c r="H351" i="6" s="1"/>
  <c r="G353" i="5" a="1"/>
  <c r="G353" i="5" s="1"/>
  <c r="C351" i="6" s="1"/>
  <c r="K353" i="5" a="1"/>
  <c r="K353" i="5" s="1"/>
  <c r="G351" i="6" s="1"/>
  <c r="E353" i="5" a="1"/>
  <c r="E353" i="5" s="1"/>
  <c r="A351" i="6" s="1"/>
  <c r="X345" i="5" a="1"/>
  <c r="X345" i="5" s="1"/>
  <c r="T343" i="6" s="1"/>
  <c r="G345" i="5" a="1"/>
  <c r="G345" i="5" s="1"/>
  <c r="C343" i="6" s="1"/>
  <c r="L345" i="5" a="1"/>
  <c r="L345" i="5" s="1"/>
  <c r="H343" i="6" s="1"/>
  <c r="H345" i="5" a="1"/>
  <c r="H345" i="5" s="1"/>
  <c r="D343" i="6" s="1"/>
  <c r="K345" i="5" a="1"/>
  <c r="K345" i="5" s="1"/>
  <c r="G343" i="6" s="1"/>
  <c r="E345" i="5" a="1"/>
  <c r="E345" i="5" s="1"/>
  <c r="A343" i="6" s="1"/>
  <c r="J345" i="5" a="1"/>
  <c r="J345" i="5" s="1"/>
  <c r="F343" i="6" s="1"/>
  <c r="G337" i="5" a="1"/>
  <c r="G337" i="5" s="1"/>
  <c r="C335" i="6" s="1"/>
  <c r="L337" i="5" a="1"/>
  <c r="L337" i="5" s="1"/>
  <c r="H335" i="6" s="1"/>
  <c r="H337" i="5" a="1"/>
  <c r="H337" i="5" s="1"/>
  <c r="D335" i="6" s="1"/>
  <c r="K337" i="5" a="1"/>
  <c r="K337" i="5" s="1"/>
  <c r="G335" i="6" s="1"/>
  <c r="I337" i="5" a="1"/>
  <c r="I337" i="5" s="1"/>
  <c r="E335" i="6" s="1"/>
  <c r="J337" i="5" a="1"/>
  <c r="J337" i="5" s="1"/>
  <c r="F335" i="6" s="1"/>
  <c r="X329" i="5" a="1"/>
  <c r="X329" i="5" s="1"/>
  <c r="T327" i="6" s="1"/>
  <c r="G329" i="5" a="1"/>
  <c r="G329" i="5" s="1"/>
  <c r="C327" i="6" s="1"/>
  <c r="L329" i="5" a="1"/>
  <c r="L329" i="5" s="1"/>
  <c r="H327" i="6" s="1"/>
  <c r="H329" i="5" a="1"/>
  <c r="H329" i="5" s="1"/>
  <c r="D327" i="6" s="1"/>
  <c r="K329" i="5" a="1"/>
  <c r="K329" i="5" s="1"/>
  <c r="G327" i="6" s="1"/>
  <c r="E329" i="5" a="1"/>
  <c r="E329" i="5" s="1"/>
  <c r="A327" i="6" s="1"/>
  <c r="G321" i="5" a="1"/>
  <c r="G321" i="5" s="1"/>
  <c r="C319" i="6" s="1"/>
  <c r="L321" i="5" a="1"/>
  <c r="L321" i="5" s="1"/>
  <c r="H319" i="6" s="1"/>
  <c r="H321" i="5" a="1"/>
  <c r="H321" i="5" s="1"/>
  <c r="D319" i="6" s="1"/>
  <c r="K321" i="5" a="1"/>
  <c r="K321" i="5" s="1"/>
  <c r="G319" i="6" s="1"/>
  <c r="E321" i="5" a="1"/>
  <c r="E321" i="5" s="1"/>
  <c r="A319" i="6" s="1"/>
  <c r="J321" i="5" a="1"/>
  <c r="J321" i="5" s="1"/>
  <c r="F319" i="6" s="1"/>
  <c r="X313" i="5" a="1"/>
  <c r="X313" i="5" s="1"/>
  <c r="T311" i="6" s="1"/>
  <c r="G313" i="5" a="1"/>
  <c r="G313" i="5" s="1"/>
  <c r="C311" i="6" s="1"/>
  <c r="L313" i="5" a="1"/>
  <c r="L313" i="5" s="1"/>
  <c r="H311" i="6" s="1"/>
  <c r="H313" i="5" a="1"/>
  <c r="H313" i="5" s="1"/>
  <c r="D311" i="6" s="1"/>
  <c r="K313" i="5" a="1"/>
  <c r="K313" i="5" s="1"/>
  <c r="G311" i="6" s="1"/>
  <c r="E313" i="5" a="1"/>
  <c r="E313" i="5" s="1"/>
  <c r="A311" i="6" s="1"/>
  <c r="U305" i="5" a="1"/>
  <c r="U305" i="5" s="1"/>
  <c r="Q303" i="6" s="1"/>
  <c r="G305" i="5" a="1"/>
  <c r="G305" i="5" s="1"/>
  <c r="C303" i="6" s="1"/>
  <c r="L305" i="5" a="1"/>
  <c r="L305" i="5" s="1"/>
  <c r="H303" i="6" s="1"/>
  <c r="H305" i="5" a="1"/>
  <c r="H305" i="5" s="1"/>
  <c r="D303" i="6" s="1"/>
  <c r="K305" i="5" a="1"/>
  <c r="K305" i="5" s="1"/>
  <c r="G303" i="6" s="1"/>
  <c r="J305" i="5" a="1"/>
  <c r="J305" i="5" s="1"/>
  <c r="F303" i="6" s="1"/>
  <c r="E305" i="5" a="1"/>
  <c r="E305" i="5" s="1"/>
  <c r="A303" i="6" s="1"/>
  <c r="G297" i="5" a="1"/>
  <c r="G297" i="5" s="1"/>
  <c r="C295" i="6" s="1"/>
  <c r="L297" i="5" a="1"/>
  <c r="L297" i="5" s="1"/>
  <c r="H295" i="6" s="1"/>
  <c r="H297" i="5" a="1"/>
  <c r="H297" i="5" s="1"/>
  <c r="D295" i="6" s="1"/>
  <c r="K297" i="5" a="1"/>
  <c r="K297" i="5" s="1"/>
  <c r="G295" i="6" s="1"/>
  <c r="I297" i="5" a="1"/>
  <c r="I297" i="5" s="1"/>
  <c r="E295" i="6" s="1"/>
  <c r="J297" i="5" a="1"/>
  <c r="J297" i="5" s="1"/>
  <c r="F295" i="6" s="1"/>
  <c r="I289" i="5" a="1"/>
  <c r="I289" i="5" s="1"/>
  <c r="E287" i="6" s="1"/>
  <c r="G289" i="5" a="1"/>
  <c r="G289" i="5" s="1"/>
  <c r="C287" i="6" s="1"/>
  <c r="H289" i="5" a="1"/>
  <c r="H289" i="5" s="1"/>
  <c r="D287" i="6" s="1"/>
  <c r="L289" i="5" a="1"/>
  <c r="L289" i="5" s="1"/>
  <c r="H287" i="6" s="1"/>
  <c r="J289" i="5" a="1"/>
  <c r="J289" i="5" s="1"/>
  <c r="F287" i="6" s="1"/>
  <c r="K289" i="5" a="1"/>
  <c r="K289" i="5" s="1"/>
  <c r="G287" i="6" s="1"/>
  <c r="X281" i="5" a="1"/>
  <c r="X281" i="5" s="1"/>
  <c r="T279" i="6" s="1"/>
  <c r="I281" i="5" a="1"/>
  <c r="I281" i="5" s="1"/>
  <c r="E279" i="6" s="1"/>
  <c r="H281" i="5" a="1"/>
  <c r="H281" i="5" s="1"/>
  <c r="D279" i="6" s="1"/>
  <c r="L281" i="5" a="1"/>
  <c r="L281" i="5" s="1"/>
  <c r="H279" i="6" s="1"/>
  <c r="F281" i="5" a="1"/>
  <c r="F281" i="5" s="1"/>
  <c r="B279" i="6" s="1"/>
  <c r="E281" i="5" a="1"/>
  <c r="E281" i="5" s="1"/>
  <c r="A279" i="6" s="1"/>
  <c r="K281" i="5" a="1"/>
  <c r="K281" i="5" s="1"/>
  <c r="G279" i="6" s="1"/>
  <c r="G281" i="5" a="1"/>
  <c r="G281" i="5" s="1"/>
  <c r="C279" i="6" s="1"/>
  <c r="X273" i="5" a="1"/>
  <c r="X273" i="5" s="1"/>
  <c r="T271" i="6" s="1"/>
  <c r="I273" i="5" a="1"/>
  <c r="I273" i="5" s="1"/>
  <c r="E271" i="6" s="1"/>
  <c r="H273" i="5" a="1"/>
  <c r="H273" i="5" s="1"/>
  <c r="D271" i="6" s="1"/>
  <c r="E273" i="5" a="1"/>
  <c r="E273" i="5" s="1"/>
  <c r="A271" i="6" s="1"/>
  <c r="K273" i="5" a="1"/>
  <c r="K273" i="5" s="1"/>
  <c r="G271" i="6" s="1"/>
  <c r="J273" i="5" a="1"/>
  <c r="J273" i="5" s="1"/>
  <c r="F271" i="6" s="1"/>
  <c r="F273" i="5" a="1"/>
  <c r="F273" i="5" s="1"/>
  <c r="B271" i="6" s="1"/>
  <c r="G273" i="5" a="1"/>
  <c r="G273" i="5" s="1"/>
  <c r="C271" i="6" s="1"/>
  <c r="X265" i="5" a="1"/>
  <c r="X265" i="5" s="1"/>
  <c r="T263" i="6" s="1"/>
  <c r="I265" i="5" a="1"/>
  <c r="I265" i="5" s="1"/>
  <c r="E263" i="6" s="1"/>
  <c r="H265" i="5" a="1"/>
  <c r="H265" i="5" s="1"/>
  <c r="D263" i="6" s="1"/>
  <c r="J265" i="5" a="1"/>
  <c r="J265" i="5" s="1"/>
  <c r="F263" i="6" s="1"/>
  <c r="G265" i="5" a="1"/>
  <c r="G265" i="5" s="1"/>
  <c r="C263" i="6" s="1"/>
  <c r="K265" i="5" a="1"/>
  <c r="K265" i="5" s="1"/>
  <c r="G263" i="6" s="1"/>
  <c r="L265" i="5" a="1"/>
  <c r="L265" i="5" s="1"/>
  <c r="H263" i="6" s="1"/>
  <c r="F265" i="5" a="1"/>
  <c r="F265" i="5" s="1"/>
  <c r="B263" i="6" s="1"/>
  <c r="I257" i="5" a="1"/>
  <c r="I257" i="5" s="1"/>
  <c r="E255" i="6" s="1"/>
  <c r="H257" i="5" a="1"/>
  <c r="H257" i="5" s="1"/>
  <c r="D255" i="6" s="1"/>
  <c r="G257" i="5" a="1"/>
  <c r="G257" i="5" s="1"/>
  <c r="C255" i="6" s="1"/>
  <c r="F257" i="5" a="1"/>
  <c r="F257" i="5" s="1"/>
  <c r="B255" i="6" s="1"/>
  <c r="E257" i="5" a="1"/>
  <c r="E257" i="5" s="1"/>
  <c r="A255" i="6" s="1"/>
  <c r="L257" i="5" a="1"/>
  <c r="L257" i="5" s="1"/>
  <c r="H255" i="6" s="1"/>
  <c r="K257" i="5" a="1"/>
  <c r="K257" i="5" s="1"/>
  <c r="G255" i="6" s="1"/>
  <c r="X249" i="5" a="1"/>
  <c r="X249" i="5" s="1"/>
  <c r="T247" i="6" s="1"/>
  <c r="I249" i="5" a="1"/>
  <c r="I249" i="5" s="1"/>
  <c r="E247" i="6" s="1"/>
  <c r="H249" i="5" a="1"/>
  <c r="H249" i="5" s="1"/>
  <c r="D247" i="6" s="1"/>
  <c r="L249" i="5" a="1"/>
  <c r="L249" i="5" s="1"/>
  <c r="H247" i="6" s="1"/>
  <c r="F249" i="5" a="1"/>
  <c r="F249" i="5" s="1"/>
  <c r="B247" i="6" s="1"/>
  <c r="E249" i="5" a="1"/>
  <c r="E249" i="5" s="1"/>
  <c r="A247" i="6" s="1"/>
  <c r="K249" i="5" a="1"/>
  <c r="K249" i="5" s="1"/>
  <c r="G247" i="6" s="1"/>
  <c r="J249" i="5" a="1"/>
  <c r="J249" i="5" s="1"/>
  <c r="F247" i="6" s="1"/>
  <c r="G249" i="5" a="1"/>
  <c r="G249" i="5" s="1"/>
  <c r="C247" i="6" s="1"/>
  <c r="G241" i="5" a="1"/>
  <c r="G241" i="5" s="1"/>
  <c r="C239" i="6" s="1"/>
  <c r="K241" i="5" a="1"/>
  <c r="K241" i="5" s="1"/>
  <c r="G239" i="6" s="1"/>
  <c r="H241" i="5" a="1"/>
  <c r="H241" i="5" s="1"/>
  <c r="D239" i="6" s="1"/>
  <c r="E241" i="5" a="1"/>
  <c r="E241" i="5" s="1"/>
  <c r="A239" i="6" s="1"/>
  <c r="L241" i="5" a="1"/>
  <c r="L241" i="5" s="1"/>
  <c r="H239" i="6" s="1"/>
  <c r="J241" i="5" a="1"/>
  <c r="J241" i="5" s="1"/>
  <c r="F239" i="6" s="1"/>
  <c r="F241" i="5" a="1"/>
  <c r="F241" i="5" s="1"/>
  <c r="B239" i="6" s="1"/>
  <c r="H233" i="5" a="1"/>
  <c r="H233" i="5" s="1"/>
  <c r="D231" i="6" s="1"/>
  <c r="J233" i="5" a="1"/>
  <c r="J233" i="5" s="1"/>
  <c r="F231" i="6" s="1"/>
  <c r="L233" i="5" a="1"/>
  <c r="L233" i="5" s="1"/>
  <c r="H231" i="6" s="1"/>
  <c r="G233" i="5" a="1"/>
  <c r="G233" i="5" s="1"/>
  <c r="C231" i="6" s="1"/>
  <c r="I233" i="5" a="1"/>
  <c r="I233" i="5" s="1"/>
  <c r="E231" i="6" s="1"/>
  <c r="E233" i="5" a="1"/>
  <c r="E233" i="5" s="1"/>
  <c r="A231" i="6" s="1"/>
  <c r="F233" i="5" a="1"/>
  <c r="F233" i="5" s="1"/>
  <c r="B231" i="6" s="1"/>
  <c r="H225" i="5" a="1"/>
  <c r="H225" i="5" s="1"/>
  <c r="D223" i="6" s="1"/>
  <c r="J225" i="5" a="1"/>
  <c r="J225" i="5" s="1"/>
  <c r="F223" i="6" s="1"/>
  <c r="L225" i="5" a="1"/>
  <c r="L225" i="5" s="1"/>
  <c r="H223" i="6" s="1"/>
  <c r="F225" i="5" a="1"/>
  <c r="F225" i="5" s="1"/>
  <c r="B223" i="6" s="1"/>
  <c r="E225" i="5" a="1"/>
  <c r="E225" i="5" s="1"/>
  <c r="A223" i="6" s="1"/>
  <c r="I225" i="5" a="1"/>
  <c r="I225" i="5" s="1"/>
  <c r="E223" i="6" s="1"/>
  <c r="G225" i="5" a="1"/>
  <c r="G225" i="5" s="1"/>
  <c r="C223" i="6" s="1"/>
  <c r="K225" i="5" a="1"/>
  <c r="K225" i="5" s="1"/>
  <c r="G223" i="6" s="1"/>
  <c r="X217" i="5" a="1"/>
  <c r="X217" i="5" s="1"/>
  <c r="T215" i="6" s="1"/>
  <c r="K217" i="5" a="1"/>
  <c r="K217" i="5" s="1"/>
  <c r="G215" i="6" s="1"/>
  <c r="H217" i="5" a="1"/>
  <c r="H217" i="5" s="1"/>
  <c r="D215" i="6" s="1"/>
  <c r="E217" i="5" a="1"/>
  <c r="E217" i="5" s="1"/>
  <c r="A215" i="6" s="1"/>
  <c r="G217" i="5" a="1"/>
  <c r="G217" i="5" s="1"/>
  <c r="C215" i="6" s="1"/>
  <c r="J217" i="5" a="1"/>
  <c r="J217" i="5" s="1"/>
  <c r="F215" i="6" s="1"/>
  <c r="L217" i="5" a="1"/>
  <c r="L217" i="5" s="1"/>
  <c r="H215" i="6" s="1"/>
  <c r="F217" i="5" a="1"/>
  <c r="F217" i="5" s="1"/>
  <c r="B215" i="6" s="1"/>
  <c r="I217" i="5" a="1"/>
  <c r="I217" i="5" s="1"/>
  <c r="E215" i="6" s="1"/>
  <c r="V209" i="5" a="1"/>
  <c r="V209" i="5" s="1"/>
  <c r="R207" i="6" s="1"/>
  <c r="K209" i="5" a="1"/>
  <c r="K209" i="5" s="1"/>
  <c r="G207" i="6" s="1"/>
  <c r="G209" i="5" a="1"/>
  <c r="G209" i="5" s="1"/>
  <c r="C207" i="6" s="1"/>
  <c r="H209" i="5" a="1"/>
  <c r="H209" i="5" s="1"/>
  <c r="D207" i="6" s="1"/>
  <c r="F209" i="5" a="1"/>
  <c r="F209" i="5" s="1"/>
  <c r="B207" i="6" s="1"/>
  <c r="L209" i="5" a="1"/>
  <c r="L209" i="5" s="1"/>
  <c r="H207" i="6" s="1"/>
  <c r="J209" i="5" a="1"/>
  <c r="J209" i="5" s="1"/>
  <c r="F207" i="6" s="1"/>
  <c r="E209" i="5" a="1"/>
  <c r="E209" i="5" s="1"/>
  <c r="A207" i="6" s="1"/>
  <c r="X201" i="5" a="1"/>
  <c r="X201" i="5" s="1"/>
  <c r="T199" i="6" s="1"/>
  <c r="K201" i="5" a="1"/>
  <c r="K201" i="5" s="1"/>
  <c r="G199" i="6" s="1"/>
  <c r="G201" i="5" a="1"/>
  <c r="G201" i="5" s="1"/>
  <c r="C199" i="6" s="1"/>
  <c r="H201" i="5" a="1"/>
  <c r="H201" i="5" s="1"/>
  <c r="D199" i="6" s="1"/>
  <c r="E201" i="5" a="1"/>
  <c r="E201" i="5" s="1"/>
  <c r="A199" i="6" s="1"/>
  <c r="L201" i="5" a="1"/>
  <c r="L201" i="5" s="1"/>
  <c r="H199" i="6" s="1"/>
  <c r="F201" i="5" a="1"/>
  <c r="F201" i="5" s="1"/>
  <c r="B199" i="6" s="1"/>
  <c r="I201" i="5" a="1"/>
  <c r="I201" i="5" s="1"/>
  <c r="E199" i="6" s="1"/>
  <c r="W193" i="5" a="1"/>
  <c r="W193" i="5" s="1"/>
  <c r="S191" i="6" s="1"/>
  <c r="K193" i="5" a="1"/>
  <c r="K193" i="5" s="1"/>
  <c r="G191" i="6" s="1"/>
  <c r="G193" i="5" a="1"/>
  <c r="G193" i="5" s="1"/>
  <c r="C191" i="6" s="1"/>
  <c r="H193" i="5" a="1"/>
  <c r="H193" i="5" s="1"/>
  <c r="D191" i="6" s="1"/>
  <c r="J193" i="5" a="1"/>
  <c r="J193" i="5" s="1"/>
  <c r="F191" i="6" s="1"/>
  <c r="L193" i="5" a="1"/>
  <c r="L193" i="5" s="1"/>
  <c r="H191" i="6" s="1"/>
  <c r="I193" i="5" a="1"/>
  <c r="I193" i="5" s="1"/>
  <c r="E191" i="6" s="1"/>
  <c r="F193" i="5" a="1"/>
  <c r="F193" i="5" s="1"/>
  <c r="B191" i="6" s="1"/>
  <c r="X185" i="5" a="1"/>
  <c r="X185" i="5" s="1"/>
  <c r="T183" i="6" s="1"/>
  <c r="K185" i="5" a="1"/>
  <c r="K185" i="5" s="1"/>
  <c r="G183" i="6" s="1"/>
  <c r="G185" i="5" a="1"/>
  <c r="G185" i="5" s="1"/>
  <c r="C183" i="6" s="1"/>
  <c r="H185" i="5" a="1"/>
  <c r="H185" i="5" s="1"/>
  <c r="D183" i="6" s="1"/>
  <c r="I185" i="5" a="1"/>
  <c r="I185" i="5" s="1"/>
  <c r="E183" i="6" s="1"/>
  <c r="E185" i="5" a="1"/>
  <c r="E185" i="5" s="1"/>
  <c r="A183" i="6" s="1"/>
  <c r="F185" i="5" a="1"/>
  <c r="F185" i="5" s="1"/>
  <c r="B183" i="6" s="1"/>
  <c r="L185" i="5" a="1"/>
  <c r="L185" i="5" s="1"/>
  <c r="H183" i="6" s="1"/>
  <c r="J185" i="5" a="1"/>
  <c r="J185" i="5" s="1"/>
  <c r="F183" i="6" s="1"/>
  <c r="W177" i="5" a="1"/>
  <c r="W177" i="5" s="1"/>
  <c r="S175" i="6" s="1"/>
  <c r="K177" i="5" a="1"/>
  <c r="K177" i="5" s="1"/>
  <c r="G175" i="6" s="1"/>
  <c r="G177" i="5" a="1"/>
  <c r="G177" i="5" s="1"/>
  <c r="C175" i="6" s="1"/>
  <c r="H177" i="5" a="1"/>
  <c r="H177" i="5" s="1"/>
  <c r="D175" i="6" s="1"/>
  <c r="F177" i="5" a="1"/>
  <c r="F177" i="5" s="1"/>
  <c r="B175" i="6" s="1"/>
  <c r="J177" i="5" a="1"/>
  <c r="J177" i="5" s="1"/>
  <c r="F175" i="6" s="1"/>
  <c r="I177" i="5" a="1"/>
  <c r="I177" i="5" s="1"/>
  <c r="E175" i="6" s="1"/>
  <c r="L177" i="5" a="1"/>
  <c r="L177" i="5" s="1"/>
  <c r="H175" i="6" s="1"/>
  <c r="E177" i="5" a="1"/>
  <c r="E177" i="5" s="1"/>
  <c r="A175" i="6" s="1"/>
  <c r="X169" i="5" a="1"/>
  <c r="X169" i="5" s="1"/>
  <c r="T167" i="6" s="1"/>
  <c r="K169" i="5" a="1"/>
  <c r="K169" i="5" s="1"/>
  <c r="G167" i="6" s="1"/>
  <c r="G169" i="5" a="1"/>
  <c r="G169" i="5" s="1"/>
  <c r="C167" i="6" s="1"/>
  <c r="H169" i="5" a="1"/>
  <c r="H169" i="5" s="1"/>
  <c r="D167" i="6" s="1"/>
  <c r="E169" i="5" a="1"/>
  <c r="E169" i="5" s="1"/>
  <c r="A167" i="6" s="1"/>
  <c r="L169" i="5" a="1"/>
  <c r="L169" i="5" s="1"/>
  <c r="H167" i="6" s="1"/>
  <c r="I169" i="5" a="1"/>
  <c r="I169" i="5" s="1"/>
  <c r="E167" i="6" s="1"/>
  <c r="J169" i="5" a="1"/>
  <c r="J169" i="5" s="1"/>
  <c r="F167" i="6" s="1"/>
  <c r="F169" i="5" a="1"/>
  <c r="F169" i="5" s="1"/>
  <c r="B167" i="6" s="1"/>
  <c r="K161" i="5" a="1"/>
  <c r="K161" i="5" s="1"/>
  <c r="G159" i="6" s="1"/>
  <c r="G161" i="5" a="1"/>
  <c r="G161" i="5" s="1"/>
  <c r="C159" i="6" s="1"/>
  <c r="F161" i="5" a="1"/>
  <c r="F161" i="5" s="1"/>
  <c r="B159" i="6" s="1"/>
  <c r="L161" i="5" a="1"/>
  <c r="L161" i="5" s="1"/>
  <c r="H159" i="6" s="1"/>
  <c r="E161" i="5" a="1"/>
  <c r="E161" i="5" s="1"/>
  <c r="A159" i="6" s="1"/>
  <c r="H161" i="5" a="1"/>
  <c r="H161" i="5" s="1"/>
  <c r="D159" i="6" s="1"/>
  <c r="I161" i="5" a="1"/>
  <c r="I161" i="5" s="1"/>
  <c r="E159" i="6" s="1"/>
  <c r="J161" i="5" a="1"/>
  <c r="J161" i="5" s="1"/>
  <c r="F159" i="6" s="1"/>
  <c r="X153" i="5" a="1"/>
  <c r="X153" i="5" s="1"/>
  <c r="T151" i="6" s="1"/>
  <c r="K153" i="5" a="1"/>
  <c r="K153" i="5" s="1"/>
  <c r="G151" i="6" s="1"/>
  <c r="G153" i="5" a="1"/>
  <c r="G153" i="5" s="1"/>
  <c r="C151" i="6" s="1"/>
  <c r="F153" i="5" a="1"/>
  <c r="F153" i="5" s="1"/>
  <c r="B151" i="6" s="1"/>
  <c r="J153" i="5" a="1"/>
  <c r="J153" i="5" s="1"/>
  <c r="F151" i="6" s="1"/>
  <c r="E153" i="5" a="1"/>
  <c r="E153" i="5" s="1"/>
  <c r="A151" i="6" s="1"/>
  <c r="H153" i="5" a="1"/>
  <c r="H153" i="5" s="1"/>
  <c r="D151" i="6" s="1"/>
  <c r="I153" i="5" a="1"/>
  <c r="I153" i="5" s="1"/>
  <c r="E151" i="6" s="1"/>
  <c r="L153" i="5" a="1"/>
  <c r="L153" i="5" s="1"/>
  <c r="H151" i="6" s="1"/>
  <c r="I145" i="5" a="1"/>
  <c r="I145" i="5" s="1"/>
  <c r="E143" i="6" s="1"/>
  <c r="E145" i="5" a="1"/>
  <c r="E145" i="5" s="1"/>
  <c r="A143" i="6" s="1"/>
  <c r="J145" i="5" a="1"/>
  <c r="J145" i="5" s="1"/>
  <c r="F143" i="6" s="1"/>
  <c r="H145" i="5" a="1"/>
  <c r="H145" i="5" s="1"/>
  <c r="D143" i="6" s="1"/>
  <c r="G145" i="5" a="1"/>
  <c r="G145" i="5" s="1"/>
  <c r="C143" i="6" s="1"/>
  <c r="F145" i="5" a="1"/>
  <c r="F145" i="5" s="1"/>
  <c r="B143" i="6" s="1"/>
  <c r="K145" i="5" a="1"/>
  <c r="K145" i="5" s="1"/>
  <c r="G143" i="6" s="1"/>
  <c r="L145" i="5" a="1"/>
  <c r="L145" i="5" s="1"/>
  <c r="H143" i="6" s="1"/>
  <c r="X137" i="5" a="1"/>
  <c r="X137" i="5" s="1"/>
  <c r="T135" i="6" s="1"/>
  <c r="I137" i="5" a="1"/>
  <c r="I137" i="5" s="1"/>
  <c r="E135" i="6" s="1"/>
  <c r="E137" i="5" a="1"/>
  <c r="E137" i="5" s="1"/>
  <c r="A135" i="6" s="1"/>
  <c r="J137" i="5" a="1"/>
  <c r="J137" i="5" s="1"/>
  <c r="F135" i="6" s="1"/>
  <c r="G137" i="5" a="1"/>
  <c r="G137" i="5" s="1"/>
  <c r="C135" i="6" s="1"/>
  <c r="F137" i="5" a="1"/>
  <c r="F137" i="5" s="1"/>
  <c r="B135" i="6" s="1"/>
  <c r="L137" i="5" a="1"/>
  <c r="L137" i="5" s="1"/>
  <c r="H135" i="6" s="1"/>
  <c r="K137" i="5" a="1"/>
  <c r="K137" i="5" s="1"/>
  <c r="G135" i="6" s="1"/>
  <c r="V129" i="5" a="1"/>
  <c r="V129" i="5" s="1"/>
  <c r="R127" i="6" s="1"/>
  <c r="I129" i="5" a="1"/>
  <c r="I129" i="5" s="1"/>
  <c r="E127" i="6" s="1"/>
  <c r="J129" i="5" a="1"/>
  <c r="J129" i="5" s="1"/>
  <c r="F127" i="6" s="1"/>
  <c r="K129" i="5" a="1"/>
  <c r="K129" i="5" s="1"/>
  <c r="G127" i="6" s="1"/>
  <c r="E129" i="5" a="1"/>
  <c r="E129" i="5" s="1"/>
  <c r="A127" i="6" s="1"/>
  <c r="G129" i="5" a="1"/>
  <c r="G129" i="5" s="1"/>
  <c r="C127" i="6" s="1"/>
  <c r="F129" i="5" a="1"/>
  <c r="F129" i="5" s="1"/>
  <c r="B127" i="6" s="1"/>
  <c r="L129" i="5" a="1"/>
  <c r="L129" i="5" s="1"/>
  <c r="H127" i="6" s="1"/>
  <c r="H129" i="5" a="1"/>
  <c r="H129" i="5" s="1"/>
  <c r="D127" i="6" s="1"/>
  <c r="W121" i="5" a="1"/>
  <c r="W121" i="5" s="1"/>
  <c r="S119" i="6" s="1"/>
  <c r="I121" i="5" a="1"/>
  <c r="I121" i="5" s="1"/>
  <c r="E119" i="6" s="1"/>
  <c r="J121" i="5" a="1"/>
  <c r="J121" i="5" s="1"/>
  <c r="F119" i="6" s="1"/>
  <c r="K121" i="5" a="1"/>
  <c r="K121" i="5" s="1"/>
  <c r="G119" i="6" s="1"/>
  <c r="H121" i="5" a="1"/>
  <c r="H121" i="5" s="1"/>
  <c r="D119" i="6" s="1"/>
  <c r="L121" i="5" a="1"/>
  <c r="L121" i="5" s="1"/>
  <c r="H119" i="6" s="1"/>
  <c r="E121" i="5" a="1"/>
  <c r="E121" i="5" s="1"/>
  <c r="A119" i="6" s="1"/>
  <c r="G121" i="5" a="1"/>
  <c r="G121" i="5" s="1"/>
  <c r="C119" i="6" s="1"/>
  <c r="F121" i="5" a="1"/>
  <c r="F121" i="5" s="1"/>
  <c r="B119" i="6" s="1"/>
  <c r="I113" i="5" a="1"/>
  <c r="I113" i="5" s="1"/>
  <c r="E111" i="6" s="1"/>
  <c r="J113" i="5" a="1"/>
  <c r="J113" i="5" s="1"/>
  <c r="F111" i="6" s="1"/>
  <c r="H113" i="5" a="1"/>
  <c r="H113" i="5" s="1"/>
  <c r="D111" i="6" s="1"/>
  <c r="G113" i="5" a="1"/>
  <c r="G113" i="5" s="1"/>
  <c r="C111" i="6" s="1"/>
  <c r="E113" i="5" a="1"/>
  <c r="E113" i="5" s="1"/>
  <c r="A111" i="6" s="1"/>
  <c r="F113" i="5" a="1"/>
  <c r="F113" i="5" s="1"/>
  <c r="B111" i="6" s="1"/>
  <c r="K113" i="5" a="1"/>
  <c r="K113" i="5" s="1"/>
  <c r="G111" i="6" s="1"/>
  <c r="L113" i="5" a="1"/>
  <c r="L113" i="5" s="1"/>
  <c r="H111" i="6" s="1"/>
  <c r="X105" i="5" a="1"/>
  <c r="X105" i="5" s="1"/>
  <c r="T103" i="6" s="1"/>
  <c r="I105" i="5" a="1"/>
  <c r="I105" i="5" s="1"/>
  <c r="E103" i="6" s="1"/>
  <c r="J105" i="5" a="1"/>
  <c r="J105" i="5" s="1"/>
  <c r="F103" i="6" s="1"/>
  <c r="F105" i="5" a="1"/>
  <c r="F105" i="5" s="1"/>
  <c r="B103" i="6" s="1"/>
  <c r="G105" i="5" a="1"/>
  <c r="G105" i="5" s="1"/>
  <c r="C103" i="6" s="1"/>
  <c r="E105" i="5" a="1"/>
  <c r="E105" i="5" s="1"/>
  <c r="A103" i="6" s="1"/>
  <c r="L105" i="5" a="1"/>
  <c r="L105" i="5" s="1"/>
  <c r="H103" i="6" s="1"/>
  <c r="K105" i="5" a="1"/>
  <c r="K105" i="5" s="1"/>
  <c r="G103" i="6" s="1"/>
  <c r="H105" i="5" a="1"/>
  <c r="H105" i="5" s="1"/>
  <c r="D103" i="6" s="1"/>
  <c r="W97" i="5" a="1"/>
  <c r="W97" i="5" s="1"/>
  <c r="S95" i="6" s="1"/>
  <c r="E97" i="5" a="1"/>
  <c r="E97" i="5" s="1"/>
  <c r="A95" i="6" s="1"/>
  <c r="I97" i="5" a="1"/>
  <c r="I97" i="5" s="1"/>
  <c r="E95" i="6" s="1"/>
  <c r="K97" i="5" a="1"/>
  <c r="K97" i="5" s="1"/>
  <c r="G95" i="6" s="1"/>
  <c r="F97" i="5" a="1"/>
  <c r="F97" i="5" s="1"/>
  <c r="B95" i="6" s="1"/>
  <c r="L97" i="5" a="1"/>
  <c r="L97" i="5" s="1"/>
  <c r="H95" i="6" s="1"/>
  <c r="J97" i="5" a="1"/>
  <c r="J97" i="5" s="1"/>
  <c r="F95" i="6" s="1"/>
  <c r="H97" i="5" a="1"/>
  <c r="H97" i="5" s="1"/>
  <c r="D95" i="6" s="1"/>
  <c r="G97" i="5" a="1"/>
  <c r="G97" i="5" s="1"/>
  <c r="C95" i="6" s="1"/>
  <c r="W89" i="5" a="1"/>
  <c r="W89" i="5" s="1"/>
  <c r="S87" i="6" s="1"/>
  <c r="E89" i="5" a="1"/>
  <c r="E89" i="5" s="1"/>
  <c r="A87" i="6" s="1"/>
  <c r="I89" i="5" a="1"/>
  <c r="I89" i="5" s="1"/>
  <c r="E87" i="6" s="1"/>
  <c r="K89" i="5" a="1"/>
  <c r="K89" i="5" s="1"/>
  <c r="G87" i="6" s="1"/>
  <c r="F89" i="5" a="1"/>
  <c r="F89" i="5" s="1"/>
  <c r="B87" i="6" s="1"/>
  <c r="H89" i="5" a="1"/>
  <c r="H89" i="5" s="1"/>
  <c r="D87" i="6" s="1"/>
  <c r="G89" i="5" a="1"/>
  <c r="G89" i="5" s="1"/>
  <c r="C87" i="6" s="1"/>
  <c r="L89" i="5" a="1"/>
  <c r="L89" i="5" s="1"/>
  <c r="H87" i="6" s="1"/>
  <c r="J89" i="5" a="1"/>
  <c r="J89" i="5" s="1"/>
  <c r="F87" i="6" s="1"/>
  <c r="L66" i="5" a="1"/>
  <c r="L66" i="5" s="1"/>
  <c r="H64" i="6" s="1"/>
  <c r="K418" i="5" a="1"/>
  <c r="K418" i="5" s="1"/>
  <c r="G416" i="6" s="1"/>
  <c r="F418" i="5" a="1"/>
  <c r="F418" i="5" s="1"/>
  <c r="B416" i="6" s="1"/>
  <c r="I417" i="5" a="1"/>
  <c r="I417" i="5" s="1"/>
  <c r="E415" i="6" s="1"/>
  <c r="E378" i="5" a="1"/>
  <c r="E378" i="5" s="1"/>
  <c r="A376" i="6" s="1"/>
  <c r="I362" i="5" a="1"/>
  <c r="I362" i="5" s="1"/>
  <c r="E360" i="6" s="1"/>
  <c r="F338" i="5" a="1"/>
  <c r="F338" i="5" s="1"/>
  <c r="B336" i="6" s="1"/>
  <c r="F289" i="5" a="1"/>
  <c r="F289" i="5" s="1"/>
  <c r="B287" i="6" s="1"/>
  <c r="W408" i="5" a="1"/>
  <c r="W408" i="5" s="1"/>
  <c r="S406" i="6" s="1"/>
  <c r="H408" i="5" a="1"/>
  <c r="H408" i="5" s="1"/>
  <c r="D406" i="6" s="1"/>
  <c r="L408" i="5" a="1"/>
  <c r="L408" i="5" s="1"/>
  <c r="H406" i="6" s="1"/>
  <c r="G408" i="5" a="1"/>
  <c r="G408" i="5" s="1"/>
  <c r="C406" i="6" s="1"/>
  <c r="K408" i="5" a="1"/>
  <c r="K408" i="5" s="1"/>
  <c r="G406" i="6" s="1"/>
  <c r="I408" i="5" a="1"/>
  <c r="I408" i="5" s="1"/>
  <c r="E406" i="6" s="1"/>
  <c r="F408" i="5" a="1"/>
  <c r="F408" i="5" s="1"/>
  <c r="B406" i="6" s="1"/>
  <c r="X400" i="5" a="1"/>
  <c r="X400" i="5" s="1"/>
  <c r="T398" i="6" s="1"/>
  <c r="H400" i="5" a="1"/>
  <c r="H400" i="5" s="1"/>
  <c r="D398" i="6" s="1"/>
  <c r="L400" i="5" a="1"/>
  <c r="L400" i="5" s="1"/>
  <c r="H398" i="6" s="1"/>
  <c r="G400" i="5" a="1"/>
  <c r="G400" i="5" s="1"/>
  <c r="C398" i="6" s="1"/>
  <c r="K400" i="5" a="1"/>
  <c r="K400" i="5" s="1"/>
  <c r="G398" i="6" s="1"/>
  <c r="I400" i="5" a="1"/>
  <c r="I400" i="5" s="1"/>
  <c r="E398" i="6" s="1"/>
  <c r="F400" i="5" a="1"/>
  <c r="F400" i="5" s="1"/>
  <c r="B398" i="6" s="1"/>
  <c r="V384" i="5" a="1"/>
  <c r="V384" i="5" s="1"/>
  <c r="R382" i="6" s="1"/>
  <c r="H384" i="5" a="1"/>
  <c r="H384" i="5" s="1"/>
  <c r="D382" i="6" s="1"/>
  <c r="L384" i="5" a="1"/>
  <c r="L384" i="5" s="1"/>
  <c r="H382" i="6" s="1"/>
  <c r="G384" i="5" a="1"/>
  <c r="G384" i="5" s="1"/>
  <c r="C382" i="6" s="1"/>
  <c r="K384" i="5" a="1"/>
  <c r="K384" i="5" s="1"/>
  <c r="G382" i="6" s="1"/>
  <c r="I384" i="5" a="1"/>
  <c r="I384" i="5" s="1"/>
  <c r="E382" i="6" s="1"/>
  <c r="F384" i="5" a="1"/>
  <c r="F384" i="5" s="1"/>
  <c r="B382" i="6" s="1"/>
  <c r="H376" i="5" a="1"/>
  <c r="H376" i="5" s="1"/>
  <c r="D374" i="6" s="1"/>
  <c r="L376" i="5" a="1"/>
  <c r="L376" i="5" s="1"/>
  <c r="H374" i="6" s="1"/>
  <c r="G376" i="5" a="1"/>
  <c r="G376" i="5" s="1"/>
  <c r="C374" i="6" s="1"/>
  <c r="K376" i="5" a="1"/>
  <c r="K376" i="5" s="1"/>
  <c r="G374" i="6" s="1"/>
  <c r="I376" i="5" a="1"/>
  <c r="I376" i="5" s="1"/>
  <c r="E374" i="6" s="1"/>
  <c r="F376" i="5" a="1"/>
  <c r="F376" i="5" s="1"/>
  <c r="B374" i="6" s="1"/>
  <c r="X368" i="5" a="1"/>
  <c r="X368" i="5" s="1"/>
  <c r="T366" i="6" s="1"/>
  <c r="H368" i="5" a="1"/>
  <c r="H368" i="5" s="1"/>
  <c r="D366" i="6" s="1"/>
  <c r="L368" i="5" a="1"/>
  <c r="L368" i="5" s="1"/>
  <c r="H366" i="6" s="1"/>
  <c r="G368" i="5" a="1"/>
  <c r="G368" i="5" s="1"/>
  <c r="C366" i="6" s="1"/>
  <c r="K368" i="5" a="1"/>
  <c r="K368" i="5" s="1"/>
  <c r="G366" i="6" s="1"/>
  <c r="I368" i="5" a="1"/>
  <c r="I368" i="5" s="1"/>
  <c r="E366" i="6" s="1"/>
  <c r="F368" i="5" a="1"/>
  <c r="F368" i="5" s="1"/>
  <c r="B366" i="6" s="1"/>
  <c r="H360" i="5" a="1"/>
  <c r="H360" i="5" s="1"/>
  <c r="D358" i="6" s="1"/>
  <c r="L360" i="5" a="1"/>
  <c r="L360" i="5" s="1"/>
  <c r="H358" i="6" s="1"/>
  <c r="G360" i="5" a="1"/>
  <c r="G360" i="5" s="1"/>
  <c r="C358" i="6" s="1"/>
  <c r="K360" i="5" a="1"/>
  <c r="K360" i="5" s="1"/>
  <c r="G358" i="6" s="1"/>
  <c r="I360" i="5" a="1"/>
  <c r="I360" i="5" s="1"/>
  <c r="E358" i="6" s="1"/>
  <c r="F360" i="5" a="1"/>
  <c r="F360" i="5" s="1"/>
  <c r="B358" i="6" s="1"/>
  <c r="V352" i="5" a="1"/>
  <c r="V352" i="5" s="1"/>
  <c r="R350" i="6" s="1"/>
  <c r="H352" i="5" a="1"/>
  <c r="H352" i="5" s="1"/>
  <c r="D350" i="6" s="1"/>
  <c r="L352" i="5" a="1"/>
  <c r="L352" i="5" s="1"/>
  <c r="H350" i="6" s="1"/>
  <c r="G352" i="5" a="1"/>
  <c r="G352" i="5" s="1"/>
  <c r="C350" i="6" s="1"/>
  <c r="K352" i="5" a="1"/>
  <c r="K352" i="5" s="1"/>
  <c r="G350" i="6" s="1"/>
  <c r="I352" i="5" a="1"/>
  <c r="I352" i="5" s="1"/>
  <c r="E350" i="6" s="1"/>
  <c r="F352" i="5" a="1"/>
  <c r="F352" i="5" s="1"/>
  <c r="B350" i="6" s="1"/>
  <c r="X336" i="5" a="1"/>
  <c r="X336" i="5" s="1"/>
  <c r="T334" i="6" s="1"/>
  <c r="F336" i="5" a="1"/>
  <c r="F336" i="5" s="1"/>
  <c r="B334" i="6" s="1"/>
  <c r="K336" i="5" a="1"/>
  <c r="K336" i="5" s="1"/>
  <c r="G334" i="6" s="1"/>
  <c r="J336" i="5" a="1"/>
  <c r="J336" i="5" s="1"/>
  <c r="F334" i="6" s="1"/>
  <c r="H336" i="5" a="1"/>
  <c r="H336" i="5" s="1"/>
  <c r="D334" i="6" s="1"/>
  <c r="F328" i="5" a="1"/>
  <c r="F328" i="5" s="1"/>
  <c r="B326" i="6" s="1"/>
  <c r="K328" i="5" a="1"/>
  <c r="K328" i="5" s="1"/>
  <c r="G326" i="6" s="1"/>
  <c r="J328" i="5" a="1"/>
  <c r="J328" i="5" s="1"/>
  <c r="F326" i="6" s="1"/>
  <c r="E328" i="5" a="1"/>
  <c r="E328" i="5" s="1"/>
  <c r="A326" i="6" s="1"/>
  <c r="H328" i="5" a="1"/>
  <c r="H328" i="5" s="1"/>
  <c r="D326" i="6" s="1"/>
  <c r="F320" i="5" a="1"/>
  <c r="F320" i="5" s="1"/>
  <c r="B318" i="6" s="1"/>
  <c r="K320" i="5" a="1"/>
  <c r="K320" i="5" s="1"/>
  <c r="G318" i="6" s="1"/>
  <c r="J320" i="5" a="1"/>
  <c r="J320" i="5" s="1"/>
  <c r="F318" i="6" s="1"/>
  <c r="L320" i="5" a="1"/>
  <c r="L320" i="5" s="1"/>
  <c r="H318" i="6" s="1"/>
  <c r="F312" i="5" a="1"/>
  <c r="F312" i="5" s="1"/>
  <c r="B310" i="6" s="1"/>
  <c r="K312" i="5" a="1"/>
  <c r="K312" i="5" s="1"/>
  <c r="G310" i="6" s="1"/>
  <c r="J312" i="5" a="1"/>
  <c r="J312" i="5" s="1"/>
  <c r="F310" i="6" s="1"/>
  <c r="E312" i="5" a="1"/>
  <c r="E312" i="5" s="1"/>
  <c r="A310" i="6" s="1"/>
  <c r="G312" i="5" a="1"/>
  <c r="G312" i="5" s="1"/>
  <c r="C310" i="6" s="1"/>
  <c r="L312" i="5" a="1"/>
  <c r="L312" i="5" s="1"/>
  <c r="H310" i="6" s="1"/>
  <c r="X304" i="5" a="1"/>
  <c r="X304" i="5" s="1"/>
  <c r="T302" i="6" s="1"/>
  <c r="F304" i="5" a="1"/>
  <c r="F304" i="5" s="1"/>
  <c r="B302" i="6" s="1"/>
  <c r="K304" i="5" a="1"/>
  <c r="K304" i="5" s="1"/>
  <c r="G302" i="6" s="1"/>
  <c r="J304" i="5" a="1"/>
  <c r="J304" i="5" s="1"/>
  <c r="F302" i="6" s="1"/>
  <c r="L304" i="5" a="1"/>
  <c r="L304" i="5" s="1"/>
  <c r="H302" i="6" s="1"/>
  <c r="E304" i="5" a="1"/>
  <c r="E304" i="5" s="1"/>
  <c r="A302" i="6" s="1"/>
  <c r="X296" i="5" a="1"/>
  <c r="X296" i="5" s="1"/>
  <c r="T294" i="6" s="1"/>
  <c r="F296" i="5" a="1"/>
  <c r="F296" i="5" s="1"/>
  <c r="B294" i="6" s="1"/>
  <c r="K296" i="5" a="1"/>
  <c r="K296" i="5" s="1"/>
  <c r="G294" i="6" s="1"/>
  <c r="J296" i="5" a="1"/>
  <c r="J296" i="5" s="1"/>
  <c r="F294" i="6" s="1"/>
  <c r="I296" i="5" a="1"/>
  <c r="I296" i="5" s="1"/>
  <c r="E294" i="6" s="1"/>
  <c r="L296" i="5" a="1"/>
  <c r="L296" i="5" s="1"/>
  <c r="H294" i="6" s="1"/>
  <c r="G296" i="5" a="1"/>
  <c r="G296" i="5" s="1"/>
  <c r="C294" i="6" s="1"/>
  <c r="E296" i="5" a="1"/>
  <c r="E296" i="5" s="1"/>
  <c r="A294" i="6" s="1"/>
  <c r="V288" i="5" a="1"/>
  <c r="V288" i="5" s="1"/>
  <c r="R286" i="6" s="1"/>
  <c r="H288" i="5" a="1"/>
  <c r="H288" i="5" s="1"/>
  <c r="D286" i="6" s="1"/>
  <c r="E288" i="5" a="1"/>
  <c r="E288" i="5" s="1"/>
  <c r="A286" i="6" s="1"/>
  <c r="J288" i="5" a="1"/>
  <c r="J288" i="5" s="1"/>
  <c r="F286" i="6" s="1"/>
  <c r="I288" i="5" a="1"/>
  <c r="I288" i="5" s="1"/>
  <c r="E286" i="6" s="1"/>
  <c r="K288" i="5" a="1"/>
  <c r="K288" i="5" s="1"/>
  <c r="G286" i="6" s="1"/>
  <c r="L288" i="5" a="1"/>
  <c r="L288" i="5" s="1"/>
  <c r="H286" i="6" s="1"/>
  <c r="F288" i="5" a="1"/>
  <c r="F288" i="5" s="1"/>
  <c r="B286" i="6" s="1"/>
  <c r="V280" i="5" a="1"/>
  <c r="V280" i="5" s="1"/>
  <c r="R278" i="6" s="1"/>
  <c r="G280" i="5" a="1"/>
  <c r="G280" i="5" s="1"/>
  <c r="C278" i="6" s="1"/>
  <c r="L280" i="5" a="1"/>
  <c r="L280" i="5" s="1"/>
  <c r="H278" i="6" s="1"/>
  <c r="H280" i="5" a="1"/>
  <c r="H280" i="5" s="1"/>
  <c r="D278" i="6" s="1"/>
  <c r="K280" i="5" a="1"/>
  <c r="K280" i="5" s="1"/>
  <c r="G278" i="6" s="1"/>
  <c r="F280" i="5" a="1"/>
  <c r="F280" i="5" s="1"/>
  <c r="B278" i="6" s="1"/>
  <c r="E280" i="5" a="1"/>
  <c r="E280" i="5" s="1"/>
  <c r="A278" i="6" s="1"/>
  <c r="I280" i="5" a="1"/>
  <c r="I280" i="5" s="1"/>
  <c r="E278" i="6" s="1"/>
  <c r="J280" i="5" a="1"/>
  <c r="J280" i="5" s="1"/>
  <c r="F278" i="6" s="1"/>
  <c r="X272" i="5" a="1"/>
  <c r="X272" i="5" s="1"/>
  <c r="T270" i="6" s="1"/>
  <c r="G272" i="5" a="1"/>
  <c r="G272" i="5" s="1"/>
  <c r="C270" i="6" s="1"/>
  <c r="L272" i="5" a="1"/>
  <c r="L272" i="5" s="1"/>
  <c r="H270" i="6" s="1"/>
  <c r="H272" i="5" a="1"/>
  <c r="H272" i="5" s="1"/>
  <c r="D270" i="6" s="1"/>
  <c r="K272" i="5" a="1"/>
  <c r="K272" i="5" s="1"/>
  <c r="G270" i="6" s="1"/>
  <c r="E272" i="5" a="1"/>
  <c r="E272" i="5" s="1"/>
  <c r="A270" i="6" s="1"/>
  <c r="J272" i="5" a="1"/>
  <c r="J272" i="5" s="1"/>
  <c r="F270" i="6" s="1"/>
  <c r="F272" i="5" a="1"/>
  <c r="F272" i="5" s="1"/>
  <c r="B270" i="6" s="1"/>
  <c r="V264" i="5" a="1"/>
  <c r="V264" i="5" s="1"/>
  <c r="R262" i="6" s="1"/>
  <c r="G264" i="5" a="1"/>
  <c r="G264" i="5" s="1"/>
  <c r="C262" i="6" s="1"/>
  <c r="L264" i="5" a="1"/>
  <c r="L264" i="5" s="1"/>
  <c r="H262" i="6" s="1"/>
  <c r="H264" i="5" a="1"/>
  <c r="H264" i="5" s="1"/>
  <c r="D262" i="6" s="1"/>
  <c r="K264" i="5" a="1"/>
  <c r="K264" i="5" s="1"/>
  <c r="G262" i="6" s="1"/>
  <c r="J264" i="5" a="1"/>
  <c r="J264" i="5" s="1"/>
  <c r="F262" i="6" s="1"/>
  <c r="I264" i="5" a="1"/>
  <c r="I264" i="5" s="1"/>
  <c r="E262" i="6" s="1"/>
  <c r="F264" i="5" a="1"/>
  <c r="F264" i="5" s="1"/>
  <c r="B262" i="6" s="1"/>
  <c r="G256" i="5" a="1"/>
  <c r="G256" i="5" s="1"/>
  <c r="C254" i="6" s="1"/>
  <c r="L256" i="5" a="1"/>
  <c r="L256" i="5" s="1"/>
  <c r="H254" i="6" s="1"/>
  <c r="H256" i="5" a="1"/>
  <c r="H256" i="5" s="1"/>
  <c r="D254" i="6" s="1"/>
  <c r="K256" i="5" a="1"/>
  <c r="K256" i="5" s="1"/>
  <c r="G254" i="6" s="1"/>
  <c r="I256" i="5" a="1"/>
  <c r="I256" i="5" s="1"/>
  <c r="E254" i="6" s="1"/>
  <c r="F256" i="5" a="1"/>
  <c r="F256" i="5" s="1"/>
  <c r="B254" i="6" s="1"/>
  <c r="E256" i="5" a="1"/>
  <c r="E256" i="5" s="1"/>
  <c r="A254" i="6" s="1"/>
  <c r="G248" i="5" a="1"/>
  <c r="G248" i="5" s="1"/>
  <c r="C246" i="6" s="1"/>
  <c r="L248" i="5" a="1"/>
  <c r="L248" i="5" s="1"/>
  <c r="H246" i="6" s="1"/>
  <c r="H248" i="5" a="1"/>
  <c r="H248" i="5" s="1"/>
  <c r="D246" i="6" s="1"/>
  <c r="K248" i="5" a="1"/>
  <c r="K248" i="5" s="1"/>
  <c r="G246" i="6" s="1"/>
  <c r="F248" i="5" a="1"/>
  <c r="F248" i="5" s="1"/>
  <c r="B246" i="6" s="1"/>
  <c r="E248" i="5" a="1"/>
  <c r="E248" i="5" s="1"/>
  <c r="A246" i="6" s="1"/>
  <c r="I248" i="5" a="1"/>
  <c r="I248" i="5" s="1"/>
  <c r="E246" i="6" s="1"/>
  <c r="J248" i="5" a="1"/>
  <c r="J248" i="5" s="1"/>
  <c r="F246" i="6" s="1"/>
  <c r="X240" i="5" a="1"/>
  <c r="X240" i="5" s="1"/>
  <c r="T238" i="6" s="1"/>
  <c r="G240" i="5" a="1"/>
  <c r="G240" i="5" s="1"/>
  <c r="C238" i="6" s="1"/>
  <c r="K240" i="5" a="1"/>
  <c r="K240" i="5" s="1"/>
  <c r="G238" i="6" s="1"/>
  <c r="E240" i="5" a="1"/>
  <c r="E240" i="5" s="1"/>
  <c r="A238" i="6" s="1"/>
  <c r="J240" i="5" a="1"/>
  <c r="J240" i="5" s="1"/>
  <c r="F238" i="6" s="1"/>
  <c r="F240" i="5" a="1"/>
  <c r="F240" i="5" s="1"/>
  <c r="B238" i="6" s="1"/>
  <c r="H240" i="5" a="1"/>
  <c r="H240" i="5" s="1"/>
  <c r="D238" i="6" s="1"/>
  <c r="L240" i="5" a="1"/>
  <c r="L240" i="5" s="1"/>
  <c r="H238" i="6" s="1"/>
  <c r="R232" i="5" a="1"/>
  <c r="R232" i="5" s="1"/>
  <c r="N230" i="6" s="1"/>
  <c r="G232" i="5" a="1"/>
  <c r="G232" i="5" s="1"/>
  <c r="C230" i="6" s="1"/>
  <c r="I232" i="5" a="1"/>
  <c r="I232" i="5" s="1"/>
  <c r="E230" i="6" s="1"/>
  <c r="K232" i="5" a="1"/>
  <c r="K232" i="5" s="1"/>
  <c r="G230" i="6" s="1"/>
  <c r="H232" i="5" a="1"/>
  <c r="H232" i="5" s="1"/>
  <c r="D230" i="6" s="1"/>
  <c r="L232" i="5" a="1"/>
  <c r="L232" i="5" s="1"/>
  <c r="H230" i="6" s="1"/>
  <c r="J232" i="5" a="1"/>
  <c r="J232" i="5" s="1"/>
  <c r="F230" i="6" s="1"/>
  <c r="F232" i="5" a="1"/>
  <c r="F232" i="5" s="1"/>
  <c r="B230" i="6" s="1"/>
  <c r="G224" i="5" a="1"/>
  <c r="G224" i="5" s="1"/>
  <c r="C222" i="6" s="1"/>
  <c r="I224" i="5" a="1"/>
  <c r="I224" i="5" s="1"/>
  <c r="E222" i="6" s="1"/>
  <c r="K224" i="5" a="1"/>
  <c r="K224" i="5" s="1"/>
  <c r="G222" i="6" s="1"/>
  <c r="F224" i="5" a="1"/>
  <c r="F224" i="5" s="1"/>
  <c r="B222" i="6" s="1"/>
  <c r="E224" i="5" a="1"/>
  <c r="E224" i="5" s="1"/>
  <c r="A222" i="6" s="1"/>
  <c r="L224" i="5" a="1"/>
  <c r="L224" i="5" s="1"/>
  <c r="H222" i="6" s="1"/>
  <c r="H224" i="5" a="1"/>
  <c r="H224" i="5" s="1"/>
  <c r="D222" i="6" s="1"/>
  <c r="V216" i="5" a="1"/>
  <c r="V216" i="5" s="1"/>
  <c r="R214" i="6" s="1"/>
  <c r="J216" i="5" a="1"/>
  <c r="J216" i="5" s="1"/>
  <c r="F214" i="6" s="1"/>
  <c r="G216" i="5" a="1"/>
  <c r="G216" i="5" s="1"/>
  <c r="C214" i="6" s="1"/>
  <c r="I216" i="5" a="1"/>
  <c r="I216" i="5" s="1"/>
  <c r="E214" i="6" s="1"/>
  <c r="F216" i="5" a="1"/>
  <c r="F216" i="5" s="1"/>
  <c r="B214" i="6" s="1"/>
  <c r="L216" i="5" a="1"/>
  <c r="L216" i="5" s="1"/>
  <c r="H214" i="6" s="1"/>
  <c r="K216" i="5" a="1"/>
  <c r="K216" i="5" s="1"/>
  <c r="G214" i="6" s="1"/>
  <c r="X208" i="5" a="1"/>
  <c r="X208" i="5" s="1"/>
  <c r="T206" i="6" s="1"/>
  <c r="J208" i="5" a="1"/>
  <c r="J208" i="5" s="1"/>
  <c r="F206" i="6" s="1"/>
  <c r="F208" i="5" a="1"/>
  <c r="F208" i="5" s="1"/>
  <c r="B206" i="6" s="1"/>
  <c r="G208" i="5" a="1"/>
  <c r="G208" i="5" s="1"/>
  <c r="C206" i="6" s="1"/>
  <c r="H208" i="5" a="1"/>
  <c r="H208" i="5" s="1"/>
  <c r="D206" i="6" s="1"/>
  <c r="I208" i="5" a="1"/>
  <c r="I208" i="5" s="1"/>
  <c r="E206" i="6" s="1"/>
  <c r="E208" i="5" a="1"/>
  <c r="E208" i="5" s="1"/>
  <c r="A206" i="6" s="1"/>
  <c r="K208" i="5" a="1"/>
  <c r="K208" i="5" s="1"/>
  <c r="G206" i="6" s="1"/>
  <c r="U200" i="5" a="1"/>
  <c r="U200" i="5" s="1"/>
  <c r="Q198" i="6" s="1"/>
  <c r="J200" i="5" a="1"/>
  <c r="J200" i="5" s="1"/>
  <c r="F198" i="6" s="1"/>
  <c r="F200" i="5" a="1"/>
  <c r="F200" i="5" s="1"/>
  <c r="B198" i="6" s="1"/>
  <c r="G200" i="5" a="1"/>
  <c r="G200" i="5" s="1"/>
  <c r="C198" i="6" s="1"/>
  <c r="E200" i="5" a="1"/>
  <c r="E200" i="5" s="1"/>
  <c r="A198" i="6" s="1"/>
  <c r="H200" i="5" a="1"/>
  <c r="H200" i="5" s="1"/>
  <c r="D198" i="6" s="1"/>
  <c r="L200" i="5" a="1"/>
  <c r="L200" i="5" s="1"/>
  <c r="H198" i="6" s="1"/>
  <c r="K200" i="5" a="1"/>
  <c r="K200" i="5" s="1"/>
  <c r="G198" i="6" s="1"/>
  <c r="X192" i="5" a="1"/>
  <c r="X192" i="5" s="1"/>
  <c r="T190" i="6" s="1"/>
  <c r="J192" i="5" a="1"/>
  <c r="J192" i="5" s="1"/>
  <c r="F190" i="6" s="1"/>
  <c r="F192" i="5" a="1"/>
  <c r="F192" i="5" s="1"/>
  <c r="B190" i="6" s="1"/>
  <c r="G192" i="5" a="1"/>
  <c r="G192" i="5" s="1"/>
  <c r="C190" i="6" s="1"/>
  <c r="K192" i="5" a="1"/>
  <c r="K192" i="5" s="1"/>
  <c r="G190" i="6" s="1"/>
  <c r="H192" i="5" a="1"/>
  <c r="H192" i="5" s="1"/>
  <c r="D190" i="6" s="1"/>
  <c r="E192" i="5" a="1"/>
  <c r="E192" i="5" s="1"/>
  <c r="A190" i="6" s="1"/>
  <c r="I192" i="5" a="1"/>
  <c r="I192" i="5" s="1"/>
  <c r="E190" i="6" s="1"/>
  <c r="L192" i="5" a="1"/>
  <c r="L192" i="5" s="1"/>
  <c r="H190" i="6" s="1"/>
  <c r="S184" i="5" a="1"/>
  <c r="S184" i="5" s="1"/>
  <c r="O182" i="6" s="1"/>
  <c r="J184" i="5" a="1"/>
  <c r="J184" i="5" s="1"/>
  <c r="F182" i="6" s="1"/>
  <c r="F184" i="5" a="1"/>
  <c r="F184" i="5" s="1"/>
  <c r="B182" i="6" s="1"/>
  <c r="G184" i="5" a="1"/>
  <c r="G184" i="5" s="1"/>
  <c r="C182" i="6" s="1"/>
  <c r="I184" i="5" a="1"/>
  <c r="I184" i="5" s="1"/>
  <c r="E182" i="6" s="1"/>
  <c r="L184" i="5" a="1"/>
  <c r="L184" i="5" s="1"/>
  <c r="H182" i="6" s="1"/>
  <c r="H184" i="5" a="1"/>
  <c r="H184" i="5" s="1"/>
  <c r="D182" i="6" s="1"/>
  <c r="K184" i="5" a="1"/>
  <c r="K184" i="5" s="1"/>
  <c r="G182" i="6" s="1"/>
  <c r="E184" i="5" a="1"/>
  <c r="E184" i="5" s="1"/>
  <c r="A182" i="6" s="1"/>
  <c r="X176" i="5" a="1"/>
  <c r="X176" i="5" s="1"/>
  <c r="T174" i="6" s="1"/>
  <c r="J176" i="5" a="1"/>
  <c r="J176" i="5" s="1"/>
  <c r="F174" i="6" s="1"/>
  <c r="F176" i="5" a="1"/>
  <c r="F176" i="5" s="1"/>
  <c r="B174" i="6" s="1"/>
  <c r="G176" i="5" a="1"/>
  <c r="G176" i="5" s="1"/>
  <c r="C174" i="6" s="1"/>
  <c r="E176" i="5" a="1"/>
  <c r="E176" i="5" s="1"/>
  <c r="A174" i="6" s="1"/>
  <c r="H176" i="5" a="1"/>
  <c r="H176" i="5" s="1"/>
  <c r="D174" i="6" s="1"/>
  <c r="K176" i="5" a="1"/>
  <c r="K176" i="5" s="1"/>
  <c r="G174" i="6" s="1"/>
  <c r="L176" i="5" a="1"/>
  <c r="L176" i="5" s="1"/>
  <c r="H174" i="6" s="1"/>
  <c r="W168" i="5" a="1"/>
  <c r="W168" i="5" s="1"/>
  <c r="S166" i="6" s="1"/>
  <c r="J168" i="5" a="1"/>
  <c r="J168" i="5" s="1"/>
  <c r="F166" i="6" s="1"/>
  <c r="F168" i="5" a="1"/>
  <c r="F168" i="5" s="1"/>
  <c r="B166" i="6" s="1"/>
  <c r="G168" i="5" a="1"/>
  <c r="G168" i="5" s="1"/>
  <c r="C166" i="6" s="1"/>
  <c r="E168" i="5" a="1"/>
  <c r="E168" i="5" s="1"/>
  <c r="A166" i="6" s="1"/>
  <c r="H168" i="5" a="1"/>
  <c r="H168" i="5" s="1"/>
  <c r="D166" i="6" s="1"/>
  <c r="L168" i="5" a="1"/>
  <c r="L168" i="5" s="1"/>
  <c r="H166" i="6" s="1"/>
  <c r="K168" i="5" a="1"/>
  <c r="K168" i="5" s="1"/>
  <c r="G166" i="6" s="1"/>
  <c r="I168" i="5" a="1"/>
  <c r="I168" i="5" s="1"/>
  <c r="E166" i="6" s="1"/>
  <c r="J160" i="5" a="1"/>
  <c r="J160" i="5" s="1"/>
  <c r="F158" i="6" s="1"/>
  <c r="F160" i="5" a="1"/>
  <c r="F160" i="5" s="1"/>
  <c r="B158" i="6" s="1"/>
  <c r="E160" i="5" a="1"/>
  <c r="E160" i="5" s="1"/>
  <c r="A158" i="6" s="1"/>
  <c r="L160" i="5" a="1"/>
  <c r="L160" i="5" s="1"/>
  <c r="H158" i="6" s="1"/>
  <c r="K160" i="5" a="1"/>
  <c r="K160" i="5" s="1"/>
  <c r="G158" i="6" s="1"/>
  <c r="I160" i="5" a="1"/>
  <c r="I160" i="5" s="1"/>
  <c r="E158" i="6" s="1"/>
  <c r="H160" i="5" a="1"/>
  <c r="H160" i="5" s="1"/>
  <c r="D158" i="6" s="1"/>
  <c r="G160" i="5" a="1"/>
  <c r="G160" i="5" s="1"/>
  <c r="C158" i="6" s="1"/>
  <c r="E152" i="5" a="1"/>
  <c r="E152" i="5" s="1"/>
  <c r="A150" i="6" s="1"/>
  <c r="J152" i="5" a="1"/>
  <c r="J152" i="5" s="1"/>
  <c r="F150" i="6" s="1"/>
  <c r="F152" i="5" a="1"/>
  <c r="F152" i="5" s="1"/>
  <c r="B150" i="6" s="1"/>
  <c r="K152" i="5" a="1"/>
  <c r="K152" i="5" s="1"/>
  <c r="G150" i="6" s="1"/>
  <c r="H152" i="5" a="1"/>
  <c r="H152" i="5" s="1"/>
  <c r="D150" i="6" s="1"/>
  <c r="I152" i="5" a="1"/>
  <c r="I152" i="5" s="1"/>
  <c r="E150" i="6" s="1"/>
  <c r="L152" i="5" a="1"/>
  <c r="L152" i="5" s="1"/>
  <c r="H150" i="6" s="1"/>
  <c r="T136" i="5" a="1"/>
  <c r="T136" i="5" s="1"/>
  <c r="P134" i="6" s="1"/>
  <c r="E136" i="5" a="1"/>
  <c r="E136" i="5" s="1"/>
  <c r="A134" i="6" s="1"/>
  <c r="H136" i="5" a="1"/>
  <c r="H136" i="5" s="1"/>
  <c r="D134" i="6" s="1"/>
  <c r="G136" i="5" a="1"/>
  <c r="G136" i="5" s="1"/>
  <c r="C134" i="6" s="1"/>
  <c r="L136" i="5" a="1"/>
  <c r="L136" i="5" s="1"/>
  <c r="H134" i="6" s="1"/>
  <c r="F136" i="5" a="1"/>
  <c r="F136" i="5" s="1"/>
  <c r="B134" i="6" s="1"/>
  <c r="I136" i="5" a="1"/>
  <c r="I136" i="5" s="1"/>
  <c r="E134" i="6" s="1"/>
  <c r="J136" i="5" a="1"/>
  <c r="J136" i="5" s="1"/>
  <c r="F134" i="6" s="1"/>
  <c r="K136" i="5" a="1"/>
  <c r="K136" i="5" s="1"/>
  <c r="G134" i="6" s="1"/>
  <c r="L128" i="5" a="1"/>
  <c r="L128" i="5" s="1"/>
  <c r="H126" i="6" s="1"/>
  <c r="H128" i="5" a="1"/>
  <c r="H128" i="5" s="1"/>
  <c r="D126" i="6" s="1"/>
  <c r="I128" i="5" a="1"/>
  <c r="I128" i="5" s="1"/>
  <c r="E126" i="6" s="1"/>
  <c r="E128" i="5" a="1"/>
  <c r="E128" i="5" s="1"/>
  <c r="A126" i="6" s="1"/>
  <c r="K128" i="5" a="1"/>
  <c r="K128" i="5" s="1"/>
  <c r="G126" i="6" s="1"/>
  <c r="F128" i="5" a="1"/>
  <c r="F128" i="5" s="1"/>
  <c r="B126" i="6" s="1"/>
  <c r="G128" i="5" a="1"/>
  <c r="G128" i="5" s="1"/>
  <c r="C126" i="6" s="1"/>
  <c r="J128" i="5" a="1"/>
  <c r="J128" i="5" s="1"/>
  <c r="F126" i="6" s="1"/>
  <c r="L120" i="5" a="1"/>
  <c r="L120" i="5" s="1"/>
  <c r="H118" i="6" s="1"/>
  <c r="H120" i="5" a="1"/>
  <c r="H120" i="5" s="1"/>
  <c r="D118" i="6" s="1"/>
  <c r="I120" i="5" a="1"/>
  <c r="I120" i="5" s="1"/>
  <c r="E118" i="6" s="1"/>
  <c r="J120" i="5" a="1"/>
  <c r="J120" i="5" s="1"/>
  <c r="F118" i="6" s="1"/>
  <c r="K120" i="5" a="1"/>
  <c r="K120" i="5" s="1"/>
  <c r="G118" i="6" s="1"/>
  <c r="G120" i="5" a="1"/>
  <c r="G120" i="5" s="1"/>
  <c r="C118" i="6" s="1"/>
  <c r="F120" i="5" a="1"/>
  <c r="F120" i="5" s="1"/>
  <c r="B118" i="6" s="1"/>
  <c r="E120" i="5" a="1"/>
  <c r="E120" i="5" s="1"/>
  <c r="A118" i="6" s="1"/>
  <c r="X112" i="5" a="1"/>
  <c r="X112" i="5" s="1"/>
  <c r="T110" i="6" s="1"/>
  <c r="L112" i="5" a="1"/>
  <c r="L112" i="5" s="1"/>
  <c r="H110" i="6" s="1"/>
  <c r="H112" i="5" a="1"/>
  <c r="H112" i="5" s="1"/>
  <c r="D110" i="6" s="1"/>
  <c r="I112" i="5" a="1"/>
  <c r="I112" i="5" s="1"/>
  <c r="E110" i="6" s="1"/>
  <c r="G112" i="5" a="1"/>
  <c r="G112" i="5" s="1"/>
  <c r="C110" i="6" s="1"/>
  <c r="K112" i="5" a="1"/>
  <c r="K112" i="5" s="1"/>
  <c r="G110" i="6" s="1"/>
  <c r="F112" i="5" a="1"/>
  <c r="F112" i="5" s="1"/>
  <c r="B110" i="6" s="1"/>
  <c r="J112" i="5" a="1"/>
  <c r="J112" i="5" s="1"/>
  <c r="F110" i="6" s="1"/>
  <c r="E112" i="5" a="1"/>
  <c r="E112" i="5" s="1"/>
  <c r="A110" i="6" s="1"/>
  <c r="W104" i="5" a="1"/>
  <c r="W104" i="5" s="1"/>
  <c r="S102" i="6" s="1"/>
  <c r="L104" i="5" a="1"/>
  <c r="L104" i="5" s="1"/>
  <c r="H102" i="6" s="1"/>
  <c r="H104" i="5" a="1"/>
  <c r="H104" i="5" s="1"/>
  <c r="D102" i="6" s="1"/>
  <c r="I104" i="5" a="1"/>
  <c r="I104" i="5" s="1"/>
  <c r="E102" i="6" s="1"/>
  <c r="F104" i="5" a="1"/>
  <c r="F104" i="5" s="1"/>
  <c r="B102" i="6" s="1"/>
  <c r="G104" i="5" a="1"/>
  <c r="G104" i="5" s="1"/>
  <c r="C102" i="6" s="1"/>
  <c r="E104" i="5" a="1"/>
  <c r="E104" i="5" s="1"/>
  <c r="A102" i="6" s="1"/>
  <c r="K104" i="5" a="1"/>
  <c r="K104" i="5" s="1"/>
  <c r="G102" i="6" s="1"/>
  <c r="E96" i="5" a="1"/>
  <c r="E96" i="5" s="1"/>
  <c r="A94" i="6" s="1"/>
  <c r="I96" i="5" a="1"/>
  <c r="I96" i="5" s="1"/>
  <c r="E94" i="6" s="1"/>
  <c r="H96" i="5" a="1"/>
  <c r="H96" i="5" s="1"/>
  <c r="D94" i="6" s="1"/>
  <c r="J96" i="5" a="1"/>
  <c r="J96" i="5" s="1"/>
  <c r="F94" i="6" s="1"/>
  <c r="L96" i="5" a="1"/>
  <c r="L96" i="5" s="1"/>
  <c r="H94" i="6" s="1"/>
  <c r="K96" i="5" a="1"/>
  <c r="K96" i="5" s="1"/>
  <c r="G94" i="6" s="1"/>
  <c r="F96" i="5" a="1"/>
  <c r="F96" i="5" s="1"/>
  <c r="B94" i="6" s="1"/>
  <c r="G96" i="5" a="1"/>
  <c r="G96" i="5" s="1"/>
  <c r="C94" i="6" s="1"/>
  <c r="W88" i="5" a="1"/>
  <c r="W88" i="5" s="1"/>
  <c r="S86" i="6" s="1"/>
  <c r="E88" i="5" a="1"/>
  <c r="E88" i="5" s="1"/>
  <c r="A86" i="6" s="1"/>
  <c r="I88" i="5" a="1"/>
  <c r="I88" i="5" s="1"/>
  <c r="E86" i="6" s="1"/>
  <c r="H88" i="5" a="1"/>
  <c r="H88" i="5" s="1"/>
  <c r="D86" i="6" s="1"/>
  <c r="J88" i="5" a="1"/>
  <c r="J88" i="5" s="1"/>
  <c r="F86" i="6" s="1"/>
  <c r="G88" i="5" a="1"/>
  <c r="G88" i="5" s="1"/>
  <c r="C86" i="6" s="1"/>
  <c r="F88" i="5" a="1"/>
  <c r="F88" i="5" s="1"/>
  <c r="B86" i="6" s="1"/>
  <c r="L88" i="5" a="1"/>
  <c r="L88" i="5" s="1"/>
  <c r="H86" i="6" s="1"/>
  <c r="K88" i="5" a="1"/>
  <c r="K88" i="5" s="1"/>
  <c r="G86" i="6" s="1"/>
  <c r="K66" i="5" a="1"/>
  <c r="K66" i="5" s="1"/>
  <c r="G64" i="6" s="1"/>
  <c r="F34" i="5" a="1"/>
  <c r="F34" i="5" s="1"/>
  <c r="B32" i="6" s="1"/>
  <c r="J416" i="5" a="1"/>
  <c r="J416" i="5" s="1"/>
  <c r="F414" i="6" s="1"/>
  <c r="I385" i="5" a="1"/>
  <c r="I385" i="5" s="1"/>
  <c r="E383" i="6" s="1"/>
  <c r="I353" i="5" a="1"/>
  <c r="I353" i="5" s="1"/>
  <c r="E351" i="6" s="1"/>
  <c r="J329" i="5" a="1"/>
  <c r="J329" i="5" s="1"/>
  <c r="F327" i="6" s="1"/>
  <c r="L322" i="5" a="1"/>
  <c r="L322" i="5" s="1"/>
  <c r="H320" i="6" s="1"/>
  <c r="K298" i="5" a="1"/>
  <c r="K298" i="5" s="1"/>
  <c r="G296" i="6" s="1"/>
  <c r="H80" i="5" a="1"/>
  <c r="H80" i="5" s="1"/>
  <c r="D78" i="6" s="1"/>
  <c r="J74" i="5" a="1"/>
  <c r="J74" i="5" s="1"/>
  <c r="F72" i="6" s="1"/>
  <c r="I66" i="5" a="1"/>
  <c r="I66" i="5" s="1"/>
  <c r="E64" i="6" s="1"/>
  <c r="K26" i="5" a="1"/>
  <c r="K26" i="5" s="1"/>
  <c r="G24" i="6" s="1"/>
  <c r="K10" i="5" a="1"/>
  <c r="K10" i="5" s="1"/>
  <c r="G8" i="6" s="1"/>
  <c r="J322" i="5" a="1"/>
  <c r="J322" i="5" s="1"/>
  <c r="F320" i="6" s="1"/>
  <c r="H296" i="5" a="1"/>
  <c r="H296" i="5" s="1"/>
  <c r="D294" i="6" s="1"/>
  <c r="F274" i="5" a="1"/>
  <c r="F274" i="5" s="1"/>
  <c r="B272" i="6" s="1"/>
  <c r="K266" i="5" a="1"/>
  <c r="K266" i="5" s="1"/>
  <c r="G264" i="6" s="1"/>
  <c r="H66" i="5" a="1"/>
  <c r="H66" i="5" s="1"/>
  <c r="D64" i="6" s="1"/>
  <c r="F58" i="5" a="1"/>
  <c r="F58" i="5" s="1"/>
  <c r="B56" i="6" s="1"/>
  <c r="K42" i="5" a="1"/>
  <c r="K42" i="5" s="1"/>
  <c r="G40" i="6" s="1"/>
  <c r="F18" i="5" a="1"/>
  <c r="F18" i="5" s="1"/>
  <c r="B16" i="6" s="1"/>
  <c r="F394" i="5" a="1"/>
  <c r="F394" i="5" s="1"/>
  <c r="B392" i="6" s="1"/>
  <c r="F385" i="5" a="1"/>
  <c r="F385" i="5" s="1"/>
  <c r="B383" i="6" s="1"/>
  <c r="K330" i="5" a="1"/>
  <c r="K330" i="5" s="1"/>
  <c r="G328" i="6" s="1"/>
  <c r="F329" i="5" a="1"/>
  <c r="F329" i="5" s="1"/>
  <c r="B327" i="6" s="1"/>
  <c r="I305" i="5" a="1"/>
  <c r="I305" i="5" s="1"/>
  <c r="E303" i="6" s="1"/>
  <c r="K302" i="5" a="1"/>
  <c r="K302" i="5" s="1"/>
  <c r="G300" i="6" s="1"/>
  <c r="G288" i="5" a="1"/>
  <c r="G288" i="5" s="1"/>
  <c r="C286" i="6" s="1"/>
  <c r="L273" i="5" a="1"/>
  <c r="L273" i="5" s="1"/>
  <c r="H271" i="6" s="1"/>
  <c r="H412" i="5" a="1"/>
  <c r="H412" i="5" s="1"/>
  <c r="D410" i="6" s="1"/>
  <c r="L412" i="5" a="1"/>
  <c r="L412" i="5" s="1"/>
  <c r="H410" i="6" s="1"/>
  <c r="G412" i="5" a="1"/>
  <c r="G412" i="5" s="1"/>
  <c r="C410" i="6" s="1"/>
  <c r="K412" i="5" a="1"/>
  <c r="K412" i="5" s="1"/>
  <c r="G410" i="6" s="1"/>
  <c r="I412" i="5" a="1"/>
  <c r="I412" i="5" s="1"/>
  <c r="E410" i="6" s="1"/>
  <c r="F412" i="5" a="1"/>
  <c r="F412" i="5" s="1"/>
  <c r="B410" i="6" s="1"/>
  <c r="H404" i="5" a="1"/>
  <c r="H404" i="5" s="1"/>
  <c r="D402" i="6" s="1"/>
  <c r="L404" i="5" a="1"/>
  <c r="L404" i="5" s="1"/>
  <c r="H402" i="6" s="1"/>
  <c r="G404" i="5" a="1"/>
  <c r="G404" i="5" s="1"/>
  <c r="C402" i="6" s="1"/>
  <c r="K404" i="5" a="1"/>
  <c r="K404" i="5" s="1"/>
  <c r="G402" i="6" s="1"/>
  <c r="I404" i="5" a="1"/>
  <c r="I404" i="5" s="1"/>
  <c r="E402" i="6" s="1"/>
  <c r="F404" i="5" a="1"/>
  <c r="F404" i="5" s="1"/>
  <c r="B402" i="6" s="1"/>
  <c r="X396" i="5" a="1"/>
  <c r="X396" i="5" s="1"/>
  <c r="T394" i="6" s="1"/>
  <c r="H396" i="5" a="1"/>
  <c r="H396" i="5" s="1"/>
  <c r="D394" i="6" s="1"/>
  <c r="L396" i="5" a="1"/>
  <c r="L396" i="5" s="1"/>
  <c r="H394" i="6" s="1"/>
  <c r="G396" i="5" a="1"/>
  <c r="G396" i="5" s="1"/>
  <c r="C394" i="6" s="1"/>
  <c r="K396" i="5" a="1"/>
  <c r="K396" i="5" s="1"/>
  <c r="G394" i="6" s="1"/>
  <c r="I396" i="5" a="1"/>
  <c r="I396" i="5" s="1"/>
  <c r="E394" i="6" s="1"/>
  <c r="F396" i="5" a="1"/>
  <c r="F396" i="5" s="1"/>
  <c r="B394" i="6" s="1"/>
  <c r="W388" i="5" a="1"/>
  <c r="W388" i="5" s="1"/>
  <c r="S386" i="6" s="1"/>
  <c r="H388" i="5" a="1"/>
  <c r="H388" i="5" s="1"/>
  <c r="D386" i="6" s="1"/>
  <c r="L388" i="5" a="1"/>
  <c r="L388" i="5" s="1"/>
  <c r="H386" i="6" s="1"/>
  <c r="G388" i="5" a="1"/>
  <c r="G388" i="5" s="1"/>
  <c r="C386" i="6" s="1"/>
  <c r="K388" i="5" a="1"/>
  <c r="K388" i="5" s="1"/>
  <c r="G386" i="6" s="1"/>
  <c r="I388" i="5" a="1"/>
  <c r="I388" i="5" s="1"/>
  <c r="E386" i="6" s="1"/>
  <c r="F388" i="5" a="1"/>
  <c r="F388" i="5" s="1"/>
  <c r="B386" i="6" s="1"/>
  <c r="X380" i="5" a="1"/>
  <c r="X380" i="5" s="1"/>
  <c r="T378" i="6" s="1"/>
  <c r="H380" i="5" a="1"/>
  <c r="H380" i="5" s="1"/>
  <c r="D378" i="6" s="1"/>
  <c r="L380" i="5" a="1"/>
  <c r="L380" i="5" s="1"/>
  <c r="H378" i="6" s="1"/>
  <c r="G380" i="5" a="1"/>
  <c r="G380" i="5" s="1"/>
  <c r="C378" i="6" s="1"/>
  <c r="K380" i="5" a="1"/>
  <c r="K380" i="5" s="1"/>
  <c r="G378" i="6" s="1"/>
  <c r="I380" i="5" a="1"/>
  <c r="I380" i="5" s="1"/>
  <c r="E378" i="6" s="1"/>
  <c r="F380" i="5" a="1"/>
  <c r="F380" i="5" s="1"/>
  <c r="B378" i="6" s="1"/>
  <c r="X372" i="5" a="1"/>
  <c r="X372" i="5" s="1"/>
  <c r="T370" i="6" s="1"/>
  <c r="H372" i="5" a="1"/>
  <c r="H372" i="5" s="1"/>
  <c r="D370" i="6" s="1"/>
  <c r="L372" i="5" a="1"/>
  <c r="L372" i="5" s="1"/>
  <c r="H370" i="6" s="1"/>
  <c r="G372" i="5" a="1"/>
  <c r="G372" i="5" s="1"/>
  <c r="C370" i="6" s="1"/>
  <c r="K372" i="5" a="1"/>
  <c r="K372" i="5" s="1"/>
  <c r="G370" i="6" s="1"/>
  <c r="I372" i="5" a="1"/>
  <c r="I372" i="5" s="1"/>
  <c r="E370" i="6" s="1"/>
  <c r="F372" i="5" a="1"/>
  <c r="F372" i="5" s="1"/>
  <c r="B370" i="6" s="1"/>
  <c r="X364" i="5" a="1"/>
  <c r="X364" i="5" s="1"/>
  <c r="T362" i="6" s="1"/>
  <c r="H364" i="5" a="1"/>
  <c r="H364" i="5" s="1"/>
  <c r="D362" i="6" s="1"/>
  <c r="L364" i="5" a="1"/>
  <c r="L364" i="5" s="1"/>
  <c r="H362" i="6" s="1"/>
  <c r="G364" i="5" a="1"/>
  <c r="G364" i="5" s="1"/>
  <c r="C362" i="6" s="1"/>
  <c r="K364" i="5" a="1"/>
  <c r="K364" i="5" s="1"/>
  <c r="G362" i="6" s="1"/>
  <c r="I364" i="5" a="1"/>
  <c r="I364" i="5" s="1"/>
  <c r="E362" i="6" s="1"/>
  <c r="F364" i="5" a="1"/>
  <c r="F364" i="5" s="1"/>
  <c r="B362" i="6" s="1"/>
  <c r="W356" i="5" a="1"/>
  <c r="W356" i="5" s="1"/>
  <c r="S354" i="6" s="1"/>
  <c r="H356" i="5" a="1"/>
  <c r="H356" i="5" s="1"/>
  <c r="D354" i="6" s="1"/>
  <c r="L356" i="5" a="1"/>
  <c r="L356" i="5" s="1"/>
  <c r="H354" i="6" s="1"/>
  <c r="G356" i="5" a="1"/>
  <c r="G356" i="5" s="1"/>
  <c r="C354" i="6" s="1"/>
  <c r="K356" i="5" a="1"/>
  <c r="K356" i="5" s="1"/>
  <c r="G354" i="6" s="1"/>
  <c r="I356" i="5" a="1"/>
  <c r="I356" i="5" s="1"/>
  <c r="E354" i="6" s="1"/>
  <c r="F356" i="5" a="1"/>
  <c r="F356" i="5" s="1"/>
  <c r="B354" i="6" s="1"/>
  <c r="F348" i="5" a="1"/>
  <c r="F348" i="5" s="1"/>
  <c r="B346" i="6" s="1"/>
  <c r="K348" i="5" a="1"/>
  <c r="K348" i="5" s="1"/>
  <c r="G346" i="6" s="1"/>
  <c r="J348" i="5" a="1"/>
  <c r="J348" i="5" s="1"/>
  <c r="F346" i="6" s="1"/>
  <c r="L348" i="5" a="1"/>
  <c r="L348" i="5" s="1"/>
  <c r="H346" i="6" s="1"/>
  <c r="G348" i="5" a="1"/>
  <c r="G348" i="5" s="1"/>
  <c r="C346" i="6" s="1"/>
  <c r="V340" i="5" a="1"/>
  <c r="V340" i="5" s="1"/>
  <c r="R338" i="6" s="1"/>
  <c r="F340" i="5" a="1"/>
  <c r="F340" i="5" s="1"/>
  <c r="B338" i="6" s="1"/>
  <c r="K340" i="5" a="1"/>
  <c r="K340" i="5" s="1"/>
  <c r="G338" i="6" s="1"/>
  <c r="J340" i="5" a="1"/>
  <c r="J340" i="5" s="1"/>
  <c r="F338" i="6" s="1"/>
  <c r="I340" i="5" a="1"/>
  <c r="I340" i="5" s="1"/>
  <c r="E338" i="6" s="1"/>
  <c r="V332" i="5" a="1"/>
  <c r="V332" i="5" s="1"/>
  <c r="R330" i="6" s="1"/>
  <c r="F332" i="5" a="1"/>
  <c r="F332" i="5" s="1"/>
  <c r="B330" i="6" s="1"/>
  <c r="K332" i="5" a="1"/>
  <c r="K332" i="5" s="1"/>
  <c r="G330" i="6" s="1"/>
  <c r="J332" i="5" a="1"/>
  <c r="J332" i="5" s="1"/>
  <c r="F330" i="6" s="1"/>
  <c r="H332" i="5" a="1"/>
  <c r="H332" i="5" s="1"/>
  <c r="D330" i="6" s="1"/>
  <c r="G332" i="5" a="1"/>
  <c r="G332" i="5" s="1"/>
  <c r="C330" i="6" s="1"/>
  <c r="I332" i="5" a="1"/>
  <c r="I332" i="5" s="1"/>
  <c r="E330" i="6" s="1"/>
  <c r="E332" i="5" a="1"/>
  <c r="E332" i="5" s="1"/>
  <c r="A330" i="6" s="1"/>
  <c r="W324" i="5" a="1"/>
  <c r="W324" i="5" s="1"/>
  <c r="S322" i="6" s="1"/>
  <c r="F324" i="5" a="1"/>
  <c r="F324" i="5" s="1"/>
  <c r="B322" i="6" s="1"/>
  <c r="K324" i="5" a="1"/>
  <c r="K324" i="5" s="1"/>
  <c r="G322" i="6" s="1"/>
  <c r="J324" i="5" a="1"/>
  <c r="J324" i="5" s="1"/>
  <c r="F322" i="6" s="1"/>
  <c r="E324" i="5" a="1"/>
  <c r="E324" i="5" s="1"/>
  <c r="A322" i="6" s="1"/>
  <c r="G324" i="5" a="1"/>
  <c r="G324" i="5" s="1"/>
  <c r="C322" i="6" s="1"/>
  <c r="L324" i="5" a="1"/>
  <c r="L324" i="5" s="1"/>
  <c r="H322" i="6" s="1"/>
  <c r="F316" i="5" a="1"/>
  <c r="F316" i="5" s="1"/>
  <c r="B314" i="6" s="1"/>
  <c r="K316" i="5" a="1"/>
  <c r="K316" i="5" s="1"/>
  <c r="G314" i="6" s="1"/>
  <c r="J316" i="5" a="1"/>
  <c r="J316" i="5" s="1"/>
  <c r="F314" i="6" s="1"/>
  <c r="L316" i="5" a="1"/>
  <c r="L316" i="5" s="1"/>
  <c r="H314" i="6" s="1"/>
  <c r="I316" i="5" a="1"/>
  <c r="I316" i="5" s="1"/>
  <c r="E314" i="6" s="1"/>
  <c r="F308" i="5" a="1"/>
  <c r="F308" i="5" s="1"/>
  <c r="B306" i="6" s="1"/>
  <c r="K308" i="5" a="1"/>
  <c r="K308" i="5" s="1"/>
  <c r="G306" i="6" s="1"/>
  <c r="J308" i="5" a="1"/>
  <c r="J308" i="5" s="1"/>
  <c r="F306" i="6" s="1"/>
  <c r="I308" i="5" a="1"/>
  <c r="I308" i="5" s="1"/>
  <c r="E306" i="6" s="1"/>
  <c r="G308" i="5" a="1"/>
  <c r="G308" i="5" s="1"/>
  <c r="C306" i="6" s="1"/>
  <c r="F300" i="5" a="1"/>
  <c r="F300" i="5" s="1"/>
  <c r="B298" i="6" s="1"/>
  <c r="K300" i="5" a="1"/>
  <c r="K300" i="5" s="1"/>
  <c r="G298" i="6" s="1"/>
  <c r="J300" i="5" a="1"/>
  <c r="J300" i="5" s="1"/>
  <c r="F298" i="6" s="1"/>
  <c r="G300" i="5" a="1"/>
  <c r="G300" i="5" s="1"/>
  <c r="C298" i="6" s="1"/>
  <c r="H300" i="5" a="1"/>
  <c r="H300" i="5" s="1"/>
  <c r="D298" i="6" s="1"/>
  <c r="I300" i="5" a="1"/>
  <c r="I300" i="5" s="1"/>
  <c r="E298" i="6" s="1"/>
  <c r="H292" i="5" a="1"/>
  <c r="H292" i="5" s="1"/>
  <c r="D290" i="6" s="1"/>
  <c r="E292" i="5" a="1"/>
  <c r="E292" i="5" s="1"/>
  <c r="A290" i="6" s="1"/>
  <c r="J292" i="5" a="1"/>
  <c r="J292" i="5" s="1"/>
  <c r="F290" i="6" s="1"/>
  <c r="I292" i="5" a="1"/>
  <c r="I292" i="5" s="1"/>
  <c r="E290" i="6" s="1"/>
  <c r="K292" i="5" a="1"/>
  <c r="K292" i="5" s="1"/>
  <c r="G290" i="6" s="1"/>
  <c r="L292" i="5" a="1"/>
  <c r="L292" i="5" s="1"/>
  <c r="H290" i="6" s="1"/>
  <c r="F292" i="5" a="1"/>
  <c r="F292" i="5" s="1"/>
  <c r="B290" i="6" s="1"/>
  <c r="X284" i="5" a="1"/>
  <c r="X284" i="5" s="1"/>
  <c r="T282" i="6" s="1"/>
  <c r="G284" i="5" a="1"/>
  <c r="G284" i="5" s="1"/>
  <c r="C282" i="6" s="1"/>
  <c r="L284" i="5" a="1"/>
  <c r="L284" i="5" s="1"/>
  <c r="H282" i="6" s="1"/>
  <c r="H284" i="5" a="1"/>
  <c r="H284" i="5" s="1"/>
  <c r="D282" i="6" s="1"/>
  <c r="K284" i="5" a="1"/>
  <c r="K284" i="5" s="1"/>
  <c r="G282" i="6" s="1"/>
  <c r="J284" i="5" a="1"/>
  <c r="J284" i="5" s="1"/>
  <c r="F282" i="6" s="1"/>
  <c r="E284" i="5" a="1"/>
  <c r="E284" i="5" s="1"/>
  <c r="A282" i="6" s="1"/>
  <c r="W276" i="5" a="1"/>
  <c r="W276" i="5" s="1"/>
  <c r="S274" i="6" s="1"/>
  <c r="G276" i="5" a="1"/>
  <c r="G276" i="5" s="1"/>
  <c r="C274" i="6" s="1"/>
  <c r="L276" i="5" a="1"/>
  <c r="L276" i="5" s="1"/>
  <c r="H274" i="6" s="1"/>
  <c r="H276" i="5" a="1"/>
  <c r="H276" i="5" s="1"/>
  <c r="D274" i="6" s="1"/>
  <c r="K276" i="5" a="1"/>
  <c r="K276" i="5" s="1"/>
  <c r="G274" i="6" s="1"/>
  <c r="I276" i="5" a="1"/>
  <c r="I276" i="5" s="1"/>
  <c r="E274" i="6" s="1"/>
  <c r="E276" i="5" a="1"/>
  <c r="E276" i="5" s="1"/>
  <c r="A274" i="6" s="1"/>
  <c r="F276" i="5" a="1"/>
  <c r="F276" i="5" s="1"/>
  <c r="B274" i="6" s="1"/>
  <c r="W268" i="5" a="1"/>
  <c r="W268" i="5" s="1"/>
  <c r="S266" i="6" s="1"/>
  <c r="G268" i="5" a="1"/>
  <c r="G268" i="5" s="1"/>
  <c r="C266" i="6" s="1"/>
  <c r="L268" i="5" a="1"/>
  <c r="L268" i="5" s="1"/>
  <c r="H266" i="6" s="1"/>
  <c r="H268" i="5" a="1"/>
  <c r="H268" i="5" s="1"/>
  <c r="D266" i="6" s="1"/>
  <c r="K268" i="5" a="1"/>
  <c r="K268" i="5" s="1"/>
  <c r="G266" i="6" s="1"/>
  <c r="F268" i="5" a="1"/>
  <c r="F268" i="5" s="1"/>
  <c r="B266" i="6" s="1"/>
  <c r="J268" i="5" a="1"/>
  <c r="J268" i="5" s="1"/>
  <c r="F266" i="6" s="1"/>
  <c r="E268" i="5" a="1"/>
  <c r="E268" i="5" s="1"/>
  <c r="A266" i="6" s="1"/>
  <c r="X260" i="5" a="1"/>
  <c r="X260" i="5" s="1"/>
  <c r="T258" i="6" s="1"/>
  <c r="G260" i="5" a="1"/>
  <c r="G260" i="5" s="1"/>
  <c r="C258" i="6" s="1"/>
  <c r="L260" i="5" a="1"/>
  <c r="L260" i="5" s="1"/>
  <c r="H258" i="6" s="1"/>
  <c r="H260" i="5" a="1"/>
  <c r="H260" i="5" s="1"/>
  <c r="D258" i="6" s="1"/>
  <c r="K260" i="5" a="1"/>
  <c r="K260" i="5" s="1"/>
  <c r="G258" i="6" s="1"/>
  <c r="E260" i="5" a="1"/>
  <c r="E260" i="5" s="1"/>
  <c r="A258" i="6" s="1"/>
  <c r="F260" i="5" a="1"/>
  <c r="F260" i="5" s="1"/>
  <c r="B258" i="6" s="1"/>
  <c r="I260" i="5" a="1"/>
  <c r="I260" i="5" s="1"/>
  <c r="E258" i="6" s="1"/>
  <c r="G252" i="5" a="1"/>
  <c r="G252" i="5" s="1"/>
  <c r="C250" i="6" s="1"/>
  <c r="L252" i="5" a="1"/>
  <c r="L252" i="5" s="1"/>
  <c r="H250" i="6" s="1"/>
  <c r="H252" i="5" a="1"/>
  <c r="H252" i="5" s="1"/>
  <c r="D250" i="6" s="1"/>
  <c r="K252" i="5" a="1"/>
  <c r="K252" i="5" s="1"/>
  <c r="G250" i="6" s="1"/>
  <c r="J252" i="5" a="1"/>
  <c r="J252" i="5" s="1"/>
  <c r="F250" i="6" s="1"/>
  <c r="I252" i="5" a="1"/>
  <c r="I252" i="5" s="1"/>
  <c r="E250" i="6" s="1"/>
  <c r="E252" i="5" a="1"/>
  <c r="E252" i="5" s="1"/>
  <c r="A250" i="6" s="1"/>
  <c r="G244" i="5" a="1"/>
  <c r="G244" i="5" s="1"/>
  <c r="C242" i="6" s="1"/>
  <c r="K244" i="5" a="1"/>
  <c r="K244" i="5" s="1"/>
  <c r="G242" i="6" s="1"/>
  <c r="E244" i="5" a="1"/>
  <c r="E244" i="5" s="1"/>
  <c r="A242" i="6" s="1"/>
  <c r="J244" i="5" a="1"/>
  <c r="J244" i="5" s="1"/>
  <c r="F242" i="6" s="1"/>
  <c r="H244" i="5" a="1"/>
  <c r="H244" i="5" s="1"/>
  <c r="D242" i="6" s="1"/>
  <c r="F244" i="5" a="1"/>
  <c r="F244" i="5" s="1"/>
  <c r="B242" i="6" s="1"/>
  <c r="I244" i="5" a="1"/>
  <c r="I244" i="5" s="1"/>
  <c r="E242" i="6" s="1"/>
  <c r="G236" i="5" a="1"/>
  <c r="G236" i="5" s="1"/>
  <c r="C234" i="6" s="1"/>
  <c r="K236" i="5" a="1"/>
  <c r="K236" i="5" s="1"/>
  <c r="G234" i="6" s="1"/>
  <c r="J236" i="5" a="1"/>
  <c r="J236" i="5" s="1"/>
  <c r="F234" i="6" s="1"/>
  <c r="E236" i="5" a="1"/>
  <c r="E236" i="5" s="1"/>
  <c r="A234" i="6" s="1"/>
  <c r="L236" i="5" a="1"/>
  <c r="L236" i="5" s="1"/>
  <c r="H234" i="6" s="1"/>
  <c r="I236" i="5" a="1"/>
  <c r="I236" i="5" s="1"/>
  <c r="E234" i="6" s="1"/>
  <c r="H236" i="5" a="1"/>
  <c r="H236" i="5" s="1"/>
  <c r="D234" i="6" s="1"/>
  <c r="F236" i="5" a="1"/>
  <c r="F236" i="5" s="1"/>
  <c r="B234" i="6" s="1"/>
  <c r="G228" i="5" a="1"/>
  <c r="G228" i="5" s="1"/>
  <c r="C226" i="6" s="1"/>
  <c r="I228" i="5" a="1"/>
  <c r="I228" i="5" s="1"/>
  <c r="E226" i="6" s="1"/>
  <c r="K228" i="5" a="1"/>
  <c r="K228" i="5" s="1"/>
  <c r="G226" i="6" s="1"/>
  <c r="E228" i="5" a="1"/>
  <c r="E228" i="5" s="1"/>
  <c r="A226" i="6" s="1"/>
  <c r="L228" i="5" a="1"/>
  <c r="L228" i="5" s="1"/>
  <c r="H226" i="6" s="1"/>
  <c r="J228" i="5" a="1"/>
  <c r="J228" i="5" s="1"/>
  <c r="F226" i="6" s="1"/>
  <c r="H228" i="5" a="1"/>
  <c r="H228" i="5" s="1"/>
  <c r="D226" i="6" s="1"/>
  <c r="F228" i="5" a="1"/>
  <c r="F228" i="5" s="1"/>
  <c r="B226" i="6" s="1"/>
  <c r="W220" i="5" a="1"/>
  <c r="W220" i="5" s="1"/>
  <c r="S218" i="6" s="1"/>
  <c r="F220" i="5" a="1"/>
  <c r="F220" i="5" s="1"/>
  <c r="B218" i="6" s="1"/>
  <c r="J220" i="5" a="1"/>
  <c r="J220" i="5" s="1"/>
  <c r="F218" i="6" s="1"/>
  <c r="I220" i="5" a="1"/>
  <c r="I220" i="5" s="1"/>
  <c r="E218" i="6" s="1"/>
  <c r="G220" i="5" a="1"/>
  <c r="G220" i="5" s="1"/>
  <c r="C218" i="6" s="1"/>
  <c r="K220" i="5" a="1"/>
  <c r="K220" i="5" s="1"/>
  <c r="G218" i="6" s="1"/>
  <c r="L220" i="5" a="1"/>
  <c r="L220" i="5" s="1"/>
  <c r="H218" i="6" s="1"/>
  <c r="E220" i="5" a="1"/>
  <c r="E220" i="5" s="1"/>
  <c r="A218" i="6" s="1"/>
  <c r="H220" i="5" a="1"/>
  <c r="H220" i="5" s="1"/>
  <c r="D218" i="6" s="1"/>
  <c r="J212" i="5" a="1"/>
  <c r="J212" i="5" s="1"/>
  <c r="F210" i="6" s="1"/>
  <c r="F212" i="5" a="1"/>
  <c r="F212" i="5" s="1"/>
  <c r="B210" i="6" s="1"/>
  <c r="G212" i="5" a="1"/>
  <c r="G212" i="5" s="1"/>
  <c r="C210" i="6" s="1"/>
  <c r="L212" i="5" a="1"/>
  <c r="L212" i="5" s="1"/>
  <c r="H210" i="6" s="1"/>
  <c r="K212" i="5" a="1"/>
  <c r="K212" i="5" s="1"/>
  <c r="G210" i="6" s="1"/>
  <c r="I212" i="5" a="1"/>
  <c r="I212" i="5" s="1"/>
  <c r="E210" i="6" s="1"/>
  <c r="H212" i="5" a="1"/>
  <c r="H212" i="5" s="1"/>
  <c r="D210" i="6" s="1"/>
  <c r="X204" i="5" a="1"/>
  <c r="X204" i="5" s="1"/>
  <c r="T202" i="6" s="1"/>
  <c r="J204" i="5" a="1"/>
  <c r="J204" i="5" s="1"/>
  <c r="F202" i="6" s="1"/>
  <c r="F204" i="5" a="1"/>
  <c r="F204" i="5" s="1"/>
  <c r="B202" i="6" s="1"/>
  <c r="G204" i="5" a="1"/>
  <c r="G204" i="5" s="1"/>
  <c r="C202" i="6" s="1"/>
  <c r="E204" i="5" a="1"/>
  <c r="E204" i="5" s="1"/>
  <c r="A202" i="6" s="1"/>
  <c r="I204" i="5" a="1"/>
  <c r="I204" i="5" s="1"/>
  <c r="E202" i="6" s="1"/>
  <c r="H204" i="5" a="1"/>
  <c r="H204" i="5" s="1"/>
  <c r="D202" i="6" s="1"/>
  <c r="L204" i="5" a="1"/>
  <c r="L204" i="5" s="1"/>
  <c r="H202" i="6" s="1"/>
  <c r="J196" i="5" a="1"/>
  <c r="J196" i="5" s="1"/>
  <c r="F194" i="6" s="1"/>
  <c r="F196" i="5" a="1"/>
  <c r="F196" i="5" s="1"/>
  <c r="B194" i="6" s="1"/>
  <c r="G196" i="5" a="1"/>
  <c r="G196" i="5" s="1"/>
  <c r="C194" i="6" s="1"/>
  <c r="H196" i="5" a="1"/>
  <c r="H196" i="5" s="1"/>
  <c r="D194" i="6" s="1"/>
  <c r="K196" i="5" a="1"/>
  <c r="K196" i="5" s="1"/>
  <c r="G194" i="6" s="1"/>
  <c r="L196" i="5" a="1"/>
  <c r="L196" i="5" s="1"/>
  <c r="H194" i="6" s="1"/>
  <c r="I196" i="5" a="1"/>
  <c r="I196" i="5" s="1"/>
  <c r="E194" i="6" s="1"/>
  <c r="E196" i="5" a="1"/>
  <c r="E196" i="5" s="1"/>
  <c r="A194" i="6" s="1"/>
  <c r="X188" i="5" a="1"/>
  <c r="X188" i="5" s="1"/>
  <c r="T186" i="6" s="1"/>
  <c r="J188" i="5" a="1"/>
  <c r="J188" i="5" s="1"/>
  <c r="F186" i="6" s="1"/>
  <c r="F188" i="5" a="1"/>
  <c r="F188" i="5" s="1"/>
  <c r="B186" i="6" s="1"/>
  <c r="G188" i="5" a="1"/>
  <c r="G188" i="5" s="1"/>
  <c r="C186" i="6" s="1"/>
  <c r="I188" i="5" a="1"/>
  <c r="I188" i="5" s="1"/>
  <c r="E186" i="6" s="1"/>
  <c r="E188" i="5" a="1"/>
  <c r="E188" i="5" s="1"/>
  <c r="A186" i="6" s="1"/>
  <c r="L188" i="5" a="1"/>
  <c r="L188" i="5" s="1"/>
  <c r="H186" i="6" s="1"/>
  <c r="H188" i="5" a="1"/>
  <c r="H188" i="5" s="1"/>
  <c r="D186" i="6" s="1"/>
  <c r="X180" i="5" a="1"/>
  <c r="X180" i="5" s="1"/>
  <c r="T178" i="6" s="1"/>
  <c r="J180" i="5" a="1"/>
  <c r="J180" i="5" s="1"/>
  <c r="F178" i="6" s="1"/>
  <c r="F180" i="5" a="1"/>
  <c r="F180" i="5" s="1"/>
  <c r="B178" i="6" s="1"/>
  <c r="G180" i="5" a="1"/>
  <c r="G180" i="5" s="1"/>
  <c r="C178" i="6" s="1"/>
  <c r="L180" i="5" a="1"/>
  <c r="L180" i="5" s="1"/>
  <c r="H178" i="6" s="1"/>
  <c r="K180" i="5" a="1"/>
  <c r="K180" i="5" s="1"/>
  <c r="G178" i="6" s="1"/>
  <c r="I180" i="5" a="1"/>
  <c r="I180" i="5" s="1"/>
  <c r="E178" i="6" s="1"/>
  <c r="H180" i="5" a="1"/>
  <c r="H180" i="5" s="1"/>
  <c r="D178" i="6" s="1"/>
  <c r="E180" i="5" a="1"/>
  <c r="E180" i="5" s="1"/>
  <c r="A178" i="6" s="1"/>
  <c r="T172" i="5" a="1"/>
  <c r="T172" i="5" s="1"/>
  <c r="P170" i="6" s="1"/>
  <c r="J172" i="5" a="1"/>
  <c r="J172" i="5" s="1"/>
  <c r="F170" i="6" s="1"/>
  <c r="F172" i="5" a="1"/>
  <c r="F172" i="5" s="1"/>
  <c r="B170" i="6" s="1"/>
  <c r="G172" i="5" a="1"/>
  <c r="G172" i="5" s="1"/>
  <c r="C170" i="6" s="1"/>
  <c r="E172" i="5" a="1"/>
  <c r="E172" i="5" s="1"/>
  <c r="A170" i="6" s="1"/>
  <c r="I172" i="5" a="1"/>
  <c r="I172" i="5" s="1"/>
  <c r="E170" i="6" s="1"/>
  <c r="L172" i="5" a="1"/>
  <c r="L172" i="5" s="1"/>
  <c r="H170" i="6" s="1"/>
  <c r="K172" i="5" a="1"/>
  <c r="K172" i="5" s="1"/>
  <c r="G170" i="6" s="1"/>
  <c r="H172" i="5" a="1"/>
  <c r="H172" i="5" s="1"/>
  <c r="D170" i="6" s="1"/>
  <c r="X164" i="5" a="1"/>
  <c r="X164" i="5" s="1"/>
  <c r="T162" i="6" s="1"/>
  <c r="J164" i="5" a="1"/>
  <c r="J164" i="5" s="1"/>
  <c r="F162" i="6" s="1"/>
  <c r="F164" i="5" a="1"/>
  <c r="F164" i="5" s="1"/>
  <c r="B162" i="6" s="1"/>
  <c r="G164" i="5" a="1"/>
  <c r="G164" i="5" s="1"/>
  <c r="C162" i="6" s="1"/>
  <c r="H164" i="5" a="1"/>
  <c r="H164" i="5" s="1"/>
  <c r="D162" i="6" s="1"/>
  <c r="K164" i="5" a="1"/>
  <c r="K164" i="5" s="1"/>
  <c r="G162" i="6" s="1"/>
  <c r="I164" i="5" a="1"/>
  <c r="I164" i="5" s="1"/>
  <c r="E162" i="6" s="1"/>
  <c r="J156" i="5" a="1"/>
  <c r="J156" i="5" s="1"/>
  <c r="F154" i="6" s="1"/>
  <c r="F156" i="5" a="1"/>
  <c r="F156" i="5" s="1"/>
  <c r="B154" i="6" s="1"/>
  <c r="E156" i="5" a="1"/>
  <c r="E156" i="5" s="1"/>
  <c r="A154" i="6" s="1"/>
  <c r="H156" i="5" a="1"/>
  <c r="H156" i="5" s="1"/>
  <c r="D154" i="6" s="1"/>
  <c r="K156" i="5" a="1"/>
  <c r="K156" i="5" s="1"/>
  <c r="G154" i="6" s="1"/>
  <c r="G156" i="5" a="1"/>
  <c r="G156" i="5" s="1"/>
  <c r="C154" i="6" s="1"/>
  <c r="L156" i="5" a="1"/>
  <c r="L156" i="5" s="1"/>
  <c r="H154" i="6" s="1"/>
  <c r="I156" i="5" a="1"/>
  <c r="I156" i="5" s="1"/>
  <c r="E154" i="6" s="1"/>
  <c r="X148" i="5" a="1"/>
  <c r="X148" i="5" s="1"/>
  <c r="T146" i="6" s="1"/>
  <c r="H148" i="5" a="1"/>
  <c r="H148" i="5" s="1"/>
  <c r="D146" i="6" s="1"/>
  <c r="L148" i="5" a="1"/>
  <c r="L148" i="5" s="1"/>
  <c r="H146" i="6" s="1"/>
  <c r="F148" i="5" a="1"/>
  <c r="F148" i="5" s="1"/>
  <c r="B146" i="6" s="1"/>
  <c r="E148" i="5" a="1"/>
  <c r="E148" i="5" s="1"/>
  <c r="A146" i="6" s="1"/>
  <c r="I148" i="5" a="1"/>
  <c r="I148" i="5" s="1"/>
  <c r="E146" i="6" s="1"/>
  <c r="G148" i="5" a="1"/>
  <c r="G148" i="5" s="1"/>
  <c r="C146" i="6" s="1"/>
  <c r="J148" i="5" a="1"/>
  <c r="J148" i="5" s="1"/>
  <c r="F146" i="6" s="1"/>
  <c r="K148" i="5" a="1"/>
  <c r="K148" i="5" s="1"/>
  <c r="G146" i="6" s="1"/>
  <c r="T140" i="5" a="1"/>
  <c r="T140" i="5" s="1"/>
  <c r="P138" i="6" s="1"/>
  <c r="H140" i="5" a="1"/>
  <c r="H140" i="5" s="1"/>
  <c r="D138" i="6" s="1"/>
  <c r="L140" i="5" a="1"/>
  <c r="L140" i="5" s="1"/>
  <c r="H138" i="6" s="1"/>
  <c r="K140" i="5" a="1"/>
  <c r="K140" i="5" s="1"/>
  <c r="G138" i="6" s="1"/>
  <c r="E140" i="5" a="1"/>
  <c r="E140" i="5" s="1"/>
  <c r="A138" i="6" s="1"/>
  <c r="I140" i="5" a="1"/>
  <c r="I140" i="5" s="1"/>
  <c r="E138" i="6" s="1"/>
  <c r="J140" i="5" a="1"/>
  <c r="J140" i="5" s="1"/>
  <c r="F138" i="6" s="1"/>
  <c r="G140" i="5" a="1"/>
  <c r="G140" i="5" s="1"/>
  <c r="C138" i="6" s="1"/>
  <c r="F140" i="5" a="1"/>
  <c r="F140" i="5" s="1"/>
  <c r="B138" i="6" s="1"/>
  <c r="W132" i="5" a="1"/>
  <c r="W132" i="5" s="1"/>
  <c r="S130" i="6" s="1"/>
  <c r="E132" i="5" a="1"/>
  <c r="E132" i="5" s="1"/>
  <c r="A130" i="6" s="1"/>
  <c r="I132" i="5" a="1"/>
  <c r="I132" i="5" s="1"/>
  <c r="E130" i="6" s="1"/>
  <c r="F132" i="5" a="1"/>
  <c r="F132" i="5" s="1"/>
  <c r="B130" i="6" s="1"/>
  <c r="J132" i="5" a="1"/>
  <c r="J132" i="5" s="1"/>
  <c r="F130" i="6" s="1"/>
  <c r="L132" i="5" a="1"/>
  <c r="L132" i="5" s="1"/>
  <c r="H130" i="6" s="1"/>
  <c r="G132" i="5" a="1"/>
  <c r="G132" i="5" s="1"/>
  <c r="C130" i="6" s="1"/>
  <c r="K132" i="5" a="1"/>
  <c r="K132" i="5" s="1"/>
  <c r="G130" i="6" s="1"/>
  <c r="H132" i="5" a="1"/>
  <c r="H132" i="5" s="1"/>
  <c r="D130" i="6" s="1"/>
  <c r="X124" i="5" a="1"/>
  <c r="X124" i="5" s="1"/>
  <c r="T122" i="6" s="1"/>
  <c r="L124" i="5" a="1"/>
  <c r="L124" i="5" s="1"/>
  <c r="H122" i="6" s="1"/>
  <c r="H124" i="5" a="1"/>
  <c r="H124" i="5" s="1"/>
  <c r="D122" i="6" s="1"/>
  <c r="I124" i="5" a="1"/>
  <c r="I124" i="5" s="1"/>
  <c r="E122" i="6" s="1"/>
  <c r="G124" i="5" a="1"/>
  <c r="G124" i="5" s="1"/>
  <c r="C122" i="6" s="1"/>
  <c r="F124" i="5" a="1"/>
  <c r="F124" i="5" s="1"/>
  <c r="B122" i="6" s="1"/>
  <c r="K124" i="5" a="1"/>
  <c r="K124" i="5" s="1"/>
  <c r="G122" i="6" s="1"/>
  <c r="J124" i="5" a="1"/>
  <c r="J124" i="5" s="1"/>
  <c r="F122" i="6" s="1"/>
  <c r="E124" i="5" a="1"/>
  <c r="E124" i="5" s="1"/>
  <c r="A122" i="6" s="1"/>
  <c r="W116" i="5" a="1"/>
  <c r="W116" i="5" s="1"/>
  <c r="S114" i="6" s="1"/>
  <c r="L116" i="5" a="1"/>
  <c r="L116" i="5" s="1"/>
  <c r="H114" i="6" s="1"/>
  <c r="H116" i="5" a="1"/>
  <c r="H116" i="5" s="1"/>
  <c r="D114" i="6" s="1"/>
  <c r="I116" i="5" a="1"/>
  <c r="I116" i="5" s="1"/>
  <c r="E114" i="6" s="1"/>
  <c r="F116" i="5" a="1"/>
  <c r="F116" i="5" s="1"/>
  <c r="B114" i="6" s="1"/>
  <c r="E116" i="5" a="1"/>
  <c r="E116" i="5" s="1"/>
  <c r="A114" i="6" s="1"/>
  <c r="G116" i="5" a="1"/>
  <c r="G116" i="5" s="1"/>
  <c r="C114" i="6" s="1"/>
  <c r="J116" i="5" a="1"/>
  <c r="J116" i="5" s="1"/>
  <c r="F114" i="6" s="1"/>
  <c r="K116" i="5" a="1"/>
  <c r="K116" i="5" s="1"/>
  <c r="G114" i="6" s="1"/>
  <c r="V108" i="5" a="1"/>
  <c r="V108" i="5" s="1"/>
  <c r="R106" i="6" s="1"/>
  <c r="L108" i="5" a="1"/>
  <c r="L108" i="5" s="1"/>
  <c r="H106" i="6" s="1"/>
  <c r="H108" i="5" a="1"/>
  <c r="H108" i="5" s="1"/>
  <c r="D106" i="6" s="1"/>
  <c r="I108" i="5" a="1"/>
  <c r="I108" i="5" s="1"/>
  <c r="E106" i="6" s="1"/>
  <c r="K108" i="5" a="1"/>
  <c r="K108" i="5" s="1"/>
  <c r="G106" i="6" s="1"/>
  <c r="E108" i="5" a="1"/>
  <c r="E108" i="5" s="1"/>
  <c r="A106" i="6" s="1"/>
  <c r="J108" i="5" a="1"/>
  <c r="J108" i="5" s="1"/>
  <c r="F106" i="6" s="1"/>
  <c r="G108" i="5" a="1"/>
  <c r="G108" i="5" s="1"/>
  <c r="C106" i="6" s="1"/>
  <c r="F108" i="5" a="1"/>
  <c r="F108" i="5" s="1"/>
  <c r="B106" i="6" s="1"/>
  <c r="W100" i="5" a="1"/>
  <c r="W100" i="5" s="1"/>
  <c r="S98" i="6" s="1"/>
  <c r="E100" i="5" a="1"/>
  <c r="E100" i="5" s="1"/>
  <c r="A98" i="6" s="1"/>
  <c r="I100" i="5" a="1"/>
  <c r="I100" i="5" s="1"/>
  <c r="E98" i="6" s="1"/>
  <c r="H100" i="5" a="1"/>
  <c r="H100" i="5" s="1"/>
  <c r="D98" i="6" s="1"/>
  <c r="J100" i="5" a="1"/>
  <c r="J100" i="5" s="1"/>
  <c r="F98" i="6" s="1"/>
  <c r="F100" i="5" a="1"/>
  <c r="F100" i="5" s="1"/>
  <c r="B98" i="6" s="1"/>
  <c r="L100" i="5" a="1"/>
  <c r="L100" i="5" s="1"/>
  <c r="H98" i="6" s="1"/>
  <c r="K100" i="5" a="1"/>
  <c r="K100" i="5" s="1"/>
  <c r="G98" i="6" s="1"/>
  <c r="G100" i="5" a="1"/>
  <c r="G100" i="5" s="1"/>
  <c r="C98" i="6" s="1"/>
  <c r="E92" i="5" a="1"/>
  <c r="E92" i="5" s="1"/>
  <c r="A90" i="6" s="1"/>
  <c r="I92" i="5" a="1"/>
  <c r="I92" i="5" s="1"/>
  <c r="E90" i="6" s="1"/>
  <c r="H92" i="5" a="1"/>
  <c r="H92" i="5" s="1"/>
  <c r="D90" i="6" s="1"/>
  <c r="J92" i="5" a="1"/>
  <c r="J92" i="5" s="1"/>
  <c r="F90" i="6" s="1"/>
  <c r="K92" i="5" a="1"/>
  <c r="K92" i="5" s="1"/>
  <c r="G90" i="6" s="1"/>
  <c r="G92" i="5" a="1"/>
  <c r="G92" i="5" s="1"/>
  <c r="C90" i="6" s="1"/>
  <c r="F92" i="5" a="1"/>
  <c r="F92" i="5" s="1"/>
  <c r="B90" i="6" s="1"/>
  <c r="L92" i="5" a="1"/>
  <c r="L92" i="5" s="1"/>
  <c r="H90" i="6" s="1"/>
  <c r="V84" i="5" a="1"/>
  <c r="V84" i="5" s="1"/>
  <c r="R82" i="6" s="1"/>
  <c r="J84" i="5" a="1"/>
  <c r="J84" i="5" s="1"/>
  <c r="F82" i="6" s="1"/>
  <c r="E60" i="5" a="1"/>
  <c r="E60" i="5" s="1"/>
  <c r="A58" i="6" s="1"/>
  <c r="K60" i="5" a="1"/>
  <c r="K60" i="5" s="1"/>
  <c r="G58" i="6" s="1"/>
  <c r="L84" i="5" a="1"/>
  <c r="L84" i="5" s="1"/>
  <c r="H82" i="6" s="1"/>
  <c r="F84" i="5" a="1"/>
  <c r="F84" i="5" s="1"/>
  <c r="B82" i="6" s="1"/>
  <c r="F82" i="5" a="1"/>
  <c r="F82" i="5" s="1"/>
  <c r="B80" i="6" s="1"/>
  <c r="L76" i="5" a="1"/>
  <c r="L76" i="5" s="1"/>
  <c r="H74" i="6" s="1"/>
  <c r="F76" i="5" a="1"/>
  <c r="F76" i="5" s="1"/>
  <c r="B74" i="6" s="1"/>
  <c r="G74" i="5" a="1"/>
  <c r="G74" i="5" s="1"/>
  <c r="C72" i="6" s="1"/>
  <c r="L69" i="5" a="1"/>
  <c r="L69" i="5" s="1"/>
  <c r="H67" i="6" s="1"/>
  <c r="J68" i="5" a="1"/>
  <c r="J68" i="5" s="1"/>
  <c r="F66" i="6" s="1"/>
  <c r="F66" i="5" a="1"/>
  <c r="F66" i="5" s="1"/>
  <c r="B64" i="6" s="1"/>
  <c r="J61" i="5" a="1"/>
  <c r="J61" i="5" s="1"/>
  <c r="F59" i="6" s="1"/>
  <c r="I52" i="5" a="1"/>
  <c r="I52" i="5" s="1"/>
  <c r="E50" i="6" s="1"/>
  <c r="H50" i="5" a="1"/>
  <c r="H50" i="5" s="1"/>
  <c r="D48" i="6" s="1"/>
  <c r="H35" i="5" a="1"/>
  <c r="H35" i="5" s="1"/>
  <c r="D33" i="6" s="1"/>
  <c r="J28" i="5" a="1"/>
  <c r="J28" i="5" s="1"/>
  <c r="F26" i="6" s="1"/>
  <c r="H418" i="5" a="1"/>
  <c r="H418" i="5" s="1"/>
  <c r="D416" i="6" s="1"/>
  <c r="F409" i="5" a="1"/>
  <c r="F409" i="5" s="1"/>
  <c r="B407" i="6" s="1"/>
  <c r="E404" i="5" a="1"/>
  <c r="E404" i="5" s="1"/>
  <c r="A402" i="6" s="1"/>
  <c r="I401" i="5" a="1"/>
  <c r="I401" i="5" s="1"/>
  <c r="E399" i="6" s="1"/>
  <c r="J393" i="5" a="1"/>
  <c r="J393" i="5" s="1"/>
  <c r="F391" i="6" s="1"/>
  <c r="J388" i="5" a="1"/>
  <c r="J388" i="5" s="1"/>
  <c r="F386" i="6" s="1"/>
  <c r="F386" i="5" a="1"/>
  <c r="F386" i="5" s="1"/>
  <c r="B384" i="6" s="1"/>
  <c r="F377" i="5" a="1"/>
  <c r="F377" i="5" s="1"/>
  <c r="B375" i="6" s="1"/>
  <c r="E372" i="5" a="1"/>
  <c r="E372" i="5" s="1"/>
  <c r="A370" i="6" s="1"/>
  <c r="I369" i="5" a="1"/>
  <c r="I369" i="5" s="1"/>
  <c r="E367" i="6" s="1"/>
  <c r="J361" i="5" a="1"/>
  <c r="J361" i="5" s="1"/>
  <c r="F359" i="6" s="1"/>
  <c r="J356" i="5" a="1"/>
  <c r="J356" i="5" s="1"/>
  <c r="F354" i="6" s="1"/>
  <c r="F354" i="5" a="1"/>
  <c r="F354" i="5" s="1"/>
  <c r="B352" i="6" s="1"/>
  <c r="I345" i="5" a="1"/>
  <c r="I345" i="5" s="1"/>
  <c r="E343" i="6" s="1"/>
  <c r="H340" i="5" a="1"/>
  <c r="H340" i="5" s="1"/>
  <c r="D338" i="6" s="1"/>
  <c r="L338" i="5" a="1"/>
  <c r="L338" i="5" s="1"/>
  <c r="H336" i="6" s="1"/>
  <c r="J330" i="5" a="1"/>
  <c r="J330" i="5" s="1"/>
  <c r="F328" i="6" s="1"/>
  <c r="L328" i="5" a="1"/>
  <c r="L328" i="5" s="1"/>
  <c r="H326" i="6" s="1"/>
  <c r="F322" i="5" a="1"/>
  <c r="F322" i="5" s="1"/>
  <c r="B320" i="6" s="1"/>
  <c r="H320" i="5" a="1"/>
  <c r="H320" i="5" s="1"/>
  <c r="D318" i="6" s="1"/>
  <c r="I313" i="5" a="1"/>
  <c r="I313" i="5" s="1"/>
  <c r="E311" i="6" s="1"/>
  <c r="I304" i="5" a="1"/>
  <c r="I304" i="5" s="1"/>
  <c r="E302" i="6" s="1"/>
  <c r="E298" i="5" a="1"/>
  <c r="E298" i="5" s="1"/>
  <c r="A296" i="6" s="1"/>
  <c r="H290" i="5" a="1"/>
  <c r="H290" i="5" s="1"/>
  <c r="D288" i="6" s="1"/>
  <c r="F284" i="5" a="1"/>
  <c r="F284" i="5" s="1"/>
  <c r="B282" i="6" s="1"/>
  <c r="J276" i="5" a="1"/>
  <c r="J276" i="5" s="1"/>
  <c r="F274" i="6" s="1"/>
  <c r="H250" i="5" a="1"/>
  <c r="H250" i="5" s="1"/>
  <c r="D248" i="6" s="1"/>
  <c r="I242" i="5" a="1"/>
  <c r="I242" i="5" s="1"/>
  <c r="E240" i="6" s="1"/>
  <c r="H226" i="5" a="1"/>
  <c r="H226" i="5" s="1"/>
  <c r="D224" i="6" s="1"/>
  <c r="L164" i="5" a="1"/>
  <c r="L164" i="5" s="1"/>
  <c r="H162" i="6" s="1"/>
  <c r="G50" i="5" a="1"/>
  <c r="G50" i="5" s="1"/>
  <c r="C48" i="6" s="1"/>
  <c r="J346" i="5" a="1"/>
  <c r="J346" i="5" s="1"/>
  <c r="F344" i="6" s="1"/>
  <c r="J82" i="5" a="1"/>
  <c r="J82" i="5" s="1"/>
  <c r="F80" i="6" s="1"/>
  <c r="G81" i="5" a="1"/>
  <c r="G81" i="5" s="1"/>
  <c r="C79" i="6" s="1"/>
  <c r="K49" i="5" a="1"/>
  <c r="K49" i="5" s="1"/>
  <c r="G47" i="6" s="1"/>
  <c r="E410" i="5" a="1"/>
  <c r="E410" i="5" s="1"/>
  <c r="A408" i="6" s="1"/>
  <c r="I394" i="5" a="1"/>
  <c r="I394" i="5" s="1"/>
  <c r="E392" i="6" s="1"/>
  <c r="I321" i="5" a="1"/>
  <c r="I321" i="5" s="1"/>
  <c r="E319" i="6" s="1"/>
  <c r="J314" i="5" a="1"/>
  <c r="J314" i="5" s="1"/>
  <c r="F312" i="6" s="1"/>
  <c r="E297" i="5" a="1"/>
  <c r="E297" i="5" s="1"/>
  <c r="A295" i="6" s="1"/>
  <c r="G416" i="5" a="1"/>
  <c r="G416" i="5" s="1"/>
  <c r="C414" i="6" s="1"/>
  <c r="K416" i="5" a="1"/>
  <c r="K416" i="5" s="1"/>
  <c r="G414" i="6" s="1"/>
  <c r="V392" i="5" a="1"/>
  <c r="V392" i="5" s="1"/>
  <c r="R390" i="6" s="1"/>
  <c r="H392" i="5" a="1"/>
  <c r="H392" i="5" s="1"/>
  <c r="D390" i="6" s="1"/>
  <c r="L392" i="5" a="1"/>
  <c r="L392" i="5" s="1"/>
  <c r="H390" i="6" s="1"/>
  <c r="G392" i="5" a="1"/>
  <c r="G392" i="5" s="1"/>
  <c r="C390" i="6" s="1"/>
  <c r="K392" i="5" a="1"/>
  <c r="K392" i="5" s="1"/>
  <c r="G390" i="6" s="1"/>
  <c r="I392" i="5" a="1"/>
  <c r="I392" i="5" s="1"/>
  <c r="E390" i="6" s="1"/>
  <c r="F392" i="5" a="1"/>
  <c r="F392" i="5" s="1"/>
  <c r="B390" i="6" s="1"/>
  <c r="F344" i="5" a="1"/>
  <c r="F344" i="5" s="1"/>
  <c r="B342" i="6" s="1"/>
  <c r="K344" i="5" a="1"/>
  <c r="K344" i="5" s="1"/>
  <c r="G342" i="6" s="1"/>
  <c r="J344" i="5" a="1"/>
  <c r="J344" i="5" s="1"/>
  <c r="F342" i="6" s="1"/>
  <c r="G344" i="5" a="1"/>
  <c r="G344" i="5" s="1"/>
  <c r="C342" i="6" s="1"/>
  <c r="L344" i="5" a="1"/>
  <c r="L344" i="5" s="1"/>
  <c r="H342" i="6" s="1"/>
  <c r="X144" i="5" a="1"/>
  <c r="X144" i="5" s="1"/>
  <c r="T142" i="6" s="1"/>
  <c r="H144" i="5" a="1"/>
  <c r="H144" i="5" s="1"/>
  <c r="D142" i="6" s="1"/>
  <c r="L144" i="5" a="1"/>
  <c r="L144" i="5" s="1"/>
  <c r="H142" i="6" s="1"/>
  <c r="I144" i="5" a="1"/>
  <c r="I144" i="5" s="1"/>
  <c r="E142" i="6" s="1"/>
  <c r="J144" i="5" a="1"/>
  <c r="J144" i="5" s="1"/>
  <c r="F142" i="6" s="1"/>
  <c r="G144" i="5" a="1"/>
  <c r="G144" i="5" s="1"/>
  <c r="C142" i="6" s="1"/>
  <c r="E144" i="5" a="1"/>
  <c r="E144" i="5" s="1"/>
  <c r="A142" i="6" s="1"/>
  <c r="F144" i="5" a="1"/>
  <c r="F144" i="5" s="1"/>
  <c r="B142" i="6" s="1"/>
  <c r="H82" i="5" a="1"/>
  <c r="H82" i="5" s="1"/>
  <c r="D80" i="6" s="1"/>
  <c r="G58" i="5" a="1"/>
  <c r="G58" i="5" s="1"/>
  <c r="C56" i="6" s="1"/>
  <c r="G346" i="5" a="1"/>
  <c r="G346" i="5" s="1"/>
  <c r="C344" i="6" s="1"/>
  <c r="I344" i="5" a="1"/>
  <c r="I344" i="5" s="1"/>
  <c r="E342" i="6" s="1"/>
  <c r="G336" i="5" a="1"/>
  <c r="G336" i="5" s="1"/>
  <c r="C334" i="6" s="1"/>
  <c r="F321" i="5" a="1"/>
  <c r="F321" i="5" s="1"/>
  <c r="B319" i="6" s="1"/>
  <c r="H216" i="5" a="1"/>
  <c r="H216" i="5" s="1"/>
  <c r="D214" i="6" s="1"/>
  <c r="J178" i="5" a="1"/>
  <c r="J178" i="5" s="1"/>
  <c r="F176" i="6" s="1"/>
  <c r="H137" i="5" a="1"/>
  <c r="H137" i="5" s="1"/>
  <c r="D135" i="6" s="1"/>
  <c r="X415" i="5" a="1"/>
  <c r="X415" i="5" s="1"/>
  <c r="T413" i="6" s="1"/>
  <c r="H415" i="5" a="1"/>
  <c r="H415" i="5" s="1"/>
  <c r="D413" i="6" s="1"/>
  <c r="G415" i="5" a="1"/>
  <c r="G415" i="5" s="1"/>
  <c r="C413" i="6" s="1"/>
  <c r="K415" i="5" a="1"/>
  <c r="K415" i="5" s="1"/>
  <c r="G413" i="6" s="1"/>
  <c r="X407" i="5" a="1"/>
  <c r="X407" i="5" s="1"/>
  <c r="T405" i="6" s="1"/>
  <c r="H407" i="5" a="1"/>
  <c r="H407" i="5" s="1"/>
  <c r="D405" i="6" s="1"/>
  <c r="L407" i="5" a="1"/>
  <c r="L407" i="5" s="1"/>
  <c r="H405" i="6" s="1"/>
  <c r="G407" i="5" a="1"/>
  <c r="G407" i="5" s="1"/>
  <c r="C405" i="6" s="1"/>
  <c r="K407" i="5" a="1"/>
  <c r="K407" i="5" s="1"/>
  <c r="G405" i="6" s="1"/>
  <c r="I407" i="5" a="1"/>
  <c r="I407" i="5" s="1"/>
  <c r="E405" i="6" s="1"/>
  <c r="J407" i="5" a="1"/>
  <c r="J407" i="5" s="1"/>
  <c r="F405" i="6" s="1"/>
  <c r="H399" i="5" a="1"/>
  <c r="H399" i="5" s="1"/>
  <c r="D397" i="6" s="1"/>
  <c r="L399" i="5" a="1"/>
  <c r="L399" i="5" s="1"/>
  <c r="H397" i="6" s="1"/>
  <c r="G399" i="5" a="1"/>
  <c r="G399" i="5" s="1"/>
  <c r="C397" i="6" s="1"/>
  <c r="K399" i="5" a="1"/>
  <c r="K399" i="5" s="1"/>
  <c r="G397" i="6" s="1"/>
  <c r="I399" i="5" a="1"/>
  <c r="I399" i="5" s="1"/>
  <c r="E397" i="6" s="1"/>
  <c r="J399" i="5" a="1"/>
  <c r="J399" i="5" s="1"/>
  <c r="F397" i="6" s="1"/>
  <c r="X391" i="5" a="1"/>
  <c r="X391" i="5" s="1"/>
  <c r="T389" i="6" s="1"/>
  <c r="H391" i="5" a="1"/>
  <c r="H391" i="5" s="1"/>
  <c r="D389" i="6" s="1"/>
  <c r="L391" i="5" a="1"/>
  <c r="L391" i="5" s="1"/>
  <c r="H389" i="6" s="1"/>
  <c r="G391" i="5" a="1"/>
  <c r="G391" i="5" s="1"/>
  <c r="C389" i="6" s="1"/>
  <c r="K391" i="5" a="1"/>
  <c r="K391" i="5" s="1"/>
  <c r="G389" i="6" s="1"/>
  <c r="I391" i="5" a="1"/>
  <c r="I391" i="5" s="1"/>
  <c r="E389" i="6" s="1"/>
  <c r="J391" i="5" a="1"/>
  <c r="J391" i="5" s="1"/>
  <c r="F389" i="6" s="1"/>
  <c r="X383" i="5" a="1"/>
  <c r="X383" i="5" s="1"/>
  <c r="T381" i="6" s="1"/>
  <c r="H383" i="5" a="1"/>
  <c r="H383" i="5" s="1"/>
  <c r="D381" i="6" s="1"/>
  <c r="L383" i="5" a="1"/>
  <c r="L383" i="5" s="1"/>
  <c r="H381" i="6" s="1"/>
  <c r="G383" i="5" a="1"/>
  <c r="G383" i="5" s="1"/>
  <c r="C381" i="6" s="1"/>
  <c r="K383" i="5" a="1"/>
  <c r="K383" i="5" s="1"/>
  <c r="G381" i="6" s="1"/>
  <c r="I383" i="5" a="1"/>
  <c r="I383" i="5" s="1"/>
  <c r="E381" i="6" s="1"/>
  <c r="J383" i="5" a="1"/>
  <c r="J383" i="5" s="1"/>
  <c r="F381" i="6" s="1"/>
  <c r="X375" i="5" a="1"/>
  <c r="X375" i="5" s="1"/>
  <c r="T373" i="6" s="1"/>
  <c r="H375" i="5" a="1"/>
  <c r="H375" i="5" s="1"/>
  <c r="D373" i="6" s="1"/>
  <c r="L375" i="5" a="1"/>
  <c r="L375" i="5" s="1"/>
  <c r="H373" i="6" s="1"/>
  <c r="G375" i="5" a="1"/>
  <c r="G375" i="5" s="1"/>
  <c r="C373" i="6" s="1"/>
  <c r="K375" i="5" a="1"/>
  <c r="K375" i="5" s="1"/>
  <c r="G373" i="6" s="1"/>
  <c r="I375" i="5" a="1"/>
  <c r="I375" i="5" s="1"/>
  <c r="E373" i="6" s="1"/>
  <c r="J375" i="5" a="1"/>
  <c r="J375" i="5" s="1"/>
  <c r="F373" i="6" s="1"/>
  <c r="H367" i="5" a="1"/>
  <c r="H367" i="5" s="1"/>
  <c r="D365" i="6" s="1"/>
  <c r="L367" i="5" a="1"/>
  <c r="L367" i="5" s="1"/>
  <c r="H365" i="6" s="1"/>
  <c r="G367" i="5" a="1"/>
  <c r="G367" i="5" s="1"/>
  <c r="C365" i="6" s="1"/>
  <c r="K367" i="5" a="1"/>
  <c r="K367" i="5" s="1"/>
  <c r="G365" i="6" s="1"/>
  <c r="I367" i="5" a="1"/>
  <c r="I367" i="5" s="1"/>
  <c r="E365" i="6" s="1"/>
  <c r="J367" i="5" a="1"/>
  <c r="J367" i="5" s="1"/>
  <c r="F365" i="6" s="1"/>
  <c r="X359" i="5" a="1"/>
  <c r="X359" i="5" s="1"/>
  <c r="T357" i="6" s="1"/>
  <c r="H359" i="5" a="1"/>
  <c r="H359" i="5" s="1"/>
  <c r="D357" i="6" s="1"/>
  <c r="L359" i="5" a="1"/>
  <c r="L359" i="5" s="1"/>
  <c r="H357" i="6" s="1"/>
  <c r="G359" i="5" a="1"/>
  <c r="G359" i="5" s="1"/>
  <c r="C357" i="6" s="1"/>
  <c r="K359" i="5" a="1"/>
  <c r="K359" i="5" s="1"/>
  <c r="G357" i="6" s="1"/>
  <c r="I359" i="5" a="1"/>
  <c r="I359" i="5" s="1"/>
  <c r="E357" i="6" s="1"/>
  <c r="J359" i="5" a="1"/>
  <c r="J359" i="5" s="1"/>
  <c r="F357" i="6" s="1"/>
  <c r="X351" i="5" a="1"/>
  <c r="X351" i="5" s="1"/>
  <c r="T349" i="6" s="1"/>
  <c r="H351" i="5" a="1"/>
  <c r="H351" i="5" s="1"/>
  <c r="D349" i="6" s="1"/>
  <c r="L351" i="5" a="1"/>
  <c r="L351" i="5" s="1"/>
  <c r="H349" i="6" s="1"/>
  <c r="G351" i="5" a="1"/>
  <c r="G351" i="5" s="1"/>
  <c r="C349" i="6" s="1"/>
  <c r="K351" i="5" a="1"/>
  <c r="K351" i="5" s="1"/>
  <c r="G349" i="6" s="1"/>
  <c r="I351" i="5" a="1"/>
  <c r="I351" i="5" s="1"/>
  <c r="E349" i="6" s="1"/>
  <c r="J351" i="5" a="1"/>
  <c r="J351" i="5" s="1"/>
  <c r="F349" i="6" s="1"/>
  <c r="X343" i="5" a="1"/>
  <c r="X343" i="5" s="1"/>
  <c r="T341" i="6" s="1"/>
  <c r="E343" i="5" a="1"/>
  <c r="E343" i="5" s="1"/>
  <c r="A341" i="6" s="1"/>
  <c r="J343" i="5" a="1"/>
  <c r="J343" i="5" s="1"/>
  <c r="F341" i="6" s="1"/>
  <c r="I343" i="5" a="1"/>
  <c r="I343" i="5" s="1"/>
  <c r="E341" i="6" s="1"/>
  <c r="G343" i="5" a="1"/>
  <c r="G343" i="5" s="1"/>
  <c r="C341" i="6" s="1"/>
  <c r="K343" i="5" a="1"/>
  <c r="K343" i="5" s="1"/>
  <c r="G341" i="6" s="1"/>
  <c r="E335" i="5" a="1"/>
  <c r="E335" i="5" s="1"/>
  <c r="A333" i="6" s="1"/>
  <c r="J335" i="5" a="1"/>
  <c r="J335" i="5" s="1"/>
  <c r="F333" i="6" s="1"/>
  <c r="I335" i="5" a="1"/>
  <c r="I335" i="5" s="1"/>
  <c r="E333" i="6" s="1"/>
  <c r="F335" i="5" a="1"/>
  <c r="F335" i="5" s="1"/>
  <c r="B333" i="6" s="1"/>
  <c r="H335" i="5" a="1"/>
  <c r="H335" i="5" s="1"/>
  <c r="D333" i="6" s="1"/>
  <c r="G335" i="5" a="1"/>
  <c r="G335" i="5" s="1"/>
  <c r="C333" i="6" s="1"/>
  <c r="X327" i="5" a="1"/>
  <c r="X327" i="5" s="1"/>
  <c r="T325" i="6" s="1"/>
  <c r="E327" i="5" a="1"/>
  <c r="E327" i="5" s="1"/>
  <c r="A325" i="6" s="1"/>
  <c r="J327" i="5" a="1"/>
  <c r="J327" i="5" s="1"/>
  <c r="F325" i="6" s="1"/>
  <c r="I327" i="5" a="1"/>
  <c r="I327" i="5" s="1"/>
  <c r="E325" i="6" s="1"/>
  <c r="K327" i="5" a="1"/>
  <c r="K327" i="5" s="1"/>
  <c r="G325" i="6" s="1"/>
  <c r="F327" i="5" a="1"/>
  <c r="F327" i="5" s="1"/>
  <c r="B325" i="6" s="1"/>
  <c r="G327" i="5" a="1"/>
  <c r="G327" i="5" s="1"/>
  <c r="C325" i="6" s="1"/>
  <c r="W319" i="5" a="1"/>
  <c r="W319" i="5" s="1"/>
  <c r="S317" i="6" s="1"/>
  <c r="E319" i="5" a="1"/>
  <c r="E319" i="5" s="1"/>
  <c r="A317" i="6" s="1"/>
  <c r="J319" i="5" a="1"/>
  <c r="J319" i="5" s="1"/>
  <c r="F317" i="6" s="1"/>
  <c r="I319" i="5" a="1"/>
  <c r="I319" i="5" s="1"/>
  <c r="E317" i="6" s="1"/>
  <c r="K319" i="5" a="1"/>
  <c r="K319" i="5" s="1"/>
  <c r="G317" i="6" s="1"/>
  <c r="E311" i="5" a="1"/>
  <c r="E311" i="5" s="1"/>
  <c r="A309" i="6" s="1"/>
  <c r="J311" i="5" a="1"/>
  <c r="J311" i="5" s="1"/>
  <c r="F309" i="6" s="1"/>
  <c r="I311" i="5" a="1"/>
  <c r="I311" i="5" s="1"/>
  <c r="E309" i="6" s="1"/>
  <c r="G311" i="5" a="1"/>
  <c r="G311" i="5" s="1"/>
  <c r="C309" i="6" s="1"/>
  <c r="K311" i="5" a="1"/>
  <c r="K311" i="5" s="1"/>
  <c r="G309" i="6" s="1"/>
  <c r="X303" i="5" a="1"/>
  <c r="X303" i="5" s="1"/>
  <c r="T301" i="6" s="1"/>
  <c r="E303" i="5" a="1"/>
  <c r="E303" i="5" s="1"/>
  <c r="A301" i="6" s="1"/>
  <c r="J303" i="5" a="1"/>
  <c r="J303" i="5" s="1"/>
  <c r="F301" i="6" s="1"/>
  <c r="I303" i="5" a="1"/>
  <c r="I303" i="5" s="1"/>
  <c r="E301" i="6" s="1"/>
  <c r="L303" i="5" a="1"/>
  <c r="L303" i="5" s="1"/>
  <c r="H301" i="6" s="1"/>
  <c r="F303" i="5" a="1"/>
  <c r="F303" i="5" s="1"/>
  <c r="B301" i="6" s="1"/>
  <c r="K303" i="5" a="1"/>
  <c r="K303" i="5" s="1"/>
  <c r="G301" i="6" s="1"/>
  <c r="H303" i="5" a="1"/>
  <c r="H303" i="5" s="1"/>
  <c r="D301" i="6" s="1"/>
  <c r="X295" i="5" a="1"/>
  <c r="X295" i="5" s="1"/>
  <c r="T293" i="6" s="1"/>
  <c r="E295" i="5" a="1"/>
  <c r="E295" i="5" s="1"/>
  <c r="A293" i="6" s="1"/>
  <c r="J295" i="5" a="1"/>
  <c r="J295" i="5" s="1"/>
  <c r="F293" i="6" s="1"/>
  <c r="I295" i="5" a="1"/>
  <c r="I295" i="5" s="1"/>
  <c r="E293" i="6" s="1"/>
  <c r="K295" i="5" a="1"/>
  <c r="K295" i="5" s="1"/>
  <c r="G293" i="6" s="1"/>
  <c r="L295" i="5" a="1"/>
  <c r="L295" i="5" s="1"/>
  <c r="H293" i="6" s="1"/>
  <c r="W287" i="5" a="1"/>
  <c r="W287" i="5" s="1"/>
  <c r="S285" i="6" s="1"/>
  <c r="K287" i="5" a="1"/>
  <c r="K287" i="5" s="1"/>
  <c r="G285" i="6" s="1"/>
  <c r="J287" i="5" a="1"/>
  <c r="J287" i="5" s="1"/>
  <c r="F285" i="6" s="1"/>
  <c r="G287" i="5" a="1"/>
  <c r="G287" i="5" s="1"/>
  <c r="C285" i="6" s="1"/>
  <c r="H287" i="5" a="1"/>
  <c r="H287" i="5" s="1"/>
  <c r="D285" i="6" s="1"/>
  <c r="F287" i="5" a="1"/>
  <c r="F287" i="5" s="1"/>
  <c r="B285" i="6" s="1"/>
  <c r="I287" i="5" a="1"/>
  <c r="I287" i="5" s="1"/>
  <c r="E285" i="6" s="1"/>
  <c r="X279" i="5" a="1"/>
  <c r="X279" i="5" s="1"/>
  <c r="T277" i="6" s="1"/>
  <c r="F279" i="5" a="1"/>
  <c r="F279" i="5" s="1"/>
  <c r="B277" i="6" s="1"/>
  <c r="K279" i="5" a="1"/>
  <c r="K279" i="5" s="1"/>
  <c r="G277" i="6" s="1"/>
  <c r="J279" i="5" a="1"/>
  <c r="J279" i="5" s="1"/>
  <c r="F277" i="6" s="1"/>
  <c r="G279" i="5" a="1"/>
  <c r="G279" i="5" s="1"/>
  <c r="C277" i="6" s="1"/>
  <c r="H279" i="5" a="1"/>
  <c r="H279" i="5" s="1"/>
  <c r="D277" i="6" s="1"/>
  <c r="E279" i="5" a="1"/>
  <c r="E279" i="5" s="1"/>
  <c r="A277" i="6" s="1"/>
  <c r="I279" i="5" a="1"/>
  <c r="I279" i="5" s="1"/>
  <c r="E277" i="6" s="1"/>
  <c r="L279" i="5" a="1"/>
  <c r="L279" i="5" s="1"/>
  <c r="H277" i="6" s="1"/>
  <c r="X271" i="5" a="1"/>
  <c r="X271" i="5" s="1"/>
  <c r="T269" i="6" s="1"/>
  <c r="F271" i="5" a="1"/>
  <c r="F271" i="5" s="1"/>
  <c r="B269" i="6" s="1"/>
  <c r="K271" i="5" a="1"/>
  <c r="K271" i="5" s="1"/>
  <c r="G269" i="6" s="1"/>
  <c r="J271" i="5" a="1"/>
  <c r="J271" i="5" s="1"/>
  <c r="F269" i="6" s="1"/>
  <c r="E271" i="5" a="1"/>
  <c r="E271" i="5" s="1"/>
  <c r="A269" i="6" s="1"/>
  <c r="L271" i="5" a="1"/>
  <c r="L271" i="5" s="1"/>
  <c r="H269" i="6" s="1"/>
  <c r="I271" i="5" a="1"/>
  <c r="I271" i="5" s="1"/>
  <c r="E269" i="6" s="1"/>
  <c r="F263" i="5" a="1"/>
  <c r="F263" i="5" s="1"/>
  <c r="B261" i="6" s="1"/>
  <c r="K263" i="5" a="1"/>
  <c r="K263" i="5" s="1"/>
  <c r="G261" i="6" s="1"/>
  <c r="J263" i="5" a="1"/>
  <c r="J263" i="5" s="1"/>
  <c r="F261" i="6" s="1"/>
  <c r="L263" i="5" a="1"/>
  <c r="L263" i="5" s="1"/>
  <c r="H261" i="6" s="1"/>
  <c r="I263" i="5" a="1"/>
  <c r="I263" i="5" s="1"/>
  <c r="E261" i="6" s="1"/>
  <c r="E263" i="5" a="1"/>
  <c r="E263" i="5" s="1"/>
  <c r="A261" i="6" s="1"/>
  <c r="G263" i="5" a="1"/>
  <c r="G263" i="5" s="1"/>
  <c r="C261" i="6" s="1"/>
  <c r="F255" i="5" a="1"/>
  <c r="F255" i="5" s="1"/>
  <c r="B253" i="6" s="1"/>
  <c r="K255" i="5" a="1"/>
  <c r="K255" i="5" s="1"/>
  <c r="G253" i="6" s="1"/>
  <c r="J255" i="5" a="1"/>
  <c r="J255" i="5" s="1"/>
  <c r="F253" i="6" s="1"/>
  <c r="I255" i="5" a="1"/>
  <c r="I255" i="5" s="1"/>
  <c r="E253" i="6" s="1"/>
  <c r="H255" i="5" a="1"/>
  <c r="H255" i="5" s="1"/>
  <c r="D253" i="6" s="1"/>
  <c r="L255" i="5" a="1"/>
  <c r="L255" i="5" s="1"/>
  <c r="H253" i="6" s="1"/>
  <c r="G255" i="5" a="1"/>
  <c r="G255" i="5" s="1"/>
  <c r="C253" i="6" s="1"/>
  <c r="F247" i="5" a="1"/>
  <c r="F247" i="5" s="1"/>
  <c r="B245" i="6" s="1"/>
  <c r="K247" i="5" a="1"/>
  <c r="K247" i="5" s="1"/>
  <c r="G245" i="6" s="1"/>
  <c r="J247" i="5" a="1"/>
  <c r="J247" i="5" s="1"/>
  <c r="F245" i="6" s="1"/>
  <c r="G247" i="5" a="1"/>
  <c r="G247" i="5" s="1"/>
  <c r="C245" i="6" s="1"/>
  <c r="H247" i="5" a="1"/>
  <c r="H247" i="5" s="1"/>
  <c r="D245" i="6" s="1"/>
  <c r="E247" i="5" a="1"/>
  <c r="E247" i="5" s="1"/>
  <c r="A245" i="6" s="1"/>
  <c r="G239" i="5" a="1"/>
  <c r="G239" i="5" s="1"/>
  <c r="C237" i="6" s="1"/>
  <c r="K239" i="5" a="1"/>
  <c r="K239" i="5" s="1"/>
  <c r="G237" i="6" s="1"/>
  <c r="H239" i="5" a="1"/>
  <c r="H239" i="5" s="1"/>
  <c r="D237" i="6" s="1"/>
  <c r="L239" i="5" a="1"/>
  <c r="L239" i="5" s="1"/>
  <c r="H237" i="6" s="1"/>
  <c r="E239" i="5" a="1"/>
  <c r="E239" i="5" s="1"/>
  <c r="A237" i="6" s="1"/>
  <c r="F239" i="5" a="1"/>
  <c r="F239" i="5" s="1"/>
  <c r="B237" i="6" s="1"/>
  <c r="X231" i="5" a="1"/>
  <c r="X231" i="5" s="1"/>
  <c r="T229" i="6" s="1"/>
  <c r="F231" i="5" a="1"/>
  <c r="F231" i="5" s="1"/>
  <c r="B229" i="6" s="1"/>
  <c r="L231" i="5" a="1"/>
  <c r="L231" i="5" s="1"/>
  <c r="H229" i="6" s="1"/>
  <c r="J231" i="5" a="1"/>
  <c r="J231" i="5" s="1"/>
  <c r="F229" i="6" s="1"/>
  <c r="I231" i="5" a="1"/>
  <c r="I231" i="5" s="1"/>
  <c r="E229" i="6" s="1"/>
  <c r="H231" i="5" a="1"/>
  <c r="H231" i="5" s="1"/>
  <c r="D229" i="6" s="1"/>
  <c r="G231" i="5" a="1"/>
  <c r="G231" i="5" s="1"/>
  <c r="C229" i="6" s="1"/>
  <c r="E231" i="5" a="1"/>
  <c r="E231" i="5" s="1"/>
  <c r="A229" i="6" s="1"/>
  <c r="K231" i="5" a="1"/>
  <c r="K231" i="5" s="1"/>
  <c r="G229" i="6" s="1"/>
  <c r="X223" i="5" a="1"/>
  <c r="X223" i="5" s="1"/>
  <c r="T221" i="6" s="1"/>
  <c r="F223" i="5" a="1"/>
  <c r="F223" i="5" s="1"/>
  <c r="B221" i="6" s="1"/>
  <c r="L223" i="5" a="1"/>
  <c r="L223" i="5" s="1"/>
  <c r="H221" i="6" s="1"/>
  <c r="J223" i="5" a="1"/>
  <c r="J223" i="5" s="1"/>
  <c r="F221" i="6" s="1"/>
  <c r="G223" i="5" a="1"/>
  <c r="G223" i="5" s="1"/>
  <c r="C221" i="6" s="1"/>
  <c r="H223" i="5" a="1"/>
  <c r="H223" i="5" s="1"/>
  <c r="D221" i="6" s="1"/>
  <c r="K223" i="5" a="1"/>
  <c r="K223" i="5" s="1"/>
  <c r="G221" i="6" s="1"/>
  <c r="E223" i="5" a="1"/>
  <c r="E223" i="5" s="1"/>
  <c r="A221" i="6" s="1"/>
  <c r="I223" i="5" a="1"/>
  <c r="I223" i="5" s="1"/>
  <c r="E221" i="6" s="1"/>
  <c r="I215" i="5" a="1"/>
  <c r="I215" i="5" s="1"/>
  <c r="E213" i="6" s="1"/>
  <c r="F215" i="5" a="1"/>
  <c r="F215" i="5" s="1"/>
  <c r="B213" i="6" s="1"/>
  <c r="H215" i="5" a="1"/>
  <c r="H215" i="5" s="1"/>
  <c r="D213" i="6" s="1"/>
  <c r="E215" i="5" a="1"/>
  <c r="E215" i="5" s="1"/>
  <c r="A213" i="6" s="1"/>
  <c r="K215" i="5" a="1"/>
  <c r="K215" i="5" s="1"/>
  <c r="G213" i="6" s="1"/>
  <c r="J215" i="5" a="1"/>
  <c r="J215" i="5" s="1"/>
  <c r="F213" i="6" s="1"/>
  <c r="G215" i="5" a="1"/>
  <c r="G215" i="5" s="1"/>
  <c r="C213" i="6" s="1"/>
  <c r="L215" i="5" a="1"/>
  <c r="L215" i="5" s="1"/>
  <c r="H213" i="6" s="1"/>
  <c r="X207" i="5" a="1"/>
  <c r="X207" i="5" s="1"/>
  <c r="T205" i="6" s="1"/>
  <c r="I207" i="5" a="1"/>
  <c r="I207" i="5" s="1"/>
  <c r="E205" i="6" s="1"/>
  <c r="E207" i="5" a="1"/>
  <c r="E207" i="5" s="1"/>
  <c r="A205" i="6" s="1"/>
  <c r="F207" i="5" a="1"/>
  <c r="F207" i="5" s="1"/>
  <c r="B205" i="6" s="1"/>
  <c r="K207" i="5" a="1"/>
  <c r="K207" i="5" s="1"/>
  <c r="G205" i="6" s="1"/>
  <c r="G207" i="5" a="1"/>
  <c r="G207" i="5" s="1"/>
  <c r="C205" i="6" s="1"/>
  <c r="L207" i="5" a="1"/>
  <c r="L207" i="5" s="1"/>
  <c r="H205" i="6" s="1"/>
  <c r="H207" i="5" a="1"/>
  <c r="H207" i="5" s="1"/>
  <c r="D205" i="6" s="1"/>
  <c r="W199" i="5" a="1"/>
  <c r="W199" i="5" s="1"/>
  <c r="S197" i="6" s="1"/>
  <c r="I199" i="5" a="1"/>
  <c r="I199" i="5" s="1"/>
  <c r="E197" i="6" s="1"/>
  <c r="E199" i="5" a="1"/>
  <c r="E199" i="5" s="1"/>
  <c r="A197" i="6" s="1"/>
  <c r="F199" i="5" a="1"/>
  <c r="F199" i="5" s="1"/>
  <c r="B197" i="6" s="1"/>
  <c r="H199" i="5" a="1"/>
  <c r="H199" i="5" s="1"/>
  <c r="D197" i="6" s="1"/>
  <c r="L199" i="5" a="1"/>
  <c r="L199" i="5" s="1"/>
  <c r="H197" i="6" s="1"/>
  <c r="J199" i="5" a="1"/>
  <c r="J199" i="5" s="1"/>
  <c r="F197" i="6" s="1"/>
  <c r="K199" i="5" a="1"/>
  <c r="K199" i="5" s="1"/>
  <c r="G197" i="6" s="1"/>
  <c r="G199" i="5" a="1"/>
  <c r="G199" i="5" s="1"/>
  <c r="C197" i="6" s="1"/>
  <c r="X191" i="5" a="1"/>
  <c r="X191" i="5" s="1"/>
  <c r="T189" i="6" s="1"/>
  <c r="I191" i="5" a="1"/>
  <c r="I191" i="5" s="1"/>
  <c r="E189" i="6" s="1"/>
  <c r="E191" i="5" a="1"/>
  <c r="E191" i="5" s="1"/>
  <c r="A189" i="6" s="1"/>
  <c r="F191" i="5" a="1"/>
  <c r="F191" i="5" s="1"/>
  <c r="B189" i="6" s="1"/>
  <c r="G191" i="5" a="1"/>
  <c r="G191" i="5" s="1"/>
  <c r="C189" i="6" s="1"/>
  <c r="K191" i="5" a="1"/>
  <c r="K191" i="5" s="1"/>
  <c r="G189" i="6" s="1"/>
  <c r="J191" i="5" a="1"/>
  <c r="J191" i="5" s="1"/>
  <c r="F189" i="6" s="1"/>
  <c r="L191" i="5" a="1"/>
  <c r="L191" i="5" s="1"/>
  <c r="H189" i="6" s="1"/>
  <c r="H191" i="5" a="1"/>
  <c r="H191" i="5" s="1"/>
  <c r="D189" i="6" s="1"/>
  <c r="X183" i="5" a="1"/>
  <c r="X183" i="5" s="1"/>
  <c r="T181" i="6" s="1"/>
  <c r="I183" i="5" a="1"/>
  <c r="I183" i="5" s="1"/>
  <c r="E181" i="6" s="1"/>
  <c r="E183" i="5" a="1"/>
  <c r="E183" i="5" s="1"/>
  <c r="A181" i="6" s="1"/>
  <c r="F183" i="5" a="1"/>
  <c r="F183" i="5" s="1"/>
  <c r="B181" i="6" s="1"/>
  <c r="J183" i="5" a="1"/>
  <c r="J183" i="5" s="1"/>
  <c r="F181" i="6" s="1"/>
  <c r="L183" i="5" a="1"/>
  <c r="L183" i="5" s="1"/>
  <c r="H181" i="6" s="1"/>
  <c r="H183" i="5" a="1"/>
  <c r="H183" i="5" s="1"/>
  <c r="D181" i="6" s="1"/>
  <c r="K183" i="5" a="1"/>
  <c r="K183" i="5" s="1"/>
  <c r="G181" i="6" s="1"/>
  <c r="G183" i="5" a="1"/>
  <c r="G183" i="5" s="1"/>
  <c r="C181" i="6" s="1"/>
  <c r="I175" i="5" a="1"/>
  <c r="I175" i="5" s="1"/>
  <c r="E173" i="6" s="1"/>
  <c r="E175" i="5" a="1"/>
  <c r="E175" i="5" s="1"/>
  <c r="A173" i="6" s="1"/>
  <c r="F175" i="5" a="1"/>
  <c r="F175" i="5" s="1"/>
  <c r="B173" i="6" s="1"/>
  <c r="K175" i="5" a="1"/>
  <c r="K175" i="5" s="1"/>
  <c r="G173" i="6" s="1"/>
  <c r="G175" i="5" a="1"/>
  <c r="G175" i="5" s="1"/>
  <c r="C173" i="6" s="1"/>
  <c r="L175" i="5" a="1"/>
  <c r="L175" i="5" s="1"/>
  <c r="H173" i="6" s="1"/>
  <c r="H175" i="5" a="1"/>
  <c r="H175" i="5" s="1"/>
  <c r="D173" i="6" s="1"/>
  <c r="J175" i="5" a="1"/>
  <c r="J175" i="5" s="1"/>
  <c r="F173" i="6" s="1"/>
  <c r="W167" i="5" a="1"/>
  <c r="W167" i="5" s="1"/>
  <c r="S165" i="6" s="1"/>
  <c r="I167" i="5" a="1"/>
  <c r="I167" i="5" s="1"/>
  <c r="E165" i="6" s="1"/>
  <c r="E167" i="5" a="1"/>
  <c r="E167" i="5" s="1"/>
  <c r="A165" i="6" s="1"/>
  <c r="F167" i="5" a="1"/>
  <c r="F167" i="5" s="1"/>
  <c r="B165" i="6" s="1"/>
  <c r="H167" i="5" a="1"/>
  <c r="H167" i="5" s="1"/>
  <c r="D165" i="6" s="1"/>
  <c r="L167" i="5" a="1"/>
  <c r="L167" i="5" s="1"/>
  <c r="H165" i="6" s="1"/>
  <c r="J167" i="5" a="1"/>
  <c r="J167" i="5" s="1"/>
  <c r="F165" i="6" s="1"/>
  <c r="G167" i="5" a="1"/>
  <c r="G167" i="5" s="1"/>
  <c r="C165" i="6" s="1"/>
  <c r="K167" i="5" a="1"/>
  <c r="K167" i="5" s="1"/>
  <c r="G165" i="6" s="1"/>
  <c r="W159" i="5" a="1"/>
  <c r="W159" i="5" s="1"/>
  <c r="S157" i="6" s="1"/>
  <c r="I159" i="5" a="1"/>
  <c r="I159" i="5" s="1"/>
  <c r="E157" i="6" s="1"/>
  <c r="E159" i="5" a="1"/>
  <c r="E159" i="5" s="1"/>
  <c r="A157" i="6" s="1"/>
  <c r="H159" i="5" a="1"/>
  <c r="H159" i="5" s="1"/>
  <c r="D157" i="6" s="1"/>
  <c r="F159" i="5" a="1"/>
  <c r="F159" i="5" s="1"/>
  <c r="B157" i="6" s="1"/>
  <c r="L159" i="5" a="1"/>
  <c r="L159" i="5" s="1"/>
  <c r="H157" i="6" s="1"/>
  <c r="G159" i="5" a="1"/>
  <c r="G159" i="5" s="1"/>
  <c r="C157" i="6" s="1"/>
  <c r="K159" i="5" a="1"/>
  <c r="K159" i="5" s="1"/>
  <c r="G157" i="6" s="1"/>
  <c r="J159" i="5" a="1"/>
  <c r="J159" i="5" s="1"/>
  <c r="F157" i="6" s="1"/>
  <c r="L151" i="5" a="1"/>
  <c r="L151" i="5" s="1"/>
  <c r="H149" i="6" s="1"/>
  <c r="H151" i="5" a="1"/>
  <c r="H151" i="5" s="1"/>
  <c r="D149" i="6" s="1"/>
  <c r="G151" i="5" a="1"/>
  <c r="G151" i="5" s="1"/>
  <c r="C149" i="6" s="1"/>
  <c r="K151" i="5" a="1"/>
  <c r="K151" i="5" s="1"/>
  <c r="G149" i="6" s="1"/>
  <c r="E151" i="5" a="1"/>
  <c r="E151" i="5" s="1"/>
  <c r="A149" i="6" s="1"/>
  <c r="J151" i="5" a="1"/>
  <c r="J151" i="5" s="1"/>
  <c r="F149" i="6" s="1"/>
  <c r="F151" i="5" a="1"/>
  <c r="F151" i="5" s="1"/>
  <c r="B149" i="6" s="1"/>
  <c r="I151" i="5" a="1"/>
  <c r="I151" i="5" s="1"/>
  <c r="E149" i="6" s="1"/>
  <c r="X143" i="5" a="1"/>
  <c r="X143" i="5" s="1"/>
  <c r="T141" i="6" s="1"/>
  <c r="G143" i="5" a="1"/>
  <c r="G143" i="5" s="1"/>
  <c r="C141" i="6" s="1"/>
  <c r="L143" i="5" a="1"/>
  <c r="L143" i="5" s="1"/>
  <c r="H141" i="6" s="1"/>
  <c r="K143" i="5" a="1"/>
  <c r="K143" i="5" s="1"/>
  <c r="G141" i="6" s="1"/>
  <c r="I143" i="5" a="1"/>
  <c r="I143" i="5" s="1"/>
  <c r="E141" i="6" s="1"/>
  <c r="J143" i="5" a="1"/>
  <c r="J143" i="5" s="1"/>
  <c r="F141" i="6" s="1"/>
  <c r="H143" i="5" a="1"/>
  <c r="H143" i="5" s="1"/>
  <c r="D141" i="6" s="1"/>
  <c r="E143" i="5" a="1"/>
  <c r="E143" i="5" s="1"/>
  <c r="A141" i="6" s="1"/>
  <c r="F143" i="5" a="1"/>
  <c r="F143" i="5" s="1"/>
  <c r="B141" i="6" s="1"/>
  <c r="W135" i="5" a="1"/>
  <c r="W135" i="5" s="1"/>
  <c r="S133" i="6" s="1"/>
  <c r="E135" i="5" a="1"/>
  <c r="E135" i="5" s="1"/>
  <c r="A133" i="6" s="1"/>
  <c r="H135" i="5" a="1"/>
  <c r="H135" i="5" s="1"/>
  <c r="D133" i="6" s="1"/>
  <c r="F135" i="5" a="1"/>
  <c r="F135" i="5" s="1"/>
  <c r="B133" i="6" s="1"/>
  <c r="K135" i="5" a="1"/>
  <c r="K135" i="5" s="1"/>
  <c r="G133" i="6" s="1"/>
  <c r="J135" i="5" a="1"/>
  <c r="J135" i="5" s="1"/>
  <c r="F133" i="6" s="1"/>
  <c r="G135" i="5" a="1"/>
  <c r="G135" i="5" s="1"/>
  <c r="C133" i="6" s="1"/>
  <c r="L135" i="5" a="1"/>
  <c r="L135" i="5" s="1"/>
  <c r="H133" i="6" s="1"/>
  <c r="I135" i="5" a="1"/>
  <c r="I135" i="5" s="1"/>
  <c r="E133" i="6" s="1"/>
  <c r="W127" i="5" a="1"/>
  <c r="W127" i="5" s="1"/>
  <c r="S125" i="6" s="1"/>
  <c r="F127" i="5" a="1"/>
  <c r="F127" i="5" s="1"/>
  <c r="B125" i="6" s="1"/>
  <c r="K127" i="5" a="1"/>
  <c r="K127" i="5" s="1"/>
  <c r="G125" i="6" s="1"/>
  <c r="G127" i="5" a="1"/>
  <c r="G127" i="5" s="1"/>
  <c r="C125" i="6" s="1"/>
  <c r="H127" i="5" a="1"/>
  <c r="H127" i="5" s="1"/>
  <c r="D125" i="6" s="1"/>
  <c r="E127" i="5" a="1"/>
  <c r="E127" i="5" s="1"/>
  <c r="A125" i="6" s="1"/>
  <c r="L127" i="5" a="1"/>
  <c r="L127" i="5" s="1"/>
  <c r="H125" i="6" s="1"/>
  <c r="J127" i="5" a="1"/>
  <c r="J127" i="5" s="1"/>
  <c r="F125" i="6" s="1"/>
  <c r="I127" i="5" a="1"/>
  <c r="I127" i="5" s="1"/>
  <c r="E125" i="6" s="1"/>
  <c r="F119" i="5" a="1"/>
  <c r="F119" i="5" s="1"/>
  <c r="B117" i="6" s="1"/>
  <c r="K119" i="5" a="1"/>
  <c r="K119" i="5" s="1"/>
  <c r="G117" i="6" s="1"/>
  <c r="G119" i="5" a="1"/>
  <c r="G119" i="5" s="1"/>
  <c r="C117" i="6" s="1"/>
  <c r="H119" i="5" a="1"/>
  <c r="H119" i="5" s="1"/>
  <c r="D117" i="6" s="1"/>
  <c r="J119" i="5" a="1"/>
  <c r="J119" i="5" s="1"/>
  <c r="F117" i="6" s="1"/>
  <c r="L119" i="5" a="1"/>
  <c r="L119" i="5" s="1"/>
  <c r="H117" i="6" s="1"/>
  <c r="E119" i="5" a="1"/>
  <c r="E119" i="5" s="1"/>
  <c r="A117" i="6" s="1"/>
  <c r="I119" i="5" a="1"/>
  <c r="I119" i="5" s="1"/>
  <c r="E117" i="6" s="1"/>
  <c r="F111" i="5" a="1"/>
  <c r="F111" i="5" s="1"/>
  <c r="B109" i="6" s="1"/>
  <c r="K111" i="5" a="1"/>
  <c r="K111" i="5" s="1"/>
  <c r="G109" i="6" s="1"/>
  <c r="G111" i="5" a="1"/>
  <c r="G111" i="5" s="1"/>
  <c r="C109" i="6" s="1"/>
  <c r="H111" i="5" a="1"/>
  <c r="H111" i="5" s="1"/>
  <c r="D109" i="6" s="1"/>
  <c r="I111" i="5" a="1"/>
  <c r="I111" i="5" s="1"/>
  <c r="E109" i="6" s="1"/>
  <c r="J111" i="5" a="1"/>
  <c r="J111" i="5" s="1"/>
  <c r="F109" i="6" s="1"/>
  <c r="L111" i="5" a="1"/>
  <c r="L111" i="5" s="1"/>
  <c r="H109" i="6" s="1"/>
  <c r="E111" i="5" a="1"/>
  <c r="E111" i="5" s="1"/>
  <c r="A109" i="6" s="1"/>
  <c r="E103" i="5" a="1"/>
  <c r="E103" i="5" s="1"/>
  <c r="A101" i="6" s="1"/>
  <c r="I103" i="5" a="1"/>
  <c r="I103" i="5" s="1"/>
  <c r="E101" i="6" s="1"/>
  <c r="K103" i="5" a="1"/>
  <c r="K103" i="5" s="1"/>
  <c r="G101" i="6" s="1"/>
  <c r="F103" i="5" a="1"/>
  <c r="F103" i="5" s="1"/>
  <c r="B101" i="6" s="1"/>
  <c r="G103" i="5" a="1"/>
  <c r="G103" i="5" s="1"/>
  <c r="C101" i="6" s="1"/>
  <c r="H103" i="5" a="1"/>
  <c r="H103" i="5" s="1"/>
  <c r="D101" i="6" s="1"/>
  <c r="J103" i="5" a="1"/>
  <c r="J103" i="5" s="1"/>
  <c r="F101" i="6" s="1"/>
  <c r="L103" i="5" a="1"/>
  <c r="L103" i="5" s="1"/>
  <c r="H101" i="6" s="1"/>
  <c r="X95" i="5" a="1"/>
  <c r="X95" i="5" s="1"/>
  <c r="T93" i="6" s="1"/>
  <c r="E95" i="5" a="1"/>
  <c r="E95" i="5" s="1"/>
  <c r="A93" i="6" s="1"/>
  <c r="I95" i="5" a="1"/>
  <c r="I95" i="5" s="1"/>
  <c r="E93" i="6" s="1"/>
  <c r="K95" i="5" a="1"/>
  <c r="K95" i="5" s="1"/>
  <c r="G93" i="6" s="1"/>
  <c r="F95" i="5" a="1"/>
  <c r="F95" i="5" s="1"/>
  <c r="B93" i="6" s="1"/>
  <c r="J95" i="5" a="1"/>
  <c r="J95" i="5" s="1"/>
  <c r="F93" i="6" s="1"/>
  <c r="L95" i="5" a="1"/>
  <c r="L95" i="5" s="1"/>
  <c r="H93" i="6" s="1"/>
  <c r="H95" i="5" a="1"/>
  <c r="H95" i="5" s="1"/>
  <c r="D93" i="6" s="1"/>
  <c r="G95" i="5" a="1"/>
  <c r="G95" i="5" s="1"/>
  <c r="C93" i="6" s="1"/>
  <c r="E87" i="5" a="1"/>
  <c r="E87" i="5" s="1"/>
  <c r="A85" i="6" s="1"/>
  <c r="I87" i="5" a="1"/>
  <c r="I87" i="5" s="1"/>
  <c r="E85" i="6" s="1"/>
  <c r="K87" i="5" a="1"/>
  <c r="K87" i="5" s="1"/>
  <c r="G85" i="6" s="1"/>
  <c r="F87" i="5" a="1"/>
  <c r="F87" i="5" s="1"/>
  <c r="B85" i="6" s="1"/>
  <c r="G87" i="5" a="1"/>
  <c r="G87" i="5" s="1"/>
  <c r="C85" i="6" s="1"/>
  <c r="H87" i="5" a="1"/>
  <c r="H87" i="5" s="1"/>
  <c r="D85" i="6" s="1"/>
  <c r="J87" i="5" a="1"/>
  <c r="J87" i="5" s="1"/>
  <c r="F85" i="6" s="1"/>
  <c r="L87" i="5" a="1"/>
  <c r="L87" i="5" s="1"/>
  <c r="H85" i="6" s="1"/>
  <c r="E402" i="5" a="1"/>
  <c r="E402" i="5" s="1"/>
  <c r="A400" i="6" s="1"/>
  <c r="J400" i="5" a="1"/>
  <c r="J400" i="5" s="1"/>
  <c r="F398" i="6" s="1"/>
  <c r="E370" i="5" a="1"/>
  <c r="E370" i="5" s="1"/>
  <c r="A368" i="6" s="1"/>
  <c r="J368" i="5" a="1"/>
  <c r="J368" i="5" s="1"/>
  <c r="F366" i="6" s="1"/>
  <c r="L330" i="5" a="1"/>
  <c r="L330" i="5" s="1"/>
  <c r="H328" i="6" s="1"/>
  <c r="I329" i="5" a="1"/>
  <c r="I329" i="5" s="1"/>
  <c r="E327" i="6" s="1"/>
  <c r="G303" i="5" a="1"/>
  <c r="G303" i="5" s="1"/>
  <c r="C301" i="6" s="1"/>
  <c r="J281" i="5" a="1"/>
  <c r="J281" i="5" s="1"/>
  <c r="F279" i="6" s="1"/>
  <c r="G178" i="5" a="1"/>
  <c r="G178" i="5" s="1"/>
  <c r="C176" i="6" s="1"/>
  <c r="X414" i="5" a="1"/>
  <c r="X414" i="5" s="1"/>
  <c r="T412" i="6" s="1"/>
  <c r="H414" i="5" a="1"/>
  <c r="H414" i="5" s="1"/>
  <c r="D412" i="6" s="1"/>
  <c r="L414" i="5" a="1"/>
  <c r="L414" i="5" s="1"/>
  <c r="H412" i="6" s="1"/>
  <c r="G414" i="5" a="1"/>
  <c r="G414" i="5" s="1"/>
  <c r="C412" i="6" s="1"/>
  <c r="K414" i="5" a="1"/>
  <c r="K414" i="5" s="1"/>
  <c r="G412" i="6" s="1"/>
  <c r="H406" i="5" a="1"/>
  <c r="H406" i="5" s="1"/>
  <c r="D404" i="6" s="1"/>
  <c r="L406" i="5" a="1"/>
  <c r="L406" i="5" s="1"/>
  <c r="H404" i="6" s="1"/>
  <c r="G406" i="5" a="1"/>
  <c r="G406" i="5" s="1"/>
  <c r="C404" i="6" s="1"/>
  <c r="K406" i="5" a="1"/>
  <c r="K406" i="5" s="1"/>
  <c r="G404" i="6" s="1"/>
  <c r="J406" i="5" a="1"/>
  <c r="J406" i="5" s="1"/>
  <c r="F404" i="6" s="1"/>
  <c r="H398" i="5" a="1"/>
  <c r="H398" i="5" s="1"/>
  <c r="D396" i="6" s="1"/>
  <c r="L398" i="5" a="1"/>
  <c r="L398" i="5" s="1"/>
  <c r="H396" i="6" s="1"/>
  <c r="G398" i="5" a="1"/>
  <c r="G398" i="5" s="1"/>
  <c r="C396" i="6" s="1"/>
  <c r="K398" i="5" a="1"/>
  <c r="K398" i="5" s="1"/>
  <c r="G396" i="6" s="1"/>
  <c r="J398" i="5" a="1"/>
  <c r="J398" i="5" s="1"/>
  <c r="F396" i="6" s="1"/>
  <c r="H390" i="5" a="1"/>
  <c r="H390" i="5" s="1"/>
  <c r="D388" i="6" s="1"/>
  <c r="L390" i="5" a="1"/>
  <c r="L390" i="5" s="1"/>
  <c r="H388" i="6" s="1"/>
  <c r="G390" i="5" a="1"/>
  <c r="G390" i="5" s="1"/>
  <c r="C388" i="6" s="1"/>
  <c r="K390" i="5" a="1"/>
  <c r="K390" i="5" s="1"/>
  <c r="G388" i="6" s="1"/>
  <c r="J390" i="5" a="1"/>
  <c r="J390" i="5" s="1"/>
  <c r="F388" i="6" s="1"/>
  <c r="W382" i="5" a="1"/>
  <c r="W382" i="5" s="1"/>
  <c r="S380" i="6" s="1"/>
  <c r="H382" i="5" a="1"/>
  <c r="H382" i="5" s="1"/>
  <c r="D380" i="6" s="1"/>
  <c r="L382" i="5" a="1"/>
  <c r="L382" i="5" s="1"/>
  <c r="H380" i="6" s="1"/>
  <c r="G382" i="5" a="1"/>
  <c r="G382" i="5" s="1"/>
  <c r="C380" i="6" s="1"/>
  <c r="K382" i="5" a="1"/>
  <c r="K382" i="5" s="1"/>
  <c r="G380" i="6" s="1"/>
  <c r="J382" i="5" a="1"/>
  <c r="J382" i="5" s="1"/>
  <c r="F380" i="6" s="1"/>
  <c r="H374" i="5" a="1"/>
  <c r="H374" i="5" s="1"/>
  <c r="D372" i="6" s="1"/>
  <c r="L374" i="5" a="1"/>
  <c r="L374" i="5" s="1"/>
  <c r="H372" i="6" s="1"/>
  <c r="G374" i="5" a="1"/>
  <c r="G374" i="5" s="1"/>
  <c r="C372" i="6" s="1"/>
  <c r="K374" i="5" a="1"/>
  <c r="K374" i="5" s="1"/>
  <c r="G372" i="6" s="1"/>
  <c r="J374" i="5" a="1"/>
  <c r="J374" i="5" s="1"/>
  <c r="F372" i="6" s="1"/>
  <c r="H366" i="5" a="1"/>
  <c r="H366" i="5" s="1"/>
  <c r="D364" i="6" s="1"/>
  <c r="L366" i="5" a="1"/>
  <c r="L366" i="5" s="1"/>
  <c r="H364" i="6" s="1"/>
  <c r="G366" i="5" a="1"/>
  <c r="G366" i="5" s="1"/>
  <c r="C364" i="6" s="1"/>
  <c r="K366" i="5" a="1"/>
  <c r="K366" i="5" s="1"/>
  <c r="G364" i="6" s="1"/>
  <c r="J366" i="5" a="1"/>
  <c r="J366" i="5" s="1"/>
  <c r="F364" i="6" s="1"/>
  <c r="H358" i="5" a="1"/>
  <c r="H358" i="5" s="1"/>
  <c r="D356" i="6" s="1"/>
  <c r="L358" i="5" a="1"/>
  <c r="L358" i="5" s="1"/>
  <c r="H356" i="6" s="1"/>
  <c r="G358" i="5" a="1"/>
  <c r="G358" i="5" s="1"/>
  <c r="C356" i="6" s="1"/>
  <c r="K358" i="5" a="1"/>
  <c r="K358" i="5" s="1"/>
  <c r="G356" i="6" s="1"/>
  <c r="J358" i="5" a="1"/>
  <c r="J358" i="5" s="1"/>
  <c r="F356" i="6" s="1"/>
  <c r="X350" i="5" a="1"/>
  <c r="X350" i="5" s="1"/>
  <c r="T348" i="6" s="1"/>
  <c r="H350" i="5" a="1"/>
  <c r="H350" i="5" s="1"/>
  <c r="D348" i="6" s="1"/>
  <c r="L350" i="5" a="1"/>
  <c r="L350" i="5" s="1"/>
  <c r="H348" i="6" s="1"/>
  <c r="G350" i="5" a="1"/>
  <c r="G350" i="5" s="1"/>
  <c r="C348" i="6" s="1"/>
  <c r="K350" i="5" a="1"/>
  <c r="K350" i="5" s="1"/>
  <c r="G348" i="6" s="1"/>
  <c r="J350" i="5" a="1"/>
  <c r="J350" i="5" s="1"/>
  <c r="F348" i="6" s="1"/>
  <c r="I342" i="5" a="1"/>
  <c r="I342" i="5" s="1"/>
  <c r="E340" i="6" s="1"/>
  <c r="H342" i="5" a="1"/>
  <c r="H342" i="5" s="1"/>
  <c r="D340" i="6" s="1"/>
  <c r="G342" i="5" a="1"/>
  <c r="G342" i="5" s="1"/>
  <c r="C340" i="6" s="1"/>
  <c r="E342" i="5" a="1"/>
  <c r="E342" i="5" s="1"/>
  <c r="A340" i="6" s="1"/>
  <c r="L342" i="5" a="1"/>
  <c r="L342" i="5" s="1"/>
  <c r="H340" i="6" s="1"/>
  <c r="J342" i="5" a="1"/>
  <c r="J342" i="5" s="1"/>
  <c r="F340" i="6" s="1"/>
  <c r="I334" i="5" a="1"/>
  <c r="I334" i="5" s="1"/>
  <c r="E332" i="6" s="1"/>
  <c r="H334" i="5" a="1"/>
  <c r="H334" i="5" s="1"/>
  <c r="D332" i="6" s="1"/>
  <c r="F334" i="5" a="1"/>
  <c r="F334" i="5" s="1"/>
  <c r="B332" i="6" s="1"/>
  <c r="G334" i="5" a="1"/>
  <c r="G334" i="5" s="1"/>
  <c r="C332" i="6" s="1"/>
  <c r="J334" i="5" a="1"/>
  <c r="J334" i="5" s="1"/>
  <c r="F332" i="6" s="1"/>
  <c r="X326" i="5" a="1"/>
  <c r="X326" i="5" s="1"/>
  <c r="T324" i="6" s="1"/>
  <c r="I326" i="5" a="1"/>
  <c r="I326" i="5" s="1"/>
  <c r="E324" i="6" s="1"/>
  <c r="H326" i="5" a="1"/>
  <c r="H326" i="5" s="1"/>
  <c r="D324" i="6" s="1"/>
  <c r="E326" i="5" a="1"/>
  <c r="E326" i="5" s="1"/>
  <c r="A324" i="6" s="1"/>
  <c r="K326" i="5" a="1"/>
  <c r="K326" i="5" s="1"/>
  <c r="G324" i="6" s="1"/>
  <c r="L326" i="5" a="1"/>
  <c r="L326" i="5" s="1"/>
  <c r="H324" i="6" s="1"/>
  <c r="V318" i="5" a="1"/>
  <c r="V318" i="5" s="1"/>
  <c r="R316" i="6" s="1"/>
  <c r="I318" i="5" a="1"/>
  <c r="I318" i="5" s="1"/>
  <c r="E316" i="6" s="1"/>
  <c r="H318" i="5" a="1"/>
  <c r="H318" i="5" s="1"/>
  <c r="D316" i="6" s="1"/>
  <c r="J318" i="5" a="1"/>
  <c r="J318" i="5" s="1"/>
  <c r="F316" i="6" s="1"/>
  <c r="E318" i="5" a="1"/>
  <c r="E318" i="5" s="1"/>
  <c r="A316" i="6" s="1"/>
  <c r="L318" i="5" a="1"/>
  <c r="L318" i="5" s="1"/>
  <c r="H316" i="6" s="1"/>
  <c r="W310" i="5" a="1"/>
  <c r="W310" i="5" s="1"/>
  <c r="S308" i="6" s="1"/>
  <c r="I310" i="5" a="1"/>
  <c r="I310" i="5" s="1"/>
  <c r="E308" i="6" s="1"/>
  <c r="H310" i="5" a="1"/>
  <c r="H310" i="5" s="1"/>
  <c r="D308" i="6" s="1"/>
  <c r="G310" i="5" a="1"/>
  <c r="G310" i="5" s="1"/>
  <c r="C308" i="6" s="1"/>
  <c r="J310" i="5" a="1"/>
  <c r="J310" i="5" s="1"/>
  <c r="F308" i="6" s="1"/>
  <c r="K310" i="5" a="1"/>
  <c r="K310" i="5" s="1"/>
  <c r="G308" i="6" s="1"/>
  <c r="I302" i="5" a="1"/>
  <c r="I302" i="5" s="1"/>
  <c r="E300" i="6" s="1"/>
  <c r="H302" i="5" a="1"/>
  <c r="H302" i="5" s="1"/>
  <c r="D300" i="6" s="1"/>
  <c r="L302" i="5" a="1"/>
  <c r="L302" i="5" s="1"/>
  <c r="H300" i="6" s="1"/>
  <c r="F302" i="5" a="1"/>
  <c r="F302" i="5" s="1"/>
  <c r="B300" i="6" s="1"/>
  <c r="E302" i="5" a="1"/>
  <c r="E302" i="5" s="1"/>
  <c r="A300" i="6" s="1"/>
  <c r="V294" i="5" a="1"/>
  <c r="V294" i="5" s="1"/>
  <c r="R292" i="6" s="1"/>
  <c r="I294" i="5" a="1"/>
  <c r="I294" i="5" s="1"/>
  <c r="E292" i="6" s="1"/>
  <c r="H294" i="5" a="1"/>
  <c r="H294" i="5" s="1"/>
  <c r="D292" i="6" s="1"/>
  <c r="E294" i="5" a="1"/>
  <c r="E294" i="5" s="1"/>
  <c r="A292" i="6" s="1"/>
  <c r="K294" i="5" a="1"/>
  <c r="K294" i="5" s="1"/>
  <c r="G292" i="6" s="1"/>
  <c r="L294" i="5" a="1"/>
  <c r="L294" i="5" s="1"/>
  <c r="H292" i="6" s="1"/>
  <c r="J294" i="5" a="1"/>
  <c r="J294" i="5" s="1"/>
  <c r="F292" i="6" s="1"/>
  <c r="V286" i="5" a="1"/>
  <c r="V286" i="5" s="1"/>
  <c r="R284" i="6" s="1"/>
  <c r="E286" i="5" a="1"/>
  <c r="E286" i="5" s="1"/>
  <c r="A284" i="6" s="1"/>
  <c r="J286" i="5" a="1"/>
  <c r="J286" i="5" s="1"/>
  <c r="F284" i="6" s="1"/>
  <c r="I286" i="5" a="1"/>
  <c r="I286" i="5" s="1"/>
  <c r="E284" i="6" s="1"/>
  <c r="H286" i="5" a="1"/>
  <c r="H286" i="5" s="1"/>
  <c r="D284" i="6" s="1"/>
  <c r="G286" i="5" a="1"/>
  <c r="G286" i="5" s="1"/>
  <c r="C284" i="6" s="1"/>
  <c r="F286" i="5" a="1"/>
  <c r="F286" i="5" s="1"/>
  <c r="B284" i="6" s="1"/>
  <c r="L286" i="5" a="1"/>
  <c r="L286" i="5" s="1"/>
  <c r="H284" i="6" s="1"/>
  <c r="X278" i="5" a="1"/>
  <c r="X278" i="5" s="1"/>
  <c r="T276" i="6" s="1"/>
  <c r="E278" i="5" a="1"/>
  <c r="E278" i="5" s="1"/>
  <c r="A276" i="6" s="1"/>
  <c r="J278" i="5" a="1"/>
  <c r="J278" i="5" s="1"/>
  <c r="F276" i="6" s="1"/>
  <c r="I278" i="5" a="1"/>
  <c r="I278" i="5" s="1"/>
  <c r="E276" i="6" s="1"/>
  <c r="G278" i="5" a="1"/>
  <c r="G278" i="5" s="1"/>
  <c r="C276" i="6" s="1"/>
  <c r="H278" i="5" a="1"/>
  <c r="H278" i="5" s="1"/>
  <c r="D276" i="6" s="1"/>
  <c r="L278" i="5" a="1"/>
  <c r="L278" i="5" s="1"/>
  <c r="H276" i="6" s="1"/>
  <c r="K278" i="5" a="1"/>
  <c r="K278" i="5" s="1"/>
  <c r="G276" i="6" s="1"/>
  <c r="E270" i="5" a="1"/>
  <c r="E270" i="5" s="1"/>
  <c r="A268" i="6" s="1"/>
  <c r="J270" i="5" a="1"/>
  <c r="J270" i="5" s="1"/>
  <c r="F268" i="6" s="1"/>
  <c r="I270" i="5" a="1"/>
  <c r="I270" i="5" s="1"/>
  <c r="E268" i="6" s="1"/>
  <c r="F270" i="5" a="1"/>
  <c r="F270" i="5" s="1"/>
  <c r="B268" i="6" s="1"/>
  <c r="L270" i="5" a="1"/>
  <c r="L270" i="5" s="1"/>
  <c r="H268" i="6" s="1"/>
  <c r="G270" i="5" a="1"/>
  <c r="G270" i="5" s="1"/>
  <c r="C268" i="6" s="1"/>
  <c r="H270" i="5" a="1"/>
  <c r="H270" i="5" s="1"/>
  <c r="D268" i="6" s="1"/>
  <c r="X262" i="5" a="1"/>
  <c r="X262" i="5" s="1"/>
  <c r="T260" i="6" s="1"/>
  <c r="E262" i="5" a="1"/>
  <c r="E262" i="5" s="1"/>
  <c r="A260" i="6" s="1"/>
  <c r="J262" i="5" a="1"/>
  <c r="J262" i="5" s="1"/>
  <c r="F260" i="6" s="1"/>
  <c r="I262" i="5" a="1"/>
  <c r="I262" i="5" s="1"/>
  <c r="E260" i="6" s="1"/>
  <c r="K262" i="5" a="1"/>
  <c r="K262" i="5" s="1"/>
  <c r="G260" i="6" s="1"/>
  <c r="L262" i="5" a="1"/>
  <c r="L262" i="5" s="1"/>
  <c r="H260" i="6" s="1"/>
  <c r="H262" i="5" a="1"/>
  <c r="H262" i="5" s="1"/>
  <c r="D260" i="6" s="1"/>
  <c r="X254" i="5" a="1"/>
  <c r="X254" i="5" s="1"/>
  <c r="T252" i="6" s="1"/>
  <c r="E254" i="5" a="1"/>
  <c r="E254" i="5" s="1"/>
  <c r="A252" i="6" s="1"/>
  <c r="J254" i="5" a="1"/>
  <c r="J254" i="5" s="1"/>
  <c r="F252" i="6" s="1"/>
  <c r="I254" i="5" a="1"/>
  <c r="I254" i="5" s="1"/>
  <c r="E252" i="6" s="1"/>
  <c r="H254" i="5" a="1"/>
  <c r="H254" i="5" s="1"/>
  <c r="D252" i="6" s="1"/>
  <c r="F254" i="5" a="1"/>
  <c r="F254" i="5" s="1"/>
  <c r="B252" i="6" s="1"/>
  <c r="G254" i="5" a="1"/>
  <c r="G254" i="5" s="1"/>
  <c r="C252" i="6" s="1"/>
  <c r="X246" i="5" a="1"/>
  <c r="X246" i="5" s="1"/>
  <c r="T244" i="6" s="1"/>
  <c r="E246" i="5" a="1"/>
  <c r="E246" i="5" s="1"/>
  <c r="A244" i="6" s="1"/>
  <c r="J246" i="5" a="1"/>
  <c r="J246" i="5" s="1"/>
  <c r="F244" i="6" s="1"/>
  <c r="I246" i="5" a="1"/>
  <c r="I246" i="5" s="1"/>
  <c r="E244" i="6" s="1"/>
  <c r="G246" i="5" a="1"/>
  <c r="G246" i="5" s="1"/>
  <c r="C244" i="6" s="1"/>
  <c r="H246" i="5" a="1"/>
  <c r="H246" i="5" s="1"/>
  <c r="D244" i="6" s="1"/>
  <c r="K246" i="5" a="1"/>
  <c r="K246" i="5" s="1"/>
  <c r="G244" i="6" s="1"/>
  <c r="L246" i="5" a="1"/>
  <c r="L246" i="5" s="1"/>
  <c r="H244" i="6" s="1"/>
  <c r="F246" i="5" a="1"/>
  <c r="F246" i="5" s="1"/>
  <c r="B244" i="6" s="1"/>
  <c r="G238" i="5" a="1"/>
  <c r="G238" i="5" s="1"/>
  <c r="C236" i="6" s="1"/>
  <c r="K238" i="5" a="1"/>
  <c r="K238" i="5" s="1"/>
  <c r="G236" i="6" s="1"/>
  <c r="E238" i="5" a="1"/>
  <c r="E238" i="5" s="1"/>
  <c r="A236" i="6" s="1"/>
  <c r="J238" i="5" a="1"/>
  <c r="J238" i="5" s="1"/>
  <c r="F236" i="6" s="1"/>
  <c r="L238" i="5" a="1"/>
  <c r="L238" i="5" s="1"/>
  <c r="H236" i="6" s="1"/>
  <c r="H238" i="5" a="1"/>
  <c r="H238" i="5" s="1"/>
  <c r="D236" i="6" s="1"/>
  <c r="I238" i="5" a="1"/>
  <c r="I238" i="5" s="1"/>
  <c r="E236" i="6" s="1"/>
  <c r="F238" i="5" a="1"/>
  <c r="F238" i="5" s="1"/>
  <c r="B236" i="6" s="1"/>
  <c r="V230" i="5" a="1"/>
  <c r="V230" i="5" s="1"/>
  <c r="R228" i="6" s="1"/>
  <c r="E230" i="5" a="1"/>
  <c r="E230" i="5" s="1"/>
  <c r="A228" i="6" s="1"/>
  <c r="K230" i="5" a="1"/>
  <c r="K230" i="5" s="1"/>
  <c r="G228" i="6" s="1"/>
  <c r="I230" i="5" a="1"/>
  <c r="I230" i="5" s="1"/>
  <c r="E228" i="6" s="1"/>
  <c r="J230" i="5" a="1"/>
  <c r="J230" i="5" s="1"/>
  <c r="F228" i="6" s="1"/>
  <c r="H230" i="5" a="1"/>
  <c r="H230" i="5" s="1"/>
  <c r="D228" i="6" s="1"/>
  <c r="F230" i="5" a="1"/>
  <c r="F230" i="5" s="1"/>
  <c r="B228" i="6" s="1"/>
  <c r="G230" i="5" a="1"/>
  <c r="G230" i="5" s="1"/>
  <c r="C228" i="6" s="1"/>
  <c r="V222" i="5" a="1"/>
  <c r="V222" i="5" s="1"/>
  <c r="R220" i="6" s="1"/>
  <c r="F222" i="5" a="1"/>
  <c r="F222" i="5" s="1"/>
  <c r="B220" i="6" s="1"/>
  <c r="K222" i="5" a="1"/>
  <c r="K222" i="5" s="1"/>
  <c r="G220" i="6" s="1"/>
  <c r="I222" i="5" a="1"/>
  <c r="I222" i="5" s="1"/>
  <c r="E220" i="6" s="1"/>
  <c r="H222" i="5" a="1"/>
  <c r="H222" i="5" s="1"/>
  <c r="D220" i="6" s="1"/>
  <c r="G222" i="5" a="1"/>
  <c r="G222" i="5" s="1"/>
  <c r="C220" i="6" s="1"/>
  <c r="J222" i="5" a="1"/>
  <c r="J222" i="5" s="1"/>
  <c r="F220" i="6" s="1"/>
  <c r="L222" i="5" a="1"/>
  <c r="L222" i="5" s="1"/>
  <c r="H220" i="6" s="1"/>
  <c r="W214" i="5" a="1"/>
  <c r="W214" i="5" s="1"/>
  <c r="S212" i="6" s="1"/>
  <c r="L214" i="5" a="1"/>
  <c r="L214" i="5" s="1"/>
  <c r="H212" i="6" s="1"/>
  <c r="H214" i="5" a="1"/>
  <c r="H214" i="5" s="1"/>
  <c r="D212" i="6" s="1"/>
  <c r="E214" i="5" a="1"/>
  <c r="E214" i="5" s="1"/>
  <c r="A212" i="6" s="1"/>
  <c r="F214" i="5" a="1"/>
  <c r="F214" i="5" s="1"/>
  <c r="B212" i="6" s="1"/>
  <c r="J214" i="5" a="1"/>
  <c r="J214" i="5" s="1"/>
  <c r="F212" i="6" s="1"/>
  <c r="G214" i="5" a="1"/>
  <c r="G214" i="5" s="1"/>
  <c r="C212" i="6" s="1"/>
  <c r="I214" i="5" a="1"/>
  <c r="I214" i="5" s="1"/>
  <c r="E212" i="6" s="1"/>
  <c r="K214" i="5" a="1"/>
  <c r="K214" i="5" s="1"/>
  <c r="G212" i="6" s="1"/>
  <c r="L206" i="5" a="1"/>
  <c r="L206" i="5" s="1"/>
  <c r="H204" i="6" s="1"/>
  <c r="H206" i="5" a="1"/>
  <c r="H206" i="5" s="1"/>
  <c r="D204" i="6" s="1"/>
  <c r="E206" i="5" a="1"/>
  <c r="E206" i="5" s="1"/>
  <c r="A204" i="6" s="1"/>
  <c r="I206" i="5" a="1"/>
  <c r="I206" i="5" s="1"/>
  <c r="E204" i="6" s="1"/>
  <c r="K206" i="5" a="1"/>
  <c r="K206" i="5" s="1"/>
  <c r="G204" i="6" s="1"/>
  <c r="G206" i="5" a="1"/>
  <c r="G206" i="5" s="1"/>
  <c r="C204" i="6" s="1"/>
  <c r="F206" i="5" a="1"/>
  <c r="F206" i="5" s="1"/>
  <c r="B204" i="6" s="1"/>
  <c r="J206" i="5" a="1"/>
  <c r="J206" i="5" s="1"/>
  <c r="F204" i="6" s="1"/>
  <c r="L198" i="5" a="1"/>
  <c r="L198" i="5" s="1"/>
  <c r="H196" i="6" s="1"/>
  <c r="H198" i="5" a="1"/>
  <c r="H198" i="5" s="1"/>
  <c r="D196" i="6" s="1"/>
  <c r="E198" i="5" a="1"/>
  <c r="E198" i="5" s="1"/>
  <c r="A196" i="6" s="1"/>
  <c r="J198" i="5" a="1"/>
  <c r="J198" i="5" s="1"/>
  <c r="F196" i="6" s="1"/>
  <c r="F198" i="5" a="1"/>
  <c r="F198" i="5" s="1"/>
  <c r="B196" i="6" s="1"/>
  <c r="G198" i="5" a="1"/>
  <c r="G198" i="5" s="1"/>
  <c r="C196" i="6" s="1"/>
  <c r="K198" i="5" a="1"/>
  <c r="K198" i="5" s="1"/>
  <c r="G196" i="6" s="1"/>
  <c r="I198" i="5" a="1"/>
  <c r="I198" i="5" s="1"/>
  <c r="E196" i="6" s="1"/>
  <c r="L190" i="5" a="1"/>
  <c r="L190" i="5" s="1"/>
  <c r="H188" i="6" s="1"/>
  <c r="H190" i="5" a="1"/>
  <c r="H190" i="5" s="1"/>
  <c r="D188" i="6" s="1"/>
  <c r="E190" i="5" a="1"/>
  <c r="E190" i="5" s="1"/>
  <c r="A188" i="6" s="1"/>
  <c r="G190" i="5" a="1"/>
  <c r="G190" i="5" s="1"/>
  <c r="C188" i="6" s="1"/>
  <c r="K190" i="5" a="1"/>
  <c r="K190" i="5" s="1"/>
  <c r="G188" i="6" s="1"/>
  <c r="J190" i="5" a="1"/>
  <c r="J190" i="5" s="1"/>
  <c r="F188" i="6" s="1"/>
  <c r="I190" i="5" a="1"/>
  <c r="I190" i="5" s="1"/>
  <c r="E188" i="6" s="1"/>
  <c r="L182" i="5" a="1"/>
  <c r="L182" i="5" s="1"/>
  <c r="H180" i="6" s="1"/>
  <c r="H182" i="5" a="1"/>
  <c r="H182" i="5" s="1"/>
  <c r="D180" i="6" s="1"/>
  <c r="E182" i="5" a="1"/>
  <c r="E182" i="5" s="1"/>
  <c r="A180" i="6" s="1"/>
  <c r="F182" i="5" a="1"/>
  <c r="F182" i="5" s="1"/>
  <c r="B180" i="6" s="1"/>
  <c r="J182" i="5" a="1"/>
  <c r="J182" i="5" s="1"/>
  <c r="F180" i="6" s="1"/>
  <c r="I182" i="5" a="1"/>
  <c r="I182" i="5" s="1"/>
  <c r="E180" i="6" s="1"/>
  <c r="K182" i="5" a="1"/>
  <c r="K182" i="5" s="1"/>
  <c r="G180" i="6" s="1"/>
  <c r="G182" i="5" a="1"/>
  <c r="G182" i="5" s="1"/>
  <c r="C180" i="6" s="1"/>
  <c r="X174" i="5" a="1"/>
  <c r="X174" i="5" s="1"/>
  <c r="T172" i="6" s="1"/>
  <c r="L174" i="5" a="1"/>
  <c r="L174" i="5" s="1"/>
  <c r="H172" i="6" s="1"/>
  <c r="H174" i="5" a="1"/>
  <c r="H174" i="5" s="1"/>
  <c r="D172" i="6" s="1"/>
  <c r="E174" i="5" a="1"/>
  <c r="E174" i="5" s="1"/>
  <c r="A172" i="6" s="1"/>
  <c r="I174" i="5" a="1"/>
  <c r="I174" i="5" s="1"/>
  <c r="E172" i="6" s="1"/>
  <c r="K174" i="5" a="1"/>
  <c r="K174" i="5" s="1"/>
  <c r="G172" i="6" s="1"/>
  <c r="G174" i="5" a="1"/>
  <c r="G174" i="5" s="1"/>
  <c r="C172" i="6" s="1"/>
  <c r="J174" i="5" a="1"/>
  <c r="J174" i="5" s="1"/>
  <c r="F172" i="6" s="1"/>
  <c r="F174" i="5" a="1"/>
  <c r="F174" i="5" s="1"/>
  <c r="B172" i="6" s="1"/>
  <c r="X166" i="5" a="1"/>
  <c r="X166" i="5" s="1"/>
  <c r="T164" i="6" s="1"/>
  <c r="L166" i="5" a="1"/>
  <c r="L166" i="5" s="1"/>
  <c r="H164" i="6" s="1"/>
  <c r="H166" i="5" a="1"/>
  <c r="H166" i="5" s="1"/>
  <c r="D164" i="6" s="1"/>
  <c r="E166" i="5" a="1"/>
  <c r="E166" i="5" s="1"/>
  <c r="A164" i="6" s="1"/>
  <c r="J166" i="5" a="1"/>
  <c r="J166" i="5" s="1"/>
  <c r="F164" i="6" s="1"/>
  <c r="F166" i="5" a="1"/>
  <c r="F166" i="5" s="1"/>
  <c r="B164" i="6" s="1"/>
  <c r="G166" i="5" a="1"/>
  <c r="G166" i="5" s="1"/>
  <c r="C164" i="6" s="1"/>
  <c r="I166" i="5" a="1"/>
  <c r="I166" i="5" s="1"/>
  <c r="E164" i="6" s="1"/>
  <c r="X158" i="5" a="1"/>
  <c r="X158" i="5" s="1"/>
  <c r="T156" i="6" s="1"/>
  <c r="L158" i="5" a="1"/>
  <c r="L158" i="5" s="1"/>
  <c r="H156" i="6" s="1"/>
  <c r="H158" i="5" a="1"/>
  <c r="H158" i="5" s="1"/>
  <c r="D156" i="6" s="1"/>
  <c r="G158" i="5" a="1"/>
  <c r="G158" i="5" s="1"/>
  <c r="C156" i="6" s="1"/>
  <c r="F158" i="5" a="1"/>
  <c r="F158" i="5" s="1"/>
  <c r="B156" i="6" s="1"/>
  <c r="I158" i="5" a="1"/>
  <c r="I158" i="5" s="1"/>
  <c r="E156" i="6" s="1"/>
  <c r="J158" i="5" a="1"/>
  <c r="J158" i="5" s="1"/>
  <c r="F156" i="6" s="1"/>
  <c r="E158" i="5" a="1"/>
  <c r="E158" i="5" s="1"/>
  <c r="A156" i="6" s="1"/>
  <c r="K158" i="5" a="1"/>
  <c r="K158" i="5" s="1"/>
  <c r="G156" i="6" s="1"/>
  <c r="X150" i="5" a="1"/>
  <c r="X150" i="5" s="1"/>
  <c r="T148" i="6" s="1"/>
  <c r="K150" i="5" a="1"/>
  <c r="K150" i="5" s="1"/>
  <c r="G148" i="6" s="1"/>
  <c r="E150" i="5" a="1"/>
  <c r="E150" i="5" s="1"/>
  <c r="A148" i="6" s="1"/>
  <c r="J150" i="5" a="1"/>
  <c r="J150" i="5" s="1"/>
  <c r="F148" i="6" s="1"/>
  <c r="I150" i="5" a="1"/>
  <c r="I150" i="5" s="1"/>
  <c r="E148" i="6" s="1"/>
  <c r="L150" i="5" a="1"/>
  <c r="L150" i="5" s="1"/>
  <c r="H148" i="6" s="1"/>
  <c r="G150" i="5" a="1"/>
  <c r="G150" i="5" s="1"/>
  <c r="C148" i="6" s="1"/>
  <c r="F150" i="5" a="1"/>
  <c r="F150" i="5" s="1"/>
  <c r="B148" i="6" s="1"/>
  <c r="H150" i="5" a="1"/>
  <c r="H150" i="5" s="1"/>
  <c r="D148" i="6" s="1"/>
  <c r="F142" i="5" a="1"/>
  <c r="F142" i="5" s="1"/>
  <c r="B140" i="6" s="1"/>
  <c r="K142" i="5" a="1"/>
  <c r="K142" i="5" s="1"/>
  <c r="G140" i="6" s="1"/>
  <c r="E142" i="5" a="1"/>
  <c r="E142" i="5" s="1"/>
  <c r="A140" i="6" s="1"/>
  <c r="J142" i="5" a="1"/>
  <c r="J142" i="5" s="1"/>
  <c r="F140" i="6" s="1"/>
  <c r="I142" i="5" a="1"/>
  <c r="I142" i="5" s="1"/>
  <c r="E140" i="6" s="1"/>
  <c r="G142" i="5" a="1"/>
  <c r="G142" i="5" s="1"/>
  <c r="C140" i="6" s="1"/>
  <c r="H142" i="5" a="1"/>
  <c r="H142" i="5" s="1"/>
  <c r="D140" i="6" s="1"/>
  <c r="F134" i="5" a="1"/>
  <c r="F134" i="5" s="1"/>
  <c r="B132" i="6" s="1"/>
  <c r="J134" i="5" a="1"/>
  <c r="J134" i="5" s="1"/>
  <c r="F132" i="6" s="1"/>
  <c r="G134" i="5" a="1"/>
  <c r="G134" i="5" s="1"/>
  <c r="C132" i="6" s="1"/>
  <c r="E134" i="5" a="1"/>
  <c r="E134" i="5" s="1"/>
  <c r="A132" i="6" s="1"/>
  <c r="L134" i="5" a="1"/>
  <c r="L134" i="5" s="1"/>
  <c r="H132" i="6" s="1"/>
  <c r="K134" i="5" a="1"/>
  <c r="K134" i="5" s="1"/>
  <c r="G132" i="6" s="1"/>
  <c r="H134" i="5" a="1"/>
  <c r="H134" i="5" s="1"/>
  <c r="D132" i="6" s="1"/>
  <c r="I134" i="5" a="1"/>
  <c r="I134" i="5" s="1"/>
  <c r="E132" i="6" s="1"/>
  <c r="E126" i="5" a="1"/>
  <c r="E126" i="5" s="1"/>
  <c r="A124" i="6" s="1"/>
  <c r="J126" i="5" a="1"/>
  <c r="J126" i="5" s="1"/>
  <c r="F124" i="6" s="1"/>
  <c r="G126" i="5" a="1"/>
  <c r="G126" i="5" s="1"/>
  <c r="C124" i="6" s="1"/>
  <c r="F126" i="5" a="1"/>
  <c r="F126" i="5" s="1"/>
  <c r="B124" i="6" s="1"/>
  <c r="H126" i="5" a="1"/>
  <c r="H126" i="5" s="1"/>
  <c r="D124" i="6" s="1"/>
  <c r="L126" i="5" a="1"/>
  <c r="L126" i="5" s="1"/>
  <c r="H124" i="6" s="1"/>
  <c r="I126" i="5" a="1"/>
  <c r="I126" i="5" s="1"/>
  <c r="E124" i="6" s="1"/>
  <c r="E118" i="5" a="1"/>
  <c r="E118" i="5" s="1"/>
  <c r="A116" i="6" s="1"/>
  <c r="J118" i="5" a="1"/>
  <c r="J118" i="5" s="1"/>
  <c r="F116" i="6" s="1"/>
  <c r="G118" i="5" a="1"/>
  <c r="G118" i="5" s="1"/>
  <c r="C116" i="6" s="1"/>
  <c r="L118" i="5" a="1"/>
  <c r="L118" i="5" s="1"/>
  <c r="H116" i="6" s="1"/>
  <c r="K118" i="5" a="1"/>
  <c r="K118" i="5" s="1"/>
  <c r="G116" i="6" s="1"/>
  <c r="I118" i="5" a="1"/>
  <c r="I118" i="5" s="1"/>
  <c r="E116" i="6" s="1"/>
  <c r="F118" i="5" a="1"/>
  <c r="F118" i="5" s="1"/>
  <c r="B116" i="6" s="1"/>
  <c r="H118" i="5" a="1"/>
  <c r="H118" i="5" s="1"/>
  <c r="D116" i="6" s="1"/>
  <c r="E110" i="5" a="1"/>
  <c r="E110" i="5" s="1"/>
  <c r="A108" i="6" s="1"/>
  <c r="J110" i="5" a="1"/>
  <c r="J110" i="5" s="1"/>
  <c r="F108" i="6" s="1"/>
  <c r="G110" i="5" a="1"/>
  <c r="G110" i="5" s="1"/>
  <c r="C108" i="6" s="1"/>
  <c r="I110" i="5" a="1"/>
  <c r="I110" i="5" s="1"/>
  <c r="E108" i="6" s="1"/>
  <c r="K110" i="5" a="1"/>
  <c r="K110" i="5" s="1"/>
  <c r="G108" i="6" s="1"/>
  <c r="F110" i="5" a="1"/>
  <c r="F110" i="5" s="1"/>
  <c r="B108" i="6" s="1"/>
  <c r="L110" i="5" a="1"/>
  <c r="L110" i="5" s="1"/>
  <c r="H108" i="6" s="1"/>
  <c r="H110" i="5" a="1"/>
  <c r="H110" i="5" s="1"/>
  <c r="D108" i="6" s="1"/>
  <c r="X102" i="5" a="1"/>
  <c r="X102" i="5" s="1"/>
  <c r="T100" i="6" s="1"/>
  <c r="E102" i="5" a="1"/>
  <c r="E102" i="5" s="1"/>
  <c r="A100" i="6" s="1"/>
  <c r="I102" i="5" a="1"/>
  <c r="I102" i="5" s="1"/>
  <c r="E100" i="6" s="1"/>
  <c r="H102" i="5" a="1"/>
  <c r="H102" i="5" s="1"/>
  <c r="D100" i="6" s="1"/>
  <c r="J102" i="5" a="1"/>
  <c r="J102" i="5" s="1"/>
  <c r="F100" i="6" s="1"/>
  <c r="F102" i="5" a="1"/>
  <c r="F102" i="5" s="1"/>
  <c r="B100" i="6" s="1"/>
  <c r="G102" i="5" a="1"/>
  <c r="G102" i="5" s="1"/>
  <c r="C100" i="6" s="1"/>
  <c r="K102" i="5" a="1"/>
  <c r="K102" i="5" s="1"/>
  <c r="G100" i="6" s="1"/>
  <c r="L102" i="5" a="1"/>
  <c r="L102" i="5" s="1"/>
  <c r="H100" i="6" s="1"/>
  <c r="X94" i="5" a="1"/>
  <c r="X94" i="5" s="1"/>
  <c r="T92" i="6" s="1"/>
  <c r="E94" i="5" a="1"/>
  <c r="E94" i="5" s="1"/>
  <c r="A92" i="6" s="1"/>
  <c r="I94" i="5" a="1"/>
  <c r="I94" i="5" s="1"/>
  <c r="E92" i="6" s="1"/>
  <c r="H94" i="5" a="1"/>
  <c r="H94" i="5" s="1"/>
  <c r="D92" i="6" s="1"/>
  <c r="J94" i="5" a="1"/>
  <c r="J94" i="5" s="1"/>
  <c r="F92" i="6" s="1"/>
  <c r="K94" i="5" a="1"/>
  <c r="K94" i="5" s="1"/>
  <c r="G92" i="6" s="1"/>
  <c r="F94" i="5" a="1"/>
  <c r="F94" i="5" s="1"/>
  <c r="B92" i="6" s="1"/>
  <c r="G94" i="5" a="1"/>
  <c r="G94" i="5" s="1"/>
  <c r="C92" i="6" s="1"/>
  <c r="L94" i="5" a="1"/>
  <c r="L94" i="5" s="1"/>
  <c r="H92" i="6" s="1"/>
  <c r="I409" i="5" a="1"/>
  <c r="I409" i="5" s="1"/>
  <c r="E407" i="6" s="1"/>
  <c r="E407" i="5" a="1"/>
  <c r="E407" i="5" s="1"/>
  <c r="A405" i="6" s="1"/>
  <c r="J401" i="5" a="1"/>
  <c r="J401" i="5" s="1"/>
  <c r="F399" i="6" s="1"/>
  <c r="F399" i="5" a="1"/>
  <c r="F399" i="5" s="1"/>
  <c r="B397" i="6" s="1"/>
  <c r="E398" i="5" a="1"/>
  <c r="E398" i="5" s="1"/>
  <c r="A396" i="6" s="1"/>
  <c r="F362" i="5" a="1"/>
  <c r="F362" i="5" s="1"/>
  <c r="B360" i="6" s="1"/>
  <c r="F353" i="5" a="1"/>
  <c r="F353" i="5" s="1"/>
  <c r="B351" i="6" s="1"/>
  <c r="I350" i="5" a="1"/>
  <c r="I350" i="5" s="1"/>
  <c r="E348" i="6" s="1"/>
  <c r="E346" i="5" a="1"/>
  <c r="E346" i="5" s="1"/>
  <c r="A344" i="6" s="1"/>
  <c r="H344" i="5" a="1"/>
  <c r="H344" i="5" s="1"/>
  <c r="D342" i="6" s="1"/>
  <c r="J313" i="5" a="1"/>
  <c r="J313" i="5" s="1"/>
  <c r="F311" i="6" s="1"/>
  <c r="L311" i="5" a="1"/>
  <c r="L311" i="5" s="1"/>
  <c r="H309" i="6" s="1"/>
  <c r="E310" i="5" a="1"/>
  <c r="E310" i="5" s="1"/>
  <c r="A308" i="6" s="1"/>
  <c r="G262" i="5" a="1"/>
  <c r="G262" i="5" s="1"/>
  <c r="C260" i="6" s="1"/>
  <c r="E222" i="5" a="1"/>
  <c r="E222" i="5" s="1"/>
  <c r="A220" i="6" s="1"/>
  <c r="K194" i="5" a="1"/>
  <c r="K194" i="5" s="1"/>
  <c r="G192" i="6" s="1"/>
  <c r="I176" i="5" a="1"/>
  <c r="I176" i="5" s="1"/>
  <c r="E174" i="6" s="1"/>
  <c r="K166" i="5" a="1"/>
  <c r="K166" i="5" s="1"/>
  <c r="G164" i="6" s="1"/>
  <c r="K126" i="5" a="1"/>
  <c r="K126" i="5" s="1"/>
  <c r="G124" i="6" s="1"/>
  <c r="X413" i="5" a="1"/>
  <c r="X413" i="5" s="1"/>
  <c r="T411" i="6" s="1"/>
  <c r="H413" i="5" a="1"/>
  <c r="H413" i="5" s="1"/>
  <c r="D411" i="6" s="1"/>
  <c r="L413" i="5" a="1"/>
  <c r="L413" i="5" s="1"/>
  <c r="H411" i="6" s="1"/>
  <c r="G413" i="5" a="1"/>
  <c r="G413" i="5" s="1"/>
  <c r="C411" i="6" s="1"/>
  <c r="K413" i="5" a="1"/>
  <c r="K413" i="5" s="1"/>
  <c r="G411" i="6" s="1"/>
  <c r="E413" i="5" a="1"/>
  <c r="E413" i="5" s="1"/>
  <c r="A411" i="6" s="1"/>
  <c r="H405" i="5" a="1"/>
  <c r="H405" i="5" s="1"/>
  <c r="D403" i="6" s="1"/>
  <c r="L405" i="5" a="1"/>
  <c r="L405" i="5" s="1"/>
  <c r="H403" i="6" s="1"/>
  <c r="G405" i="5" a="1"/>
  <c r="G405" i="5" s="1"/>
  <c r="C403" i="6" s="1"/>
  <c r="K405" i="5" a="1"/>
  <c r="K405" i="5" s="1"/>
  <c r="G403" i="6" s="1"/>
  <c r="E405" i="5" a="1"/>
  <c r="E405" i="5" s="1"/>
  <c r="A403" i="6" s="1"/>
  <c r="X397" i="5" a="1"/>
  <c r="X397" i="5" s="1"/>
  <c r="T395" i="6" s="1"/>
  <c r="H397" i="5" a="1"/>
  <c r="H397" i="5" s="1"/>
  <c r="D395" i="6" s="1"/>
  <c r="L397" i="5" a="1"/>
  <c r="L397" i="5" s="1"/>
  <c r="H395" i="6" s="1"/>
  <c r="G397" i="5" a="1"/>
  <c r="G397" i="5" s="1"/>
  <c r="C395" i="6" s="1"/>
  <c r="K397" i="5" a="1"/>
  <c r="K397" i="5" s="1"/>
  <c r="G395" i="6" s="1"/>
  <c r="E397" i="5" a="1"/>
  <c r="E397" i="5" s="1"/>
  <c r="A395" i="6" s="1"/>
  <c r="W389" i="5" a="1"/>
  <c r="W389" i="5" s="1"/>
  <c r="S387" i="6" s="1"/>
  <c r="H389" i="5" a="1"/>
  <c r="H389" i="5" s="1"/>
  <c r="D387" i="6" s="1"/>
  <c r="L389" i="5" a="1"/>
  <c r="L389" i="5" s="1"/>
  <c r="H387" i="6" s="1"/>
  <c r="G389" i="5" a="1"/>
  <c r="G389" i="5" s="1"/>
  <c r="C387" i="6" s="1"/>
  <c r="K389" i="5" a="1"/>
  <c r="K389" i="5" s="1"/>
  <c r="G387" i="6" s="1"/>
  <c r="E389" i="5" a="1"/>
  <c r="E389" i="5" s="1"/>
  <c r="A387" i="6" s="1"/>
  <c r="H381" i="5" a="1"/>
  <c r="H381" i="5" s="1"/>
  <c r="D379" i="6" s="1"/>
  <c r="L381" i="5" a="1"/>
  <c r="L381" i="5" s="1"/>
  <c r="H379" i="6" s="1"/>
  <c r="G381" i="5" a="1"/>
  <c r="G381" i="5" s="1"/>
  <c r="C379" i="6" s="1"/>
  <c r="K381" i="5" a="1"/>
  <c r="K381" i="5" s="1"/>
  <c r="G379" i="6" s="1"/>
  <c r="E381" i="5" a="1"/>
  <c r="E381" i="5" s="1"/>
  <c r="A379" i="6" s="1"/>
  <c r="H373" i="5" a="1"/>
  <c r="H373" i="5" s="1"/>
  <c r="D371" i="6" s="1"/>
  <c r="L373" i="5" a="1"/>
  <c r="L373" i="5" s="1"/>
  <c r="H371" i="6" s="1"/>
  <c r="G373" i="5" a="1"/>
  <c r="G373" i="5" s="1"/>
  <c r="C371" i="6" s="1"/>
  <c r="K373" i="5" a="1"/>
  <c r="K373" i="5" s="1"/>
  <c r="G371" i="6" s="1"/>
  <c r="E373" i="5" a="1"/>
  <c r="E373" i="5" s="1"/>
  <c r="A371" i="6" s="1"/>
  <c r="X365" i="5" a="1"/>
  <c r="X365" i="5" s="1"/>
  <c r="T363" i="6" s="1"/>
  <c r="H365" i="5" a="1"/>
  <c r="H365" i="5" s="1"/>
  <c r="D363" i="6" s="1"/>
  <c r="L365" i="5" a="1"/>
  <c r="L365" i="5" s="1"/>
  <c r="H363" i="6" s="1"/>
  <c r="G365" i="5" a="1"/>
  <c r="G365" i="5" s="1"/>
  <c r="C363" i="6" s="1"/>
  <c r="K365" i="5" a="1"/>
  <c r="K365" i="5" s="1"/>
  <c r="G363" i="6" s="1"/>
  <c r="E365" i="5" a="1"/>
  <c r="E365" i="5" s="1"/>
  <c r="A363" i="6" s="1"/>
  <c r="X357" i="5" a="1"/>
  <c r="X357" i="5" s="1"/>
  <c r="T355" i="6" s="1"/>
  <c r="H357" i="5" a="1"/>
  <c r="H357" i="5" s="1"/>
  <c r="D355" i="6" s="1"/>
  <c r="L357" i="5" a="1"/>
  <c r="L357" i="5" s="1"/>
  <c r="H355" i="6" s="1"/>
  <c r="G357" i="5" a="1"/>
  <c r="G357" i="5" s="1"/>
  <c r="C355" i="6" s="1"/>
  <c r="K357" i="5" a="1"/>
  <c r="K357" i="5" s="1"/>
  <c r="G355" i="6" s="1"/>
  <c r="E357" i="5" a="1"/>
  <c r="E357" i="5" s="1"/>
  <c r="A355" i="6" s="1"/>
  <c r="X349" i="5" a="1"/>
  <c r="X349" i="5" s="1"/>
  <c r="T347" i="6" s="1"/>
  <c r="G349" i="5" a="1"/>
  <c r="G349" i="5" s="1"/>
  <c r="C347" i="6" s="1"/>
  <c r="H349" i="5" a="1"/>
  <c r="H349" i="5" s="1"/>
  <c r="D347" i="6" s="1"/>
  <c r="L349" i="5" a="1"/>
  <c r="L349" i="5" s="1"/>
  <c r="H347" i="6" s="1"/>
  <c r="K349" i="5" a="1"/>
  <c r="K349" i="5" s="1"/>
  <c r="G347" i="6" s="1"/>
  <c r="E349" i="5" a="1"/>
  <c r="E349" i="5" s="1"/>
  <c r="A347" i="6" s="1"/>
  <c r="F349" i="5" a="1"/>
  <c r="F349" i="5" s="1"/>
  <c r="B347" i="6" s="1"/>
  <c r="X341" i="5" a="1"/>
  <c r="X341" i="5" s="1"/>
  <c r="T339" i="6" s="1"/>
  <c r="G341" i="5" a="1"/>
  <c r="G341" i="5" s="1"/>
  <c r="C339" i="6" s="1"/>
  <c r="L341" i="5" a="1"/>
  <c r="L341" i="5" s="1"/>
  <c r="H339" i="6" s="1"/>
  <c r="H341" i="5" a="1"/>
  <c r="H341" i="5" s="1"/>
  <c r="D339" i="6" s="1"/>
  <c r="K341" i="5" a="1"/>
  <c r="K341" i="5" s="1"/>
  <c r="G339" i="6" s="1"/>
  <c r="I341" i="5" a="1"/>
  <c r="I341" i="5" s="1"/>
  <c r="E339" i="6" s="1"/>
  <c r="J341" i="5" a="1"/>
  <c r="J341" i="5" s="1"/>
  <c r="F339" i="6" s="1"/>
  <c r="X333" i="5" a="1"/>
  <c r="X333" i="5" s="1"/>
  <c r="T331" i="6" s="1"/>
  <c r="G333" i="5" a="1"/>
  <c r="G333" i="5" s="1"/>
  <c r="C331" i="6" s="1"/>
  <c r="L333" i="5" a="1"/>
  <c r="L333" i="5" s="1"/>
  <c r="H331" i="6" s="1"/>
  <c r="H333" i="5" a="1"/>
  <c r="H333" i="5" s="1"/>
  <c r="D331" i="6" s="1"/>
  <c r="K333" i="5" a="1"/>
  <c r="K333" i="5" s="1"/>
  <c r="G331" i="6" s="1"/>
  <c r="F333" i="5" a="1"/>
  <c r="F333" i="5" s="1"/>
  <c r="B331" i="6" s="1"/>
  <c r="W325" i="5" a="1"/>
  <c r="W325" i="5" s="1"/>
  <c r="S323" i="6" s="1"/>
  <c r="G325" i="5" a="1"/>
  <c r="G325" i="5" s="1"/>
  <c r="C323" i="6" s="1"/>
  <c r="L325" i="5" a="1"/>
  <c r="L325" i="5" s="1"/>
  <c r="H323" i="6" s="1"/>
  <c r="H325" i="5" a="1"/>
  <c r="H325" i="5" s="1"/>
  <c r="D323" i="6" s="1"/>
  <c r="K325" i="5" a="1"/>
  <c r="K325" i="5" s="1"/>
  <c r="G323" i="6" s="1"/>
  <c r="E325" i="5" a="1"/>
  <c r="E325" i="5" s="1"/>
  <c r="A323" i="6" s="1"/>
  <c r="F325" i="5" a="1"/>
  <c r="F325" i="5" s="1"/>
  <c r="B323" i="6" s="1"/>
  <c r="G317" i="5" a="1"/>
  <c r="G317" i="5" s="1"/>
  <c r="C315" i="6" s="1"/>
  <c r="L317" i="5" a="1"/>
  <c r="L317" i="5" s="1"/>
  <c r="H315" i="6" s="1"/>
  <c r="H317" i="5" a="1"/>
  <c r="H317" i="5" s="1"/>
  <c r="D315" i="6" s="1"/>
  <c r="K317" i="5" a="1"/>
  <c r="K317" i="5" s="1"/>
  <c r="G315" i="6" s="1"/>
  <c r="J317" i="5" a="1"/>
  <c r="J317" i="5" s="1"/>
  <c r="F315" i="6" s="1"/>
  <c r="I317" i="5" a="1"/>
  <c r="I317" i="5" s="1"/>
  <c r="E315" i="6" s="1"/>
  <c r="V309" i="5" a="1"/>
  <c r="V309" i="5" s="1"/>
  <c r="R307" i="6" s="1"/>
  <c r="G309" i="5" a="1"/>
  <c r="G309" i="5" s="1"/>
  <c r="C307" i="6" s="1"/>
  <c r="L309" i="5" a="1"/>
  <c r="L309" i="5" s="1"/>
  <c r="H307" i="6" s="1"/>
  <c r="H309" i="5" a="1"/>
  <c r="H309" i="5" s="1"/>
  <c r="D307" i="6" s="1"/>
  <c r="K309" i="5" a="1"/>
  <c r="K309" i="5" s="1"/>
  <c r="G307" i="6" s="1"/>
  <c r="I309" i="5" a="1"/>
  <c r="I309" i="5" s="1"/>
  <c r="E307" i="6" s="1"/>
  <c r="F309" i="5" a="1"/>
  <c r="F309" i="5" s="1"/>
  <c r="B307" i="6" s="1"/>
  <c r="J309" i="5" a="1"/>
  <c r="J309" i="5" s="1"/>
  <c r="F307" i="6" s="1"/>
  <c r="X301" i="5" a="1"/>
  <c r="X301" i="5" s="1"/>
  <c r="T299" i="6" s="1"/>
  <c r="G301" i="5" a="1"/>
  <c r="G301" i="5" s="1"/>
  <c r="C299" i="6" s="1"/>
  <c r="L301" i="5" a="1"/>
  <c r="L301" i="5" s="1"/>
  <c r="H299" i="6" s="1"/>
  <c r="H301" i="5" a="1"/>
  <c r="H301" i="5" s="1"/>
  <c r="D299" i="6" s="1"/>
  <c r="K301" i="5" a="1"/>
  <c r="K301" i="5" s="1"/>
  <c r="G299" i="6" s="1"/>
  <c r="F301" i="5" a="1"/>
  <c r="F301" i="5" s="1"/>
  <c r="B299" i="6" s="1"/>
  <c r="W293" i="5" a="1"/>
  <c r="W293" i="5" s="1"/>
  <c r="S291" i="6" s="1"/>
  <c r="I293" i="5" a="1"/>
  <c r="I293" i="5" s="1"/>
  <c r="E291" i="6" s="1"/>
  <c r="L293" i="5" a="1"/>
  <c r="L293" i="5" s="1"/>
  <c r="H291" i="6" s="1"/>
  <c r="G293" i="5" a="1"/>
  <c r="G293" i="5" s="1"/>
  <c r="C291" i="6" s="1"/>
  <c r="F293" i="5" a="1"/>
  <c r="F293" i="5" s="1"/>
  <c r="B291" i="6" s="1"/>
  <c r="K293" i="5" a="1"/>
  <c r="K293" i="5" s="1"/>
  <c r="G291" i="6" s="1"/>
  <c r="E293" i="5" a="1"/>
  <c r="E293" i="5" s="1"/>
  <c r="A291" i="6" s="1"/>
  <c r="H293" i="5" a="1"/>
  <c r="H293" i="5" s="1"/>
  <c r="D291" i="6" s="1"/>
  <c r="I285" i="5" a="1"/>
  <c r="I285" i="5" s="1"/>
  <c r="E283" i="6" s="1"/>
  <c r="H285" i="5" a="1"/>
  <c r="H285" i="5" s="1"/>
  <c r="D283" i="6" s="1"/>
  <c r="J285" i="5" a="1"/>
  <c r="J285" i="5" s="1"/>
  <c r="F283" i="6" s="1"/>
  <c r="E285" i="5" a="1"/>
  <c r="E285" i="5" s="1"/>
  <c r="A283" i="6" s="1"/>
  <c r="F285" i="5" a="1"/>
  <c r="F285" i="5" s="1"/>
  <c r="B283" i="6" s="1"/>
  <c r="L285" i="5" a="1"/>
  <c r="L285" i="5" s="1"/>
  <c r="H283" i="6" s="1"/>
  <c r="I277" i="5" a="1"/>
  <c r="I277" i="5" s="1"/>
  <c r="E275" i="6" s="1"/>
  <c r="H277" i="5" a="1"/>
  <c r="H277" i="5" s="1"/>
  <c r="D275" i="6" s="1"/>
  <c r="G277" i="5" a="1"/>
  <c r="G277" i="5" s="1"/>
  <c r="C275" i="6" s="1"/>
  <c r="J277" i="5" a="1"/>
  <c r="J277" i="5" s="1"/>
  <c r="F275" i="6" s="1"/>
  <c r="K277" i="5" a="1"/>
  <c r="K277" i="5" s="1"/>
  <c r="G275" i="6" s="1"/>
  <c r="E277" i="5" a="1"/>
  <c r="E277" i="5" s="1"/>
  <c r="A275" i="6" s="1"/>
  <c r="F277" i="5" a="1"/>
  <c r="F277" i="5" s="1"/>
  <c r="B275" i="6" s="1"/>
  <c r="X269" i="5" a="1"/>
  <c r="X269" i="5" s="1"/>
  <c r="T267" i="6" s="1"/>
  <c r="I269" i="5" a="1"/>
  <c r="I269" i="5" s="1"/>
  <c r="E267" i="6" s="1"/>
  <c r="H269" i="5" a="1"/>
  <c r="H269" i="5" s="1"/>
  <c r="D267" i="6" s="1"/>
  <c r="F269" i="5" a="1"/>
  <c r="F269" i="5" s="1"/>
  <c r="B267" i="6" s="1"/>
  <c r="L269" i="5" a="1"/>
  <c r="L269" i="5" s="1"/>
  <c r="H267" i="6" s="1"/>
  <c r="E269" i="5" a="1"/>
  <c r="E269" i="5" s="1"/>
  <c r="A267" i="6" s="1"/>
  <c r="J269" i="5" a="1"/>
  <c r="J269" i="5" s="1"/>
  <c r="F267" i="6" s="1"/>
  <c r="X261" i="5" a="1"/>
  <c r="X261" i="5" s="1"/>
  <c r="T259" i="6" s="1"/>
  <c r="I261" i="5" a="1"/>
  <c r="I261" i="5" s="1"/>
  <c r="E259" i="6" s="1"/>
  <c r="H261" i="5" a="1"/>
  <c r="H261" i="5" s="1"/>
  <c r="D259" i="6" s="1"/>
  <c r="E261" i="5" a="1"/>
  <c r="E261" i="5" s="1"/>
  <c r="A259" i="6" s="1"/>
  <c r="K261" i="5" a="1"/>
  <c r="K261" i="5" s="1"/>
  <c r="G259" i="6" s="1"/>
  <c r="L261" i="5" a="1"/>
  <c r="L261" i="5" s="1"/>
  <c r="H259" i="6" s="1"/>
  <c r="G261" i="5" a="1"/>
  <c r="G261" i="5" s="1"/>
  <c r="C259" i="6" s="1"/>
  <c r="J261" i="5" a="1"/>
  <c r="J261" i="5" s="1"/>
  <c r="F259" i="6" s="1"/>
  <c r="F261" i="5" a="1"/>
  <c r="F261" i="5" s="1"/>
  <c r="B259" i="6" s="1"/>
  <c r="X253" i="5" a="1"/>
  <c r="X253" i="5" s="1"/>
  <c r="T251" i="6" s="1"/>
  <c r="I253" i="5" a="1"/>
  <c r="I253" i="5" s="1"/>
  <c r="E251" i="6" s="1"/>
  <c r="H253" i="5" a="1"/>
  <c r="H253" i="5" s="1"/>
  <c r="D251" i="6" s="1"/>
  <c r="J253" i="5" a="1"/>
  <c r="J253" i="5" s="1"/>
  <c r="F251" i="6" s="1"/>
  <c r="E253" i="5" a="1"/>
  <c r="E253" i="5" s="1"/>
  <c r="A251" i="6" s="1"/>
  <c r="G253" i="5" a="1"/>
  <c r="G253" i="5" s="1"/>
  <c r="C251" i="6" s="1"/>
  <c r="L253" i="5" a="1"/>
  <c r="L253" i="5" s="1"/>
  <c r="H251" i="6" s="1"/>
  <c r="W245" i="5" a="1"/>
  <c r="W245" i="5" s="1"/>
  <c r="S243" i="6" s="1"/>
  <c r="G245" i="5" a="1"/>
  <c r="G245" i="5" s="1"/>
  <c r="C243" i="6" s="1"/>
  <c r="K245" i="5" a="1"/>
  <c r="K245" i="5" s="1"/>
  <c r="G243" i="6" s="1"/>
  <c r="H245" i="5" a="1"/>
  <c r="H245" i="5" s="1"/>
  <c r="D243" i="6" s="1"/>
  <c r="F245" i="5" a="1"/>
  <c r="F245" i="5" s="1"/>
  <c r="B243" i="6" s="1"/>
  <c r="I245" i="5" a="1"/>
  <c r="I245" i="5" s="1"/>
  <c r="E243" i="6" s="1"/>
  <c r="E245" i="5" a="1"/>
  <c r="E245" i="5" s="1"/>
  <c r="A243" i="6" s="1"/>
  <c r="J245" i="5" a="1"/>
  <c r="J245" i="5" s="1"/>
  <c r="F243" i="6" s="1"/>
  <c r="X237" i="5" a="1"/>
  <c r="X237" i="5" s="1"/>
  <c r="T235" i="6" s="1"/>
  <c r="G237" i="5" a="1"/>
  <c r="G237" i="5" s="1"/>
  <c r="C235" i="6" s="1"/>
  <c r="K237" i="5" a="1"/>
  <c r="K237" i="5" s="1"/>
  <c r="G235" i="6" s="1"/>
  <c r="H237" i="5" a="1"/>
  <c r="H237" i="5" s="1"/>
  <c r="D235" i="6" s="1"/>
  <c r="L237" i="5" a="1"/>
  <c r="L237" i="5" s="1"/>
  <c r="H235" i="6" s="1"/>
  <c r="J237" i="5" a="1"/>
  <c r="J237" i="5" s="1"/>
  <c r="F235" i="6" s="1"/>
  <c r="E237" i="5" a="1"/>
  <c r="E237" i="5" s="1"/>
  <c r="A235" i="6" s="1"/>
  <c r="H229" i="5" a="1"/>
  <c r="H229" i="5" s="1"/>
  <c r="D227" i="6" s="1"/>
  <c r="J229" i="5" a="1"/>
  <c r="J229" i="5" s="1"/>
  <c r="F227" i="6" s="1"/>
  <c r="L229" i="5" a="1"/>
  <c r="L229" i="5" s="1"/>
  <c r="H227" i="6" s="1"/>
  <c r="K229" i="5" a="1"/>
  <c r="K229" i="5" s="1"/>
  <c r="G227" i="6" s="1"/>
  <c r="I229" i="5" a="1"/>
  <c r="I229" i="5" s="1"/>
  <c r="E227" i="6" s="1"/>
  <c r="F229" i="5" a="1"/>
  <c r="F229" i="5" s="1"/>
  <c r="B227" i="6" s="1"/>
  <c r="X221" i="5" a="1"/>
  <c r="X221" i="5" s="1"/>
  <c r="T219" i="6" s="1"/>
  <c r="F221" i="5" a="1"/>
  <c r="F221" i="5" s="1"/>
  <c r="B219" i="6" s="1"/>
  <c r="J221" i="5" a="1"/>
  <c r="J221" i="5" s="1"/>
  <c r="F219" i="6" s="1"/>
  <c r="G221" i="5" a="1"/>
  <c r="G221" i="5" s="1"/>
  <c r="C219" i="6" s="1"/>
  <c r="L221" i="5" a="1"/>
  <c r="L221" i="5" s="1"/>
  <c r="H219" i="6" s="1"/>
  <c r="I221" i="5" a="1"/>
  <c r="I221" i="5" s="1"/>
  <c r="E219" i="6" s="1"/>
  <c r="H221" i="5" a="1"/>
  <c r="H221" i="5" s="1"/>
  <c r="D219" i="6" s="1"/>
  <c r="E221" i="5" a="1"/>
  <c r="E221" i="5" s="1"/>
  <c r="A219" i="6" s="1"/>
  <c r="W213" i="5" a="1"/>
  <c r="W213" i="5" s="1"/>
  <c r="S211" i="6" s="1"/>
  <c r="K213" i="5" a="1"/>
  <c r="K213" i="5" s="1"/>
  <c r="G211" i="6" s="1"/>
  <c r="G213" i="5" a="1"/>
  <c r="G213" i="5" s="1"/>
  <c r="C211" i="6" s="1"/>
  <c r="H213" i="5" a="1"/>
  <c r="H213" i="5" s="1"/>
  <c r="D211" i="6" s="1"/>
  <c r="F213" i="5" a="1"/>
  <c r="F213" i="5" s="1"/>
  <c r="B211" i="6" s="1"/>
  <c r="J213" i="5" a="1"/>
  <c r="J213" i="5" s="1"/>
  <c r="F211" i="6" s="1"/>
  <c r="E213" i="5" a="1"/>
  <c r="E213" i="5" s="1"/>
  <c r="A211" i="6" s="1"/>
  <c r="L213" i="5" a="1"/>
  <c r="L213" i="5" s="1"/>
  <c r="H211" i="6" s="1"/>
  <c r="X205" i="5" a="1"/>
  <c r="X205" i="5" s="1"/>
  <c r="T203" i="6" s="1"/>
  <c r="K205" i="5" a="1"/>
  <c r="K205" i="5" s="1"/>
  <c r="G203" i="6" s="1"/>
  <c r="G205" i="5" a="1"/>
  <c r="G205" i="5" s="1"/>
  <c r="C203" i="6" s="1"/>
  <c r="H205" i="5" a="1"/>
  <c r="H205" i="5" s="1"/>
  <c r="D203" i="6" s="1"/>
  <c r="E205" i="5" a="1"/>
  <c r="E205" i="5" s="1"/>
  <c r="A203" i="6" s="1"/>
  <c r="L205" i="5" a="1"/>
  <c r="L205" i="5" s="1"/>
  <c r="H203" i="6" s="1"/>
  <c r="I205" i="5" a="1"/>
  <c r="I205" i="5" s="1"/>
  <c r="E203" i="6" s="1"/>
  <c r="J205" i="5" a="1"/>
  <c r="J205" i="5" s="1"/>
  <c r="F203" i="6" s="1"/>
  <c r="F205" i="5" a="1"/>
  <c r="F205" i="5" s="1"/>
  <c r="B203" i="6" s="1"/>
  <c r="X197" i="5" a="1"/>
  <c r="X197" i="5" s="1"/>
  <c r="T195" i="6" s="1"/>
  <c r="K197" i="5" a="1"/>
  <c r="K197" i="5" s="1"/>
  <c r="G195" i="6" s="1"/>
  <c r="G197" i="5" a="1"/>
  <c r="G197" i="5" s="1"/>
  <c r="C195" i="6" s="1"/>
  <c r="H197" i="5" a="1"/>
  <c r="H197" i="5" s="1"/>
  <c r="D195" i="6" s="1"/>
  <c r="J197" i="5" a="1"/>
  <c r="J197" i="5" s="1"/>
  <c r="F195" i="6" s="1"/>
  <c r="F197" i="5" a="1"/>
  <c r="F197" i="5" s="1"/>
  <c r="B195" i="6" s="1"/>
  <c r="L197" i="5" a="1"/>
  <c r="L197" i="5" s="1"/>
  <c r="H195" i="6" s="1"/>
  <c r="E197" i="5" a="1"/>
  <c r="E197" i="5" s="1"/>
  <c r="A195" i="6" s="1"/>
  <c r="I197" i="5" a="1"/>
  <c r="I197" i="5" s="1"/>
  <c r="E195" i="6" s="1"/>
  <c r="X189" i="5" a="1"/>
  <c r="X189" i="5" s="1"/>
  <c r="T187" i="6" s="1"/>
  <c r="K189" i="5" a="1"/>
  <c r="K189" i="5" s="1"/>
  <c r="G187" i="6" s="1"/>
  <c r="G189" i="5" a="1"/>
  <c r="G189" i="5" s="1"/>
  <c r="C187" i="6" s="1"/>
  <c r="H189" i="5" a="1"/>
  <c r="H189" i="5" s="1"/>
  <c r="D187" i="6" s="1"/>
  <c r="I189" i="5" a="1"/>
  <c r="I189" i="5" s="1"/>
  <c r="E187" i="6" s="1"/>
  <c r="E189" i="5" a="1"/>
  <c r="E189" i="5" s="1"/>
  <c r="A187" i="6" s="1"/>
  <c r="L189" i="5" a="1"/>
  <c r="L189" i="5" s="1"/>
  <c r="H187" i="6" s="1"/>
  <c r="F189" i="5" a="1"/>
  <c r="F189" i="5" s="1"/>
  <c r="B187" i="6" s="1"/>
  <c r="J189" i="5" a="1"/>
  <c r="J189" i="5" s="1"/>
  <c r="F187" i="6" s="1"/>
  <c r="X181" i="5" a="1"/>
  <c r="X181" i="5" s="1"/>
  <c r="T179" i="6" s="1"/>
  <c r="K181" i="5" a="1"/>
  <c r="K181" i="5" s="1"/>
  <c r="G179" i="6" s="1"/>
  <c r="G181" i="5" a="1"/>
  <c r="G181" i="5" s="1"/>
  <c r="C179" i="6" s="1"/>
  <c r="H181" i="5" a="1"/>
  <c r="H181" i="5" s="1"/>
  <c r="D179" i="6" s="1"/>
  <c r="F181" i="5" a="1"/>
  <c r="F181" i="5" s="1"/>
  <c r="B179" i="6" s="1"/>
  <c r="J181" i="5" a="1"/>
  <c r="J181" i="5" s="1"/>
  <c r="F179" i="6" s="1"/>
  <c r="L181" i="5" a="1"/>
  <c r="L181" i="5" s="1"/>
  <c r="H179" i="6" s="1"/>
  <c r="E181" i="5" a="1"/>
  <c r="E181" i="5" s="1"/>
  <c r="A179" i="6" s="1"/>
  <c r="I181" i="5" a="1"/>
  <c r="I181" i="5" s="1"/>
  <c r="E179" i="6" s="1"/>
  <c r="X173" i="5" a="1"/>
  <c r="X173" i="5" s="1"/>
  <c r="T171" i="6" s="1"/>
  <c r="K173" i="5" a="1"/>
  <c r="K173" i="5" s="1"/>
  <c r="G171" i="6" s="1"/>
  <c r="G173" i="5" a="1"/>
  <c r="G173" i="5" s="1"/>
  <c r="C171" i="6" s="1"/>
  <c r="H173" i="5" a="1"/>
  <c r="H173" i="5" s="1"/>
  <c r="D171" i="6" s="1"/>
  <c r="E173" i="5" a="1"/>
  <c r="E173" i="5" s="1"/>
  <c r="A171" i="6" s="1"/>
  <c r="L173" i="5" a="1"/>
  <c r="L173" i="5" s="1"/>
  <c r="H171" i="6" s="1"/>
  <c r="I173" i="5" a="1"/>
  <c r="I173" i="5" s="1"/>
  <c r="E171" i="6" s="1"/>
  <c r="F173" i="5" a="1"/>
  <c r="F173" i="5" s="1"/>
  <c r="B171" i="6" s="1"/>
  <c r="J173" i="5" a="1"/>
  <c r="J173" i="5" s="1"/>
  <c r="F171" i="6" s="1"/>
  <c r="K165" i="5" a="1"/>
  <c r="K165" i="5" s="1"/>
  <c r="G163" i="6" s="1"/>
  <c r="G165" i="5" a="1"/>
  <c r="G165" i="5" s="1"/>
  <c r="C163" i="6" s="1"/>
  <c r="H165" i="5" a="1"/>
  <c r="H165" i="5" s="1"/>
  <c r="D163" i="6" s="1"/>
  <c r="J165" i="5" a="1"/>
  <c r="J165" i="5" s="1"/>
  <c r="F163" i="6" s="1"/>
  <c r="F165" i="5" a="1"/>
  <c r="F165" i="5" s="1"/>
  <c r="B163" i="6" s="1"/>
  <c r="L165" i="5" a="1"/>
  <c r="L165" i="5" s="1"/>
  <c r="H163" i="6" s="1"/>
  <c r="I165" i="5" a="1"/>
  <c r="I165" i="5" s="1"/>
  <c r="E163" i="6" s="1"/>
  <c r="V157" i="5" a="1"/>
  <c r="V157" i="5" s="1"/>
  <c r="R155" i="6" s="1"/>
  <c r="K157" i="5" a="1"/>
  <c r="K157" i="5" s="1"/>
  <c r="G155" i="6" s="1"/>
  <c r="G157" i="5" a="1"/>
  <c r="G157" i="5" s="1"/>
  <c r="C155" i="6" s="1"/>
  <c r="F157" i="5" a="1"/>
  <c r="F157" i="5" s="1"/>
  <c r="B155" i="6" s="1"/>
  <c r="H157" i="5" a="1"/>
  <c r="H157" i="5" s="1"/>
  <c r="D155" i="6" s="1"/>
  <c r="L157" i="5" a="1"/>
  <c r="L157" i="5" s="1"/>
  <c r="H155" i="6" s="1"/>
  <c r="J157" i="5" a="1"/>
  <c r="J157" i="5" s="1"/>
  <c r="F155" i="6" s="1"/>
  <c r="E157" i="5" a="1"/>
  <c r="E157" i="5" s="1"/>
  <c r="A155" i="6" s="1"/>
  <c r="X149" i="5" a="1"/>
  <c r="X149" i="5" s="1"/>
  <c r="T147" i="6" s="1"/>
  <c r="I149" i="5" a="1"/>
  <c r="I149" i="5" s="1"/>
  <c r="E147" i="6" s="1"/>
  <c r="E149" i="5" a="1"/>
  <c r="E149" i="5" s="1"/>
  <c r="A147" i="6" s="1"/>
  <c r="J149" i="5" a="1"/>
  <c r="J149" i="5" s="1"/>
  <c r="F147" i="6" s="1"/>
  <c r="F149" i="5" a="1"/>
  <c r="F149" i="5" s="1"/>
  <c r="B147" i="6" s="1"/>
  <c r="L149" i="5" a="1"/>
  <c r="L149" i="5" s="1"/>
  <c r="H147" i="6" s="1"/>
  <c r="H149" i="5" a="1"/>
  <c r="H149" i="5" s="1"/>
  <c r="D147" i="6" s="1"/>
  <c r="K149" i="5" a="1"/>
  <c r="K149" i="5" s="1"/>
  <c r="G147" i="6" s="1"/>
  <c r="G149" i="5" a="1"/>
  <c r="G149" i="5" s="1"/>
  <c r="C147" i="6" s="1"/>
  <c r="X141" i="5" a="1"/>
  <c r="X141" i="5" s="1"/>
  <c r="T139" i="6" s="1"/>
  <c r="I141" i="5" a="1"/>
  <c r="I141" i="5" s="1"/>
  <c r="E139" i="6" s="1"/>
  <c r="E141" i="5" a="1"/>
  <c r="E141" i="5" s="1"/>
  <c r="A139" i="6" s="1"/>
  <c r="J141" i="5" a="1"/>
  <c r="J141" i="5" s="1"/>
  <c r="F139" i="6" s="1"/>
  <c r="K141" i="5" a="1"/>
  <c r="K141" i="5" s="1"/>
  <c r="G139" i="6" s="1"/>
  <c r="F141" i="5" a="1"/>
  <c r="F141" i="5" s="1"/>
  <c r="B139" i="6" s="1"/>
  <c r="H141" i="5" a="1"/>
  <c r="H141" i="5" s="1"/>
  <c r="D139" i="6" s="1"/>
  <c r="L141" i="5" a="1"/>
  <c r="L141" i="5" s="1"/>
  <c r="H139" i="6" s="1"/>
  <c r="G141" i="5" a="1"/>
  <c r="G141" i="5" s="1"/>
  <c r="C139" i="6" s="1"/>
  <c r="F133" i="5" a="1"/>
  <c r="F133" i="5" s="1"/>
  <c r="B131" i="6" s="1"/>
  <c r="J133" i="5" a="1"/>
  <c r="J133" i="5" s="1"/>
  <c r="F131" i="6" s="1"/>
  <c r="E133" i="5" a="1"/>
  <c r="E133" i="5" s="1"/>
  <c r="A131" i="6" s="1"/>
  <c r="I133" i="5" a="1"/>
  <c r="I133" i="5" s="1"/>
  <c r="E131" i="6" s="1"/>
  <c r="L133" i="5" a="1"/>
  <c r="L133" i="5" s="1"/>
  <c r="H131" i="6" s="1"/>
  <c r="H133" i="5" a="1"/>
  <c r="H133" i="5" s="1"/>
  <c r="D131" i="6" s="1"/>
  <c r="K133" i="5" a="1"/>
  <c r="K133" i="5" s="1"/>
  <c r="G131" i="6" s="1"/>
  <c r="G133" i="5" a="1"/>
  <c r="G133" i="5" s="1"/>
  <c r="C131" i="6" s="1"/>
  <c r="I125" i="5" a="1"/>
  <c r="I125" i="5" s="1"/>
  <c r="E123" i="6" s="1"/>
  <c r="J125" i="5" a="1"/>
  <c r="J125" i="5" s="1"/>
  <c r="F123" i="6" s="1"/>
  <c r="G125" i="5" a="1"/>
  <c r="G125" i="5" s="1"/>
  <c r="C123" i="6" s="1"/>
  <c r="F125" i="5" a="1"/>
  <c r="F125" i="5" s="1"/>
  <c r="B123" i="6" s="1"/>
  <c r="L125" i="5" a="1"/>
  <c r="L125" i="5" s="1"/>
  <c r="H123" i="6" s="1"/>
  <c r="E125" i="5" a="1"/>
  <c r="E125" i="5" s="1"/>
  <c r="A123" i="6" s="1"/>
  <c r="H125" i="5" a="1"/>
  <c r="H125" i="5" s="1"/>
  <c r="D123" i="6" s="1"/>
  <c r="K125" i="5" a="1"/>
  <c r="K125" i="5" s="1"/>
  <c r="G123" i="6" s="1"/>
  <c r="X117" i="5" a="1"/>
  <c r="X117" i="5" s="1"/>
  <c r="T115" i="6" s="1"/>
  <c r="I117" i="5" a="1"/>
  <c r="I117" i="5" s="1"/>
  <c r="E115" i="6" s="1"/>
  <c r="J117" i="5" a="1"/>
  <c r="J117" i="5" s="1"/>
  <c r="F115" i="6" s="1"/>
  <c r="E117" i="5" a="1"/>
  <c r="E117" i="5" s="1"/>
  <c r="A115" i="6" s="1"/>
  <c r="L117" i="5" a="1"/>
  <c r="L117" i="5" s="1"/>
  <c r="H115" i="6" s="1"/>
  <c r="F117" i="5" a="1"/>
  <c r="F117" i="5" s="1"/>
  <c r="B115" i="6" s="1"/>
  <c r="H117" i="5" a="1"/>
  <c r="H117" i="5" s="1"/>
  <c r="D115" i="6" s="1"/>
  <c r="K117" i="5" a="1"/>
  <c r="K117" i="5" s="1"/>
  <c r="G115" i="6" s="1"/>
  <c r="G117" i="5" a="1"/>
  <c r="G117" i="5" s="1"/>
  <c r="C115" i="6" s="1"/>
  <c r="X109" i="5" a="1"/>
  <c r="X109" i="5" s="1"/>
  <c r="T107" i="6" s="1"/>
  <c r="I109" i="5" a="1"/>
  <c r="I109" i="5" s="1"/>
  <c r="E107" i="6" s="1"/>
  <c r="J109" i="5" a="1"/>
  <c r="J109" i="5" s="1"/>
  <c r="F107" i="6" s="1"/>
  <c r="K109" i="5" a="1"/>
  <c r="K109" i="5" s="1"/>
  <c r="G107" i="6" s="1"/>
  <c r="E109" i="5" a="1"/>
  <c r="E109" i="5" s="1"/>
  <c r="A107" i="6" s="1"/>
  <c r="F109" i="5" a="1"/>
  <c r="F109" i="5" s="1"/>
  <c r="B107" i="6" s="1"/>
  <c r="G109" i="5" a="1"/>
  <c r="G109" i="5" s="1"/>
  <c r="C107" i="6" s="1"/>
  <c r="L109" i="5" a="1"/>
  <c r="L109" i="5" s="1"/>
  <c r="H107" i="6" s="1"/>
  <c r="H109" i="5" a="1"/>
  <c r="H109" i="5" s="1"/>
  <c r="D107" i="6" s="1"/>
  <c r="X101" i="5" a="1"/>
  <c r="X101" i="5" s="1"/>
  <c r="T99" i="6" s="1"/>
  <c r="E101" i="5" a="1"/>
  <c r="E101" i="5" s="1"/>
  <c r="A99" i="6" s="1"/>
  <c r="I101" i="5" a="1"/>
  <c r="I101" i="5" s="1"/>
  <c r="E99" i="6" s="1"/>
  <c r="K101" i="5" a="1"/>
  <c r="K101" i="5" s="1"/>
  <c r="G99" i="6" s="1"/>
  <c r="F101" i="5" a="1"/>
  <c r="F101" i="5" s="1"/>
  <c r="B99" i="6" s="1"/>
  <c r="G101" i="5" a="1"/>
  <c r="G101" i="5" s="1"/>
  <c r="C99" i="6" s="1"/>
  <c r="H101" i="5" a="1"/>
  <c r="H101" i="5" s="1"/>
  <c r="D99" i="6" s="1"/>
  <c r="J101" i="5" a="1"/>
  <c r="J101" i="5" s="1"/>
  <c r="F99" i="6" s="1"/>
  <c r="L101" i="5" a="1"/>
  <c r="L101" i="5" s="1"/>
  <c r="H99" i="6" s="1"/>
  <c r="X93" i="5" a="1"/>
  <c r="X93" i="5" s="1"/>
  <c r="T91" i="6" s="1"/>
  <c r="E93" i="5" a="1"/>
  <c r="E93" i="5" s="1"/>
  <c r="A91" i="6" s="1"/>
  <c r="I93" i="5" a="1"/>
  <c r="I93" i="5" s="1"/>
  <c r="E91" i="6" s="1"/>
  <c r="K93" i="5" a="1"/>
  <c r="K93" i="5" s="1"/>
  <c r="G91" i="6" s="1"/>
  <c r="F93" i="5" a="1"/>
  <c r="F93" i="5" s="1"/>
  <c r="B91" i="6" s="1"/>
  <c r="J93" i="5" a="1"/>
  <c r="J93" i="5" s="1"/>
  <c r="F91" i="6" s="1"/>
  <c r="G93" i="5" a="1"/>
  <c r="G93" i="5" s="1"/>
  <c r="C91" i="6" s="1"/>
  <c r="L93" i="5" a="1"/>
  <c r="L93" i="5" s="1"/>
  <c r="H91" i="6" s="1"/>
  <c r="H93" i="5" a="1"/>
  <c r="H93" i="5" s="1"/>
  <c r="D91" i="6" s="1"/>
  <c r="W85" i="5" a="1"/>
  <c r="W85" i="5" s="1"/>
  <c r="S83" i="6" s="1"/>
  <c r="K85" i="5" a="1"/>
  <c r="K85" i="5" s="1"/>
  <c r="G83" i="6" s="1"/>
  <c r="X4" i="5" a="1"/>
  <c r="X4" i="5" s="1"/>
  <c r="T2" i="6" s="1"/>
  <c r="E4" i="5" a="1"/>
  <c r="E4" i="5" s="1"/>
  <c r="A2" i="6" s="1"/>
  <c r="H411" i="5" a="1"/>
  <c r="H411" i="5" s="1"/>
  <c r="D409" i="6" s="1"/>
  <c r="L411" i="5" a="1"/>
  <c r="L411" i="5" s="1"/>
  <c r="H409" i="6" s="1"/>
  <c r="G411" i="5" a="1"/>
  <c r="G411" i="5" s="1"/>
  <c r="C409" i="6" s="1"/>
  <c r="K411" i="5" a="1"/>
  <c r="K411" i="5" s="1"/>
  <c r="G409" i="6" s="1"/>
  <c r="I411" i="5" a="1"/>
  <c r="I411" i="5" s="1"/>
  <c r="E409" i="6" s="1"/>
  <c r="J411" i="5" a="1"/>
  <c r="J411" i="5" s="1"/>
  <c r="F409" i="6" s="1"/>
  <c r="H403" i="5" a="1"/>
  <c r="H403" i="5" s="1"/>
  <c r="D401" i="6" s="1"/>
  <c r="L403" i="5" a="1"/>
  <c r="L403" i="5" s="1"/>
  <c r="H401" i="6" s="1"/>
  <c r="G403" i="5" a="1"/>
  <c r="G403" i="5" s="1"/>
  <c r="C401" i="6" s="1"/>
  <c r="K403" i="5" a="1"/>
  <c r="K403" i="5" s="1"/>
  <c r="G401" i="6" s="1"/>
  <c r="I403" i="5" a="1"/>
  <c r="I403" i="5" s="1"/>
  <c r="E401" i="6" s="1"/>
  <c r="J403" i="5" a="1"/>
  <c r="J403" i="5" s="1"/>
  <c r="F401" i="6" s="1"/>
  <c r="H395" i="5" a="1"/>
  <c r="H395" i="5" s="1"/>
  <c r="D393" i="6" s="1"/>
  <c r="L395" i="5" a="1"/>
  <c r="L395" i="5" s="1"/>
  <c r="H393" i="6" s="1"/>
  <c r="G395" i="5" a="1"/>
  <c r="G395" i="5" s="1"/>
  <c r="C393" i="6" s="1"/>
  <c r="K395" i="5" a="1"/>
  <c r="K395" i="5" s="1"/>
  <c r="G393" i="6" s="1"/>
  <c r="I395" i="5" a="1"/>
  <c r="I395" i="5" s="1"/>
  <c r="E393" i="6" s="1"/>
  <c r="J395" i="5" a="1"/>
  <c r="J395" i="5" s="1"/>
  <c r="F393" i="6" s="1"/>
  <c r="H387" i="5" a="1"/>
  <c r="H387" i="5" s="1"/>
  <c r="D385" i="6" s="1"/>
  <c r="L387" i="5" a="1"/>
  <c r="L387" i="5" s="1"/>
  <c r="H385" i="6" s="1"/>
  <c r="G387" i="5" a="1"/>
  <c r="G387" i="5" s="1"/>
  <c r="C385" i="6" s="1"/>
  <c r="K387" i="5" a="1"/>
  <c r="K387" i="5" s="1"/>
  <c r="G385" i="6" s="1"/>
  <c r="I387" i="5" a="1"/>
  <c r="I387" i="5" s="1"/>
  <c r="E385" i="6" s="1"/>
  <c r="J387" i="5" a="1"/>
  <c r="J387" i="5" s="1"/>
  <c r="F385" i="6" s="1"/>
  <c r="X379" i="5" a="1"/>
  <c r="X379" i="5" s="1"/>
  <c r="T377" i="6" s="1"/>
  <c r="H379" i="5" a="1"/>
  <c r="H379" i="5" s="1"/>
  <c r="D377" i="6" s="1"/>
  <c r="L379" i="5" a="1"/>
  <c r="L379" i="5" s="1"/>
  <c r="H377" i="6" s="1"/>
  <c r="G379" i="5" a="1"/>
  <c r="G379" i="5" s="1"/>
  <c r="C377" i="6" s="1"/>
  <c r="K379" i="5" a="1"/>
  <c r="K379" i="5" s="1"/>
  <c r="G377" i="6" s="1"/>
  <c r="I379" i="5" a="1"/>
  <c r="I379" i="5" s="1"/>
  <c r="E377" i="6" s="1"/>
  <c r="J379" i="5" a="1"/>
  <c r="J379" i="5" s="1"/>
  <c r="F377" i="6" s="1"/>
  <c r="X371" i="5" a="1"/>
  <c r="X371" i="5" s="1"/>
  <c r="T369" i="6" s="1"/>
  <c r="H371" i="5" a="1"/>
  <c r="H371" i="5" s="1"/>
  <c r="D369" i="6" s="1"/>
  <c r="L371" i="5" a="1"/>
  <c r="L371" i="5" s="1"/>
  <c r="H369" i="6" s="1"/>
  <c r="G371" i="5" a="1"/>
  <c r="G371" i="5" s="1"/>
  <c r="C369" i="6" s="1"/>
  <c r="K371" i="5" a="1"/>
  <c r="K371" i="5" s="1"/>
  <c r="G369" i="6" s="1"/>
  <c r="I371" i="5" a="1"/>
  <c r="I371" i="5" s="1"/>
  <c r="E369" i="6" s="1"/>
  <c r="J371" i="5" a="1"/>
  <c r="J371" i="5" s="1"/>
  <c r="F369" i="6" s="1"/>
  <c r="X363" i="5" a="1"/>
  <c r="X363" i="5" s="1"/>
  <c r="T361" i="6" s="1"/>
  <c r="H363" i="5" a="1"/>
  <c r="H363" i="5" s="1"/>
  <c r="D361" i="6" s="1"/>
  <c r="L363" i="5" a="1"/>
  <c r="L363" i="5" s="1"/>
  <c r="H361" i="6" s="1"/>
  <c r="G363" i="5" a="1"/>
  <c r="G363" i="5" s="1"/>
  <c r="C361" i="6" s="1"/>
  <c r="K363" i="5" a="1"/>
  <c r="K363" i="5" s="1"/>
  <c r="G361" i="6" s="1"/>
  <c r="I363" i="5" a="1"/>
  <c r="I363" i="5" s="1"/>
  <c r="E361" i="6" s="1"/>
  <c r="J363" i="5" a="1"/>
  <c r="J363" i="5" s="1"/>
  <c r="F361" i="6" s="1"/>
  <c r="W355" i="5" a="1"/>
  <c r="W355" i="5" s="1"/>
  <c r="S353" i="6" s="1"/>
  <c r="H355" i="5" a="1"/>
  <c r="H355" i="5" s="1"/>
  <c r="D353" i="6" s="1"/>
  <c r="L355" i="5" a="1"/>
  <c r="L355" i="5" s="1"/>
  <c r="H353" i="6" s="1"/>
  <c r="G355" i="5" a="1"/>
  <c r="G355" i="5" s="1"/>
  <c r="C353" i="6" s="1"/>
  <c r="K355" i="5" a="1"/>
  <c r="K355" i="5" s="1"/>
  <c r="G353" i="6" s="1"/>
  <c r="I355" i="5" a="1"/>
  <c r="I355" i="5" s="1"/>
  <c r="E353" i="6" s="1"/>
  <c r="J355" i="5" a="1"/>
  <c r="J355" i="5" s="1"/>
  <c r="F353" i="6" s="1"/>
  <c r="X347" i="5" a="1"/>
  <c r="X347" i="5" s="1"/>
  <c r="T345" i="6" s="1"/>
  <c r="E347" i="5" a="1"/>
  <c r="E347" i="5" s="1"/>
  <c r="A345" i="6" s="1"/>
  <c r="J347" i="5" a="1"/>
  <c r="J347" i="5" s="1"/>
  <c r="F345" i="6" s="1"/>
  <c r="I347" i="5" a="1"/>
  <c r="I347" i="5" s="1"/>
  <c r="E345" i="6" s="1"/>
  <c r="L347" i="5" a="1"/>
  <c r="L347" i="5" s="1"/>
  <c r="H345" i="6" s="1"/>
  <c r="K347" i="5" a="1"/>
  <c r="K347" i="5" s="1"/>
  <c r="G345" i="6" s="1"/>
  <c r="E339" i="5" a="1"/>
  <c r="E339" i="5" s="1"/>
  <c r="A337" i="6" s="1"/>
  <c r="J339" i="5" a="1"/>
  <c r="J339" i="5" s="1"/>
  <c r="F337" i="6" s="1"/>
  <c r="I339" i="5" a="1"/>
  <c r="I339" i="5" s="1"/>
  <c r="E337" i="6" s="1"/>
  <c r="L339" i="5" a="1"/>
  <c r="L339" i="5" s="1"/>
  <c r="H337" i="6" s="1"/>
  <c r="H339" i="5" a="1"/>
  <c r="H339" i="5" s="1"/>
  <c r="D337" i="6" s="1"/>
  <c r="V331" i="5" a="1"/>
  <c r="V331" i="5" s="1"/>
  <c r="R329" i="6" s="1"/>
  <c r="E331" i="5" a="1"/>
  <c r="E331" i="5" s="1"/>
  <c r="A329" i="6" s="1"/>
  <c r="J331" i="5" a="1"/>
  <c r="J331" i="5" s="1"/>
  <c r="F329" i="6" s="1"/>
  <c r="I331" i="5" a="1"/>
  <c r="I331" i="5" s="1"/>
  <c r="E329" i="6" s="1"/>
  <c r="H331" i="5" a="1"/>
  <c r="H331" i="5" s="1"/>
  <c r="D329" i="6" s="1"/>
  <c r="F331" i="5" a="1"/>
  <c r="F331" i="5" s="1"/>
  <c r="B329" i="6" s="1"/>
  <c r="E323" i="5" a="1"/>
  <c r="E323" i="5" s="1"/>
  <c r="A321" i="6" s="1"/>
  <c r="J323" i="5" a="1"/>
  <c r="J323" i="5" s="1"/>
  <c r="F321" i="6" s="1"/>
  <c r="I323" i="5" a="1"/>
  <c r="I323" i="5" s="1"/>
  <c r="E321" i="6" s="1"/>
  <c r="L323" i="5" a="1"/>
  <c r="L323" i="5" s="1"/>
  <c r="H321" i="6" s="1"/>
  <c r="F323" i="5" a="1"/>
  <c r="F323" i="5" s="1"/>
  <c r="B321" i="6" s="1"/>
  <c r="K323" i="5" a="1"/>
  <c r="K323" i="5" s="1"/>
  <c r="G321" i="6" s="1"/>
  <c r="X315" i="5" a="1"/>
  <c r="X315" i="5" s="1"/>
  <c r="T313" i="6" s="1"/>
  <c r="E315" i="5" a="1"/>
  <c r="E315" i="5" s="1"/>
  <c r="A313" i="6" s="1"/>
  <c r="J315" i="5" a="1"/>
  <c r="J315" i="5" s="1"/>
  <c r="F313" i="6" s="1"/>
  <c r="I315" i="5" a="1"/>
  <c r="I315" i="5" s="1"/>
  <c r="E313" i="6" s="1"/>
  <c r="K315" i="5" a="1"/>
  <c r="K315" i="5" s="1"/>
  <c r="G313" i="6" s="1"/>
  <c r="L315" i="5" a="1"/>
  <c r="L315" i="5" s="1"/>
  <c r="H313" i="6" s="1"/>
  <c r="H315" i="5" a="1"/>
  <c r="H315" i="5" s="1"/>
  <c r="D313" i="6" s="1"/>
  <c r="G315" i="5" a="1"/>
  <c r="G315" i="5" s="1"/>
  <c r="C313" i="6" s="1"/>
  <c r="X307" i="5" a="1"/>
  <c r="X307" i="5" s="1"/>
  <c r="T305" i="6" s="1"/>
  <c r="E307" i="5" a="1"/>
  <c r="E307" i="5" s="1"/>
  <c r="A305" i="6" s="1"/>
  <c r="J307" i="5" a="1"/>
  <c r="J307" i="5" s="1"/>
  <c r="F305" i="6" s="1"/>
  <c r="I307" i="5" a="1"/>
  <c r="I307" i="5" s="1"/>
  <c r="E305" i="6" s="1"/>
  <c r="K307" i="5" a="1"/>
  <c r="K307" i="5" s="1"/>
  <c r="G305" i="6" s="1"/>
  <c r="L307" i="5" a="1"/>
  <c r="L307" i="5" s="1"/>
  <c r="H305" i="6" s="1"/>
  <c r="X299" i="5" a="1"/>
  <c r="X299" i="5" s="1"/>
  <c r="T297" i="6" s="1"/>
  <c r="E299" i="5" a="1"/>
  <c r="E299" i="5" s="1"/>
  <c r="A297" i="6" s="1"/>
  <c r="J299" i="5" a="1"/>
  <c r="J299" i="5" s="1"/>
  <c r="F297" i="6" s="1"/>
  <c r="I299" i="5" a="1"/>
  <c r="I299" i="5" s="1"/>
  <c r="E297" i="6" s="1"/>
  <c r="G299" i="5" a="1"/>
  <c r="G299" i="5" s="1"/>
  <c r="C297" i="6" s="1"/>
  <c r="H299" i="5" a="1"/>
  <c r="H299" i="5" s="1"/>
  <c r="D297" i="6" s="1"/>
  <c r="F299" i="5" a="1"/>
  <c r="F299" i="5" s="1"/>
  <c r="B297" i="6" s="1"/>
  <c r="X291" i="5" a="1"/>
  <c r="X291" i="5" s="1"/>
  <c r="T289" i="6" s="1"/>
  <c r="K291" i="5" a="1"/>
  <c r="K291" i="5" s="1"/>
  <c r="G289" i="6" s="1"/>
  <c r="G291" i="5" a="1"/>
  <c r="G291" i="5" s="1"/>
  <c r="C289" i="6" s="1"/>
  <c r="H291" i="5" a="1"/>
  <c r="H291" i="5" s="1"/>
  <c r="D289" i="6" s="1"/>
  <c r="F291" i="5" a="1"/>
  <c r="F291" i="5" s="1"/>
  <c r="B289" i="6" s="1"/>
  <c r="L291" i="5" a="1"/>
  <c r="L291" i="5" s="1"/>
  <c r="H289" i="6" s="1"/>
  <c r="J291" i="5" a="1"/>
  <c r="J291" i="5" s="1"/>
  <c r="F289" i="6" s="1"/>
  <c r="I291" i="5" a="1"/>
  <c r="I291" i="5" s="1"/>
  <c r="E289" i="6" s="1"/>
  <c r="X283" i="5" a="1"/>
  <c r="X283" i="5" s="1"/>
  <c r="T281" i="6" s="1"/>
  <c r="F283" i="5" a="1"/>
  <c r="F283" i="5" s="1"/>
  <c r="B281" i="6" s="1"/>
  <c r="K283" i="5" a="1"/>
  <c r="K283" i="5" s="1"/>
  <c r="G281" i="6" s="1"/>
  <c r="J283" i="5" a="1"/>
  <c r="J283" i="5" s="1"/>
  <c r="F281" i="6" s="1"/>
  <c r="L283" i="5" a="1"/>
  <c r="L283" i="5" s="1"/>
  <c r="H281" i="6" s="1"/>
  <c r="H283" i="5" a="1"/>
  <c r="H283" i="5" s="1"/>
  <c r="D281" i="6" s="1"/>
  <c r="I283" i="5" a="1"/>
  <c r="I283" i="5" s="1"/>
  <c r="E281" i="6" s="1"/>
  <c r="F275" i="5" a="1"/>
  <c r="F275" i="5" s="1"/>
  <c r="B273" i="6" s="1"/>
  <c r="K275" i="5" a="1"/>
  <c r="K275" i="5" s="1"/>
  <c r="G273" i="6" s="1"/>
  <c r="J275" i="5" a="1"/>
  <c r="J275" i="5" s="1"/>
  <c r="F273" i="6" s="1"/>
  <c r="I275" i="5" a="1"/>
  <c r="I275" i="5" s="1"/>
  <c r="E273" i="6" s="1"/>
  <c r="G275" i="5" a="1"/>
  <c r="G275" i="5" s="1"/>
  <c r="C273" i="6" s="1"/>
  <c r="V267" i="5" a="1"/>
  <c r="V267" i="5" s="1"/>
  <c r="R265" i="6" s="1"/>
  <c r="F267" i="5" a="1"/>
  <c r="F267" i="5" s="1"/>
  <c r="B265" i="6" s="1"/>
  <c r="K267" i="5" a="1"/>
  <c r="K267" i="5" s="1"/>
  <c r="G265" i="6" s="1"/>
  <c r="J267" i="5" a="1"/>
  <c r="J267" i="5" s="1"/>
  <c r="F265" i="6" s="1"/>
  <c r="H267" i="5" a="1"/>
  <c r="H267" i="5" s="1"/>
  <c r="D265" i="6" s="1"/>
  <c r="G267" i="5" a="1"/>
  <c r="G267" i="5" s="1"/>
  <c r="C265" i="6" s="1"/>
  <c r="E267" i="5" a="1"/>
  <c r="E267" i="5" s="1"/>
  <c r="A265" i="6" s="1"/>
  <c r="I267" i="5" a="1"/>
  <c r="I267" i="5" s="1"/>
  <c r="E265" i="6" s="1"/>
  <c r="L267" i="5" a="1"/>
  <c r="L267" i="5" s="1"/>
  <c r="H265" i="6" s="1"/>
  <c r="W259" i="5" a="1"/>
  <c r="W259" i="5" s="1"/>
  <c r="S257" i="6" s="1"/>
  <c r="F259" i="5" a="1"/>
  <c r="F259" i="5" s="1"/>
  <c r="B257" i="6" s="1"/>
  <c r="K259" i="5" a="1"/>
  <c r="K259" i="5" s="1"/>
  <c r="G257" i="6" s="1"/>
  <c r="J259" i="5" a="1"/>
  <c r="J259" i="5" s="1"/>
  <c r="F257" i="6" s="1"/>
  <c r="E259" i="5" a="1"/>
  <c r="E259" i="5" s="1"/>
  <c r="A257" i="6" s="1"/>
  <c r="G259" i="5" a="1"/>
  <c r="G259" i="5" s="1"/>
  <c r="C257" i="6" s="1"/>
  <c r="L259" i="5" a="1"/>
  <c r="L259" i="5" s="1"/>
  <c r="H257" i="6" s="1"/>
  <c r="X251" i="5" a="1"/>
  <c r="X251" i="5" s="1"/>
  <c r="T249" i="6" s="1"/>
  <c r="F251" i="5" a="1"/>
  <c r="F251" i="5" s="1"/>
  <c r="B249" i="6" s="1"/>
  <c r="K251" i="5" a="1"/>
  <c r="K251" i="5" s="1"/>
  <c r="G249" i="6" s="1"/>
  <c r="J251" i="5" a="1"/>
  <c r="J251" i="5" s="1"/>
  <c r="F249" i="6" s="1"/>
  <c r="L251" i="5" a="1"/>
  <c r="L251" i="5" s="1"/>
  <c r="H249" i="6" s="1"/>
  <c r="G251" i="5" a="1"/>
  <c r="G251" i="5" s="1"/>
  <c r="C249" i="6" s="1"/>
  <c r="H251" i="5" a="1"/>
  <c r="H251" i="5" s="1"/>
  <c r="D249" i="6" s="1"/>
  <c r="E251" i="5" a="1"/>
  <c r="E251" i="5" s="1"/>
  <c r="A249" i="6" s="1"/>
  <c r="G243" i="5" a="1"/>
  <c r="G243" i="5" s="1"/>
  <c r="C241" i="6" s="1"/>
  <c r="K243" i="5" a="1"/>
  <c r="K243" i="5" s="1"/>
  <c r="G241" i="6" s="1"/>
  <c r="H243" i="5" a="1"/>
  <c r="H243" i="5" s="1"/>
  <c r="D241" i="6" s="1"/>
  <c r="F243" i="5" a="1"/>
  <c r="F243" i="5" s="1"/>
  <c r="B241" i="6" s="1"/>
  <c r="E243" i="5" a="1"/>
  <c r="E243" i="5" s="1"/>
  <c r="A241" i="6" s="1"/>
  <c r="J243" i="5" a="1"/>
  <c r="J243" i="5" s="1"/>
  <c r="F241" i="6" s="1"/>
  <c r="L243" i="5" a="1"/>
  <c r="L243" i="5" s="1"/>
  <c r="H241" i="6" s="1"/>
  <c r="I243" i="5" a="1"/>
  <c r="I243" i="5" s="1"/>
  <c r="E241" i="6" s="1"/>
  <c r="F235" i="5" a="1"/>
  <c r="F235" i="5" s="1"/>
  <c r="B233" i="6" s="1"/>
  <c r="J235" i="5" a="1"/>
  <c r="J235" i="5" s="1"/>
  <c r="F233" i="6" s="1"/>
  <c r="L235" i="5" a="1"/>
  <c r="L235" i="5" s="1"/>
  <c r="H233" i="6" s="1"/>
  <c r="G235" i="5" a="1"/>
  <c r="G235" i="5" s="1"/>
  <c r="C233" i="6" s="1"/>
  <c r="E235" i="5" a="1"/>
  <c r="E235" i="5" s="1"/>
  <c r="A233" i="6" s="1"/>
  <c r="I235" i="5" a="1"/>
  <c r="I235" i="5" s="1"/>
  <c r="E233" i="6" s="1"/>
  <c r="H235" i="5" a="1"/>
  <c r="H235" i="5" s="1"/>
  <c r="D233" i="6" s="1"/>
  <c r="K235" i="5" a="1"/>
  <c r="K235" i="5" s="1"/>
  <c r="G233" i="6" s="1"/>
  <c r="F227" i="5" a="1"/>
  <c r="F227" i="5" s="1"/>
  <c r="B225" i="6" s="1"/>
  <c r="L227" i="5" a="1"/>
  <c r="L227" i="5" s="1"/>
  <c r="H225" i="6" s="1"/>
  <c r="J227" i="5" a="1"/>
  <c r="J227" i="5" s="1"/>
  <c r="F225" i="6" s="1"/>
  <c r="E227" i="5" a="1"/>
  <c r="E227" i="5" s="1"/>
  <c r="A225" i="6" s="1"/>
  <c r="K227" i="5" a="1"/>
  <c r="K227" i="5" s="1"/>
  <c r="G225" i="6" s="1"/>
  <c r="I227" i="5" a="1"/>
  <c r="I227" i="5" s="1"/>
  <c r="E225" i="6" s="1"/>
  <c r="H227" i="5" a="1"/>
  <c r="H227" i="5" s="1"/>
  <c r="D225" i="6" s="1"/>
  <c r="X219" i="5" a="1"/>
  <c r="X219" i="5" s="1"/>
  <c r="T217" i="6" s="1"/>
  <c r="F219" i="5" a="1"/>
  <c r="F219" i="5" s="1"/>
  <c r="B217" i="6" s="1"/>
  <c r="J219" i="5" a="1"/>
  <c r="J219" i="5" s="1"/>
  <c r="F217" i="6" s="1"/>
  <c r="G219" i="5" a="1"/>
  <c r="G219" i="5" s="1"/>
  <c r="C217" i="6" s="1"/>
  <c r="L219" i="5" a="1"/>
  <c r="L219" i="5" s="1"/>
  <c r="H217" i="6" s="1"/>
  <c r="I219" i="5" a="1"/>
  <c r="I219" i="5" s="1"/>
  <c r="E217" i="6" s="1"/>
  <c r="E219" i="5" a="1"/>
  <c r="E219" i="5" s="1"/>
  <c r="A217" i="6" s="1"/>
  <c r="H219" i="5" a="1"/>
  <c r="H219" i="5" s="1"/>
  <c r="D217" i="6" s="1"/>
  <c r="K219" i="5" a="1"/>
  <c r="K219" i="5" s="1"/>
  <c r="G217" i="6" s="1"/>
  <c r="X211" i="5" a="1"/>
  <c r="X211" i="5" s="1"/>
  <c r="T209" i="6" s="1"/>
  <c r="I211" i="5" a="1"/>
  <c r="I211" i="5" s="1"/>
  <c r="E209" i="6" s="1"/>
  <c r="E211" i="5" a="1"/>
  <c r="E211" i="5" s="1"/>
  <c r="A209" i="6" s="1"/>
  <c r="F211" i="5" a="1"/>
  <c r="F211" i="5" s="1"/>
  <c r="B209" i="6" s="1"/>
  <c r="L211" i="5" a="1"/>
  <c r="L211" i="5" s="1"/>
  <c r="H209" i="6" s="1"/>
  <c r="G211" i="5" a="1"/>
  <c r="G211" i="5" s="1"/>
  <c r="C209" i="6" s="1"/>
  <c r="H211" i="5" a="1"/>
  <c r="H211" i="5" s="1"/>
  <c r="D209" i="6" s="1"/>
  <c r="J211" i="5" a="1"/>
  <c r="J211" i="5" s="1"/>
  <c r="F209" i="6" s="1"/>
  <c r="K211" i="5" a="1"/>
  <c r="K211" i="5" s="1"/>
  <c r="G209" i="6" s="1"/>
  <c r="W203" i="5" a="1"/>
  <c r="W203" i="5" s="1"/>
  <c r="S201" i="6" s="1"/>
  <c r="I203" i="5" a="1"/>
  <c r="I203" i="5" s="1"/>
  <c r="E201" i="6" s="1"/>
  <c r="E203" i="5" a="1"/>
  <c r="E203" i="5" s="1"/>
  <c r="A201" i="6" s="1"/>
  <c r="F203" i="5" a="1"/>
  <c r="F203" i="5" s="1"/>
  <c r="B201" i="6" s="1"/>
  <c r="K203" i="5" a="1"/>
  <c r="K203" i="5" s="1"/>
  <c r="G201" i="6" s="1"/>
  <c r="J203" i="5" a="1"/>
  <c r="J203" i="5" s="1"/>
  <c r="F201" i="6" s="1"/>
  <c r="L203" i="5" a="1"/>
  <c r="L203" i="5" s="1"/>
  <c r="H201" i="6" s="1"/>
  <c r="H203" i="5" a="1"/>
  <c r="H203" i="5" s="1"/>
  <c r="D201" i="6" s="1"/>
  <c r="G203" i="5" a="1"/>
  <c r="G203" i="5" s="1"/>
  <c r="C201" i="6" s="1"/>
  <c r="X195" i="5" a="1"/>
  <c r="X195" i="5" s="1"/>
  <c r="T193" i="6" s="1"/>
  <c r="I195" i="5" a="1"/>
  <c r="I195" i="5" s="1"/>
  <c r="E193" i="6" s="1"/>
  <c r="E195" i="5" a="1"/>
  <c r="E195" i="5" s="1"/>
  <c r="A193" i="6" s="1"/>
  <c r="F195" i="5" a="1"/>
  <c r="F195" i="5" s="1"/>
  <c r="B193" i="6" s="1"/>
  <c r="H195" i="5" a="1"/>
  <c r="H195" i="5" s="1"/>
  <c r="D193" i="6" s="1"/>
  <c r="G195" i="5" a="1"/>
  <c r="G195" i="5" s="1"/>
  <c r="C193" i="6" s="1"/>
  <c r="J195" i="5" a="1"/>
  <c r="J195" i="5" s="1"/>
  <c r="F193" i="6" s="1"/>
  <c r="K195" i="5" a="1"/>
  <c r="K195" i="5" s="1"/>
  <c r="G193" i="6" s="1"/>
  <c r="L195" i="5" a="1"/>
  <c r="L195" i="5" s="1"/>
  <c r="H193" i="6" s="1"/>
  <c r="X187" i="5" a="1"/>
  <c r="X187" i="5" s="1"/>
  <c r="T185" i="6" s="1"/>
  <c r="I187" i="5" a="1"/>
  <c r="I187" i="5" s="1"/>
  <c r="E185" i="6" s="1"/>
  <c r="E187" i="5" a="1"/>
  <c r="E187" i="5" s="1"/>
  <c r="A185" i="6" s="1"/>
  <c r="F187" i="5" a="1"/>
  <c r="F187" i="5" s="1"/>
  <c r="B185" i="6" s="1"/>
  <c r="G187" i="5" a="1"/>
  <c r="G187" i="5" s="1"/>
  <c r="C185" i="6" s="1"/>
  <c r="J187" i="5" a="1"/>
  <c r="J187" i="5" s="1"/>
  <c r="F185" i="6" s="1"/>
  <c r="L187" i="5" a="1"/>
  <c r="L187" i="5" s="1"/>
  <c r="H185" i="6" s="1"/>
  <c r="K187" i="5" a="1"/>
  <c r="K187" i="5" s="1"/>
  <c r="G185" i="6" s="1"/>
  <c r="I179" i="5" a="1"/>
  <c r="I179" i="5" s="1"/>
  <c r="E177" i="6" s="1"/>
  <c r="E179" i="5" a="1"/>
  <c r="E179" i="5" s="1"/>
  <c r="A177" i="6" s="1"/>
  <c r="F179" i="5" a="1"/>
  <c r="F179" i="5" s="1"/>
  <c r="B177" i="6" s="1"/>
  <c r="L179" i="5" a="1"/>
  <c r="L179" i="5" s="1"/>
  <c r="H177" i="6" s="1"/>
  <c r="G179" i="5" a="1"/>
  <c r="G179" i="5" s="1"/>
  <c r="C177" i="6" s="1"/>
  <c r="K179" i="5" a="1"/>
  <c r="K179" i="5" s="1"/>
  <c r="G177" i="6" s="1"/>
  <c r="H179" i="5" a="1"/>
  <c r="H179" i="5" s="1"/>
  <c r="D177" i="6" s="1"/>
  <c r="I171" i="5" a="1"/>
  <c r="I171" i="5" s="1"/>
  <c r="E169" i="6" s="1"/>
  <c r="E171" i="5" a="1"/>
  <c r="E171" i="5" s="1"/>
  <c r="A169" i="6" s="1"/>
  <c r="F171" i="5" a="1"/>
  <c r="F171" i="5" s="1"/>
  <c r="B169" i="6" s="1"/>
  <c r="K171" i="5" a="1"/>
  <c r="K171" i="5" s="1"/>
  <c r="G169" i="6" s="1"/>
  <c r="J171" i="5" a="1"/>
  <c r="J171" i="5" s="1"/>
  <c r="F169" i="6" s="1"/>
  <c r="L171" i="5" a="1"/>
  <c r="L171" i="5" s="1"/>
  <c r="H169" i="6" s="1"/>
  <c r="H171" i="5" a="1"/>
  <c r="H171" i="5" s="1"/>
  <c r="D169" i="6" s="1"/>
  <c r="X163" i="5" a="1"/>
  <c r="X163" i="5" s="1"/>
  <c r="T161" i="6" s="1"/>
  <c r="H163" i="5" a="1"/>
  <c r="H163" i="5" s="1"/>
  <c r="D161" i="6" s="1"/>
  <c r="I163" i="5" a="1"/>
  <c r="I163" i="5" s="1"/>
  <c r="E161" i="6" s="1"/>
  <c r="G163" i="5" a="1"/>
  <c r="G163" i="5" s="1"/>
  <c r="C161" i="6" s="1"/>
  <c r="E163" i="5" a="1"/>
  <c r="E163" i="5" s="1"/>
  <c r="A161" i="6" s="1"/>
  <c r="F163" i="5" a="1"/>
  <c r="F163" i="5" s="1"/>
  <c r="B161" i="6" s="1"/>
  <c r="K163" i="5" a="1"/>
  <c r="K163" i="5" s="1"/>
  <c r="G161" i="6" s="1"/>
  <c r="L163" i="5" a="1"/>
  <c r="L163" i="5" s="1"/>
  <c r="H161" i="6" s="1"/>
  <c r="J163" i="5" a="1"/>
  <c r="J163" i="5" s="1"/>
  <c r="F161" i="6" s="1"/>
  <c r="X155" i="5" a="1"/>
  <c r="X155" i="5" s="1"/>
  <c r="T153" i="6" s="1"/>
  <c r="I155" i="5" a="1"/>
  <c r="I155" i="5" s="1"/>
  <c r="E153" i="6" s="1"/>
  <c r="E155" i="5" a="1"/>
  <c r="E155" i="5" s="1"/>
  <c r="A153" i="6" s="1"/>
  <c r="H155" i="5" a="1"/>
  <c r="H155" i="5" s="1"/>
  <c r="D153" i="6" s="1"/>
  <c r="J155" i="5" a="1"/>
  <c r="J155" i="5" s="1"/>
  <c r="F153" i="6" s="1"/>
  <c r="K155" i="5" a="1"/>
  <c r="K155" i="5" s="1"/>
  <c r="G153" i="6" s="1"/>
  <c r="G155" i="5" a="1"/>
  <c r="G155" i="5" s="1"/>
  <c r="C153" i="6" s="1"/>
  <c r="L155" i="5" a="1"/>
  <c r="L155" i="5" s="1"/>
  <c r="H153" i="6" s="1"/>
  <c r="F155" i="5" a="1"/>
  <c r="F155" i="5" s="1"/>
  <c r="B153" i="6" s="1"/>
  <c r="G147" i="5" a="1"/>
  <c r="G147" i="5" s="1"/>
  <c r="C145" i="6" s="1"/>
  <c r="L147" i="5" a="1"/>
  <c r="L147" i="5" s="1"/>
  <c r="H145" i="6" s="1"/>
  <c r="K147" i="5" a="1"/>
  <c r="K147" i="5" s="1"/>
  <c r="G145" i="6" s="1"/>
  <c r="F147" i="5" a="1"/>
  <c r="F147" i="5" s="1"/>
  <c r="B145" i="6" s="1"/>
  <c r="H147" i="5" a="1"/>
  <c r="H147" i="5" s="1"/>
  <c r="D145" i="6" s="1"/>
  <c r="E147" i="5" a="1"/>
  <c r="E147" i="5" s="1"/>
  <c r="A145" i="6" s="1"/>
  <c r="J147" i="5" a="1"/>
  <c r="J147" i="5" s="1"/>
  <c r="F145" i="6" s="1"/>
  <c r="I147" i="5" a="1"/>
  <c r="I147" i="5" s="1"/>
  <c r="E145" i="6" s="1"/>
  <c r="W139" i="5" a="1"/>
  <c r="W139" i="5" s="1"/>
  <c r="S137" i="6" s="1"/>
  <c r="G139" i="5" a="1"/>
  <c r="G139" i="5" s="1"/>
  <c r="C137" i="6" s="1"/>
  <c r="L139" i="5" a="1"/>
  <c r="L139" i="5" s="1"/>
  <c r="H137" i="6" s="1"/>
  <c r="K139" i="5" a="1"/>
  <c r="K139" i="5" s="1"/>
  <c r="G137" i="6" s="1"/>
  <c r="E139" i="5" a="1"/>
  <c r="E139" i="5" s="1"/>
  <c r="A137" i="6" s="1"/>
  <c r="F139" i="5" a="1"/>
  <c r="F139" i="5" s="1"/>
  <c r="B137" i="6" s="1"/>
  <c r="H139" i="5" a="1"/>
  <c r="H139" i="5" s="1"/>
  <c r="D137" i="6" s="1"/>
  <c r="I139" i="5" a="1"/>
  <c r="I139" i="5" s="1"/>
  <c r="E137" i="6" s="1"/>
  <c r="J139" i="5" a="1"/>
  <c r="J139" i="5" s="1"/>
  <c r="F137" i="6" s="1"/>
  <c r="X131" i="5" a="1"/>
  <c r="X131" i="5" s="1"/>
  <c r="T129" i="6" s="1"/>
  <c r="E131" i="5" a="1"/>
  <c r="E131" i="5" s="1"/>
  <c r="A129" i="6" s="1"/>
  <c r="I131" i="5" a="1"/>
  <c r="I131" i="5" s="1"/>
  <c r="E129" i="6" s="1"/>
  <c r="F131" i="5" a="1"/>
  <c r="F131" i="5" s="1"/>
  <c r="B129" i="6" s="1"/>
  <c r="J131" i="5" a="1"/>
  <c r="J131" i="5" s="1"/>
  <c r="F129" i="6" s="1"/>
  <c r="H131" i="5" a="1"/>
  <c r="H131" i="5" s="1"/>
  <c r="D129" i="6" s="1"/>
  <c r="G131" i="5" a="1"/>
  <c r="G131" i="5" s="1"/>
  <c r="C129" i="6" s="1"/>
  <c r="K131" i="5" a="1"/>
  <c r="K131" i="5" s="1"/>
  <c r="G129" i="6" s="1"/>
  <c r="L131" i="5" a="1"/>
  <c r="L131" i="5" s="1"/>
  <c r="H129" i="6" s="1"/>
  <c r="X123" i="5" a="1"/>
  <c r="X123" i="5" s="1"/>
  <c r="T121" i="6" s="1"/>
  <c r="F123" i="5" a="1"/>
  <c r="F123" i="5" s="1"/>
  <c r="B121" i="6" s="1"/>
  <c r="K123" i="5" a="1"/>
  <c r="K123" i="5" s="1"/>
  <c r="G121" i="6" s="1"/>
  <c r="G123" i="5" a="1"/>
  <c r="G123" i="5" s="1"/>
  <c r="C121" i="6" s="1"/>
  <c r="H123" i="5" a="1"/>
  <c r="H123" i="5" s="1"/>
  <c r="D121" i="6" s="1"/>
  <c r="I123" i="5" a="1"/>
  <c r="I123" i="5" s="1"/>
  <c r="E121" i="6" s="1"/>
  <c r="E123" i="5" a="1"/>
  <c r="E123" i="5" s="1"/>
  <c r="A121" i="6" s="1"/>
  <c r="L123" i="5" a="1"/>
  <c r="L123" i="5" s="1"/>
  <c r="H121" i="6" s="1"/>
  <c r="J123" i="5" a="1"/>
  <c r="J123" i="5" s="1"/>
  <c r="F121" i="6" s="1"/>
  <c r="X115" i="5" a="1"/>
  <c r="X115" i="5" s="1"/>
  <c r="T113" i="6" s="1"/>
  <c r="F115" i="5" a="1"/>
  <c r="F115" i="5" s="1"/>
  <c r="B113" i="6" s="1"/>
  <c r="K115" i="5" a="1"/>
  <c r="K115" i="5" s="1"/>
  <c r="G113" i="6" s="1"/>
  <c r="G115" i="5" a="1"/>
  <c r="G115" i="5" s="1"/>
  <c r="C113" i="6" s="1"/>
  <c r="H115" i="5" a="1"/>
  <c r="H115" i="5" s="1"/>
  <c r="D113" i="6" s="1"/>
  <c r="E115" i="5" a="1"/>
  <c r="E115" i="5" s="1"/>
  <c r="A113" i="6" s="1"/>
  <c r="L115" i="5" a="1"/>
  <c r="L115" i="5" s="1"/>
  <c r="H113" i="6" s="1"/>
  <c r="J115" i="5" a="1"/>
  <c r="J115" i="5" s="1"/>
  <c r="F113" i="6" s="1"/>
  <c r="I115" i="5" a="1"/>
  <c r="I115" i="5" s="1"/>
  <c r="E113" i="6" s="1"/>
  <c r="X107" i="5" a="1"/>
  <c r="X107" i="5" s="1"/>
  <c r="T105" i="6" s="1"/>
  <c r="F107" i="5" a="1"/>
  <c r="F107" i="5" s="1"/>
  <c r="B105" i="6" s="1"/>
  <c r="K107" i="5" a="1"/>
  <c r="K107" i="5" s="1"/>
  <c r="G105" i="6" s="1"/>
  <c r="G107" i="5" a="1"/>
  <c r="G107" i="5" s="1"/>
  <c r="C105" i="6" s="1"/>
  <c r="H107" i="5" a="1"/>
  <c r="H107" i="5" s="1"/>
  <c r="D105" i="6" s="1"/>
  <c r="L107" i="5" a="1"/>
  <c r="L107" i="5" s="1"/>
  <c r="H105" i="6" s="1"/>
  <c r="E107" i="5" a="1"/>
  <c r="E107" i="5" s="1"/>
  <c r="A105" i="6" s="1"/>
  <c r="J107" i="5" a="1"/>
  <c r="J107" i="5" s="1"/>
  <c r="F105" i="6" s="1"/>
  <c r="I107" i="5" a="1"/>
  <c r="I107" i="5" s="1"/>
  <c r="E105" i="6" s="1"/>
  <c r="X99" i="5" a="1"/>
  <c r="X99" i="5" s="1"/>
  <c r="T97" i="6" s="1"/>
  <c r="E99" i="5" a="1"/>
  <c r="E99" i="5" s="1"/>
  <c r="A97" i="6" s="1"/>
  <c r="I99" i="5" a="1"/>
  <c r="I99" i="5" s="1"/>
  <c r="E97" i="6" s="1"/>
  <c r="K99" i="5" a="1"/>
  <c r="K99" i="5" s="1"/>
  <c r="G97" i="6" s="1"/>
  <c r="F99" i="5" a="1"/>
  <c r="F99" i="5" s="1"/>
  <c r="B97" i="6" s="1"/>
  <c r="L99" i="5" a="1"/>
  <c r="L99" i="5" s="1"/>
  <c r="H97" i="6" s="1"/>
  <c r="H99" i="5" a="1"/>
  <c r="H99" i="5" s="1"/>
  <c r="D97" i="6" s="1"/>
  <c r="G99" i="5" a="1"/>
  <c r="G99" i="5" s="1"/>
  <c r="C97" i="6" s="1"/>
  <c r="J99" i="5" a="1"/>
  <c r="J99" i="5" s="1"/>
  <c r="F97" i="6" s="1"/>
  <c r="X91" i="5" a="1"/>
  <c r="X91" i="5" s="1"/>
  <c r="T89" i="6" s="1"/>
  <c r="E91" i="5" a="1"/>
  <c r="E91" i="5" s="1"/>
  <c r="A89" i="6" s="1"/>
  <c r="I91" i="5" a="1"/>
  <c r="I91" i="5" s="1"/>
  <c r="E89" i="6" s="1"/>
  <c r="K91" i="5" a="1"/>
  <c r="K91" i="5" s="1"/>
  <c r="G89" i="6" s="1"/>
  <c r="F91" i="5" a="1"/>
  <c r="F91" i="5" s="1"/>
  <c r="B89" i="6" s="1"/>
  <c r="H91" i="5" a="1"/>
  <c r="H91" i="5" s="1"/>
  <c r="D89" i="6" s="1"/>
  <c r="L91" i="5" a="1"/>
  <c r="L91" i="5" s="1"/>
  <c r="H89" i="6" s="1"/>
  <c r="G91" i="5" a="1"/>
  <c r="G91" i="5" s="1"/>
  <c r="C89" i="6" s="1"/>
  <c r="J91" i="5" a="1"/>
  <c r="J91" i="5" s="1"/>
  <c r="F89" i="6" s="1"/>
  <c r="E83" i="5" a="1"/>
  <c r="E83" i="5" s="1"/>
  <c r="A81" i="6" s="1"/>
  <c r="K83" i="5" a="1"/>
  <c r="K83" i="5" s="1"/>
  <c r="G81" i="6" s="1"/>
  <c r="V75" i="5" a="1"/>
  <c r="V75" i="5" s="1"/>
  <c r="R73" i="6" s="1"/>
  <c r="J75" i="5" a="1"/>
  <c r="J75" i="5" s="1"/>
  <c r="F73" i="6" s="1"/>
  <c r="G67" i="5" a="1"/>
  <c r="G67" i="5" s="1"/>
  <c r="C65" i="6" s="1"/>
  <c r="I67" i="5" a="1"/>
  <c r="I67" i="5" s="1"/>
  <c r="E65" i="6" s="1"/>
  <c r="X59" i="5" a="1"/>
  <c r="X59" i="5" s="1"/>
  <c r="T57" i="6" s="1"/>
  <c r="J59" i="5" a="1"/>
  <c r="J59" i="5" s="1"/>
  <c r="F57" i="6" s="1"/>
  <c r="L27" i="5" a="1"/>
  <c r="L27" i="5" s="1"/>
  <c r="H25" i="6" s="1"/>
  <c r="G27" i="5" a="1"/>
  <c r="G27" i="5" s="1"/>
  <c r="C25" i="6" s="1"/>
  <c r="F27" i="5" a="1"/>
  <c r="F27" i="5" s="1"/>
  <c r="B25" i="6" s="1"/>
  <c r="L83" i="5" a="1"/>
  <c r="L83" i="5" s="1"/>
  <c r="H81" i="6" s="1"/>
  <c r="L82" i="5" a="1"/>
  <c r="L82" i="5" s="1"/>
  <c r="H80" i="6" s="1"/>
  <c r="H81" i="5" a="1"/>
  <c r="H81" i="5" s="1"/>
  <c r="D79" i="6" s="1"/>
  <c r="L75" i="5" a="1"/>
  <c r="L75" i="5" s="1"/>
  <c r="H73" i="6" s="1"/>
  <c r="F75" i="5" a="1"/>
  <c r="F75" i="5" s="1"/>
  <c r="B73" i="6" s="1"/>
  <c r="I69" i="5" a="1"/>
  <c r="I69" i="5" s="1"/>
  <c r="E67" i="6" s="1"/>
  <c r="G68" i="5" a="1"/>
  <c r="G68" i="5" s="1"/>
  <c r="C66" i="6" s="1"/>
  <c r="F61" i="5" a="1"/>
  <c r="F61" i="5" s="1"/>
  <c r="B59" i="6" s="1"/>
  <c r="F60" i="5" a="1"/>
  <c r="F60" i="5" s="1"/>
  <c r="B58" i="6" s="1"/>
  <c r="L58" i="5" a="1"/>
  <c r="L58" i="5" s="1"/>
  <c r="H56" i="6" s="1"/>
  <c r="H21" i="5" a="1"/>
  <c r="H21" i="5" s="1"/>
  <c r="D19" i="6" s="1"/>
  <c r="G418" i="5" a="1"/>
  <c r="G418" i="5" s="1"/>
  <c r="C416" i="6" s="1"/>
  <c r="J417" i="5" a="1"/>
  <c r="J417" i="5" s="1"/>
  <c r="F415" i="6" s="1"/>
  <c r="E417" i="5" a="1"/>
  <c r="E417" i="5" s="1"/>
  <c r="A415" i="6" s="1"/>
  <c r="I415" i="5" a="1"/>
  <c r="I415" i="5" s="1"/>
  <c r="E413" i="6" s="1"/>
  <c r="I414" i="5" a="1"/>
  <c r="I414" i="5" s="1"/>
  <c r="E412" i="6" s="1"/>
  <c r="J412" i="5" a="1"/>
  <c r="J412" i="5" s="1"/>
  <c r="F410" i="6" s="1"/>
  <c r="F405" i="5" a="1"/>
  <c r="F405" i="5" s="1"/>
  <c r="B403" i="6" s="1"/>
  <c r="I402" i="5" a="1"/>
  <c r="I402" i="5" s="1"/>
  <c r="E400" i="6" s="1"/>
  <c r="E400" i="5" a="1"/>
  <c r="E400" i="5" s="1"/>
  <c r="A398" i="6" s="1"/>
  <c r="I397" i="5" a="1"/>
  <c r="I397" i="5" s="1"/>
  <c r="E395" i="6" s="1"/>
  <c r="E395" i="5" a="1"/>
  <c r="E395" i="5" s="1"/>
  <c r="A393" i="6" s="1"/>
  <c r="J389" i="5" a="1"/>
  <c r="J389" i="5" s="1"/>
  <c r="F387" i="6" s="1"/>
  <c r="F387" i="5" a="1"/>
  <c r="F387" i="5" s="1"/>
  <c r="B385" i="6" s="1"/>
  <c r="E386" i="5" a="1"/>
  <c r="E386" i="5" s="1"/>
  <c r="A384" i="6" s="1"/>
  <c r="J384" i="5" a="1"/>
  <c r="J384" i="5" s="1"/>
  <c r="F382" i="6" s="1"/>
  <c r="F382" i="5" a="1"/>
  <c r="F382" i="5" s="1"/>
  <c r="B380" i="6" s="1"/>
  <c r="F373" i="5" a="1"/>
  <c r="F373" i="5" s="1"/>
  <c r="B371" i="6" s="1"/>
  <c r="I370" i="5" a="1"/>
  <c r="I370" i="5" s="1"/>
  <c r="E368" i="6" s="1"/>
  <c r="E368" i="5" a="1"/>
  <c r="E368" i="5" s="1"/>
  <c r="A366" i="6" s="1"/>
  <c r="I365" i="5" a="1"/>
  <c r="I365" i="5" s="1"/>
  <c r="E363" i="6" s="1"/>
  <c r="E363" i="5" a="1"/>
  <c r="E363" i="5" s="1"/>
  <c r="A361" i="6" s="1"/>
  <c r="J357" i="5" a="1"/>
  <c r="J357" i="5" s="1"/>
  <c r="F355" i="6" s="1"/>
  <c r="F355" i="5" a="1"/>
  <c r="F355" i="5" s="1"/>
  <c r="B353" i="6" s="1"/>
  <c r="E354" i="5" a="1"/>
  <c r="E354" i="5" s="1"/>
  <c r="A352" i="6" s="1"/>
  <c r="J352" i="5" a="1"/>
  <c r="J352" i="5" s="1"/>
  <c r="F350" i="6" s="1"/>
  <c r="F350" i="5" a="1"/>
  <c r="F350" i="5" s="1"/>
  <c r="B348" i="6" s="1"/>
  <c r="I348" i="5" a="1"/>
  <c r="I348" i="5" s="1"/>
  <c r="E346" i="6" s="1"/>
  <c r="F347" i="5" a="1"/>
  <c r="F347" i="5" s="1"/>
  <c r="B345" i="6" s="1"/>
  <c r="G340" i="5" a="1"/>
  <c r="G340" i="5" s="1"/>
  <c r="C338" i="6" s="1"/>
  <c r="J338" i="5" a="1"/>
  <c r="J338" i="5" s="1"/>
  <c r="F336" i="6" s="1"/>
  <c r="E337" i="5" a="1"/>
  <c r="E337" i="5" s="1"/>
  <c r="A335" i="6" s="1"/>
  <c r="J333" i="5" a="1"/>
  <c r="J333" i="5" s="1"/>
  <c r="F331" i="6" s="1"/>
  <c r="L331" i="5" a="1"/>
  <c r="L331" i="5" s="1"/>
  <c r="H329" i="6" s="1"/>
  <c r="I328" i="5" a="1"/>
  <c r="I328" i="5" s="1"/>
  <c r="E326" i="6" s="1"/>
  <c r="E322" i="5" a="1"/>
  <c r="E322" i="5" s="1"/>
  <c r="A320" i="6" s="1"/>
  <c r="G320" i="5" a="1"/>
  <c r="G320" i="5" s="1"/>
  <c r="C318" i="6" s="1"/>
  <c r="G318" i="5" a="1"/>
  <c r="G318" i="5" s="1"/>
  <c r="C316" i="6" s="1"/>
  <c r="E317" i="5" a="1"/>
  <c r="E317" i="5" s="1"/>
  <c r="A315" i="6" s="1"/>
  <c r="F315" i="5" a="1"/>
  <c r="F315" i="5" s="1"/>
  <c r="B313" i="6" s="1"/>
  <c r="F313" i="5" a="1"/>
  <c r="F313" i="5" s="1"/>
  <c r="B311" i="6" s="1"/>
  <c r="F311" i="5" a="1"/>
  <c r="F311" i="5" s="1"/>
  <c r="B309" i="6" s="1"/>
  <c r="E309" i="5" a="1"/>
  <c r="E309" i="5" s="1"/>
  <c r="A307" i="6" s="1"/>
  <c r="F307" i="5" a="1"/>
  <c r="F307" i="5" s="1"/>
  <c r="B305" i="6" s="1"/>
  <c r="G302" i="5" a="1"/>
  <c r="G302" i="5" s="1"/>
  <c r="C300" i="6" s="1"/>
  <c r="L299" i="5" a="1"/>
  <c r="L299" i="5" s="1"/>
  <c r="H297" i="6" s="1"/>
  <c r="F297" i="5" a="1"/>
  <c r="F297" i="5" s="1"/>
  <c r="B295" i="6" s="1"/>
  <c r="G295" i="5" a="1"/>
  <c r="G295" i="5" s="1"/>
  <c r="C293" i="6" s="1"/>
  <c r="E287" i="5" a="1"/>
  <c r="E287" i="5" s="1"/>
  <c r="A285" i="6" s="1"/>
  <c r="G283" i="5" a="1"/>
  <c r="G283" i="5" s="1"/>
  <c r="C281" i="6" s="1"/>
  <c r="I272" i="5" a="1"/>
  <c r="I272" i="5" s="1"/>
  <c r="E270" i="6" s="1"/>
  <c r="E265" i="5" a="1"/>
  <c r="E265" i="5" s="1"/>
  <c r="A263" i="6" s="1"/>
  <c r="J257" i="5" a="1"/>
  <c r="J257" i="5" s="1"/>
  <c r="F255" i="6" s="1"/>
  <c r="K253" i="5" a="1"/>
  <c r="K253" i="5" s="1"/>
  <c r="G251" i="6" s="1"/>
  <c r="G250" i="5" a="1"/>
  <c r="G250" i="5" s="1"/>
  <c r="C248" i="6" s="1"/>
  <c r="L245" i="5" a="1"/>
  <c r="L245" i="5" s="1"/>
  <c r="H243" i="6" s="1"/>
  <c r="I237" i="5" a="1"/>
  <c r="I237" i="5" s="1"/>
  <c r="E235" i="6" s="1"/>
  <c r="E232" i="5" a="1"/>
  <c r="E232" i="5" s="1"/>
  <c r="A230" i="6" s="1"/>
  <c r="E212" i="5" a="1"/>
  <c r="E212" i="5" s="1"/>
  <c r="A210" i="6" s="1"/>
  <c r="J201" i="5" a="1"/>
  <c r="J201" i="5" s="1"/>
  <c r="F199" i="6" s="1"/>
  <c r="E193" i="5" a="1"/>
  <c r="E193" i="5" s="1"/>
  <c r="A191" i="6" s="1"/>
  <c r="E164" i="5" a="1"/>
  <c r="E164" i="5" s="1"/>
  <c r="A162" i="6" s="1"/>
  <c r="K144" i="5" a="1"/>
  <c r="K144" i="5" s="1"/>
  <c r="G142" i="6" s="1"/>
  <c r="J104" i="5" a="1"/>
  <c r="J104" i="5" s="1"/>
  <c r="F102" i="6" s="1"/>
  <c r="K78" i="5" a="1"/>
  <c r="K78" i="5" s="1"/>
  <c r="G76" i="6" s="1"/>
  <c r="G62" i="5" a="1"/>
  <c r="G62" i="5" s="1"/>
  <c r="C60" i="6" s="1"/>
  <c r="K63" i="5" a="1"/>
  <c r="K63" i="5" s="1"/>
  <c r="G61" i="6" s="1"/>
  <c r="J55" i="5" a="1"/>
  <c r="J55" i="5" s="1"/>
  <c r="F53" i="6" s="1"/>
  <c r="W79" i="5" a="1"/>
  <c r="W79" i="5" s="1"/>
  <c r="S77" i="6" s="1"/>
  <c r="J79" i="5" a="1"/>
  <c r="J79" i="5" s="1"/>
  <c r="F77" i="6" s="1"/>
  <c r="G79" i="5" a="1"/>
  <c r="G79" i="5" s="1"/>
  <c r="C77" i="6" s="1"/>
  <c r="K79" i="5" a="1"/>
  <c r="K79" i="5" s="1"/>
  <c r="G77" i="6" s="1"/>
  <c r="E79" i="5" a="1"/>
  <c r="E79" i="5" s="1"/>
  <c r="A77" i="6" s="1"/>
  <c r="I79" i="5" a="1"/>
  <c r="I79" i="5" s="1"/>
  <c r="E77" i="6" s="1"/>
  <c r="F79" i="5" a="1"/>
  <c r="F79" i="5" s="1"/>
  <c r="B77" i="6" s="1"/>
  <c r="G71" i="5" a="1"/>
  <c r="G71" i="5" s="1"/>
  <c r="C69" i="6" s="1"/>
  <c r="I71" i="5" a="1"/>
  <c r="I71" i="5" s="1"/>
  <c r="E69" i="6" s="1"/>
  <c r="E71" i="5" a="1"/>
  <c r="E71" i="5" s="1"/>
  <c r="A69" i="6" s="1"/>
  <c r="L71" i="5" a="1"/>
  <c r="L71" i="5" s="1"/>
  <c r="H69" i="6" s="1"/>
  <c r="H71" i="5" a="1"/>
  <c r="H71" i="5" s="1"/>
  <c r="D69" i="6" s="1"/>
  <c r="J71" i="5" a="1"/>
  <c r="J71" i="5" s="1"/>
  <c r="F69" i="6" s="1"/>
  <c r="W63" i="5" a="1"/>
  <c r="W63" i="5" s="1"/>
  <c r="S61" i="6" s="1"/>
  <c r="L63" i="5" a="1"/>
  <c r="L63" i="5" s="1"/>
  <c r="H61" i="6" s="1"/>
  <c r="G63" i="5" a="1"/>
  <c r="G63" i="5" s="1"/>
  <c r="C61" i="6" s="1"/>
  <c r="H63" i="5" a="1"/>
  <c r="H63" i="5" s="1"/>
  <c r="D61" i="6" s="1"/>
  <c r="I63" i="5" a="1"/>
  <c r="I63" i="5" s="1"/>
  <c r="E61" i="6" s="1"/>
  <c r="E63" i="5" a="1"/>
  <c r="E63" i="5" s="1"/>
  <c r="A61" i="6" s="1"/>
  <c r="J63" i="5" a="1"/>
  <c r="J63" i="5" s="1"/>
  <c r="F61" i="6" s="1"/>
  <c r="W55" i="5" a="1"/>
  <c r="W55" i="5" s="1"/>
  <c r="S53" i="6" s="1"/>
  <c r="H55" i="5" a="1"/>
  <c r="H55" i="5" s="1"/>
  <c r="D53" i="6" s="1"/>
  <c r="L55" i="5" a="1"/>
  <c r="L55" i="5" s="1"/>
  <c r="H53" i="6" s="1"/>
  <c r="K55" i="5" a="1"/>
  <c r="K55" i="5" s="1"/>
  <c r="G53" i="6" s="1"/>
  <c r="G55" i="5" a="1"/>
  <c r="G55" i="5" s="1"/>
  <c r="C53" i="6" s="1"/>
  <c r="F55" i="5" a="1"/>
  <c r="F55" i="5" s="1"/>
  <c r="B53" i="6" s="1"/>
  <c r="I55" i="5" a="1"/>
  <c r="I55" i="5" s="1"/>
  <c r="E53" i="6" s="1"/>
  <c r="W47" i="5" a="1"/>
  <c r="W47" i="5" s="1"/>
  <c r="S45" i="6" s="1"/>
  <c r="E47" i="5" a="1"/>
  <c r="E47" i="5" s="1"/>
  <c r="A45" i="6" s="1"/>
  <c r="I47" i="5" a="1"/>
  <c r="I47" i="5" s="1"/>
  <c r="E45" i="6" s="1"/>
  <c r="H47" i="5" a="1"/>
  <c r="H47" i="5" s="1"/>
  <c r="D45" i="6" s="1"/>
  <c r="F47" i="5" a="1"/>
  <c r="F47" i="5" s="1"/>
  <c r="B45" i="6" s="1"/>
  <c r="G47" i="5" a="1"/>
  <c r="G47" i="5" s="1"/>
  <c r="C45" i="6" s="1"/>
  <c r="L47" i="5" a="1"/>
  <c r="L47" i="5" s="1"/>
  <c r="H45" i="6" s="1"/>
  <c r="W39" i="5" a="1"/>
  <c r="W39" i="5" s="1"/>
  <c r="S37" i="6" s="1"/>
  <c r="E39" i="5" a="1"/>
  <c r="E39" i="5" s="1"/>
  <c r="A37" i="6" s="1"/>
  <c r="J39" i="5" a="1"/>
  <c r="J39" i="5" s="1"/>
  <c r="F37" i="6" s="1"/>
  <c r="K39" i="5" a="1"/>
  <c r="K39" i="5" s="1"/>
  <c r="G37" i="6" s="1"/>
  <c r="I39" i="5" a="1"/>
  <c r="I39" i="5" s="1"/>
  <c r="E37" i="6" s="1"/>
  <c r="G39" i="5" a="1"/>
  <c r="G39" i="5" s="1"/>
  <c r="C37" i="6" s="1"/>
  <c r="H39" i="5" a="1"/>
  <c r="H39" i="5" s="1"/>
  <c r="D37" i="6" s="1"/>
  <c r="F39" i="5" a="1"/>
  <c r="F39" i="5" s="1"/>
  <c r="B37" i="6" s="1"/>
  <c r="L39" i="5" a="1"/>
  <c r="L39" i="5" s="1"/>
  <c r="H37" i="6" s="1"/>
  <c r="W31" i="5" a="1"/>
  <c r="W31" i="5" s="1"/>
  <c r="S29" i="6" s="1"/>
  <c r="E31" i="5" a="1"/>
  <c r="E31" i="5" s="1"/>
  <c r="A29" i="6" s="1"/>
  <c r="J31" i="5" a="1"/>
  <c r="J31" i="5" s="1"/>
  <c r="F29" i="6" s="1"/>
  <c r="K31" i="5" a="1"/>
  <c r="K31" i="5" s="1"/>
  <c r="G29" i="6" s="1"/>
  <c r="I31" i="5" a="1"/>
  <c r="I31" i="5" s="1"/>
  <c r="E29" i="6" s="1"/>
  <c r="L31" i="5" a="1"/>
  <c r="L31" i="5" s="1"/>
  <c r="H29" i="6" s="1"/>
  <c r="F31" i="5" a="1"/>
  <c r="F31" i="5" s="1"/>
  <c r="B29" i="6" s="1"/>
  <c r="G31" i="5" a="1"/>
  <c r="G31" i="5" s="1"/>
  <c r="C29" i="6" s="1"/>
  <c r="H31" i="5" a="1"/>
  <c r="H31" i="5" s="1"/>
  <c r="D29" i="6" s="1"/>
  <c r="X23" i="5" a="1"/>
  <c r="X23" i="5" s="1"/>
  <c r="T21" i="6" s="1"/>
  <c r="E23" i="5" a="1"/>
  <c r="E23" i="5" s="1"/>
  <c r="A21" i="6" s="1"/>
  <c r="J23" i="5" a="1"/>
  <c r="J23" i="5" s="1"/>
  <c r="F21" i="6" s="1"/>
  <c r="K23" i="5" a="1"/>
  <c r="K23" i="5" s="1"/>
  <c r="G21" i="6" s="1"/>
  <c r="I23" i="5" a="1"/>
  <c r="I23" i="5" s="1"/>
  <c r="E21" i="6" s="1"/>
  <c r="L23" i="5" a="1"/>
  <c r="L23" i="5" s="1"/>
  <c r="H21" i="6" s="1"/>
  <c r="G23" i="5" a="1"/>
  <c r="G23" i="5" s="1"/>
  <c r="C21" i="6" s="1"/>
  <c r="H23" i="5" a="1"/>
  <c r="H23" i="5" s="1"/>
  <c r="D21" i="6" s="1"/>
  <c r="T15" i="5" a="1"/>
  <c r="T15" i="5" s="1"/>
  <c r="P13" i="6" s="1"/>
  <c r="E15" i="5" a="1"/>
  <c r="E15" i="5" s="1"/>
  <c r="A13" i="6" s="1"/>
  <c r="J15" i="5" a="1"/>
  <c r="J15" i="5" s="1"/>
  <c r="F13" i="6" s="1"/>
  <c r="K15" i="5" a="1"/>
  <c r="K15" i="5" s="1"/>
  <c r="G13" i="6" s="1"/>
  <c r="I15" i="5" a="1"/>
  <c r="I15" i="5" s="1"/>
  <c r="E13" i="6" s="1"/>
  <c r="H15" i="5" a="1"/>
  <c r="H15" i="5" s="1"/>
  <c r="D13" i="6" s="1"/>
  <c r="L15" i="5" a="1"/>
  <c r="L15" i="5" s="1"/>
  <c r="H13" i="6" s="1"/>
  <c r="F15" i="5" a="1"/>
  <c r="F15" i="5" s="1"/>
  <c r="B13" i="6" s="1"/>
  <c r="G15" i="5" a="1"/>
  <c r="G15" i="5" s="1"/>
  <c r="C13" i="6" s="1"/>
  <c r="V7" i="5" a="1"/>
  <c r="V7" i="5" s="1"/>
  <c r="R5" i="6" s="1"/>
  <c r="E7" i="5" a="1"/>
  <c r="E7" i="5" s="1"/>
  <c r="A5" i="6" s="1"/>
  <c r="J7" i="5" a="1"/>
  <c r="J7" i="5" s="1"/>
  <c r="F5" i="6" s="1"/>
  <c r="K7" i="5" a="1"/>
  <c r="K7" i="5" s="1"/>
  <c r="G5" i="6" s="1"/>
  <c r="I7" i="5" a="1"/>
  <c r="I7" i="5" s="1"/>
  <c r="E5" i="6" s="1"/>
  <c r="G7" i="5" a="1"/>
  <c r="G7" i="5" s="1"/>
  <c r="C5" i="6" s="1"/>
  <c r="H7" i="5" a="1"/>
  <c r="H7" i="5" s="1"/>
  <c r="D5" i="6" s="1"/>
  <c r="L7" i="5" a="1"/>
  <c r="L7" i="5" s="1"/>
  <c r="H5" i="6" s="1"/>
  <c r="F7" i="5" a="1"/>
  <c r="F7" i="5" s="1"/>
  <c r="B5" i="6" s="1"/>
  <c r="J47" i="5" a="1"/>
  <c r="J47" i="5" s="1"/>
  <c r="F45" i="6" s="1"/>
  <c r="J81" i="5" a="1"/>
  <c r="J81" i="5" s="1"/>
  <c r="F79" i="6" s="1"/>
  <c r="E81" i="5" a="1"/>
  <c r="E81" i="5" s="1"/>
  <c r="A79" i="6" s="1"/>
  <c r="I81" i="5" a="1"/>
  <c r="I81" i="5" s="1"/>
  <c r="E79" i="6" s="1"/>
  <c r="F81" i="5" a="1"/>
  <c r="F81" i="5" s="1"/>
  <c r="B79" i="6" s="1"/>
  <c r="V73" i="5" a="1"/>
  <c r="V73" i="5" s="1"/>
  <c r="R71" i="6" s="1"/>
  <c r="J73" i="5" a="1"/>
  <c r="J73" i="5" s="1"/>
  <c r="F71" i="6" s="1"/>
  <c r="E73" i="5" a="1"/>
  <c r="E73" i="5" s="1"/>
  <c r="A71" i="6" s="1"/>
  <c r="I73" i="5" a="1"/>
  <c r="I73" i="5" s="1"/>
  <c r="E71" i="6" s="1"/>
  <c r="F73" i="5" a="1"/>
  <c r="F73" i="5" s="1"/>
  <c r="B71" i="6" s="1"/>
  <c r="G73" i="5" a="1"/>
  <c r="G73" i="5" s="1"/>
  <c r="C71" i="6" s="1"/>
  <c r="K73" i="5" a="1"/>
  <c r="K73" i="5" s="1"/>
  <c r="G71" i="6" s="1"/>
  <c r="L65" i="5" a="1"/>
  <c r="L65" i="5" s="1"/>
  <c r="H63" i="6" s="1"/>
  <c r="G65" i="5" a="1"/>
  <c r="G65" i="5" s="1"/>
  <c r="C63" i="6" s="1"/>
  <c r="H65" i="5" a="1"/>
  <c r="H65" i="5" s="1"/>
  <c r="D63" i="6" s="1"/>
  <c r="I65" i="5" a="1"/>
  <c r="I65" i="5" s="1"/>
  <c r="E63" i="6" s="1"/>
  <c r="E65" i="5" a="1"/>
  <c r="E65" i="5" s="1"/>
  <c r="A63" i="6" s="1"/>
  <c r="J65" i="5" a="1"/>
  <c r="J65" i="5" s="1"/>
  <c r="F63" i="6" s="1"/>
  <c r="L57" i="5" a="1"/>
  <c r="L57" i="5" s="1"/>
  <c r="H55" i="6" s="1"/>
  <c r="I57" i="5" a="1"/>
  <c r="I57" i="5" s="1"/>
  <c r="E55" i="6" s="1"/>
  <c r="E57" i="5" a="1"/>
  <c r="E57" i="5" s="1"/>
  <c r="A55" i="6" s="1"/>
  <c r="J57" i="5" a="1"/>
  <c r="J57" i="5" s="1"/>
  <c r="F55" i="6" s="1"/>
  <c r="G57" i="5" a="1"/>
  <c r="G57" i="5" s="1"/>
  <c r="C55" i="6" s="1"/>
  <c r="H57" i="5" a="1"/>
  <c r="H57" i="5" s="1"/>
  <c r="D55" i="6" s="1"/>
  <c r="V49" i="5" a="1"/>
  <c r="V49" i="5" s="1"/>
  <c r="R47" i="6" s="1"/>
  <c r="E49" i="5" a="1"/>
  <c r="E49" i="5" s="1"/>
  <c r="A47" i="6" s="1"/>
  <c r="H49" i="5" a="1"/>
  <c r="H49" i="5" s="1"/>
  <c r="D47" i="6" s="1"/>
  <c r="I49" i="5" a="1"/>
  <c r="I49" i="5" s="1"/>
  <c r="E47" i="6" s="1"/>
  <c r="G49" i="5" a="1"/>
  <c r="G49" i="5" s="1"/>
  <c r="C47" i="6" s="1"/>
  <c r="L49" i="5" a="1"/>
  <c r="L49" i="5" s="1"/>
  <c r="H47" i="6" s="1"/>
  <c r="F49" i="5" a="1"/>
  <c r="F49" i="5" s="1"/>
  <c r="B47" i="6" s="1"/>
  <c r="S41" i="5" a="1"/>
  <c r="S41" i="5" s="1"/>
  <c r="O39" i="6" s="1"/>
  <c r="L41" i="5" a="1"/>
  <c r="L41" i="5" s="1"/>
  <c r="H39" i="6" s="1"/>
  <c r="G41" i="5" a="1"/>
  <c r="G41" i="5" s="1"/>
  <c r="C39" i="6" s="1"/>
  <c r="E41" i="5" a="1"/>
  <c r="E41" i="5" s="1"/>
  <c r="A39" i="6" s="1"/>
  <c r="F41" i="5" a="1"/>
  <c r="F41" i="5" s="1"/>
  <c r="B39" i="6" s="1"/>
  <c r="H41" i="5" a="1"/>
  <c r="H41" i="5" s="1"/>
  <c r="D39" i="6" s="1"/>
  <c r="I41" i="5" a="1"/>
  <c r="I41" i="5" s="1"/>
  <c r="E39" i="6" s="1"/>
  <c r="J41" i="5" a="1"/>
  <c r="J41" i="5" s="1"/>
  <c r="F39" i="6" s="1"/>
  <c r="L33" i="5" a="1"/>
  <c r="L33" i="5" s="1"/>
  <c r="H31" i="6" s="1"/>
  <c r="G33" i="5" a="1"/>
  <c r="G33" i="5" s="1"/>
  <c r="C31" i="6" s="1"/>
  <c r="K33" i="5" a="1"/>
  <c r="K33" i="5" s="1"/>
  <c r="G31" i="6" s="1"/>
  <c r="E33" i="5" a="1"/>
  <c r="E33" i="5" s="1"/>
  <c r="A31" i="6" s="1"/>
  <c r="H33" i="5" a="1"/>
  <c r="H33" i="5" s="1"/>
  <c r="D31" i="6" s="1"/>
  <c r="I33" i="5" a="1"/>
  <c r="I33" i="5" s="1"/>
  <c r="E31" i="6" s="1"/>
  <c r="J33" i="5" a="1"/>
  <c r="J33" i="5" s="1"/>
  <c r="F31" i="6" s="1"/>
  <c r="R25" i="5" a="1"/>
  <c r="R25" i="5" s="1"/>
  <c r="N23" i="6" s="1"/>
  <c r="L25" i="5" a="1"/>
  <c r="L25" i="5" s="1"/>
  <c r="H23" i="6" s="1"/>
  <c r="G25" i="5" a="1"/>
  <c r="G25" i="5" s="1"/>
  <c r="C23" i="6" s="1"/>
  <c r="I25" i="5" a="1"/>
  <c r="I25" i="5" s="1"/>
  <c r="E23" i="6" s="1"/>
  <c r="J25" i="5" a="1"/>
  <c r="J25" i="5" s="1"/>
  <c r="F23" i="6" s="1"/>
  <c r="F25" i="5" a="1"/>
  <c r="F25" i="5" s="1"/>
  <c r="B23" i="6" s="1"/>
  <c r="H25" i="5" a="1"/>
  <c r="H25" i="5" s="1"/>
  <c r="D23" i="6" s="1"/>
  <c r="E25" i="5" a="1"/>
  <c r="E25" i="5" s="1"/>
  <c r="A23" i="6" s="1"/>
  <c r="L17" i="5" a="1"/>
  <c r="L17" i="5" s="1"/>
  <c r="H15" i="6" s="1"/>
  <c r="G17" i="5" a="1"/>
  <c r="G17" i="5" s="1"/>
  <c r="C15" i="6" s="1"/>
  <c r="H17" i="5" a="1"/>
  <c r="H17" i="5" s="1"/>
  <c r="D15" i="6" s="1"/>
  <c r="I17" i="5" a="1"/>
  <c r="I17" i="5" s="1"/>
  <c r="E15" i="6" s="1"/>
  <c r="F17" i="5" a="1"/>
  <c r="F17" i="5" s="1"/>
  <c r="B15" i="6" s="1"/>
  <c r="J17" i="5" a="1"/>
  <c r="J17" i="5" s="1"/>
  <c r="F15" i="6" s="1"/>
  <c r="K17" i="5" a="1"/>
  <c r="K17" i="5" s="1"/>
  <c r="G15" i="6" s="1"/>
  <c r="R9" i="5" a="1"/>
  <c r="R9" i="5" s="1"/>
  <c r="N7" i="6" s="1"/>
  <c r="L9" i="5" a="1"/>
  <c r="L9" i="5" s="1"/>
  <c r="H7" i="6" s="1"/>
  <c r="G9" i="5" a="1"/>
  <c r="G9" i="5" s="1"/>
  <c r="C7" i="6" s="1"/>
  <c r="E9" i="5" a="1"/>
  <c r="E9" i="5" s="1"/>
  <c r="A7" i="6" s="1"/>
  <c r="F9" i="5" a="1"/>
  <c r="F9" i="5" s="1"/>
  <c r="B7" i="6" s="1"/>
  <c r="K9" i="5" a="1"/>
  <c r="K9" i="5" s="1"/>
  <c r="G7" i="6" s="1"/>
  <c r="I9" i="5" a="1"/>
  <c r="I9" i="5" s="1"/>
  <c r="E7" i="6" s="1"/>
  <c r="H9" i="5" a="1"/>
  <c r="H9" i="5" s="1"/>
  <c r="D7" i="6" s="1"/>
  <c r="F57" i="5" a="1"/>
  <c r="F57" i="5" s="1"/>
  <c r="B55" i="6" s="1"/>
  <c r="H79" i="5" a="1"/>
  <c r="H79" i="5" s="1"/>
  <c r="D77" i="6" s="1"/>
  <c r="K71" i="5" a="1"/>
  <c r="K71" i="5" s="1"/>
  <c r="G69" i="6" s="1"/>
  <c r="F23" i="5" a="1"/>
  <c r="F23" i="5" s="1"/>
  <c r="B21" i="6" s="1"/>
  <c r="X80" i="5" a="1"/>
  <c r="X80" i="5" s="1"/>
  <c r="T78" i="6" s="1"/>
  <c r="J80" i="5" a="1"/>
  <c r="J80" i="5" s="1"/>
  <c r="F78" i="6" s="1"/>
  <c r="G80" i="5" a="1"/>
  <c r="G80" i="5" s="1"/>
  <c r="C78" i="6" s="1"/>
  <c r="K80" i="5" a="1"/>
  <c r="K80" i="5" s="1"/>
  <c r="G78" i="6" s="1"/>
  <c r="E80" i="5" a="1"/>
  <c r="E80" i="5" s="1"/>
  <c r="A78" i="6" s="1"/>
  <c r="I80" i="5" a="1"/>
  <c r="I80" i="5" s="1"/>
  <c r="E78" i="6" s="1"/>
  <c r="F80" i="5" a="1"/>
  <c r="F80" i="5" s="1"/>
  <c r="B78" i="6" s="1"/>
  <c r="T72" i="5" a="1"/>
  <c r="T72" i="5" s="1"/>
  <c r="P70" i="6" s="1"/>
  <c r="H72" i="5" a="1"/>
  <c r="H72" i="5" s="1"/>
  <c r="D70" i="6" s="1"/>
  <c r="J72" i="5" a="1"/>
  <c r="J72" i="5" s="1"/>
  <c r="F70" i="6" s="1"/>
  <c r="I72" i="5" a="1"/>
  <c r="I72" i="5" s="1"/>
  <c r="E70" i="6" s="1"/>
  <c r="E72" i="5" a="1"/>
  <c r="E72" i="5" s="1"/>
  <c r="A70" i="6" s="1"/>
  <c r="F72" i="5" a="1"/>
  <c r="F72" i="5" s="1"/>
  <c r="B70" i="6" s="1"/>
  <c r="K72" i="5" a="1"/>
  <c r="K72" i="5" s="1"/>
  <c r="G70" i="6" s="1"/>
  <c r="L64" i="5" a="1"/>
  <c r="L64" i="5" s="1"/>
  <c r="H62" i="6" s="1"/>
  <c r="E64" i="5" a="1"/>
  <c r="E64" i="5" s="1"/>
  <c r="A62" i="6" s="1"/>
  <c r="J64" i="5" a="1"/>
  <c r="J64" i="5" s="1"/>
  <c r="F62" i="6" s="1"/>
  <c r="F64" i="5" a="1"/>
  <c r="F64" i="5" s="1"/>
  <c r="B62" i="6" s="1"/>
  <c r="K64" i="5" a="1"/>
  <c r="K64" i="5" s="1"/>
  <c r="G62" i="6" s="1"/>
  <c r="G64" i="5" a="1"/>
  <c r="G64" i="5" s="1"/>
  <c r="C62" i="6" s="1"/>
  <c r="V56" i="5" a="1"/>
  <c r="V56" i="5" s="1"/>
  <c r="R54" i="6" s="1"/>
  <c r="F56" i="5" a="1"/>
  <c r="F56" i="5" s="1"/>
  <c r="B54" i="6" s="1"/>
  <c r="K56" i="5" a="1"/>
  <c r="K56" i="5" s="1"/>
  <c r="G54" i="6" s="1"/>
  <c r="G56" i="5" a="1"/>
  <c r="G56" i="5" s="1"/>
  <c r="C54" i="6" s="1"/>
  <c r="E56" i="5" a="1"/>
  <c r="E56" i="5" s="1"/>
  <c r="A54" i="6" s="1"/>
  <c r="J56" i="5" a="1"/>
  <c r="J56" i="5" s="1"/>
  <c r="F54" i="6" s="1"/>
  <c r="L56" i="5" a="1"/>
  <c r="L56" i="5" s="1"/>
  <c r="H54" i="6" s="1"/>
  <c r="E48" i="5" a="1"/>
  <c r="E48" i="5" s="1"/>
  <c r="A46" i="6" s="1"/>
  <c r="I48" i="5" a="1"/>
  <c r="I48" i="5" s="1"/>
  <c r="E46" i="6" s="1"/>
  <c r="K48" i="5" a="1"/>
  <c r="K48" i="5" s="1"/>
  <c r="G46" i="6" s="1"/>
  <c r="F48" i="5" a="1"/>
  <c r="F48" i="5" s="1"/>
  <c r="B46" i="6" s="1"/>
  <c r="G48" i="5" a="1"/>
  <c r="G48" i="5" s="1"/>
  <c r="C46" i="6" s="1"/>
  <c r="L48" i="5" a="1"/>
  <c r="L48" i="5" s="1"/>
  <c r="H46" i="6" s="1"/>
  <c r="H48" i="5" a="1"/>
  <c r="H48" i="5" s="1"/>
  <c r="D46" i="6" s="1"/>
  <c r="T40" i="5" a="1"/>
  <c r="T40" i="5" s="1"/>
  <c r="P38" i="6" s="1"/>
  <c r="K40" i="5" a="1"/>
  <c r="K40" i="5" s="1"/>
  <c r="G38" i="6" s="1"/>
  <c r="L40" i="5" a="1"/>
  <c r="L40" i="5" s="1"/>
  <c r="H38" i="6" s="1"/>
  <c r="F40" i="5" a="1"/>
  <c r="F40" i="5" s="1"/>
  <c r="B38" i="6" s="1"/>
  <c r="E40" i="5" a="1"/>
  <c r="E40" i="5" s="1"/>
  <c r="A38" i="6" s="1"/>
  <c r="G40" i="5" a="1"/>
  <c r="G40" i="5" s="1"/>
  <c r="C38" i="6" s="1"/>
  <c r="H40" i="5" a="1"/>
  <c r="H40" i="5" s="1"/>
  <c r="D38" i="6" s="1"/>
  <c r="J40" i="5" a="1"/>
  <c r="J40" i="5" s="1"/>
  <c r="F38" i="6" s="1"/>
  <c r="W32" i="5" a="1"/>
  <c r="W32" i="5" s="1"/>
  <c r="S30" i="6" s="1"/>
  <c r="K32" i="5" a="1"/>
  <c r="K32" i="5" s="1"/>
  <c r="G30" i="6" s="1"/>
  <c r="L32" i="5" a="1"/>
  <c r="L32" i="5" s="1"/>
  <c r="H30" i="6" s="1"/>
  <c r="F32" i="5" a="1"/>
  <c r="F32" i="5" s="1"/>
  <c r="B30" i="6" s="1"/>
  <c r="E32" i="5" a="1"/>
  <c r="E32" i="5" s="1"/>
  <c r="A30" i="6" s="1"/>
  <c r="G32" i="5" a="1"/>
  <c r="G32" i="5" s="1"/>
  <c r="C30" i="6" s="1"/>
  <c r="I32" i="5" a="1"/>
  <c r="I32" i="5" s="1"/>
  <c r="E30" i="6" s="1"/>
  <c r="J32" i="5" a="1"/>
  <c r="J32" i="5" s="1"/>
  <c r="F30" i="6" s="1"/>
  <c r="H32" i="5" a="1"/>
  <c r="H32" i="5" s="1"/>
  <c r="D30" i="6" s="1"/>
  <c r="W24" i="5" a="1"/>
  <c r="W24" i="5" s="1"/>
  <c r="S22" i="6" s="1"/>
  <c r="K24" i="5" a="1"/>
  <c r="K24" i="5" s="1"/>
  <c r="G22" i="6" s="1"/>
  <c r="L24" i="5" a="1"/>
  <c r="L24" i="5" s="1"/>
  <c r="H22" i="6" s="1"/>
  <c r="F24" i="5" a="1"/>
  <c r="F24" i="5" s="1"/>
  <c r="B22" i="6" s="1"/>
  <c r="I24" i="5" a="1"/>
  <c r="I24" i="5" s="1"/>
  <c r="E22" i="6" s="1"/>
  <c r="J24" i="5" a="1"/>
  <c r="J24" i="5" s="1"/>
  <c r="F22" i="6" s="1"/>
  <c r="E24" i="5" a="1"/>
  <c r="E24" i="5" s="1"/>
  <c r="A22" i="6" s="1"/>
  <c r="W16" i="5" a="1"/>
  <c r="W16" i="5" s="1"/>
  <c r="S14" i="6" s="1"/>
  <c r="K16" i="5" a="1"/>
  <c r="K16" i="5" s="1"/>
  <c r="G14" i="6" s="1"/>
  <c r="L16" i="5" a="1"/>
  <c r="L16" i="5" s="1"/>
  <c r="H14" i="6" s="1"/>
  <c r="F16" i="5" a="1"/>
  <c r="F16" i="5" s="1"/>
  <c r="B14" i="6" s="1"/>
  <c r="H16" i="5" a="1"/>
  <c r="H16" i="5" s="1"/>
  <c r="D14" i="6" s="1"/>
  <c r="I16" i="5" a="1"/>
  <c r="I16" i="5" s="1"/>
  <c r="E14" i="6" s="1"/>
  <c r="E16" i="5" a="1"/>
  <c r="E16" i="5" s="1"/>
  <c r="A14" i="6" s="1"/>
  <c r="G16" i="5" a="1"/>
  <c r="G16" i="5" s="1"/>
  <c r="C14" i="6" s="1"/>
  <c r="J16" i="5" a="1"/>
  <c r="J16" i="5" s="1"/>
  <c r="F14" i="6" s="1"/>
  <c r="T8" i="5" a="1"/>
  <c r="T8" i="5" s="1"/>
  <c r="P6" i="6" s="1"/>
  <c r="K8" i="5" a="1"/>
  <c r="K8" i="5" s="1"/>
  <c r="G6" i="6" s="1"/>
  <c r="L8" i="5" a="1"/>
  <c r="L8" i="5" s="1"/>
  <c r="H6" i="6" s="1"/>
  <c r="F8" i="5" a="1"/>
  <c r="F8" i="5" s="1"/>
  <c r="B6" i="6" s="1"/>
  <c r="E8" i="5" a="1"/>
  <c r="E8" i="5" s="1"/>
  <c r="A6" i="6" s="1"/>
  <c r="G8" i="5" a="1"/>
  <c r="G8" i="5" s="1"/>
  <c r="C6" i="6" s="1"/>
  <c r="H8" i="5" a="1"/>
  <c r="H8" i="5" s="1"/>
  <c r="D6" i="6" s="1"/>
  <c r="I8" i="5" a="1"/>
  <c r="I8" i="5" s="1"/>
  <c r="E6" i="6" s="1"/>
  <c r="J8" i="5" a="1"/>
  <c r="J8" i="5" s="1"/>
  <c r="F6" i="6" s="1"/>
  <c r="K81" i="5" a="1"/>
  <c r="K81" i="5" s="1"/>
  <c r="G79" i="6" s="1"/>
  <c r="L79" i="5" a="1"/>
  <c r="L79" i="5" s="1"/>
  <c r="H77" i="6" s="1"/>
  <c r="H73" i="5" a="1"/>
  <c r="H73" i="5" s="1"/>
  <c r="D71" i="6" s="1"/>
  <c r="I64" i="5" a="1"/>
  <c r="I64" i="5" s="1"/>
  <c r="E62" i="6" s="1"/>
  <c r="K47" i="5" a="1"/>
  <c r="K47" i="5" s="1"/>
  <c r="G45" i="6" s="1"/>
  <c r="I40" i="5" a="1"/>
  <c r="I40" i="5" s="1"/>
  <c r="E38" i="6" s="1"/>
  <c r="X54" i="5" a="1"/>
  <c r="X54" i="5" s="1"/>
  <c r="T52" i="6" s="1"/>
  <c r="H54" i="5" a="1"/>
  <c r="H54" i="5" s="1"/>
  <c r="D52" i="6" s="1"/>
  <c r="L54" i="5" a="1"/>
  <c r="L54" i="5" s="1"/>
  <c r="H52" i="6" s="1"/>
  <c r="X46" i="5" a="1"/>
  <c r="X46" i="5" s="1"/>
  <c r="T44" i="6" s="1"/>
  <c r="E46" i="5" a="1"/>
  <c r="E46" i="5" s="1"/>
  <c r="A44" i="6" s="1"/>
  <c r="J46" i="5" a="1"/>
  <c r="J46" i="5" s="1"/>
  <c r="F44" i="6" s="1"/>
  <c r="H46" i="5" a="1"/>
  <c r="H46" i="5" s="1"/>
  <c r="D44" i="6" s="1"/>
  <c r="I46" i="5" a="1"/>
  <c r="I46" i="5" s="1"/>
  <c r="E44" i="6" s="1"/>
  <c r="K46" i="5" a="1"/>
  <c r="K46" i="5" s="1"/>
  <c r="G44" i="6" s="1"/>
  <c r="V38" i="5" a="1"/>
  <c r="V38" i="5" s="1"/>
  <c r="R36" i="6" s="1"/>
  <c r="E38" i="5" a="1"/>
  <c r="E38" i="5" s="1"/>
  <c r="A36" i="6" s="1"/>
  <c r="J38" i="5" a="1"/>
  <c r="J38" i="5" s="1"/>
  <c r="F36" i="6" s="1"/>
  <c r="H38" i="5" a="1"/>
  <c r="H38" i="5" s="1"/>
  <c r="D36" i="6" s="1"/>
  <c r="G38" i="5" a="1"/>
  <c r="G38" i="5" s="1"/>
  <c r="C36" i="6" s="1"/>
  <c r="I38" i="5" a="1"/>
  <c r="I38" i="5" s="1"/>
  <c r="E36" i="6" s="1"/>
  <c r="E30" i="5" a="1"/>
  <c r="E30" i="5" s="1"/>
  <c r="A28" i="6" s="1"/>
  <c r="J30" i="5" a="1"/>
  <c r="J30" i="5" s="1"/>
  <c r="F28" i="6" s="1"/>
  <c r="H30" i="5" a="1"/>
  <c r="H30" i="5" s="1"/>
  <c r="D28" i="6" s="1"/>
  <c r="F30" i="5" a="1"/>
  <c r="F30" i="5" s="1"/>
  <c r="B28" i="6" s="1"/>
  <c r="L30" i="5" a="1"/>
  <c r="L30" i="5" s="1"/>
  <c r="H28" i="6" s="1"/>
  <c r="G30" i="5" a="1"/>
  <c r="G30" i="5" s="1"/>
  <c r="C28" i="6" s="1"/>
  <c r="E22" i="5" a="1"/>
  <c r="E22" i="5" s="1"/>
  <c r="A20" i="6" s="1"/>
  <c r="J22" i="5" a="1"/>
  <c r="J22" i="5" s="1"/>
  <c r="F20" i="6" s="1"/>
  <c r="H22" i="5" a="1"/>
  <c r="H22" i="5" s="1"/>
  <c r="D20" i="6" s="1"/>
  <c r="K22" i="5" a="1"/>
  <c r="K22" i="5" s="1"/>
  <c r="G20" i="6" s="1"/>
  <c r="F22" i="5" a="1"/>
  <c r="F22" i="5" s="1"/>
  <c r="B20" i="6" s="1"/>
  <c r="L22" i="5" a="1"/>
  <c r="L22" i="5" s="1"/>
  <c r="H20" i="6" s="1"/>
  <c r="E14" i="5" a="1"/>
  <c r="E14" i="5" s="1"/>
  <c r="A12" i="6" s="1"/>
  <c r="J14" i="5" a="1"/>
  <c r="J14" i="5" s="1"/>
  <c r="F12" i="6" s="1"/>
  <c r="H14" i="5" a="1"/>
  <c r="H14" i="5" s="1"/>
  <c r="D12" i="6" s="1"/>
  <c r="I14" i="5" a="1"/>
  <c r="I14" i="5" s="1"/>
  <c r="E12" i="6" s="1"/>
  <c r="K14" i="5" a="1"/>
  <c r="K14" i="5" s="1"/>
  <c r="G12" i="6" s="1"/>
  <c r="E6" i="5" a="1"/>
  <c r="E6" i="5" s="1"/>
  <c r="A4" i="6" s="1"/>
  <c r="I6" i="5" a="1"/>
  <c r="I6" i="5" s="1"/>
  <c r="E4" i="6" s="1"/>
  <c r="H6" i="5" a="1"/>
  <c r="H6" i="5" s="1"/>
  <c r="D4" i="6" s="1"/>
  <c r="J6" i="5" a="1"/>
  <c r="J6" i="5" s="1"/>
  <c r="F4" i="6" s="1"/>
  <c r="G6" i="5" a="1"/>
  <c r="G6" i="5" s="1"/>
  <c r="C4" i="6" s="1"/>
  <c r="J54" i="5" a="1"/>
  <c r="J54" i="5" s="1"/>
  <c r="F52" i="6" s="1"/>
  <c r="H53" i="5" a="1"/>
  <c r="H53" i="5" s="1"/>
  <c r="D51" i="6" s="1"/>
  <c r="L53" i="5" a="1"/>
  <c r="L53" i="5" s="1"/>
  <c r="H51" i="6" s="1"/>
  <c r="X45" i="5" a="1"/>
  <c r="X45" i="5" s="1"/>
  <c r="T43" i="6" s="1"/>
  <c r="L45" i="5" a="1"/>
  <c r="L45" i="5" s="1"/>
  <c r="H43" i="6" s="1"/>
  <c r="G45" i="5" a="1"/>
  <c r="G45" i="5" s="1"/>
  <c r="C43" i="6" s="1"/>
  <c r="J45" i="5" a="1"/>
  <c r="J45" i="5" s="1"/>
  <c r="F43" i="6" s="1"/>
  <c r="K45" i="5" a="1"/>
  <c r="K45" i="5" s="1"/>
  <c r="G43" i="6" s="1"/>
  <c r="W37" i="5" a="1"/>
  <c r="W37" i="5" s="1"/>
  <c r="S35" i="6" s="1"/>
  <c r="L37" i="5" a="1"/>
  <c r="L37" i="5" s="1"/>
  <c r="H35" i="6" s="1"/>
  <c r="G37" i="5" a="1"/>
  <c r="G37" i="5" s="1"/>
  <c r="C35" i="6" s="1"/>
  <c r="H37" i="5" a="1"/>
  <c r="H37" i="5" s="1"/>
  <c r="D35" i="6" s="1"/>
  <c r="I37" i="5" a="1"/>
  <c r="I37" i="5" s="1"/>
  <c r="E35" i="6" s="1"/>
  <c r="J37" i="5" a="1"/>
  <c r="J37" i="5" s="1"/>
  <c r="F35" i="6" s="1"/>
  <c r="X21" i="5" a="1"/>
  <c r="X21" i="5" s="1"/>
  <c r="T19" i="6" s="1"/>
  <c r="L21" i="5" a="1"/>
  <c r="L21" i="5" s="1"/>
  <c r="H19" i="6" s="1"/>
  <c r="G21" i="5" a="1"/>
  <c r="G21" i="5" s="1"/>
  <c r="C19" i="6" s="1"/>
  <c r="K21" i="5" a="1"/>
  <c r="K21" i="5" s="1"/>
  <c r="G19" i="6" s="1"/>
  <c r="E21" i="5" a="1"/>
  <c r="E21" i="5" s="1"/>
  <c r="A19" i="6" s="1"/>
  <c r="F21" i="5" a="1"/>
  <c r="F21" i="5" s="1"/>
  <c r="B19" i="6" s="1"/>
  <c r="T13" i="5" a="1"/>
  <c r="T13" i="5" s="1"/>
  <c r="P11" i="6" s="1"/>
  <c r="L13" i="5" a="1"/>
  <c r="L13" i="5" s="1"/>
  <c r="H11" i="6" s="1"/>
  <c r="G13" i="5" a="1"/>
  <c r="G13" i="5" s="1"/>
  <c r="C11" i="6" s="1"/>
  <c r="J13" i="5" a="1"/>
  <c r="J13" i="5" s="1"/>
  <c r="F11" i="6" s="1"/>
  <c r="K13" i="5" a="1"/>
  <c r="K13" i="5" s="1"/>
  <c r="G11" i="6" s="1"/>
  <c r="E5" i="5" a="1"/>
  <c r="E5" i="5" s="1"/>
  <c r="A3" i="6" s="1"/>
  <c r="I5" i="5" a="1"/>
  <c r="I5" i="5" s="1"/>
  <c r="E3" i="6" s="1"/>
  <c r="F5" i="5" a="1"/>
  <c r="F5" i="5" s="1"/>
  <c r="B3" i="6" s="1"/>
  <c r="K5" i="5" a="1"/>
  <c r="K5" i="5" s="1"/>
  <c r="G3" i="6" s="1"/>
  <c r="G5" i="5" a="1"/>
  <c r="G5" i="5" s="1"/>
  <c r="C3" i="6" s="1"/>
  <c r="L5" i="5" a="1"/>
  <c r="L5" i="5" s="1"/>
  <c r="H3" i="6" s="1"/>
  <c r="H5" i="5" a="1"/>
  <c r="H5" i="5" s="1"/>
  <c r="D3" i="6" s="1"/>
  <c r="K62" i="5" a="1"/>
  <c r="K62" i="5" s="1"/>
  <c r="G60" i="6" s="1"/>
  <c r="F62" i="5" a="1"/>
  <c r="F62" i="5" s="1"/>
  <c r="B60" i="6" s="1"/>
  <c r="I61" i="5" a="1"/>
  <c r="I61" i="5" s="1"/>
  <c r="E59" i="6" s="1"/>
  <c r="J29" i="5" a="1"/>
  <c r="J29" i="5" s="1"/>
  <c r="F27" i="6" s="1"/>
  <c r="L14" i="5" a="1"/>
  <c r="L14" i="5" s="1"/>
  <c r="H12" i="6" s="1"/>
  <c r="S52" i="5" a="1"/>
  <c r="S52" i="5" s="1"/>
  <c r="O50" i="6" s="1"/>
  <c r="G52" i="5" a="1"/>
  <c r="G52" i="5" s="1"/>
  <c r="C50" i="6" s="1"/>
  <c r="L52" i="5" a="1"/>
  <c r="L52" i="5" s="1"/>
  <c r="H50" i="6" s="1"/>
  <c r="H52" i="5" a="1"/>
  <c r="H52" i="5" s="1"/>
  <c r="D50" i="6" s="1"/>
  <c r="K44" i="5" a="1"/>
  <c r="K44" i="5" s="1"/>
  <c r="G42" i="6" s="1"/>
  <c r="L44" i="5" a="1"/>
  <c r="L44" i="5" s="1"/>
  <c r="H42" i="6" s="1"/>
  <c r="F44" i="5" a="1"/>
  <c r="F44" i="5" s="1"/>
  <c r="B42" i="6" s="1"/>
  <c r="J44" i="5" a="1"/>
  <c r="J44" i="5" s="1"/>
  <c r="F42" i="6" s="1"/>
  <c r="X36" i="5" a="1"/>
  <c r="X36" i="5" s="1"/>
  <c r="T34" i="6" s="1"/>
  <c r="K36" i="5" a="1"/>
  <c r="K36" i="5" s="1"/>
  <c r="G34" i="6" s="1"/>
  <c r="L36" i="5" a="1"/>
  <c r="L36" i="5" s="1"/>
  <c r="H34" i="6" s="1"/>
  <c r="F36" i="5" a="1"/>
  <c r="F36" i="5" s="1"/>
  <c r="B34" i="6" s="1"/>
  <c r="I36" i="5" a="1"/>
  <c r="I36" i="5" s="1"/>
  <c r="E34" i="6" s="1"/>
  <c r="J36" i="5" a="1"/>
  <c r="J36" i="5" s="1"/>
  <c r="F34" i="6" s="1"/>
  <c r="X28" i="5" a="1"/>
  <c r="X28" i="5" s="1"/>
  <c r="T26" i="6" s="1"/>
  <c r="K28" i="5" a="1"/>
  <c r="K28" i="5" s="1"/>
  <c r="G26" i="6" s="1"/>
  <c r="L28" i="5" a="1"/>
  <c r="L28" i="5" s="1"/>
  <c r="H26" i="6" s="1"/>
  <c r="F28" i="5" a="1"/>
  <c r="F28" i="5" s="1"/>
  <c r="B26" i="6" s="1"/>
  <c r="G28" i="5" a="1"/>
  <c r="G28" i="5" s="1"/>
  <c r="C26" i="6" s="1"/>
  <c r="H28" i="5" a="1"/>
  <c r="H28" i="5" s="1"/>
  <c r="D26" i="6" s="1"/>
  <c r="X20" i="5" a="1"/>
  <c r="X20" i="5" s="1"/>
  <c r="T18" i="6" s="1"/>
  <c r="K20" i="5" a="1"/>
  <c r="K20" i="5" s="1"/>
  <c r="G18" i="6" s="1"/>
  <c r="L20" i="5" a="1"/>
  <c r="L20" i="5" s="1"/>
  <c r="H18" i="6" s="1"/>
  <c r="F20" i="5" a="1"/>
  <c r="F20" i="5" s="1"/>
  <c r="B18" i="6" s="1"/>
  <c r="E20" i="5" a="1"/>
  <c r="E20" i="5" s="1"/>
  <c r="A18" i="6" s="1"/>
  <c r="G20" i="5" a="1"/>
  <c r="G20" i="5" s="1"/>
  <c r="C18" i="6" s="1"/>
  <c r="X12" i="5" a="1"/>
  <c r="X12" i="5" s="1"/>
  <c r="T10" i="6" s="1"/>
  <c r="K12" i="5" a="1"/>
  <c r="K12" i="5" s="1"/>
  <c r="G10" i="6" s="1"/>
  <c r="L12" i="5" a="1"/>
  <c r="L12" i="5" s="1"/>
  <c r="H10" i="6" s="1"/>
  <c r="F12" i="5" a="1"/>
  <c r="F12" i="5" s="1"/>
  <c r="B10" i="6" s="1"/>
  <c r="J12" i="5" a="1"/>
  <c r="J12" i="5" s="1"/>
  <c r="F10" i="6" s="1"/>
  <c r="I4" i="5" a="1"/>
  <c r="I4" i="5" s="1"/>
  <c r="E2" i="6" s="1"/>
  <c r="G70" i="5" a="1"/>
  <c r="G70" i="5" s="1"/>
  <c r="C68" i="6" s="1"/>
  <c r="F69" i="5" a="1"/>
  <c r="F69" i="5" s="1"/>
  <c r="B67" i="6" s="1"/>
  <c r="E68" i="5" a="1"/>
  <c r="E68" i="5" s="1"/>
  <c r="A66" i="6" s="1"/>
  <c r="H67" i="5" a="1"/>
  <c r="H67" i="5" s="1"/>
  <c r="D65" i="6" s="1"/>
  <c r="H61" i="5" a="1"/>
  <c r="H61" i="5" s="1"/>
  <c r="D59" i="6" s="1"/>
  <c r="H59" i="5" a="1"/>
  <c r="H59" i="5" s="1"/>
  <c r="D57" i="6" s="1"/>
  <c r="I54" i="5" a="1"/>
  <c r="I54" i="5" s="1"/>
  <c r="E52" i="6" s="1"/>
  <c r="J53" i="5" a="1"/>
  <c r="J53" i="5" s="1"/>
  <c r="F51" i="6" s="1"/>
  <c r="K52" i="5" a="1"/>
  <c r="K52" i="5" s="1"/>
  <c r="G50" i="6" s="1"/>
  <c r="F50" i="5" a="1"/>
  <c r="F50" i="5" s="1"/>
  <c r="B48" i="6" s="1"/>
  <c r="L46" i="5" a="1"/>
  <c r="L46" i="5" s="1"/>
  <c r="H44" i="6" s="1"/>
  <c r="H45" i="5" a="1"/>
  <c r="H45" i="5" s="1"/>
  <c r="D43" i="6" s="1"/>
  <c r="E44" i="5" a="1"/>
  <c r="E44" i="5" s="1"/>
  <c r="A42" i="6" s="1"/>
  <c r="F38" i="5" a="1"/>
  <c r="F38" i="5" s="1"/>
  <c r="B36" i="6" s="1"/>
  <c r="K30" i="5" a="1"/>
  <c r="K30" i="5" s="1"/>
  <c r="G28" i="6" s="1"/>
  <c r="I20" i="5" a="1"/>
  <c r="I20" i="5" s="1"/>
  <c r="E18" i="6" s="1"/>
  <c r="F6" i="5" a="1"/>
  <c r="F6" i="5" s="1"/>
  <c r="B4" i="6" s="1"/>
  <c r="U29" i="5" a="1"/>
  <c r="U29" i="5" s="1"/>
  <c r="Q27" i="6" s="1"/>
  <c r="L29" i="5" a="1"/>
  <c r="L29" i="5" s="1"/>
  <c r="H27" i="6" s="1"/>
  <c r="G29" i="5" a="1"/>
  <c r="G29" i="5" s="1"/>
  <c r="C27" i="6" s="1"/>
  <c r="F29" i="5" a="1"/>
  <c r="F29" i="5" s="1"/>
  <c r="B27" i="6" s="1"/>
  <c r="H29" i="5" a="1"/>
  <c r="H29" i="5" s="1"/>
  <c r="D27" i="6" s="1"/>
  <c r="J86" i="5" a="1"/>
  <c r="J86" i="5" s="1"/>
  <c r="F84" i="6" s="1"/>
  <c r="F86" i="5" a="1"/>
  <c r="F86" i="5" s="1"/>
  <c r="B84" i="6" s="1"/>
  <c r="F85" i="5" a="1"/>
  <c r="F85" i="5" s="1"/>
  <c r="B83" i="6" s="1"/>
  <c r="F78" i="5" a="1"/>
  <c r="F78" i="5" s="1"/>
  <c r="B76" i="6" s="1"/>
  <c r="F77" i="5" a="1"/>
  <c r="F77" i="5" s="1"/>
  <c r="B75" i="6" s="1"/>
  <c r="H13" i="5" a="1"/>
  <c r="H13" i="5" s="1"/>
  <c r="D11" i="6" s="1"/>
  <c r="V51" i="5" a="1"/>
  <c r="V51" i="5" s="1"/>
  <c r="R49" i="6" s="1"/>
  <c r="J51" i="5" a="1"/>
  <c r="J51" i="5" s="1"/>
  <c r="F49" i="6" s="1"/>
  <c r="F51" i="5" a="1"/>
  <c r="F51" i="5" s="1"/>
  <c r="B49" i="6" s="1"/>
  <c r="K51" i="5" a="1"/>
  <c r="K51" i="5" s="1"/>
  <c r="G49" i="6" s="1"/>
  <c r="G51" i="5" a="1"/>
  <c r="G51" i="5" s="1"/>
  <c r="C49" i="6" s="1"/>
  <c r="U43" i="5" a="1"/>
  <c r="U43" i="5" s="1"/>
  <c r="Q41" i="6" s="1"/>
  <c r="E43" i="5" a="1"/>
  <c r="E43" i="5" s="1"/>
  <c r="A41" i="6" s="1"/>
  <c r="J43" i="5" a="1"/>
  <c r="J43" i="5" s="1"/>
  <c r="F41" i="6" s="1"/>
  <c r="K43" i="5" a="1"/>
  <c r="K43" i="5" s="1"/>
  <c r="G41" i="6" s="1"/>
  <c r="I43" i="5" a="1"/>
  <c r="I43" i="5" s="1"/>
  <c r="E41" i="6" s="1"/>
  <c r="L43" i="5" a="1"/>
  <c r="L43" i="5" s="1"/>
  <c r="H41" i="6" s="1"/>
  <c r="F43" i="5" a="1"/>
  <c r="F43" i="5" s="1"/>
  <c r="B41" i="6" s="1"/>
  <c r="E35" i="5" a="1"/>
  <c r="E35" i="5" s="1"/>
  <c r="A33" i="6" s="1"/>
  <c r="J35" i="5" a="1"/>
  <c r="J35" i="5" s="1"/>
  <c r="F33" i="6" s="1"/>
  <c r="K35" i="5" a="1"/>
  <c r="K35" i="5" s="1"/>
  <c r="G33" i="6" s="1"/>
  <c r="I35" i="5" a="1"/>
  <c r="I35" i="5" s="1"/>
  <c r="E33" i="6" s="1"/>
  <c r="X27" i="5" a="1"/>
  <c r="X27" i="5" s="1"/>
  <c r="T25" i="6" s="1"/>
  <c r="E27" i="5" a="1"/>
  <c r="E27" i="5" s="1"/>
  <c r="A25" i="6" s="1"/>
  <c r="J27" i="5" a="1"/>
  <c r="J27" i="5" s="1"/>
  <c r="F25" i="6" s="1"/>
  <c r="K27" i="5" a="1"/>
  <c r="K27" i="5" s="1"/>
  <c r="G25" i="6" s="1"/>
  <c r="I27" i="5" a="1"/>
  <c r="I27" i="5" s="1"/>
  <c r="E25" i="6" s="1"/>
  <c r="H27" i="5" a="1"/>
  <c r="H27" i="5" s="1"/>
  <c r="D25" i="6" s="1"/>
  <c r="V19" i="5" a="1"/>
  <c r="V19" i="5" s="1"/>
  <c r="R17" i="6" s="1"/>
  <c r="E19" i="5" a="1"/>
  <c r="E19" i="5" s="1"/>
  <c r="A17" i="6" s="1"/>
  <c r="J19" i="5" a="1"/>
  <c r="J19" i="5" s="1"/>
  <c r="F17" i="6" s="1"/>
  <c r="K19" i="5" a="1"/>
  <c r="K19" i="5" s="1"/>
  <c r="G17" i="6" s="1"/>
  <c r="I19" i="5" a="1"/>
  <c r="I19" i="5" s="1"/>
  <c r="E17" i="6" s="1"/>
  <c r="F19" i="5" a="1"/>
  <c r="F19" i="5" s="1"/>
  <c r="B17" i="6" s="1"/>
  <c r="G19" i="5" a="1"/>
  <c r="G19" i="5" s="1"/>
  <c r="C17" i="6" s="1"/>
  <c r="E11" i="5" a="1"/>
  <c r="E11" i="5" s="1"/>
  <c r="A9" i="6" s="1"/>
  <c r="J11" i="5" a="1"/>
  <c r="J11" i="5" s="1"/>
  <c r="F9" i="6" s="1"/>
  <c r="K11" i="5" a="1"/>
  <c r="K11" i="5" s="1"/>
  <c r="G9" i="6" s="1"/>
  <c r="I11" i="5" a="1"/>
  <c r="I11" i="5" s="1"/>
  <c r="E9" i="6" s="1"/>
  <c r="L11" i="5" a="1"/>
  <c r="L11" i="5" s="1"/>
  <c r="H9" i="6" s="1"/>
  <c r="F11" i="5" a="1"/>
  <c r="F11" i="5" s="1"/>
  <c r="B9" i="6" s="1"/>
  <c r="K4" i="5" a="1"/>
  <c r="K4" i="5" s="1"/>
  <c r="G2" i="6" s="1"/>
  <c r="I86" i="5" a="1"/>
  <c r="I86" i="5" s="1"/>
  <c r="E84" i="6" s="1"/>
  <c r="E86" i="5" a="1"/>
  <c r="E86" i="5" s="1"/>
  <c r="A84" i="6" s="1"/>
  <c r="I85" i="5" a="1"/>
  <c r="I85" i="5" s="1"/>
  <c r="E83" i="6" s="1"/>
  <c r="E85" i="5" a="1"/>
  <c r="E85" i="5" s="1"/>
  <c r="A83" i="6" s="1"/>
  <c r="I84" i="5" a="1"/>
  <c r="I84" i="5" s="1"/>
  <c r="E82" i="6" s="1"/>
  <c r="E84" i="5" a="1"/>
  <c r="E84" i="5" s="1"/>
  <c r="A82" i="6" s="1"/>
  <c r="I83" i="5" a="1"/>
  <c r="I83" i="5" s="1"/>
  <c r="E81" i="6" s="1"/>
  <c r="I82" i="5" a="1"/>
  <c r="I82" i="5" s="1"/>
  <c r="E80" i="6" s="1"/>
  <c r="I78" i="5" a="1"/>
  <c r="I78" i="5" s="1"/>
  <c r="E76" i="6" s="1"/>
  <c r="E78" i="5" a="1"/>
  <c r="E78" i="5" s="1"/>
  <c r="A76" i="6" s="1"/>
  <c r="I77" i="5" a="1"/>
  <c r="I77" i="5" s="1"/>
  <c r="E75" i="6" s="1"/>
  <c r="E77" i="5" a="1"/>
  <c r="E77" i="5" s="1"/>
  <c r="A75" i="6" s="1"/>
  <c r="I76" i="5" a="1"/>
  <c r="I76" i="5" s="1"/>
  <c r="E74" i="6" s="1"/>
  <c r="E76" i="5" a="1"/>
  <c r="E76" i="5" s="1"/>
  <c r="A74" i="6" s="1"/>
  <c r="I75" i="5" a="1"/>
  <c r="I75" i="5" s="1"/>
  <c r="E73" i="6" s="1"/>
  <c r="E75" i="5" a="1"/>
  <c r="E75" i="5" s="1"/>
  <c r="A73" i="6" s="1"/>
  <c r="I74" i="5" a="1"/>
  <c r="I74" i="5" s="1"/>
  <c r="E72" i="6" s="1"/>
  <c r="E74" i="5" a="1"/>
  <c r="E74" i="5" s="1"/>
  <c r="A72" i="6" s="1"/>
  <c r="K70" i="5" a="1"/>
  <c r="K70" i="5" s="1"/>
  <c r="G68" i="6" s="1"/>
  <c r="J69" i="5" a="1"/>
  <c r="J69" i="5" s="1"/>
  <c r="F67" i="6" s="1"/>
  <c r="I68" i="5" a="1"/>
  <c r="I68" i="5" s="1"/>
  <c r="E66" i="6" s="1"/>
  <c r="L67" i="5" a="1"/>
  <c r="L67" i="5" s="1"/>
  <c r="H65" i="6" s="1"/>
  <c r="J66" i="5" a="1"/>
  <c r="J66" i="5" s="1"/>
  <c r="F64" i="6" s="1"/>
  <c r="J62" i="5" a="1"/>
  <c r="J62" i="5" s="1"/>
  <c r="F60" i="6" s="1"/>
  <c r="E62" i="5" a="1"/>
  <c r="E62" i="5" s="1"/>
  <c r="A60" i="6" s="1"/>
  <c r="G61" i="5" a="1"/>
  <c r="G61" i="5" s="1"/>
  <c r="C59" i="6" s="1"/>
  <c r="J60" i="5" a="1"/>
  <c r="J60" i="5" s="1"/>
  <c r="F58" i="6" s="1"/>
  <c r="G59" i="5" a="1"/>
  <c r="G59" i="5" s="1"/>
  <c r="C57" i="6" s="1"/>
  <c r="J58" i="5" a="1"/>
  <c r="J58" i="5" s="1"/>
  <c r="F56" i="6" s="1"/>
  <c r="E58" i="5" a="1"/>
  <c r="E58" i="5" s="1"/>
  <c r="A56" i="6" s="1"/>
  <c r="G54" i="5" a="1"/>
  <c r="G54" i="5" s="1"/>
  <c r="C52" i="6" s="1"/>
  <c r="J52" i="5" a="1"/>
  <c r="J52" i="5" s="1"/>
  <c r="F50" i="6" s="1"/>
  <c r="L51" i="5" a="1"/>
  <c r="L51" i="5" s="1"/>
  <c r="H49" i="6" s="1"/>
  <c r="H36" i="5" a="1"/>
  <c r="H36" i="5" s="1"/>
  <c r="D34" i="6" s="1"/>
  <c r="F35" i="5" a="1"/>
  <c r="F35" i="5" s="1"/>
  <c r="B33" i="6" s="1"/>
  <c r="E29" i="5" a="1"/>
  <c r="E29" i="5" s="1"/>
  <c r="A27" i="6" s="1"/>
  <c r="F13" i="5" a="1"/>
  <c r="F13" i="5" s="1"/>
  <c r="B11" i="6" s="1"/>
  <c r="J5" i="5" a="1"/>
  <c r="J5" i="5" s="1"/>
  <c r="F3" i="6" s="1"/>
  <c r="H70" i="5" a="1"/>
  <c r="H70" i="5" s="1"/>
  <c r="D68" i="6" s="1"/>
  <c r="J85" i="5" a="1"/>
  <c r="J85" i="5" s="1"/>
  <c r="F83" i="6" s="1"/>
  <c r="J78" i="5" a="1"/>
  <c r="J78" i="5" s="1"/>
  <c r="F76" i="6" s="1"/>
  <c r="J77" i="5" a="1"/>
  <c r="J77" i="5" s="1"/>
  <c r="F75" i="6" s="1"/>
  <c r="L70" i="5" a="1"/>
  <c r="L70" i="5" s="1"/>
  <c r="H68" i="6" s="1"/>
  <c r="K69" i="5" a="1"/>
  <c r="K69" i="5" s="1"/>
  <c r="G67" i="6" s="1"/>
  <c r="E53" i="5" a="1"/>
  <c r="E53" i="5" s="1"/>
  <c r="A51" i="6" s="1"/>
  <c r="I45" i="5" a="1"/>
  <c r="I45" i="5" s="1"/>
  <c r="E43" i="6" s="1"/>
  <c r="G22" i="5" a="1"/>
  <c r="G22" i="5" s="1"/>
  <c r="C20" i="6" s="1"/>
  <c r="X50" i="5" a="1"/>
  <c r="X50" i="5" s="1"/>
  <c r="T48" i="6" s="1"/>
  <c r="I50" i="5" a="1"/>
  <c r="I50" i="5" s="1"/>
  <c r="E48" i="6" s="1"/>
  <c r="E50" i="5" a="1"/>
  <c r="E50" i="5" s="1"/>
  <c r="A48" i="6" s="1"/>
  <c r="J50" i="5" a="1"/>
  <c r="J50" i="5" s="1"/>
  <c r="F48" i="6" s="1"/>
  <c r="U42" i="5" a="1"/>
  <c r="U42" i="5" s="1"/>
  <c r="Q40" i="6" s="1"/>
  <c r="E42" i="5" a="1"/>
  <c r="E42" i="5" s="1"/>
  <c r="A40" i="6" s="1"/>
  <c r="J42" i="5" a="1"/>
  <c r="J42" i="5" s="1"/>
  <c r="F40" i="6" s="1"/>
  <c r="H42" i="5" a="1"/>
  <c r="H42" i="5" s="1"/>
  <c r="D40" i="6" s="1"/>
  <c r="F42" i="5" a="1"/>
  <c r="F42" i="5" s="1"/>
  <c r="B40" i="6" s="1"/>
  <c r="L42" i="5" a="1"/>
  <c r="L42" i="5" s="1"/>
  <c r="H40" i="6" s="1"/>
  <c r="E34" i="5" a="1"/>
  <c r="E34" i="5" s="1"/>
  <c r="A32" i="6" s="1"/>
  <c r="J34" i="5" a="1"/>
  <c r="J34" i="5" s="1"/>
  <c r="F32" i="6" s="1"/>
  <c r="H34" i="5" a="1"/>
  <c r="H34" i="5" s="1"/>
  <c r="D32" i="6" s="1"/>
  <c r="K34" i="5" a="1"/>
  <c r="K34" i="5" s="1"/>
  <c r="G32" i="6" s="1"/>
  <c r="E26" i="5" a="1"/>
  <c r="E26" i="5" s="1"/>
  <c r="A24" i="6" s="1"/>
  <c r="J26" i="5" a="1"/>
  <c r="J26" i="5" s="1"/>
  <c r="F24" i="6" s="1"/>
  <c r="H26" i="5" a="1"/>
  <c r="H26" i="5" s="1"/>
  <c r="D24" i="6" s="1"/>
  <c r="I26" i="5" a="1"/>
  <c r="I26" i="5" s="1"/>
  <c r="E24" i="6" s="1"/>
  <c r="X18" i="5" a="1"/>
  <c r="X18" i="5" s="1"/>
  <c r="T16" i="6" s="1"/>
  <c r="E18" i="5" a="1"/>
  <c r="E18" i="5" s="1"/>
  <c r="A16" i="6" s="1"/>
  <c r="J18" i="5" a="1"/>
  <c r="J18" i="5" s="1"/>
  <c r="F16" i="6" s="1"/>
  <c r="H18" i="5" a="1"/>
  <c r="H18" i="5" s="1"/>
  <c r="D16" i="6" s="1"/>
  <c r="G18" i="5" a="1"/>
  <c r="G18" i="5" s="1"/>
  <c r="C16" i="6" s="1"/>
  <c r="E10" i="5" a="1"/>
  <c r="E10" i="5" s="1"/>
  <c r="A8" i="6" s="1"/>
  <c r="J10" i="5" a="1"/>
  <c r="J10" i="5" s="1"/>
  <c r="F8" i="6" s="1"/>
  <c r="H10" i="5" a="1"/>
  <c r="H10" i="5" s="1"/>
  <c r="D8" i="6" s="1"/>
  <c r="F10" i="5" a="1"/>
  <c r="F10" i="5" s="1"/>
  <c r="B8" i="6" s="1"/>
  <c r="L10" i="5" a="1"/>
  <c r="L10" i="5" s="1"/>
  <c r="H8" i="6" s="1"/>
  <c r="F70" i="5" a="1"/>
  <c r="F70" i="5" s="1"/>
  <c r="B68" i="6" s="1"/>
  <c r="E69" i="5" a="1"/>
  <c r="E69" i="5" s="1"/>
  <c r="A67" i="6" s="1"/>
  <c r="H68" i="5" a="1"/>
  <c r="H68" i="5" s="1"/>
  <c r="D66" i="6" s="1"/>
  <c r="L61" i="5" a="1"/>
  <c r="L61" i="5" s="1"/>
  <c r="H59" i="6" s="1"/>
  <c r="L59" i="5" a="1"/>
  <c r="L59" i="5" s="1"/>
  <c r="H57" i="6" s="1"/>
  <c r="I53" i="5" a="1"/>
  <c r="I53" i="5" s="1"/>
  <c r="E51" i="6" s="1"/>
  <c r="F45" i="5" a="1"/>
  <c r="F45" i="5" s="1"/>
  <c r="B43" i="6" s="1"/>
  <c r="G42" i="5" a="1"/>
  <c r="G42" i="5" s="1"/>
  <c r="C40" i="6" s="1"/>
  <c r="K37" i="5" a="1"/>
  <c r="K37" i="5" s="1"/>
  <c r="G35" i="6" s="1"/>
  <c r="G36" i="5" a="1"/>
  <c r="G36" i="5" s="1"/>
  <c r="C34" i="6" s="1"/>
  <c r="L34" i="5" a="1"/>
  <c r="L34" i="5" s="1"/>
  <c r="H32" i="6" s="1"/>
  <c r="I30" i="5" a="1"/>
  <c r="I30" i="5" s="1"/>
  <c r="E28" i="6" s="1"/>
  <c r="F26" i="5" a="1"/>
  <c r="F26" i="5" s="1"/>
  <c r="B24" i="6" s="1"/>
  <c r="J21" i="5" a="1"/>
  <c r="J21" i="5" s="1"/>
  <c r="F19" i="6" s="1"/>
  <c r="H20" i="5" a="1"/>
  <c r="H20" i="5" s="1"/>
  <c r="D18" i="6" s="1"/>
  <c r="K18" i="5" a="1"/>
  <c r="K18" i="5" s="1"/>
  <c r="G16" i="6" s="1"/>
  <c r="G14" i="5" a="1"/>
  <c r="G14" i="5" s="1"/>
  <c r="C12" i="6" s="1"/>
  <c r="E13" i="5" a="1"/>
  <c r="E13" i="5" s="1"/>
  <c r="A11" i="6" s="1"/>
  <c r="H11" i="5" a="1"/>
  <c r="H11" i="5" s="1"/>
  <c r="D9" i="6" s="1"/>
  <c r="L6" i="5" a="1"/>
  <c r="L6" i="5" s="1"/>
  <c r="H4" i="6" s="1"/>
  <c r="H4" i="5" a="1"/>
  <c r="H4" i="5" s="1"/>
  <c r="D2" i="6" s="1"/>
  <c r="F4" i="5" a="1"/>
  <c r="F4" i="5" s="1"/>
  <c r="B2" i="6" s="1"/>
  <c r="J4" i="5" a="1"/>
  <c r="J4" i="5" s="1"/>
  <c r="F2" i="6" s="1"/>
  <c r="L4" i="5" a="1"/>
  <c r="L4" i="5" s="1"/>
  <c r="H2" i="6" s="1"/>
  <c r="X132" i="5" a="1"/>
  <c r="X132" i="5" s="1"/>
  <c r="T130" i="6" s="1"/>
  <c r="X79" i="5" a="1"/>
  <c r="X79" i="5" s="1"/>
  <c r="T77" i="6" s="1"/>
  <c r="X130" i="5" a="1"/>
  <c r="X130" i="5" s="1"/>
  <c r="T128" i="6" s="1"/>
  <c r="V268" i="5" a="1"/>
  <c r="V268" i="5" s="1"/>
  <c r="R266" i="6" s="1"/>
  <c r="X213" i="5" a="1"/>
  <c r="X213" i="5" s="1"/>
  <c r="T211" i="6" s="1"/>
  <c r="V149" i="5" a="1"/>
  <c r="V149" i="5" s="1"/>
  <c r="R147" i="6" s="1"/>
  <c r="W148" i="5" a="1"/>
  <c r="W148" i="5" s="1"/>
  <c r="S146" i="6" s="1"/>
  <c r="X38" i="5" a="1"/>
  <c r="X38" i="5" s="1"/>
  <c r="T36" i="6" s="1"/>
  <c r="X135" i="5" a="1"/>
  <c r="X135" i="5" s="1"/>
  <c r="T133" i="6" s="1"/>
  <c r="W23" i="5" a="1"/>
  <c r="W23" i="5" s="1"/>
  <c r="S21" i="6" s="1"/>
  <c r="V25" i="5" a="1"/>
  <c r="V25" i="5" s="1"/>
  <c r="R23" i="6" s="1"/>
  <c r="W117" i="5" a="1"/>
  <c r="W117" i="5" s="1"/>
  <c r="S115" i="6" s="1"/>
  <c r="X25" i="5" a="1"/>
  <c r="X25" i="5" s="1"/>
  <c r="T23" i="6" s="1"/>
  <c r="X305" i="5" a="1"/>
  <c r="X305" i="5" s="1"/>
  <c r="T303" i="6" s="1"/>
  <c r="V204" i="5" a="1"/>
  <c r="V204" i="5" s="1"/>
  <c r="R202" i="6" s="1"/>
  <c r="X47" i="5" a="1"/>
  <c r="X47" i="5" s="1"/>
  <c r="T45" i="6" s="1"/>
  <c r="W15" i="5" a="1"/>
  <c r="W15" i="5" s="1"/>
  <c r="S13" i="6" s="1"/>
  <c r="X15" i="5" a="1"/>
  <c r="X15" i="5" s="1"/>
  <c r="T13" i="6" s="1"/>
  <c r="X121" i="5" a="1"/>
  <c r="X121" i="5" s="1"/>
  <c r="T119" i="6" s="1"/>
  <c r="V213" i="5" a="1"/>
  <c r="V213" i="5" s="1"/>
  <c r="R211" i="6" s="1"/>
  <c r="X69" i="5" a="1"/>
  <c r="X69" i="5" s="1"/>
  <c r="T67" i="6" s="1"/>
  <c r="W143" i="5" a="1"/>
  <c r="W143" i="5" s="1"/>
  <c r="S141" i="6" s="1"/>
  <c r="X13" i="5" a="1"/>
  <c r="X13" i="5" s="1"/>
  <c r="T11" i="6" s="1"/>
  <c r="X40" i="5" a="1"/>
  <c r="X40" i="5" s="1"/>
  <c r="T38" i="6" s="1"/>
  <c r="X70" i="5" a="1"/>
  <c r="X70" i="5" s="1"/>
  <c r="T68" i="6" s="1"/>
  <c r="X157" i="5" a="1"/>
  <c r="X157" i="5" s="1"/>
  <c r="T155" i="6" s="1"/>
  <c r="X310" i="5" a="1"/>
  <c r="X310" i="5" s="1"/>
  <c r="T308" i="6" s="1"/>
  <c r="U143" i="5" a="1"/>
  <c r="U143" i="5" s="1"/>
  <c r="Q141" i="6" s="1"/>
  <c r="X55" i="5" a="1"/>
  <c r="X55" i="5" s="1"/>
  <c r="T53" i="6" s="1"/>
  <c r="X85" i="5" a="1"/>
  <c r="X85" i="5" s="1"/>
  <c r="T83" i="6" s="1"/>
  <c r="X167" i="5" a="1"/>
  <c r="X167" i="5" s="1"/>
  <c r="T165" i="6" s="1"/>
  <c r="X230" i="5" a="1"/>
  <c r="X230" i="5" s="1"/>
  <c r="T228" i="6" s="1"/>
  <c r="X319" i="5" a="1"/>
  <c r="X319" i="5" s="1"/>
  <c r="T317" i="6" s="1"/>
  <c r="X388" i="5" a="1"/>
  <c r="X388" i="5" s="1"/>
  <c r="T386" i="6" s="1"/>
  <c r="X61" i="5" a="1"/>
  <c r="X61" i="5" s="1"/>
  <c r="T59" i="6" s="1"/>
  <c r="X332" i="5" a="1"/>
  <c r="X332" i="5" s="1"/>
  <c r="T330" i="6" s="1"/>
  <c r="V29" i="5" a="1"/>
  <c r="V29" i="5" s="1"/>
  <c r="R27" i="6" s="1"/>
  <c r="X63" i="5" a="1"/>
  <c r="X63" i="5" s="1"/>
  <c r="T61" i="6" s="1"/>
  <c r="X100" i="5" a="1"/>
  <c r="X100" i="5" s="1"/>
  <c r="T98" i="6" s="1"/>
  <c r="X286" i="5" a="1"/>
  <c r="X286" i="5" s="1"/>
  <c r="T284" i="6" s="1"/>
  <c r="X8" i="5" a="1"/>
  <c r="X8" i="5" s="1"/>
  <c r="T6" i="6" s="1"/>
  <c r="W149" i="5" a="1"/>
  <c r="W149" i="5" s="1"/>
  <c r="S147" i="6" s="1"/>
  <c r="W351" i="5" a="1"/>
  <c r="W351" i="5" s="1"/>
  <c r="S349" i="6" s="1"/>
  <c r="X214" i="5" a="1"/>
  <c r="X214" i="5" s="1"/>
  <c r="T212" i="6" s="1"/>
  <c r="X318" i="5" a="1"/>
  <c r="X318" i="5" s="1"/>
  <c r="T316" i="6" s="1"/>
  <c r="W383" i="5" a="1"/>
  <c r="W383" i="5" s="1"/>
  <c r="S381" i="6" s="1"/>
  <c r="W230" i="5" a="1"/>
  <c r="W230" i="5" s="1"/>
  <c r="S228" i="6" s="1"/>
  <c r="X7" i="5" a="1"/>
  <c r="X7" i="5" s="1"/>
  <c r="T5" i="6" s="1"/>
  <c r="X32" i="5" a="1"/>
  <c r="X32" i="5" s="1"/>
  <c r="T30" i="6" s="1"/>
  <c r="X108" i="5" a="1"/>
  <c r="X108" i="5" s="1"/>
  <c r="T106" i="6" s="1"/>
  <c r="T323" i="5" a="1"/>
  <c r="T323" i="5" s="1"/>
  <c r="P321" i="6" s="1"/>
  <c r="V323" i="5" a="1"/>
  <c r="V323" i="5" s="1"/>
  <c r="R321" i="6" s="1"/>
  <c r="X243" i="5" a="1"/>
  <c r="X243" i="5" s="1"/>
  <c r="T241" i="6" s="1"/>
  <c r="W243" i="5" a="1"/>
  <c r="W243" i="5" s="1"/>
  <c r="S241" i="6" s="1"/>
  <c r="U235" i="5" a="1"/>
  <c r="U235" i="5" s="1"/>
  <c r="Q233" i="6" s="1"/>
  <c r="X235" i="5" a="1"/>
  <c r="X235" i="5" s="1"/>
  <c r="T233" i="6" s="1"/>
  <c r="W227" i="5" a="1"/>
  <c r="W227" i="5" s="1"/>
  <c r="S225" i="6" s="1"/>
  <c r="X227" i="5" a="1"/>
  <c r="X227" i="5" s="1"/>
  <c r="T225" i="6" s="1"/>
  <c r="W179" i="5" a="1"/>
  <c r="W179" i="5" s="1"/>
  <c r="S177" i="6" s="1"/>
  <c r="X179" i="5" a="1"/>
  <c r="X179" i="5" s="1"/>
  <c r="T177" i="6" s="1"/>
  <c r="T171" i="5" a="1"/>
  <c r="T171" i="5" s="1"/>
  <c r="P169" i="6" s="1"/>
  <c r="X171" i="5" a="1"/>
  <c r="X171" i="5" s="1"/>
  <c r="T169" i="6" s="1"/>
  <c r="V67" i="5" a="1"/>
  <c r="V67" i="5" s="1"/>
  <c r="R65" i="6" s="1"/>
  <c r="X67" i="5" a="1"/>
  <c r="X67" i="5" s="1"/>
  <c r="T65" i="6" s="1"/>
  <c r="V35" i="5" a="1"/>
  <c r="V35" i="5" s="1"/>
  <c r="R33" i="6" s="1"/>
  <c r="X35" i="5" a="1"/>
  <c r="X35" i="5" s="1"/>
  <c r="T33" i="6" s="1"/>
  <c r="W370" i="5" a="1"/>
  <c r="W370" i="5" s="1"/>
  <c r="S368" i="6" s="1"/>
  <c r="X370" i="5" a="1"/>
  <c r="X370" i="5" s="1"/>
  <c r="T368" i="6" s="1"/>
  <c r="V362" i="5" a="1"/>
  <c r="V362" i="5" s="1"/>
  <c r="R360" i="6" s="1"/>
  <c r="X362" i="5" a="1"/>
  <c r="X362" i="5" s="1"/>
  <c r="T360" i="6" s="1"/>
  <c r="V266" i="5" a="1"/>
  <c r="V266" i="5" s="1"/>
  <c r="R264" i="6" s="1"/>
  <c r="X266" i="5" a="1"/>
  <c r="X266" i="5" s="1"/>
  <c r="T264" i="6" s="1"/>
  <c r="W234" i="5" a="1"/>
  <c r="W234" i="5" s="1"/>
  <c r="S232" i="6" s="1"/>
  <c r="W330" i="5" a="1"/>
  <c r="W330" i="5" s="1"/>
  <c r="S328" i="6" s="1"/>
  <c r="X203" i="5" a="1"/>
  <c r="X203" i="5" s="1"/>
  <c r="T201" i="6" s="1"/>
  <c r="U353" i="5" a="1"/>
  <c r="U353" i="5" s="1"/>
  <c r="Q351" i="6" s="1"/>
  <c r="X353" i="5" a="1"/>
  <c r="X353" i="5" s="1"/>
  <c r="T351" i="6" s="1"/>
  <c r="U337" i="5" a="1"/>
  <c r="U337" i="5" s="1"/>
  <c r="Q335" i="6" s="1"/>
  <c r="W337" i="5" a="1"/>
  <c r="W337" i="5" s="1"/>
  <c r="S335" i="6" s="1"/>
  <c r="W297" i="5" a="1"/>
  <c r="W297" i="5" s="1"/>
  <c r="S295" i="6" s="1"/>
  <c r="X297" i="5" a="1"/>
  <c r="X297" i="5" s="1"/>
  <c r="T295" i="6" s="1"/>
  <c r="U289" i="5" a="1"/>
  <c r="U289" i="5" s="1"/>
  <c r="Q287" i="6" s="1"/>
  <c r="X289" i="5" a="1"/>
  <c r="X289" i="5" s="1"/>
  <c r="T287" i="6" s="1"/>
  <c r="U273" i="5" a="1"/>
  <c r="U273" i="5" s="1"/>
  <c r="Q271" i="6" s="1"/>
  <c r="W273" i="5" a="1"/>
  <c r="W273" i="5" s="1"/>
  <c r="S271" i="6" s="1"/>
  <c r="U241" i="5" a="1"/>
  <c r="U241" i="5" s="1"/>
  <c r="Q239" i="6" s="1"/>
  <c r="X241" i="5" a="1"/>
  <c r="X241" i="5" s="1"/>
  <c r="T239" i="6" s="1"/>
  <c r="W233" i="5" a="1"/>
  <c r="W233" i="5" s="1"/>
  <c r="S231" i="6" s="1"/>
  <c r="X233" i="5" a="1"/>
  <c r="X233" i="5" s="1"/>
  <c r="T231" i="6" s="1"/>
  <c r="U225" i="5" a="1"/>
  <c r="U225" i="5" s="1"/>
  <c r="Q223" i="6" s="1"/>
  <c r="X225" i="5" a="1"/>
  <c r="X225" i="5" s="1"/>
  <c r="T223" i="6" s="1"/>
  <c r="W411" i="5" a="1"/>
  <c r="W411" i="5" s="1"/>
  <c r="S409" i="6" s="1"/>
  <c r="X411" i="5" a="1"/>
  <c r="X411" i="5" s="1"/>
  <c r="T409" i="6" s="1"/>
  <c r="T403" i="5" a="1"/>
  <c r="T403" i="5" s="1"/>
  <c r="P401" i="6" s="1"/>
  <c r="X403" i="5" a="1"/>
  <c r="X403" i="5" s="1"/>
  <c r="T401" i="6" s="1"/>
  <c r="X395" i="5" a="1"/>
  <c r="X395" i="5" s="1"/>
  <c r="T393" i="6" s="1"/>
  <c r="W395" i="5" a="1"/>
  <c r="W395" i="5" s="1"/>
  <c r="S393" i="6" s="1"/>
  <c r="V387" i="5" a="1"/>
  <c r="V387" i="5" s="1"/>
  <c r="R385" i="6" s="1"/>
  <c r="X387" i="5" a="1"/>
  <c r="X387" i="5" s="1"/>
  <c r="T385" i="6" s="1"/>
  <c r="V339" i="5" a="1"/>
  <c r="V339" i="5" s="1"/>
  <c r="R337" i="6" s="1"/>
  <c r="X339" i="5" a="1"/>
  <c r="X339" i="5" s="1"/>
  <c r="T337" i="6" s="1"/>
  <c r="S147" i="5" a="1"/>
  <c r="S147" i="5" s="1"/>
  <c r="O145" i="6" s="1"/>
  <c r="X147" i="5" a="1"/>
  <c r="X147" i="5" s="1"/>
  <c r="T145" i="6" s="1"/>
  <c r="T139" i="5" a="1"/>
  <c r="T139" i="5" s="1"/>
  <c r="P137" i="6" s="1"/>
  <c r="X139" i="5" a="1"/>
  <c r="X139" i="5" s="1"/>
  <c r="T137" i="6" s="1"/>
  <c r="W83" i="5" a="1"/>
  <c r="W83" i="5" s="1"/>
  <c r="S81" i="6" s="1"/>
  <c r="X83" i="5" a="1"/>
  <c r="X83" i="5" s="1"/>
  <c r="T81" i="6" s="1"/>
  <c r="X75" i="5" a="1"/>
  <c r="X75" i="5" s="1"/>
  <c r="T73" i="6" s="1"/>
  <c r="W394" i="5" a="1"/>
  <c r="W394" i="5" s="1"/>
  <c r="S392" i="6" s="1"/>
  <c r="X394" i="5" a="1"/>
  <c r="X394" i="5" s="1"/>
  <c r="T392" i="6" s="1"/>
  <c r="W114" i="5" a="1"/>
  <c r="W114" i="5" s="1"/>
  <c r="S112" i="6" s="1"/>
  <c r="X114" i="5" a="1"/>
  <c r="X114" i="5" s="1"/>
  <c r="T112" i="6" s="1"/>
  <c r="V106" i="5" a="1"/>
  <c r="V106" i="5" s="1"/>
  <c r="R104" i="6" s="1"/>
  <c r="X106" i="5" a="1"/>
  <c r="X106" i="5" s="1"/>
  <c r="T104" i="6" s="1"/>
  <c r="W106" i="5" a="1"/>
  <c r="W106" i="5" s="1"/>
  <c r="S104" i="6" s="1"/>
  <c r="V90" i="5" a="1"/>
  <c r="V90" i="5" s="1"/>
  <c r="R88" i="6" s="1"/>
  <c r="W90" i="5" a="1"/>
  <c r="W90" i="5" s="1"/>
  <c r="S88" i="6" s="1"/>
  <c r="W82" i="5" a="1"/>
  <c r="W82" i="5" s="1"/>
  <c r="S80" i="6" s="1"/>
  <c r="X82" i="5" a="1"/>
  <c r="X82" i="5" s="1"/>
  <c r="T80" i="6" s="1"/>
  <c r="R66" i="5" a="1"/>
  <c r="R66" i="5" s="1"/>
  <c r="N64" i="6" s="1"/>
  <c r="W66" i="5" a="1"/>
  <c r="W66" i="5" s="1"/>
  <c r="S64" i="6" s="1"/>
  <c r="X66" i="5" a="1"/>
  <c r="X66" i="5" s="1"/>
  <c r="T64" i="6" s="1"/>
  <c r="U10" i="5" a="1"/>
  <c r="U10" i="5" s="1"/>
  <c r="Q8" i="6" s="1"/>
  <c r="X10" i="5" a="1"/>
  <c r="X10" i="5" s="1"/>
  <c r="T8" i="6" s="1"/>
  <c r="T123" i="5" a="1"/>
  <c r="T123" i="5" s="1"/>
  <c r="P121" i="6" s="1"/>
  <c r="V27" i="5" a="1"/>
  <c r="V27" i="5" s="1"/>
  <c r="R25" i="6" s="1"/>
  <c r="W18" i="5" a="1"/>
  <c r="W18" i="5" s="1"/>
  <c r="S16" i="6" s="1"/>
  <c r="X355" i="5" a="1"/>
  <c r="X355" i="5" s="1"/>
  <c r="T353" i="6" s="1"/>
  <c r="U321" i="5" a="1"/>
  <c r="U321" i="5" s="1"/>
  <c r="Q319" i="6" s="1"/>
  <c r="X321" i="5" a="1"/>
  <c r="X321" i="5" s="1"/>
  <c r="T319" i="6" s="1"/>
  <c r="U257" i="5" a="1"/>
  <c r="U257" i="5" s="1"/>
  <c r="Q255" i="6" s="1"/>
  <c r="X257" i="5" a="1"/>
  <c r="X257" i="5" s="1"/>
  <c r="T255" i="6" s="1"/>
  <c r="V193" i="5" a="1"/>
  <c r="V193" i="5" s="1"/>
  <c r="R191" i="6" s="1"/>
  <c r="X193" i="5" a="1"/>
  <c r="X193" i="5" s="1"/>
  <c r="T191" i="6" s="1"/>
  <c r="U161" i="5" a="1"/>
  <c r="U161" i="5" s="1"/>
  <c r="Q159" i="6" s="1"/>
  <c r="X161" i="5" a="1"/>
  <c r="X161" i="5" s="1"/>
  <c r="T159" i="6" s="1"/>
  <c r="W161" i="5" a="1"/>
  <c r="W161" i="5" s="1"/>
  <c r="S159" i="6" s="1"/>
  <c r="V161" i="5" a="1"/>
  <c r="V161" i="5" s="1"/>
  <c r="R159" i="6" s="1"/>
  <c r="V113" i="5" a="1"/>
  <c r="V113" i="5" s="1"/>
  <c r="R111" i="6" s="1"/>
  <c r="W113" i="5" a="1"/>
  <c r="W113" i="5" s="1"/>
  <c r="S111" i="6" s="1"/>
  <c r="U65" i="5" a="1"/>
  <c r="U65" i="5" s="1"/>
  <c r="Q63" i="6" s="1"/>
  <c r="W65" i="5" a="1"/>
  <c r="W65" i="5" s="1"/>
  <c r="S63" i="6" s="1"/>
  <c r="R57" i="5" a="1"/>
  <c r="R57" i="5" s="1"/>
  <c r="N55" i="6" s="1"/>
  <c r="X57" i="5" a="1"/>
  <c r="X57" i="5" s="1"/>
  <c r="T55" i="6" s="1"/>
  <c r="V17" i="5" a="1"/>
  <c r="V17" i="5" s="1"/>
  <c r="R15" i="6" s="1"/>
  <c r="W17" i="5" a="1"/>
  <c r="W17" i="5" s="1"/>
  <c r="S15" i="6" s="1"/>
  <c r="W241" i="5" a="1"/>
  <c r="W241" i="5" s="1"/>
  <c r="S239" i="6" s="1"/>
  <c r="W346" i="5" a="1"/>
  <c r="W346" i="5" s="1"/>
  <c r="S344" i="6" s="1"/>
  <c r="V328" i="5" a="1"/>
  <c r="V328" i="5" s="1"/>
  <c r="R326" i="6" s="1"/>
  <c r="X328" i="5" a="1"/>
  <c r="X328" i="5" s="1"/>
  <c r="T326" i="6" s="1"/>
  <c r="W320" i="5" a="1"/>
  <c r="W320" i="5" s="1"/>
  <c r="S318" i="6" s="1"/>
  <c r="X320" i="5" a="1"/>
  <c r="X320" i="5" s="1"/>
  <c r="T318" i="6" s="1"/>
  <c r="V320" i="5" a="1"/>
  <c r="V320" i="5" s="1"/>
  <c r="R318" i="6" s="1"/>
  <c r="W312" i="5" a="1"/>
  <c r="W312" i="5" s="1"/>
  <c r="S310" i="6" s="1"/>
  <c r="X312" i="5" a="1"/>
  <c r="X312" i="5" s="1"/>
  <c r="T310" i="6" s="1"/>
  <c r="V296" i="5" a="1"/>
  <c r="V296" i="5" s="1"/>
  <c r="R294" i="6" s="1"/>
  <c r="W296" i="5" a="1"/>
  <c r="W296" i="5" s="1"/>
  <c r="S294" i="6" s="1"/>
  <c r="W288" i="5" a="1"/>
  <c r="W288" i="5" s="1"/>
  <c r="S286" i="6" s="1"/>
  <c r="X288" i="5" a="1"/>
  <c r="X288" i="5" s="1"/>
  <c r="T286" i="6" s="1"/>
  <c r="X280" i="5" a="1"/>
  <c r="X280" i="5" s="1"/>
  <c r="T278" i="6" s="1"/>
  <c r="W280" i="5" a="1"/>
  <c r="W280" i="5" s="1"/>
  <c r="S278" i="6" s="1"/>
  <c r="V128" i="5" a="1"/>
  <c r="V128" i="5" s="1"/>
  <c r="R126" i="6" s="1"/>
  <c r="X128" i="5" a="1"/>
  <c r="X128" i="5" s="1"/>
  <c r="T126" i="6" s="1"/>
  <c r="T120" i="5" a="1"/>
  <c r="T120" i="5" s="1"/>
  <c r="P118" i="6" s="1"/>
  <c r="X120" i="5" a="1"/>
  <c r="X120" i="5" s="1"/>
  <c r="T118" i="6" s="1"/>
  <c r="U48" i="5" a="1"/>
  <c r="U48" i="5" s="1"/>
  <c r="Q46" i="6" s="1"/>
  <c r="X48" i="5" a="1"/>
  <c r="X48" i="5" s="1"/>
  <c r="T46" i="6" s="1"/>
  <c r="T147" i="5" a="1"/>
  <c r="T147" i="5" s="1"/>
  <c r="P145" i="6" s="1"/>
  <c r="V289" i="5" a="1"/>
  <c r="V289" i="5" s="1"/>
  <c r="R287" i="6" s="1"/>
  <c r="W25" i="5" a="1"/>
  <c r="W25" i="5" s="1"/>
  <c r="S23" i="6" s="1"/>
  <c r="W48" i="5" a="1"/>
  <c r="W48" i="5" s="1"/>
  <c r="S46" i="6" s="1"/>
  <c r="W200" i="5" a="1"/>
  <c r="W200" i="5" s="1"/>
  <c r="S198" i="6" s="1"/>
  <c r="W257" i="5" a="1"/>
  <c r="W257" i="5" s="1"/>
  <c r="S255" i="6" s="1"/>
  <c r="W289" i="5" a="1"/>
  <c r="W289" i="5" s="1"/>
  <c r="S287" i="6" s="1"/>
  <c r="X323" i="5" a="1"/>
  <c r="X323" i="5" s="1"/>
  <c r="T321" i="6" s="1"/>
  <c r="X367" i="5" a="1"/>
  <c r="X367" i="5" s="1"/>
  <c r="T365" i="6" s="1"/>
  <c r="W367" i="5" a="1"/>
  <c r="W367" i="5" s="1"/>
  <c r="S365" i="6" s="1"/>
  <c r="V335" i="5" a="1"/>
  <c r="V335" i="5" s="1"/>
  <c r="R333" i="6" s="1"/>
  <c r="X335" i="5" a="1"/>
  <c r="X335" i="5" s="1"/>
  <c r="T333" i="6" s="1"/>
  <c r="V175" i="5" a="1"/>
  <c r="V175" i="5" s="1"/>
  <c r="R173" i="6" s="1"/>
  <c r="X175" i="5" a="1"/>
  <c r="X175" i="5" s="1"/>
  <c r="T173" i="6" s="1"/>
  <c r="W151" i="5" a="1"/>
  <c r="W151" i="5" s="1"/>
  <c r="S149" i="6" s="1"/>
  <c r="X151" i="5" a="1"/>
  <c r="X151" i="5" s="1"/>
  <c r="T149" i="6" s="1"/>
  <c r="W87" i="5" a="1"/>
  <c r="W87" i="5" s="1"/>
  <c r="S85" i="6" s="1"/>
  <c r="X87" i="5" a="1"/>
  <c r="X87" i="5" s="1"/>
  <c r="T85" i="6" s="1"/>
  <c r="V39" i="5" a="1"/>
  <c r="V39" i="5" s="1"/>
  <c r="R37" i="6" s="1"/>
  <c r="X39" i="5" a="1"/>
  <c r="X39" i="5" s="1"/>
  <c r="T37" i="6" s="1"/>
  <c r="T307" i="5" a="1"/>
  <c r="T307" i="5" s="1"/>
  <c r="P305" i="6" s="1"/>
  <c r="V83" i="5" a="1"/>
  <c r="V83" i="5" s="1"/>
  <c r="R81" i="6" s="1"/>
  <c r="V395" i="5" a="1"/>
  <c r="V395" i="5" s="1"/>
  <c r="R393" i="6" s="1"/>
  <c r="W27" i="5" a="1"/>
  <c r="W27" i="5" s="1"/>
  <c r="S25" i="6" s="1"/>
  <c r="W56" i="5" a="1"/>
  <c r="W56" i="5" s="1"/>
  <c r="S54" i="6" s="1"/>
  <c r="W163" i="5" a="1"/>
  <c r="W163" i="5" s="1"/>
  <c r="S161" i="6" s="1"/>
  <c r="W207" i="5" a="1"/>
  <c r="W207" i="5" s="1"/>
  <c r="S205" i="6" s="1"/>
  <c r="X113" i="5" a="1"/>
  <c r="X113" i="5" s="1"/>
  <c r="T111" i="6" s="1"/>
  <c r="X159" i="5" a="1"/>
  <c r="X159" i="5" s="1"/>
  <c r="T157" i="6" s="1"/>
  <c r="X172" i="5" a="1"/>
  <c r="X172" i="5" s="1"/>
  <c r="T170" i="6" s="1"/>
  <c r="X267" i="5" a="1"/>
  <c r="X267" i="5" s="1"/>
  <c r="T265" i="6" s="1"/>
  <c r="X324" i="5" a="1"/>
  <c r="X324" i="5" s="1"/>
  <c r="T322" i="6" s="1"/>
  <c r="W406" i="5" a="1"/>
  <c r="W406" i="5" s="1"/>
  <c r="S404" i="6" s="1"/>
  <c r="X406" i="5" a="1"/>
  <c r="X406" i="5" s="1"/>
  <c r="T404" i="6" s="1"/>
  <c r="V398" i="5" a="1"/>
  <c r="V398" i="5" s="1"/>
  <c r="R396" i="6" s="1"/>
  <c r="X398" i="5" a="1"/>
  <c r="X398" i="5" s="1"/>
  <c r="T396" i="6" s="1"/>
  <c r="V390" i="5" a="1"/>
  <c r="V390" i="5" s="1"/>
  <c r="R388" i="6" s="1"/>
  <c r="X390" i="5" a="1"/>
  <c r="X390" i="5" s="1"/>
  <c r="T388" i="6" s="1"/>
  <c r="V382" i="5" a="1"/>
  <c r="V382" i="5" s="1"/>
  <c r="R380" i="6" s="1"/>
  <c r="X382" i="5" a="1"/>
  <c r="X382" i="5" s="1"/>
  <c r="T380" i="6" s="1"/>
  <c r="W374" i="5" a="1"/>
  <c r="W374" i="5" s="1"/>
  <c r="S372" i="6" s="1"/>
  <c r="X374" i="5" a="1"/>
  <c r="X374" i="5" s="1"/>
  <c r="T372" i="6" s="1"/>
  <c r="V366" i="5" a="1"/>
  <c r="V366" i="5" s="1"/>
  <c r="R364" i="6" s="1"/>
  <c r="X366" i="5" a="1"/>
  <c r="X366" i="5" s="1"/>
  <c r="T364" i="6" s="1"/>
  <c r="W358" i="5" a="1"/>
  <c r="W358" i="5" s="1"/>
  <c r="S356" i="6" s="1"/>
  <c r="X358" i="5" a="1"/>
  <c r="X358" i="5" s="1"/>
  <c r="T356" i="6" s="1"/>
  <c r="W342" i="5" a="1"/>
  <c r="W342" i="5" s="1"/>
  <c r="S340" i="6" s="1"/>
  <c r="X342" i="5" a="1"/>
  <c r="X342" i="5" s="1"/>
  <c r="T340" i="6" s="1"/>
  <c r="W334" i="5" a="1"/>
  <c r="W334" i="5" s="1"/>
  <c r="S332" i="6" s="1"/>
  <c r="X334" i="5" a="1"/>
  <c r="X334" i="5" s="1"/>
  <c r="T332" i="6" s="1"/>
  <c r="V302" i="5" a="1"/>
  <c r="V302" i="5" s="1"/>
  <c r="R300" i="6" s="1"/>
  <c r="X302" i="5" a="1"/>
  <c r="X302" i="5" s="1"/>
  <c r="T300" i="6" s="1"/>
  <c r="W302" i="5" a="1"/>
  <c r="W302" i="5" s="1"/>
  <c r="S300" i="6" s="1"/>
  <c r="W270" i="5" a="1"/>
  <c r="W270" i="5" s="1"/>
  <c r="S268" i="6" s="1"/>
  <c r="X270" i="5" a="1"/>
  <c r="X270" i="5" s="1"/>
  <c r="T268" i="6" s="1"/>
  <c r="V238" i="5" a="1"/>
  <c r="V238" i="5" s="1"/>
  <c r="R236" i="6" s="1"/>
  <c r="X238" i="5" a="1"/>
  <c r="X238" i="5" s="1"/>
  <c r="T236" i="6" s="1"/>
  <c r="V206" i="5" a="1"/>
  <c r="V206" i="5" s="1"/>
  <c r="R204" i="6" s="1"/>
  <c r="X206" i="5" a="1"/>
  <c r="X206" i="5" s="1"/>
  <c r="T204" i="6" s="1"/>
  <c r="V198" i="5" a="1"/>
  <c r="V198" i="5" s="1"/>
  <c r="R196" i="6" s="1"/>
  <c r="X198" i="5" a="1"/>
  <c r="X198" i="5" s="1"/>
  <c r="T196" i="6" s="1"/>
  <c r="W190" i="5" a="1"/>
  <c r="W190" i="5" s="1"/>
  <c r="S188" i="6" s="1"/>
  <c r="X190" i="5" a="1"/>
  <c r="X190" i="5" s="1"/>
  <c r="T188" i="6" s="1"/>
  <c r="W182" i="5" a="1"/>
  <c r="W182" i="5" s="1"/>
  <c r="S180" i="6" s="1"/>
  <c r="X182" i="5" a="1"/>
  <c r="X182" i="5" s="1"/>
  <c r="T180" i="6" s="1"/>
  <c r="W142" i="5" a="1"/>
  <c r="W142" i="5" s="1"/>
  <c r="S140" i="6" s="1"/>
  <c r="X142" i="5" a="1"/>
  <c r="X142" i="5" s="1"/>
  <c r="T140" i="6" s="1"/>
  <c r="V134" i="5" a="1"/>
  <c r="V134" i="5" s="1"/>
  <c r="R132" i="6" s="1"/>
  <c r="X134" i="5" a="1"/>
  <c r="X134" i="5" s="1"/>
  <c r="T132" i="6" s="1"/>
  <c r="X126" i="5" a="1"/>
  <c r="X126" i="5" s="1"/>
  <c r="T124" i="6" s="1"/>
  <c r="W126" i="5" a="1"/>
  <c r="W126" i="5" s="1"/>
  <c r="S124" i="6" s="1"/>
  <c r="W118" i="5" a="1"/>
  <c r="W118" i="5" s="1"/>
  <c r="S116" i="6" s="1"/>
  <c r="X118" i="5" a="1"/>
  <c r="X118" i="5" s="1"/>
  <c r="T116" i="6" s="1"/>
  <c r="V110" i="5" a="1"/>
  <c r="V110" i="5" s="1"/>
  <c r="R108" i="6" s="1"/>
  <c r="X110" i="5" a="1"/>
  <c r="X110" i="5" s="1"/>
  <c r="T108" i="6" s="1"/>
  <c r="V62" i="5" a="1"/>
  <c r="V62" i="5" s="1"/>
  <c r="R60" i="6" s="1"/>
  <c r="X62" i="5" a="1"/>
  <c r="X62" i="5" s="1"/>
  <c r="T60" i="6" s="1"/>
  <c r="V30" i="5" a="1"/>
  <c r="V30" i="5" s="1"/>
  <c r="R28" i="6" s="1"/>
  <c r="X30" i="5" a="1"/>
  <c r="X30" i="5" s="1"/>
  <c r="T28" i="6" s="1"/>
  <c r="V22" i="5" a="1"/>
  <c r="V22" i="5" s="1"/>
  <c r="R20" i="6" s="1"/>
  <c r="X22" i="5" a="1"/>
  <c r="X22" i="5" s="1"/>
  <c r="T20" i="6" s="1"/>
  <c r="V14" i="5" a="1"/>
  <c r="V14" i="5" s="1"/>
  <c r="R12" i="6" s="1"/>
  <c r="X14" i="5" a="1"/>
  <c r="X14" i="5" s="1"/>
  <c r="T12" i="6" s="1"/>
  <c r="W6" i="5" a="1"/>
  <c r="W6" i="5" s="1"/>
  <c r="S4" i="6" s="1"/>
  <c r="X6" i="5" a="1"/>
  <c r="X6" i="5" s="1"/>
  <c r="T4" i="6" s="1"/>
  <c r="R72" i="5" a="1"/>
  <c r="R72" i="5" s="1"/>
  <c r="N70" i="6" s="1"/>
  <c r="U9" i="5" a="1"/>
  <c r="U9" i="5" s="1"/>
  <c r="Q7" i="6" s="1"/>
  <c r="U216" i="5" a="1"/>
  <c r="U216" i="5" s="1"/>
  <c r="Q214" i="6" s="1"/>
  <c r="V312" i="5" a="1"/>
  <c r="V312" i="5" s="1"/>
  <c r="R310" i="6" s="1"/>
  <c r="W7" i="5" a="1"/>
  <c r="W7" i="5" s="1"/>
  <c r="S5" i="6" s="1"/>
  <c r="W29" i="5" a="1"/>
  <c r="W29" i="5" s="1"/>
  <c r="S27" i="6" s="1"/>
  <c r="W57" i="5" a="1"/>
  <c r="W57" i="5" s="1"/>
  <c r="S55" i="6" s="1"/>
  <c r="W95" i="5" a="1"/>
  <c r="W95" i="5" s="1"/>
  <c r="S93" i="6" s="1"/>
  <c r="W120" i="5" a="1"/>
  <c r="W120" i="5" s="1"/>
  <c r="S118" i="6" s="1"/>
  <c r="W264" i="5" a="1"/>
  <c r="W264" i="5" s="1"/>
  <c r="S262" i="6" s="1"/>
  <c r="W303" i="5" a="1"/>
  <c r="W303" i="5" s="1"/>
  <c r="S301" i="6" s="1"/>
  <c r="W353" i="5" a="1"/>
  <c r="W353" i="5" s="1"/>
  <c r="S351" i="6" s="1"/>
  <c r="X29" i="5" a="1"/>
  <c r="X29" i="5" s="1"/>
  <c r="T27" i="6" s="1"/>
  <c r="X43" i="5" a="1"/>
  <c r="X43" i="5" s="1"/>
  <c r="T41" i="6" s="1"/>
  <c r="X51" i="5" a="1"/>
  <c r="X51" i="5" s="1"/>
  <c r="T49" i="6" s="1"/>
  <c r="X58" i="5" a="1"/>
  <c r="X58" i="5" s="1"/>
  <c r="T56" i="6" s="1"/>
  <c r="X65" i="5" a="1"/>
  <c r="X65" i="5" s="1"/>
  <c r="T63" i="6" s="1"/>
  <c r="X73" i="5" a="1"/>
  <c r="X73" i="5" s="1"/>
  <c r="T71" i="6" s="1"/>
  <c r="X127" i="5" a="1"/>
  <c r="X127" i="5" s="1"/>
  <c r="T125" i="6" s="1"/>
  <c r="X337" i="5" a="1"/>
  <c r="X337" i="5" s="1"/>
  <c r="T335" i="6" s="1"/>
  <c r="R275" i="5" a="1"/>
  <c r="R275" i="5" s="1"/>
  <c r="N273" i="6" s="1"/>
  <c r="X275" i="5" a="1"/>
  <c r="X275" i="5" s="1"/>
  <c r="T273" i="6" s="1"/>
  <c r="S11" i="5" a="1"/>
  <c r="S11" i="5" s="1"/>
  <c r="O9" i="6" s="1"/>
  <c r="V11" i="5" a="1"/>
  <c r="V11" i="5" s="1"/>
  <c r="R9" i="6" s="1"/>
  <c r="X19" i="5" a="1"/>
  <c r="X19" i="5" s="1"/>
  <c r="T17" i="6" s="1"/>
  <c r="X331" i="5" a="1"/>
  <c r="X331" i="5" s="1"/>
  <c r="T329" i="6" s="1"/>
  <c r="V410" i="5" a="1"/>
  <c r="V410" i="5" s="1"/>
  <c r="R408" i="6" s="1"/>
  <c r="X410" i="5" a="1"/>
  <c r="X410" i="5" s="1"/>
  <c r="T408" i="6" s="1"/>
  <c r="W306" i="5" a="1"/>
  <c r="W306" i="5" s="1"/>
  <c r="S304" i="6" s="1"/>
  <c r="X306" i="5" a="1"/>
  <c r="X306" i="5" s="1"/>
  <c r="T304" i="6" s="1"/>
  <c r="V250" i="5" a="1"/>
  <c r="V250" i="5" s="1"/>
  <c r="R248" i="6" s="1"/>
  <c r="X250" i="5" a="1"/>
  <c r="X250" i="5" s="1"/>
  <c r="T248" i="6" s="1"/>
  <c r="W242" i="5" a="1"/>
  <c r="W242" i="5" s="1"/>
  <c r="S240" i="6" s="1"/>
  <c r="X242" i="5" a="1"/>
  <c r="X242" i="5" s="1"/>
  <c r="T240" i="6" s="1"/>
  <c r="W210" i="5" a="1"/>
  <c r="W210" i="5" s="1"/>
  <c r="S208" i="6" s="1"/>
  <c r="X210" i="5" a="1"/>
  <c r="X210" i="5" s="1"/>
  <c r="T208" i="6" s="1"/>
  <c r="V170" i="5" a="1"/>
  <c r="V170" i="5" s="1"/>
  <c r="R168" i="6" s="1"/>
  <c r="X170" i="5" a="1"/>
  <c r="X170" i="5" s="1"/>
  <c r="T168" i="6" s="1"/>
  <c r="V154" i="5" a="1"/>
  <c r="V154" i="5" s="1"/>
  <c r="R152" i="6" s="1"/>
  <c r="W154" i="5" a="1"/>
  <c r="W154" i="5" s="1"/>
  <c r="S152" i="6" s="1"/>
  <c r="W146" i="5" a="1"/>
  <c r="W146" i="5" s="1"/>
  <c r="S144" i="6" s="1"/>
  <c r="X146" i="5" a="1"/>
  <c r="X146" i="5" s="1"/>
  <c r="T144" i="6" s="1"/>
  <c r="W138" i="5" a="1"/>
  <c r="W138" i="5" s="1"/>
  <c r="S136" i="6" s="1"/>
  <c r="X138" i="5" a="1"/>
  <c r="X138" i="5" s="1"/>
  <c r="T136" i="6" s="1"/>
  <c r="U34" i="5" a="1"/>
  <c r="U34" i="5" s="1"/>
  <c r="Q32" i="6" s="1"/>
  <c r="W34" i="5" a="1"/>
  <c r="W34" i="5" s="1"/>
  <c r="S32" i="6" s="1"/>
  <c r="X34" i="5" a="1"/>
  <c r="X34" i="5" s="1"/>
  <c r="T32" i="6" s="1"/>
  <c r="V26" i="5" a="1"/>
  <c r="V26" i="5" s="1"/>
  <c r="R24" i="6" s="1"/>
  <c r="X26" i="5" a="1"/>
  <c r="X26" i="5" s="1"/>
  <c r="T24" i="6" s="1"/>
  <c r="W385" i="5" a="1"/>
  <c r="W385" i="5" s="1"/>
  <c r="S383" i="6" s="1"/>
  <c r="X385" i="5" a="1"/>
  <c r="X385" i="5" s="1"/>
  <c r="T383" i="6" s="1"/>
  <c r="U369" i="5" a="1"/>
  <c r="U369" i="5" s="1"/>
  <c r="Q367" i="6" s="1"/>
  <c r="W369" i="5" a="1"/>
  <c r="W369" i="5" s="1"/>
  <c r="S367" i="6" s="1"/>
  <c r="W129" i="5" a="1"/>
  <c r="W129" i="5" s="1"/>
  <c r="S127" i="6" s="1"/>
  <c r="X129" i="5" a="1"/>
  <c r="X129" i="5" s="1"/>
  <c r="T127" i="6" s="1"/>
  <c r="T81" i="5" a="1"/>
  <c r="T81" i="5" s="1"/>
  <c r="P79" i="6" s="1"/>
  <c r="X81" i="5" a="1"/>
  <c r="X81" i="5" s="1"/>
  <c r="T79" i="6" s="1"/>
  <c r="R33" i="5" a="1"/>
  <c r="R33" i="5" s="1"/>
  <c r="N31" i="6" s="1"/>
  <c r="W33" i="5" a="1"/>
  <c r="W33" i="5" s="1"/>
  <c r="S31" i="6" s="1"/>
  <c r="V163" i="5" a="1"/>
  <c r="V163" i="5" s="1"/>
  <c r="R161" i="6" s="1"/>
  <c r="W42" i="5" a="1"/>
  <c r="W42" i="5" s="1"/>
  <c r="S40" i="6" s="1"/>
  <c r="W81" i="5" a="1"/>
  <c r="W81" i="5" s="1"/>
  <c r="S79" i="6" s="1"/>
  <c r="X378" i="5" a="1"/>
  <c r="X378" i="5" s="1"/>
  <c r="T376" i="6" s="1"/>
  <c r="V416" i="5" a="1"/>
  <c r="V416" i="5" s="1"/>
  <c r="R414" i="6" s="1"/>
  <c r="X416" i="5" a="1"/>
  <c r="X416" i="5" s="1"/>
  <c r="T414" i="6" s="1"/>
  <c r="V360" i="5" a="1"/>
  <c r="V360" i="5" s="1"/>
  <c r="R358" i="6" s="1"/>
  <c r="X360" i="5" a="1"/>
  <c r="X360" i="5" s="1"/>
  <c r="T358" i="6" s="1"/>
  <c r="W352" i="5" a="1"/>
  <c r="W352" i="5" s="1"/>
  <c r="S350" i="6" s="1"/>
  <c r="X352" i="5" a="1"/>
  <c r="X352" i="5" s="1"/>
  <c r="T350" i="6" s="1"/>
  <c r="X344" i="5" a="1"/>
  <c r="X344" i="5" s="1"/>
  <c r="T342" i="6" s="1"/>
  <c r="W344" i="5" a="1"/>
  <c r="W344" i="5" s="1"/>
  <c r="S342" i="6" s="1"/>
  <c r="V224" i="5" a="1"/>
  <c r="V224" i="5" s="1"/>
  <c r="R222" i="6" s="1"/>
  <c r="X224" i="5" a="1"/>
  <c r="X224" i="5" s="1"/>
  <c r="T222" i="6" s="1"/>
  <c r="X216" i="5" a="1"/>
  <c r="X216" i="5" s="1"/>
  <c r="T214" i="6" s="1"/>
  <c r="W216" i="5" a="1"/>
  <c r="W216" i="5" s="1"/>
  <c r="S214" i="6" s="1"/>
  <c r="V168" i="5" a="1"/>
  <c r="V168" i="5" s="1"/>
  <c r="R166" i="6" s="1"/>
  <c r="X168" i="5" a="1"/>
  <c r="X168" i="5" s="1"/>
  <c r="T166" i="6" s="1"/>
  <c r="V160" i="5" a="1"/>
  <c r="V160" i="5" s="1"/>
  <c r="R158" i="6" s="1"/>
  <c r="X160" i="5" a="1"/>
  <c r="X160" i="5" s="1"/>
  <c r="T158" i="6" s="1"/>
  <c r="W152" i="5" a="1"/>
  <c r="W152" i="5" s="1"/>
  <c r="S150" i="6" s="1"/>
  <c r="X152" i="5" a="1"/>
  <c r="X152" i="5" s="1"/>
  <c r="T150" i="6" s="1"/>
  <c r="V64" i="5" a="1"/>
  <c r="V64" i="5" s="1"/>
  <c r="R62" i="6" s="1"/>
  <c r="U64" i="5" a="1"/>
  <c r="U64" i="5" s="1"/>
  <c r="Q62" i="6" s="1"/>
  <c r="V32" i="5" a="1"/>
  <c r="V32" i="5" s="1"/>
  <c r="R30" i="6" s="1"/>
  <c r="X49" i="5" a="1"/>
  <c r="X49" i="5" s="1"/>
  <c r="T47" i="6" s="1"/>
  <c r="X56" i="5" a="1"/>
  <c r="X56" i="5" s="1"/>
  <c r="T54" i="6" s="1"/>
  <c r="X64" i="5" a="1"/>
  <c r="X64" i="5" s="1"/>
  <c r="T62" i="6" s="1"/>
  <c r="X89" i="5" a="1"/>
  <c r="X89" i="5" s="1"/>
  <c r="T87" i="6" s="1"/>
  <c r="X264" i="5" a="1"/>
  <c r="X264" i="5" s="1"/>
  <c r="T262" i="6" s="1"/>
  <c r="X276" i="5" a="1"/>
  <c r="X276" i="5" s="1"/>
  <c r="T274" i="6" s="1"/>
  <c r="X356" i="5" a="1"/>
  <c r="X356" i="5" s="1"/>
  <c r="T354" i="6" s="1"/>
  <c r="X369" i="5" a="1"/>
  <c r="X369" i="5" s="1"/>
  <c r="T367" i="6" s="1"/>
  <c r="X392" i="5" a="1"/>
  <c r="X392" i="5" s="1"/>
  <c r="T390" i="6" s="1"/>
  <c r="X408" i="5" a="1"/>
  <c r="X408" i="5" s="1"/>
  <c r="T406" i="6" s="1"/>
  <c r="V399" i="5" a="1"/>
  <c r="V399" i="5" s="1"/>
  <c r="R397" i="6" s="1"/>
  <c r="X399" i="5" a="1"/>
  <c r="X399" i="5" s="1"/>
  <c r="T397" i="6" s="1"/>
  <c r="W311" i="5" a="1"/>
  <c r="W311" i="5" s="1"/>
  <c r="S309" i="6" s="1"/>
  <c r="X311" i="5" a="1"/>
  <c r="X311" i="5" s="1"/>
  <c r="T309" i="6" s="1"/>
  <c r="V287" i="5" a="1"/>
  <c r="V287" i="5" s="1"/>
  <c r="R285" i="6" s="1"/>
  <c r="X287" i="5" a="1"/>
  <c r="X287" i="5" s="1"/>
  <c r="T285" i="6" s="1"/>
  <c r="W263" i="5" a="1"/>
  <c r="W263" i="5" s="1"/>
  <c r="S261" i="6" s="1"/>
  <c r="X263" i="5" a="1"/>
  <c r="X263" i="5" s="1"/>
  <c r="T261" i="6" s="1"/>
  <c r="V255" i="5" a="1"/>
  <c r="V255" i="5" s="1"/>
  <c r="R253" i="6" s="1"/>
  <c r="X255" i="5" a="1"/>
  <c r="X255" i="5" s="1"/>
  <c r="T253" i="6" s="1"/>
  <c r="W247" i="5" a="1"/>
  <c r="W247" i="5" s="1"/>
  <c r="S245" i="6" s="1"/>
  <c r="X247" i="5" a="1"/>
  <c r="X247" i="5" s="1"/>
  <c r="T245" i="6" s="1"/>
  <c r="W239" i="5" a="1"/>
  <c r="W239" i="5" s="1"/>
  <c r="S237" i="6" s="1"/>
  <c r="X239" i="5" a="1"/>
  <c r="X239" i="5" s="1"/>
  <c r="T237" i="6" s="1"/>
  <c r="W215" i="5" a="1"/>
  <c r="W215" i="5" s="1"/>
  <c r="S213" i="6" s="1"/>
  <c r="X215" i="5" a="1"/>
  <c r="X215" i="5" s="1"/>
  <c r="T213" i="6" s="1"/>
  <c r="V191" i="5" a="1"/>
  <c r="V191" i="5" s="1"/>
  <c r="R189" i="6" s="1"/>
  <c r="W191" i="5" a="1"/>
  <c r="W191" i="5" s="1"/>
  <c r="S189" i="6" s="1"/>
  <c r="W119" i="5" a="1"/>
  <c r="W119" i="5" s="1"/>
  <c r="S117" i="6" s="1"/>
  <c r="X119" i="5" a="1"/>
  <c r="X119" i="5" s="1"/>
  <c r="T117" i="6" s="1"/>
  <c r="V111" i="5" a="1"/>
  <c r="V111" i="5" s="1"/>
  <c r="R109" i="6" s="1"/>
  <c r="X111" i="5" a="1"/>
  <c r="X111" i="5" s="1"/>
  <c r="T109" i="6" s="1"/>
  <c r="W111" i="5" a="1"/>
  <c r="W111" i="5" s="1"/>
  <c r="S109" i="6" s="1"/>
  <c r="W103" i="5" a="1"/>
  <c r="W103" i="5" s="1"/>
  <c r="S101" i="6" s="1"/>
  <c r="X103" i="5" a="1"/>
  <c r="X103" i="5" s="1"/>
  <c r="T101" i="6" s="1"/>
  <c r="W71" i="5" a="1"/>
  <c r="W71" i="5" s="1"/>
  <c r="S69" i="6" s="1"/>
  <c r="X71" i="5" a="1"/>
  <c r="X71" i="5" s="1"/>
  <c r="T69" i="6" s="1"/>
  <c r="U160" i="5" a="1"/>
  <c r="U160" i="5" s="1"/>
  <c r="Q158" i="6" s="1"/>
  <c r="W399" i="5" a="1"/>
  <c r="W399" i="5" s="1"/>
  <c r="S397" i="6" s="1"/>
  <c r="X9" i="5" a="1"/>
  <c r="X9" i="5" s="1"/>
  <c r="T7" i="6" s="1"/>
  <c r="X16" i="5" a="1"/>
  <c r="X16" i="5" s="1"/>
  <c r="T14" i="6" s="1"/>
  <c r="X42" i="5" a="1"/>
  <c r="X42" i="5" s="1"/>
  <c r="T40" i="6" s="1"/>
  <c r="X72" i="5" a="1"/>
  <c r="X72" i="5" s="1"/>
  <c r="T70" i="6" s="1"/>
  <c r="X90" i="5" a="1"/>
  <c r="X90" i="5" s="1"/>
  <c r="T88" i="6" s="1"/>
  <c r="X136" i="5" a="1"/>
  <c r="X136" i="5" s="1"/>
  <c r="T134" i="6" s="1"/>
  <c r="V405" i="5" a="1"/>
  <c r="V405" i="5" s="1"/>
  <c r="R403" i="6" s="1"/>
  <c r="X405" i="5" a="1"/>
  <c r="X405" i="5" s="1"/>
  <c r="T403" i="6" s="1"/>
  <c r="W405" i="5" a="1"/>
  <c r="W405" i="5" s="1"/>
  <c r="S403" i="6" s="1"/>
  <c r="V389" i="5" a="1"/>
  <c r="V389" i="5" s="1"/>
  <c r="R387" i="6" s="1"/>
  <c r="X389" i="5" a="1"/>
  <c r="X389" i="5" s="1"/>
  <c r="T387" i="6" s="1"/>
  <c r="V381" i="5" a="1"/>
  <c r="V381" i="5" s="1"/>
  <c r="R379" i="6" s="1"/>
  <c r="X381" i="5" a="1"/>
  <c r="X381" i="5" s="1"/>
  <c r="T379" i="6" s="1"/>
  <c r="V373" i="5" a="1"/>
  <c r="V373" i="5" s="1"/>
  <c r="R371" i="6" s="1"/>
  <c r="X373" i="5" a="1"/>
  <c r="X373" i="5" s="1"/>
  <c r="T371" i="6" s="1"/>
  <c r="V325" i="5" a="1"/>
  <c r="V325" i="5" s="1"/>
  <c r="R323" i="6" s="1"/>
  <c r="X325" i="5" a="1"/>
  <c r="X325" i="5" s="1"/>
  <c r="T323" i="6" s="1"/>
  <c r="V317" i="5" a="1"/>
  <c r="V317" i="5" s="1"/>
  <c r="R315" i="6" s="1"/>
  <c r="X317" i="5" a="1"/>
  <c r="X317" i="5" s="1"/>
  <c r="T315" i="6" s="1"/>
  <c r="W309" i="5" a="1"/>
  <c r="W309" i="5" s="1"/>
  <c r="S307" i="6" s="1"/>
  <c r="X309" i="5" a="1"/>
  <c r="X309" i="5" s="1"/>
  <c r="T307" i="6" s="1"/>
  <c r="V293" i="5" a="1"/>
  <c r="V293" i="5" s="1"/>
  <c r="R291" i="6" s="1"/>
  <c r="X293" i="5" a="1"/>
  <c r="X293" i="5" s="1"/>
  <c r="T291" i="6" s="1"/>
  <c r="V285" i="5" a="1"/>
  <c r="V285" i="5" s="1"/>
  <c r="R283" i="6" s="1"/>
  <c r="X285" i="5" a="1"/>
  <c r="X285" i="5" s="1"/>
  <c r="T283" i="6" s="1"/>
  <c r="W277" i="5" a="1"/>
  <c r="W277" i="5" s="1"/>
  <c r="S275" i="6" s="1"/>
  <c r="V277" i="5" a="1"/>
  <c r="V277" i="5" s="1"/>
  <c r="R275" i="6" s="1"/>
  <c r="X277" i="5" a="1"/>
  <c r="X277" i="5" s="1"/>
  <c r="T275" i="6" s="1"/>
  <c r="V229" i="5" a="1"/>
  <c r="V229" i="5" s="1"/>
  <c r="R227" i="6" s="1"/>
  <c r="X229" i="5" a="1"/>
  <c r="X229" i="5" s="1"/>
  <c r="T227" i="6" s="1"/>
  <c r="V221" i="5" a="1"/>
  <c r="V221" i="5" s="1"/>
  <c r="R219" i="6" s="1"/>
  <c r="W221" i="5" a="1"/>
  <c r="W221" i="5" s="1"/>
  <c r="S219" i="6" s="1"/>
  <c r="W181" i="5" a="1"/>
  <c r="W181" i="5" s="1"/>
  <c r="S179" i="6" s="1"/>
  <c r="V181" i="5" a="1"/>
  <c r="V181" i="5" s="1"/>
  <c r="R179" i="6" s="1"/>
  <c r="U165" i="5" a="1"/>
  <c r="U165" i="5" s="1"/>
  <c r="Q163" i="6" s="1"/>
  <c r="X165" i="5" a="1"/>
  <c r="X165" i="5" s="1"/>
  <c r="T163" i="6" s="1"/>
  <c r="W165" i="5" a="1"/>
  <c r="W165" i="5" s="1"/>
  <c r="S163" i="6" s="1"/>
  <c r="V133" i="5" a="1"/>
  <c r="V133" i="5" s="1"/>
  <c r="R131" i="6" s="1"/>
  <c r="X133" i="5" a="1"/>
  <c r="X133" i="5" s="1"/>
  <c r="T131" i="6" s="1"/>
  <c r="V125" i="5" a="1"/>
  <c r="V125" i="5" s="1"/>
  <c r="R123" i="6" s="1"/>
  <c r="X125" i="5" a="1"/>
  <c r="X125" i="5" s="1"/>
  <c r="T123" i="6" s="1"/>
  <c r="U77" i="5" a="1"/>
  <c r="U77" i="5" s="1"/>
  <c r="Q75" i="6" s="1"/>
  <c r="X77" i="5" a="1"/>
  <c r="X77" i="5" s="1"/>
  <c r="T75" i="6" s="1"/>
  <c r="V53" i="5" a="1"/>
  <c r="V53" i="5" s="1"/>
  <c r="R51" i="6" s="1"/>
  <c r="X53" i="5" a="1"/>
  <c r="X53" i="5" s="1"/>
  <c r="T51" i="6" s="1"/>
  <c r="U21" i="5" a="1"/>
  <c r="U21" i="5" s="1"/>
  <c r="Q19" i="6" s="1"/>
  <c r="W21" i="5" a="1"/>
  <c r="W21" i="5" s="1"/>
  <c r="S19" i="6" s="1"/>
  <c r="V5" i="5" a="1"/>
  <c r="V5" i="5" s="1"/>
  <c r="R3" i="6" s="1"/>
  <c r="W5" i="5" a="1"/>
  <c r="W5" i="5" s="1"/>
  <c r="S3" i="6" s="1"/>
  <c r="S55" i="5" a="1"/>
  <c r="S55" i="5" s="1"/>
  <c r="O53" i="6" s="1"/>
  <c r="U17" i="5" a="1"/>
  <c r="U17" i="5" s="1"/>
  <c r="Q15" i="6" s="1"/>
  <c r="V16" i="5" a="1"/>
  <c r="V16" i="5" s="1"/>
  <c r="R14" i="6" s="1"/>
  <c r="V115" i="5" a="1"/>
  <c r="V115" i="5" s="1"/>
  <c r="R113" i="6" s="1"/>
  <c r="V245" i="5" a="1"/>
  <c r="V245" i="5" s="1"/>
  <c r="R243" i="6" s="1"/>
  <c r="V321" i="5" a="1"/>
  <c r="V321" i="5" s="1"/>
  <c r="R319" i="6" s="1"/>
  <c r="W9" i="5" a="1"/>
  <c r="W9" i="5" s="1"/>
  <c r="S7" i="6" s="1"/>
  <c r="W58" i="5" a="1"/>
  <c r="W58" i="5" s="1"/>
  <c r="S56" i="6" s="1"/>
  <c r="W125" i="5" a="1"/>
  <c r="W125" i="5" s="1"/>
  <c r="S123" i="6" s="1"/>
  <c r="W171" i="5" a="1"/>
  <c r="W171" i="5" s="1"/>
  <c r="S169" i="6" s="1"/>
  <c r="W266" i="5" a="1"/>
  <c r="W266" i="5" s="1"/>
  <c r="S264" i="6" s="1"/>
  <c r="W314" i="5" a="1"/>
  <c r="W314" i="5" s="1"/>
  <c r="S312" i="6" s="1"/>
  <c r="W360" i="5" a="1"/>
  <c r="W360" i="5" s="1"/>
  <c r="S358" i="6" s="1"/>
  <c r="X11" i="5" a="1"/>
  <c r="X11" i="5" s="1"/>
  <c r="T9" i="6" s="1"/>
  <c r="X17" i="5" a="1"/>
  <c r="X17" i="5" s="1"/>
  <c r="T15" i="6" s="1"/>
  <c r="X24" i="5" a="1"/>
  <c r="X24" i="5" s="1"/>
  <c r="T22" i="6" s="1"/>
  <c r="X37" i="5" a="1"/>
  <c r="X37" i="5" s="1"/>
  <c r="T35" i="6" s="1"/>
  <c r="X116" i="5" a="1"/>
  <c r="X116" i="5" s="1"/>
  <c r="T114" i="6" s="1"/>
  <c r="X140" i="5" a="1"/>
  <c r="X140" i="5" s="1"/>
  <c r="T138" i="6" s="1"/>
  <c r="X186" i="5" a="1"/>
  <c r="X186" i="5" s="1"/>
  <c r="T184" i="6" s="1"/>
  <c r="X199" i="5" a="1"/>
  <c r="X199" i="5" s="1"/>
  <c r="T197" i="6" s="1"/>
  <c r="X209" i="5" a="1"/>
  <c r="X209" i="5" s="1"/>
  <c r="T207" i="6" s="1"/>
  <c r="X222" i="5" a="1"/>
  <c r="X222" i="5" s="1"/>
  <c r="T220" i="6" s="1"/>
  <c r="X232" i="5" a="1"/>
  <c r="X232" i="5" s="1"/>
  <c r="T230" i="6" s="1"/>
  <c r="X245" i="5" a="1"/>
  <c r="X245" i="5" s="1"/>
  <c r="T243" i="6" s="1"/>
  <c r="X268" i="5" a="1"/>
  <c r="X268" i="5" s="1"/>
  <c r="T266" i="6" s="1"/>
  <c r="X340" i="5" a="1"/>
  <c r="X340" i="5" s="1"/>
  <c r="T338" i="6" s="1"/>
  <c r="U177" i="5" a="1"/>
  <c r="U177" i="5" s="1"/>
  <c r="Q175" i="6" s="1"/>
  <c r="X177" i="5" a="1"/>
  <c r="X177" i="5" s="1"/>
  <c r="T175" i="6" s="1"/>
  <c r="V145" i="5" a="1"/>
  <c r="V145" i="5" s="1"/>
  <c r="R143" i="6" s="1"/>
  <c r="X145" i="5" a="1"/>
  <c r="X145" i="5" s="1"/>
  <c r="T143" i="6" s="1"/>
  <c r="U97" i="5" a="1"/>
  <c r="U97" i="5" s="1"/>
  <c r="Q95" i="6" s="1"/>
  <c r="X97" i="5" a="1"/>
  <c r="X97" i="5" s="1"/>
  <c r="T95" i="6" s="1"/>
  <c r="T130" i="5" a="1"/>
  <c r="T130" i="5" s="1"/>
  <c r="P128" i="6" s="1"/>
  <c r="X33" i="5" a="1"/>
  <c r="X33" i="5" s="1"/>
  <c r="T31" i="6" s="1"/>
  <c r="X41" i="5" a="1"/>
  <c r="X41" i="5" s="1"/>
  <c r="T39" i="6" s="1"/>
  <c r="W384" i="5" a="1"/>
  <c r="W384" i="5" s="1"/>
  <c r="S382" i="6" s="1"/>
  <c r="X384" i="5" a="1"/>
  <c r="X384" i="5" s="1"/>
  <c r="T382" i="6" s="1"/>
  <c r="V376" i="5" a="1"/>
  <c r="V376" i="5" s="1"/>
  <c r="R374" i="6" s="1"/>
  <c r="X376" i="5" a="1"/>
  <c r="X376" i="5" s="1"/>
  <c r="T374" i="6" s="1"/>
  <c r="W376" i="5" a="1"/>
  <c r="W376" i="5" s="1"/>
  <c r="S374" i="6" s="1"/>
  <c r="W256" i="5" a="1"/>
  <c r="W256" i="5" s="1"/>
  <c r="S254" i="6" s="1"/>
  <c r="X256" i="5" a="1"/>
  <c r="X256" i="5" s="1"/>
  <c r="T254" i="6" s="1"/>
  <c r="V256" i="5" a="1"/>
  <c r="V256" i="5" s="1"/>
  <c r="R254" i="6" s="1"/>
  <c r="W248" i="5" a="1"/>
  <c r="W248" i="5" s="1"/>
  <c r="S246" i="6" s="1"/>
  <c r="X248" i="5" a="1"/>
  <c r="X248" i="5" s="1"/>
  <c r="T246" i="6" s="1"/>
  <c r="R184" i="5" a="1"/>
  <c r="R184" i="5" s="1"/>
  <c r="N182" i="6" s="1"/>
  <c r="X184" i="5" a="1"/>
  <c r="X184" i="5" s="1"/>
  <c r="T182" i="6" s="1"/>
  <c r="W184" i="5" a="1"/>
  <c r="W184" i="5" s="1"/>
  <c r="S182" i="6" s="1"/>
  <c r="V104" i="5" a="1"/>
  <c r="V104" i="5" s="1"/>
  <c r="R102" i="6" s="1"/>
  <c r="X104" i="5" a="1"/>
  <c r="X104" i="5" s="1"/>
  <c r="T102" i="6" s="1"/>
  <c r="W96" i="5" a="1"/>
  <c r="W96" i="5" s="1"/>
  <c r="S94" i="6" s="1"/>
  <c r="X96" i="5" a="1"/>
  <c r="X96" i="5" s="1"/>
  <c r="T94" i="6" s="1"/>
  <c r="X88" i="5" a="1"/>
  <c r="X88" i="5" s="1"/>
  <c r="T86" i="6" s="1"/>
  <c r="V88" i="5" a="1"/>
  <c r="V88" i="5" s="1"/>
  <c r="R86" i="6" s="1"/>
  <c r="V412" i="5" a="1"/>
  <c r="V412" i="5" s="1"/>
  <c r="R410" i="6" s="1"/>
  <c r="X412" i="5" a="1"/>
  <c r="X412" i="5" s="1"/>
  <c r="T410" i="6" s="1"/>
  <c r="W404" i="5" a="1"/>
  <c r="W404" i="5" s="1"/>
  <c r="S402" i="6" s="1"/>
  <c r="X404" i="5" a="1"/>
  <c r="X404" i="5" s="1"/>
  <c r="T402" i="6" s="1"/>
  <c r="V396" i="5" a="1"/>
  <c r="V396" i="5" s="1"/>
  <c r="R394" i="6" s="1"/>
  <c r="W396" i="5" a="1"/>
  <c r="W396" i="5" s="1"/>
  <c r="S394" i="6" s="1"/>
  <c r="U348" i="5" a="1"/>
  <c r="U348" i="5" s="1"/>
  <c r="Q346" i="6" s="1"/>
  <c r="X348" i="5" a="1"/>
  <c r="X348" i="5" s="1"/>
  <c r="T346" i="6" s="1"/>
  <c r="W348" i="5" a="1"/>
  <c r="W348" i="5" s="1"/>
  <c r="S346" i="6" s="1"/>
  <c r="U316" i="5" a="1"/>
  <c r="U316" i="5" s="1"/>
  <c r="Q314" i="6" s="1"/>
  <c r="X316" i="5" a="1"/>
  <c r="X316" i="5" s="1"/>
  <c r="T314" i="6" s="1"/>
  <c r="U308" i="5" a="1"/>
  <c r="U308" i="5" s="1"/>
  <c r="Q306" i="6" s="1"/>
  <c r="X308" i="5" a="1"/>
  <c r="X308" i="5" s="1"/>
  <c r="T306" i="6" s="1"/>
  <c r="V300" i="5" a="1"/>
  <c r="V300" i="5" s="1"/>
  <c r="R298" i="6" s="1"/>
  <c r="X300" i="5" a="1"/>
  <c r="X300" i="5" s="1"/>
  <c r="T298" i="6" s="1"/>
  <c r="W292" i="5" a="1"/>
  <c r="W292" i="5" s="1"/>
  <c r="S290" i="6" s="1"/>
  <c r="X292" i="5" a="1"/>
  <c r="X292" i="5" s="1"/>
  <c r="T290" i="6" s="1"/>
  <c r="V252" i="5" a="1"/>
  <c r="V252" i="5" s="1"/>
  <c r="R250" i="6" s="1"/>
  <c r="X252" i="5" a="1"/>
  <c r="X252" i="5" s="1"/>
  <c r="T250" i="6" s="1"/>
  <c r="V244" i="5" a="1"/>
  <c r="V244" i="5" s="1"/>
  <c r="R242" i="6" s="1"/>
  <c r="X244" i="5" a="1"/>
  <c r="X244" i="5" s="1"/>
  <c r="T242" i="6" s="1"/>
  <c r="W236" i="5" a="1"/>
  <c r="W236" i="5" s="1"/>
  <c r="S234" i="6" s="1"/>
  <c r="X236" i="5" a="1"/>
  <c r="X236" i="5" s="1"/>
  <c r="T234" i="6" s="1"/>
  <c r="W228" i="5" a="1"/>
  <c r="W228" i="5" s="1"/>
  <c r="S226" i="6" s="1"/>
  <c r="X228" i="5" a="1"/>
  <c r="X228" i="5" s="1"/>
  <c r="T226" i="6" s="1"/>
  <c r="V220" i="5" a="1"/>
  <c r="V220" i="5" s="1"/>
  <c r="R218" i="6" s="1"/>
  <c r="X220" i="5" a="1"/>
  <c r="X220" i="5" s="1"/>
  <c r="T218" i="6" s="1"/>
  <c r="V212" i="5" a="1"/>
  <c r="V212" i="5" s="1"/>
  <c r="R210" i="6" s="1"/>
  <c r="X212" i="5" a="1"/>
  <c r="X212" i="5" s="1"/>
  <c r="T210" i="6" s="1"/>
  <c r="W196" i="5" a="1"/>
  <c r="W196" i="5" s="1"/>
  <c r="S194" i="6" s="1"/>
  <c r="X196" i="5" a="1"/>
  <c r="X196" i="5" s="1"/>
  <c r="T194" i="6" s="1"/>
  <c r="V156" i="5" a="1"/>
  <c r="V156" i="5" s="1"/>
  <c r="R154" i="6" s="1"/>
  <c r="X156" i="5" a="1"/>
  <c r="X156" i="5" s="1"/>
  <c r="T154" i="6" s="1"/>
  <c r="U92" i="5" a="1"/>
  <c r="U92" i="5" s="1"/>
  <c r="Q90" i="6" s="1"/>
  <c r="X92" i="5" a="1"/>
  <c r="X92" i="5" s="1"/>
  <c r="T90" i="6" s="1"/>
  <c r="W60" i="5" a="1"/>
  <c r="W60" i="5" s="1"/>
  <c r="S58" i="6" s="1"/>
  <c r="V60" i="5" a="1"/>
  <c r="V60" i="5" s="1"/>
  <c r="R58" i="6" s="1"/>
  <c r="R44" i="5" a="1"/>
  <c r="R44" i="5" s="1"/>
  <c r="N42" i="6" s="1"/>
  <c r="X44" i="5" a="1"/>
  <c r="X44" i="5" s="1"/>
  <c r="T42" i="6" s="1"/>
  <c r="S63" i="5" a="1"/>
  <c r="S63" i="5" s="1"/>
  <c r="O61" i="6" s="1"/>
  <c r="U41" i="5" a="1"/>
  <c r="U41" i="5" s="1"/>
  <c r="Q39" i="6" s="1"/>
  <c r="V18" i="5" a="1"/>
  <c r="V18" i="5" s="1"/>
  <c r="R16" i="6" s="1"/>
  <c r="V117" i="5" a="1"/>
  <c r="V117" i="5" s="1"/>
  <c r="R115" i="6" s="1"/>
  <c r="V248" i="5" a="1"/>
  <c r="V248" i="5" s="1"/>
  <c r="R246" i="6" s="1"/>
  <c r="V344" i="5" a="1"/>
  <c r="V344" i="5" s="1"/>
  <c r="R342" i="6" s="1"/>
  <c r="W14" i="5" a="1"/>
  <c r="W14" i="5" s="1"/>
  <c r="S12" i="6" s="1"/>
  <c r="W62" i="5" a="1"/>
  <c r="W62" i="5" s="1"/>
  <c r="S60" i="6" s="1"/>
  <c r="W102" i="5" a="1"/>
  <c r="W102" i="5" s="1"/>
  <c r="S100" i="6" s="1"/>
  <c r="W133" i="5" a="1"/>
  <c r="W133" i="5" s="1"/>
  <c r="S131" i="6" s="1"/>
  <c r="W172" i="5" a="1"/>
  <c r="W172" i="5" s="1"/>
  <c r="S170" i="6" s="1"/>
  <c r="W223" i="5" a="1"/>
  <c r="W223" i="5" s="1"/>
  <c r="S221" i="6" s="1"/>
  <c r="W271" i="5" a="1"/>
  <c r="W271" i="5" s="1"/>
  <c r="S269" i="6" s="1"/>
  <c r="W317" i="5" a="1"/>
  <c r="W317" i="5" s="1"/>
  <c r="S315" i="6" s="1"/>
  <c r="W373" i="5" a="1"/>
  <c r="W373" i="5" s="1"/>
  <c r="S371" i="6" s="1"/>
  <c r="X5" i="5" a="1"/>
  <c r="X5" i="5" s="1"/>
  <c r="T3" i="6" s="1"/>
  <c r="X31" i="5" a="1"/>
  <c r="X31" i="5" s="1"/>
  <c r="T29" i="6" s="1"/>
  <c r="X52" i="5" a="1"/>
  <c r="X52" i="5" s="1"/>
  <c r="T50" i="6" s="1"/>
  <c r="X60" i="5" a="1"/>
  <c r="X60" i="5" s="1"/>
  <c r="T58" i="6" s="1"/>
  <c r="X84" i="5" a="1"/>
  <c r="X84" i="5" s="1"/>
  <c r="T82" i="6" s="1"/>
  <c r="X200" i="5" a="1"/>
  <c r="X200" i="5" s="1"/>
  <c r="T198" i="6" s="1"/>
  <c r="X259" i="5" a="1"/>
  <c r="X259" i="5" s="1"/>
  <c r="T257" i="6" s="1"/>
  <c r="X294" i="5" a="1"/>
  <c r="X294" i="5" s="1"/>
  <c r="T292" i="6" s="1"/>
  <c r="V414" i="5" a="1"/>
  <c r="V414" i="5" s="1"/>
  <c r="R412" i="6" s="1"/>
  <c r="W414" i="5" a="1"/>
  <c r="W414" i="5" s="1"/>
  <c r="S412" i="6" s="1"/>
  <c r="V350" i="5" a="1"/>
  <c r="V350" i="5" s="1"/>
  <c r="R348" i="6" s="1"/>
  <c r="W350" i="5" a="1"/>
  <c r="W350" i="5" s="1"/>
  <c r="S348" i="6" s="1"/>
  <c r="V174" i="5" a="1"/>
  <c r="V174" i="5" s="1"/>
  <c r="R172" i="6" s="1"/>
  <c r="W174" i="5" a="1"/>
  <c r="W174" i="5" s="1"/>
  <c r="S172" i="6" s="1"/>
  <c r="V166" i="5" a="1"/>
  <c r="V166" i="5" s="1"/>
  <c r="R164" i="6" s="1"/>
  <c r="W166" i="5" a="1"/>
  <c r="W166" i="5" s="1"/>
  <c r="S164" i="6" s="1"/>
  <c r="V158" i="5" a="1"/>
  <c r="V158" i="5" s="1"/>
  <c r="R156" i="6" s="1"/>
  <c r="W158" i="5" a="1"/>
  <c r="W158" i="5" s="1"/>
  <c r="S156" i="6" s="1"/>
  <c r="U150" i="5" a="1"/>
  <c r="U150" i="5" s="1"/>
  <c r="Q148" i="6" s="1"/>
  <c r="W150" i="5" a="1"/>
  <c r="W150" i="5" s="1"/>
  <c r="S148" i="6" s="1"/>
  <c r="V150" i="5" a="1"/>
  <c r="V150" i="5" s="1"/>
  <c r="R148" i="6" s="1"/>
  <c r="V380" i="5" a="1"/>
  <c r="V380" i="5" s="1"/>
  <c r="R378" i="6" s="1"/>
  <c r="W380" i="5" a="1"/>
  <c r="W380" i="5" s="1"/>
  <c r="S378" i="6" s="1"/>
  <c r="V372" i="5" a="1"/>
  <c r="V372" i="5" s="1"/>
  <c r="R370" i="6" s="1"/>
  <c r="W372" i="5" a="1"/>
  <c r="W372" i="5" s="1"/>
  <c r="S370" i="6" s="1"/>
  <c r="W364" i="5" a="1"/>
  <c r="W364" i="5" s="1"/>
  <c r="S362" i="6" s="1"/>
  <c r="V364" i="5" a="1"/>
  <c r="V364" i="5" s="1"/>
  <c r="R362" i="6" s="1"/>
  <c r="U204" i="5" a="1"/>
  <c r="U204" i="5" s="1"/>
  <c r="Q202" i="6" s="1"/>
  <c r="W204" i="5" a="1"/>
  <c r="W204" i="5" s="1"/>
  <c r="S202" i="6" s="1"/>
  <c r="V164" i="5" a="1"/>
  <c r="V164" i="5" s="1"/>
  <c r="R162" i="6" s="1"/>
  <c r="W164" i="5" a="1"/>
  <c r="W164" i="5" s="1"/>
  <c r="S162" i="6" s="1"/>
  <c r="T108" i="5" a="1"/>
  <c r="T108" i="5" s="1"/>
  <c r="P106" i="6" s="1"/>
  <c r="W108" i="5" a="1"/>
  <c r="W108" i="5" s="1"/>
  <c r="S106" i="6" s="1"/>
  <c r="V172" i="5" a="1"/>
  <c r="V172" i="5" s="1"/>
  <c r="R170" i="6" s="1"/>
  <c r="V236" i="5" a="1"/>
  <c r="V236" i="5" s="1"/>
  <c r="R234" i="6" s="1"/>
  <c r="W30" i="5" a="1"/>
  <c r="W30" i="5" s="1"/>
  <c r="S28" i="6" s="1"/>
  <c r="W366" i="5" a="1"/>
  <c r="W366" i="5" s="1"/>
  <c r="S364" i="6" s="1"/>
  <c r="V315" i="5" a="1"/>
  <c r="V315" i="5" s="1"/>
  <c r="R313" i="6" s="1"/>
  <c r="W315" i="5" a="1"/>
  <c r="W315" i="5" s="1"/>
  <c r="S313" i="6" s="1"/>
  <c r="V307" i="5" a="1"/>
  <c r="V307" i="5" s="1"/>
  <c r="R305" i="6" s="1"/>
  <c r="W307" i="5" a="1"/>
  <c r="W307" i="5" s="1"/>
  <c r="S305" i="6" s="1"/>
  <c r="V299" i="5" a="1"/>
  <c r="V299" i="5" s="1"/>
  <c r="R297" i="6" s="1"/>
  <c r="W299" i="5" a="1"/>
  <c r="W299" i="5" s="1"/>
  <c r="S297" i="6" s="1"/>
  <c r="T291" i="5" a="1"/>
  <c r="T291" i="5" s="1"/>
  <c r="P289" i="6" s="1"/>
  <c r="W291" i="5" a="1"/>
  <c r="W291" i="5" s="1"/>
  <c r="S289" i="6" s="1"/>
  <c r="V291" i="5" a="1"/>
  <c r="V291" i="5" s="1"/>
  <c r="R289" i="6" s="1"/>
  <c r="V283" i="5" a="1"/>
  <c r="V283" i="5" s="1"/>
  <c r="R281" i="6" s="1"/>
  <c r="W283" i="5" a="1"/>
  <c r="W283" i="5" s="1"/>
  <c r="S281" i="6" s="1"/>
  <c r="T283" i="5" a="1"/>
  <c r="T283" i="5" s="1"/>
  <c r="P281" i="6" s="1"/>
  <c r="T259" i="5" a="1"/>
  <c r="T259" i="5" s="1"/>
  <c r="P257" i="6" s="1"/>
  <c r="V259" i="5" a="1"/>
  <c r="V259" i="5" s="1"/>
  <c r="R257" i="6" s="1"/>
  <c r="U259" i="5" a="1"/>
  <c r="U259" i="5" s="1"/>
  <c r="Q257" i="6" s="1"/>
  <c r="V251" i="5" a="1"/>
  <c r="V251" i="5" s="1"/>
  <c r="R249" i="6" s="1"/>
  <c r="W251" i="5" a="1"/>
  <c r="W251" i="5" s="1"/>
  <c r="S249" i="6" s="1"/>
  <c r="T195" i="5" a="1"/>
  <c r="T195" i="5" s="1"/>
  <c r="P193" i="6" s="1"/>
  <c r="W195" i="5" a="1"/>
  <c r="W195" i="5" s="1"/>
  <c r="S193" i="6" s="1"/>
  <c r="U187" i="5" a="1"/>
  <c r="U187" i="5" s="1"/>
  <c r="Q185" i="6" s="1"/>
  <c r="W187" i="5" a="1"/>
  <c r="W187" i="5" s="1"/>
  <c r="S185" i="6" s="1"/>
  <c r="T187" i="5" a="1"/>
  <c r="T187" i="5" s="1"/>
  <c r="P185" i="6" s="1"/>
  <c r="T131" i="5" a="1"/>
  <c r="T131" i="5" s="1"/>
  <c r="P129" i="6" s="1"/>
  <c r="W131" i="5" a="1"/>
  <c r="W131" i="5" s="1"/>
  <c r="S129" i="6" s="1"/>
  <c r="R123" i="5" a="1"/>
  <c r="R123" i="5" s="1"/>
  <c r="N121" i="6" s="1"/>
  <c r="W123" i="5" a="1"/>
  <c r="W123" i="5" s="1"/>
  <c r="S121" i="6" s="1"/>
  <c r="V123" i="5" a="1"/>
  <c r="V123" i="5" s="1"/>
  <c r="R121" i="6" s="1"/>
  <c r="U115" i="5" a="1"/>
  <c r="U115" i="5" s="1"/>
  <c r="Q113" i="6" s="1"/>
  <c r="W115" i="5" a="1"/>
  <c r="W115" i="5" s="1"/>
  <c r="S113" i="6" s="1"/>
  <c r="S107" i="5" a="1"/>
  <c r="S107" i="5" s="1"/>
  <c r="O105" i="6" s="1"/>
  <c r="W107" i="5" a="1"/>
  <c r="W107" i="5" s="1"/>
  <c r="S105" i="6" s="1"/>
  <c r="U107" i="5" a="1"/>
  <c r="U107" i="5" s="1"/>
  <c r="Q105" i="6" s="1"/>
  <c r="U99" i="5" a="1"/>
  <c r="U99" i="5" s="1"/>
  <c r="Q97" i="6" s="1"/>
  <c r="V99" i="5" a="1"/>
  <c r="V99" i="5" s="1"/>
  <c r="R97" i="6" s="1"/>
  <c r="T91" i="5" a="1"/>
  <c r="T91" i="5" s="1"/>
  <c r="P89" i="6" s="1"/>
  <c r="W91" i="5" a="1"/>
  <c r="W91" i="5" s="1"/>
  <c r="S89" i="6" s="1"/>
  <c r="V43" i="5" a="1"/>
  <c r="V43" i="5" s="1"/>
  <c r="R41" i="6" s="1"/>
  <c r="V355" i="5" a="1"/>
  <c r="V355" i="5" s="1"/>
  <c r="R353" i="6" s="1"/>
  <c r="W11" i="5" a="1"/>
  <c r="W11" i="5" s="1"/>
  <c r="S9" i="6" s="1"/>
  <c r="W38" i="5" a="1"/>
  <c r="W38" i="5" s="1"/>
  <c r="S36" i="6" s="1"/>
  <c r="W44" i="5" a="1"/>
  <c r="W44" i="5" s="1"/>
  <c r="S42" i="6" s="1"/>
  <c r="W52" i="5" a="1"/>
  <c r="W52" i="5" s="1"/>
  <c r="S50" i="6" s="1"/>
  <c r="W75" i="5" a="1"/>
  <c r="W75" i="5" s="1"/>
  <c r="S73" i="6" s="1"/>
  <c r="W84" i="5" a="1"/>
  <c r="W84" i="5" s="1"/>
  <c r="S82" i="6" s="1"/>
  <c r="W156" i="5" a="1"/>
  <c r="W156" i="5" s="1"/>
  <c r="S154" i="6" s="1"/>
  <c r="W285" i="5" a="1"/>
  <c r="W285" i="5" s="1"/>
  <c r="S283" i="6" s="1"/>
  <c r="W308" i="5" a="1"/>
  <c r="W308" i="5" s="1"/>
  <c r="S306" i="6" s="1"/>
  <c r="W318" i="5" a="1"/>
  <c r="W318" i="5" s="1"/>
  <c r="S316" i="6" s="1"/>
  <c r="W331" i="5" a="1"/>
  <c r="W331" i="5" s="1"/>
  <c r="S329" i="6" s="1"/>
  <c r="W403" i="5" a="1"/>
  <c r="W403" i="5" s="1"/>
  <c r="S401" i="6" s="1"/>
  <c r="V402" i="5" a="1"/>
  <c r="V402" i="5" s="1"/>
  <c r="R400" i="6" s="1"/>
  <c r="W402" i="5" a="1"/>
  <c r="W402" i="5" s="1"/>
  <c r="S400" i="6" s="1"/>
  <c r="V354" i="5" a="1"/>
  <c r="V354" i="5" s="1"/>
  <c r="R352" i="6" s="1"/>
  <c r="W354" i="5" a="1"/>
  <c r="W354" i="5" s="1"/>
  <c r="S352" i="6" s="1"/>
  <c r="V338" i="5" a="1"/>
  <c r="V338" i="5" s="1"/>
  <c r="R336" i="6" s="1"/>
  <c r="W338" i="5" a="1"/>
  <c r="W338" i="5" s="1"/>
  <c r="S336" i="6" s="1"/>
  <c r="V322" i="5" a="1"/>
  <c r="V322" i="5" s="1"/>
  <c r="R320" i="6" s="1"/>
  <c r="W322" i="5" a="1"/>
  <c r="W322" i="5" s="1"/>
  <c r="S320" i="6" s="1"/>
  <c r="V258" i="5" a="1"/>
  <c r="V258" i="5" s="1"/>
  <c r="R256" i="6" s="1"/>
  <c r="W258" i="5" a="1"/>
  <c r="W258" i="5" s="1"/>
  <c r="S256" i="6" s="1"/>
  <c r="V226" i="5" a="1"/>
  <c r="V226" i="5" s="1"/>
  <c r="R224" i="6" s="1"/>
  <c r="W226" i="5" a="1"/>
  <c r="W226" i="5" s="1"/>
  <c r="S224" i="6" s="1"/>
  <c r="V218" i="5" a="1"/>
  <c r="V218" i="5" s="1"/>
  <c r="R216" i="6" s="1"/>
  <c r="W218" i="5" a="1"/>
  <c r="W218" i="5" s="1"/>
  <c r="S216" i="6" s="1"/>
  <c r="V178" i="5" a="1"/>
  <c r="V178" i="5" s="1"/>
  <c r="R176" i="6" s="1"/>
  <c r="W178" i="5" a="1"/>
  <c r="W178" i="5" s="1"/>
  <c r="S176" i="6" s="1"/>
  <c r="V417" i="5" a="1"/>
  <c r="V417" i="5" s="1"/>
  <c r="R415" i="6" s="1"/>
  <c r="W417" i="5" a="1"/>
  <c r="W417" i="5" s="1"/>
  <c r="S415" i="6" s="1"/>
  <c r="V409" i="5" a="1"/>
  <c r="V409" i="5" s="1"/>
  <c r="R407" i="6" s="1"/>
  <c r="W409" i="5" a="1"/>
  <c r="W409" i="5" s="1"/>
  <c r="S407" i="6" s="1"/>
  <c r="V401" i="5" a="1"/>
  <c r="V401" i="5" s="1"/>
  <c r="R399" i="6" s="1"/>
  <c r="W401" i="5" a="1"/>
  <c r="W401" i="5" s="1"/>
  <c r="S399" i="6" s="1"/>
  <c r="V393" i="5" a="1"/>
  <c r="V393" i="5" s="1"/>
  <c r="R391" i="6" s="1"/>
  <c r="W393" i="5" a="1"/>
  <c r="W393" i="5" s="1"/>
  <c r="S391" i="6" s="1"/>
  <c r="V377" i="5" a="1"/>
  <c r="V377" i="5" s="1"/>
  <c r="R375" i="6" s="1"/>
  <c r="W377" i="5" a="1"/>
  <c r="W377" i="5" s="1"/>
  <c r="S375" i="6" s="1"/>
  <c r="T115" i="5" a="1"/>
  <c r="T115" i="5" s="1"/>
  <c r="P113" i="6" s="1"/>
  <c r="V52" i="5" a="1"/>
  <c r="V52" i="5" s="1"/>
  <c r="R50" i="6" s="1"/>
  <c r="V107" i="5" a="1"/>
  <c r="V107" i="5" s="1"/>
  <c r="R105" i="6" s="1"/>
  <c r="V140" i="5" a="1"/>
  <c r="V140" i="5" s="1"/>
  <c r="R138" i="6" s="1"/>
  <c r="V203" i="5" a="1"/>
  <c r="V203" i="5" s="1"/>
  <c r="R201" i="6" s="1"/>
  <c r="W19" i="5" a="1"/>
  <c r="W19" i="5" s="1"/>
  <c r="S17" i="6" s="1"/>
  <c r="W26" i="5" a="1"/>
  <c r="W26" i="5" s="1"/>
  <c r="S24" i="6" s="1"/>
  <c r="W53" i="5" a="1"/>
  <c r="W53" i="5" s="1"/>
  <c r="S51" i="6" s="1"/>
  <c r="W61" i="5" a="1"/>
  <c r="W61" i="5" s="1"/>
  <c r="S59" i="6" s="1"/>
  <c r="W69" i="5" a="1"/>
  <c r="W69" i="5" s="1"/>
  <c r="S67" i="6" s="1"/>
  <c r="W99" i="5" a="1"/>
  <c r="W99" i="5" s="1"/>
  <c r="S97" i="6" s="1"/>
  <c r="W134" i="5" a="1"/>
  <c r="W134" i="5" s="1"/>
  <c r="S132" i="6" s="1"/>
  <c r="W157" i="5" a="1"/>
  <c r="W157" i="5" s="1"/>
  <c r="S155" i="6" s="1"/>
  <c r="W170" i="5" a="1"/>
  <c r="W170" i="5" s="1"/>
  <c r="S168" i="6" s="1"/>
  <c r="W206" i="5" a="1"/>
  <c r="W206" i="5" s="1"/>
  <c r="S204" i="6" s="1"/>
  <c r="W229" i="5" a="1"/>
  <c r="W229" i="5" s="1"/>
  <c r="S227" i="6" s="1"/>
  <c r="W252" i="5" a="1"/>
  <c r="W252" i="5" s="1"/>
  <c r="S250" i="6" s="1"/>
  <c r="W275" i="5" a="1"/>
  <c r="W275" i="5" s="1"/>
  <c r="S273" i="6" s="1"/>
  <c r="W300" i="5" a="1"/>
  <c r="W300" i="5" s="1"/>
  <c r="S298" i="6" s="1"/>
  <c r="W323" i="5" a="1"/>
  <c r="W323" i="5" s="1"/>
  <c r="S321" i="6" s="1"/>
  <c r="W381" i="5" a="1"/>
  <c r="W381" i="5" s="1"/>
  <c r="S379" i="6" s="1"/>
  <c r="V326" i="5" a="1"/>
  <c r="V326" i="5" s="1"/>
  <c r="R324" i="6" s="1"/>
  <c r="W326" i="5" a="1"/>
  <c r="W326" i="5" s="1"/>
  <c r="S324" i="6" s="1"/>
  <c r="V262" i="5" a="1"/>
  <c r="V262" i="5" s="1"/>
  <c r="R260" i="6" s="1"/>
  <c r="W262" i="5" a="1"/>
  <c r="W262" i="5" s="1"/>
  <c r="S260" i="6" s="1"/>
  <c r="V254" i="5" a="1"/>
  <c r="V254" i="5" s="1"/>
  <c r="R252" i="6" s="1"/>
  <c r="W254" i="5" a="1"/>
  <c r="W254" i="5" s="1"/>
  <c r="S252" i="6" s="1"/>
  <c r="V246" i="5" a="1"/>
  <c r="V246" i="5" s="1"/>
  <c r="R244" i="6" s="1"/>
  <c r="W246" i="5" a="1"/>
  <c r="W246" i="5" s="1"/>
  <c r="S244" i="6" s="1"/>
  <c r="V94" i="5" a="1"/>
  <c r="V94" i="5" s="1"/>
  <c r="R92" i="6" s="1"/>
  <c r="W94" i="5" a="1"/>
  <c r="W94" i="5" s="1"/>
  <c r="S92" i="6" s="1"/>
  <c r="U86" i="5" a="1"/>
  <c r="U86" i="5" s="1"/>
  <c r="Q84" i="6" s="1"/>
  <c r="W86" i="5" a="1"/>
  <c r="W86" i="5" s="1"/>
  <c r="S84" i="6" s="1"/>
  <c r="V78" i="5" a="1"/>
  <c r="V78" i="5" s="1"/>
  <c r="R76" i="6" s="1"/>
  <c r="W78" i="5" a="1"/>
  <c r="W78" i="5" s="1"/>
  <c r="S76" i="6" s="1"/>
  <c r="V54" i="5" a="1"/>
  <c r="V54" i="5" s="1"/>
  <c r="R52" i="6" s="1"/>
  <c r="W54" i="5" a="1"/>
  <c r="W54" i="5" s="1"/>
  <c r="S52" i="6" s="1"/>
  <c r="V46" i="5" a="1"/>
  <c r="V46" i="5" s="1"/>
  <c r="R44" i="6" s="1"/>
  <c r="W46" i="5" a="1"/>
  <c r="W46" i="5" s="1"/>
  <c r="S44" i="6" s="1"/>
  <c r="W22" i="5" a="1"/>
  <c r="W22" i="5" s="1"/>
  <c r="S20" i="6" s="1"/>
  <c r="W92" i="5" a="1"/>
  <c r="W92" i="5" s="1"/>
  <c r="S90" i="6" s="1"/>
  <c r="W140" i="5" a="1"/>
  <c r="W140" i="5" s="1"/>
  <c r="S138" i="6" s="1"/>
  <c r="W198" i="5" a="1"/>
  <c r="W198" i="5" s="1"/>
  <c r="S196" i="6" s="1"/>
  <c r="W244" i="5" a="1"/>
  <c r="W244" i="5" s="1"/>
  <c r="S242" i="6" s="1"/>
  <c r="W267" i="5" a="1"/>
  <c r="W267" i="5" s="1"/>
  <c r="S265" i="6" s="1"/>
  <c r="W316" i="5" a="1"/>
  <c r="W316" i="5" s="1"/>
  <c r="S314" i="6" s="1"/>
  <c r="W339" i="5" a="1"/>
  <c r="W339" i="5" s="1"/>
  <c r="S337" i="6" s="1"/>
  <c r="U413" i="5" a="1"/>
  <c r="U413" i="5" s="1"/>
  <c r="Q411" i="6" s="1"/>
  <c r="W413" i="5" a="1"/>
  <c r="W413" i="5" s="1"/>
  <c r="S411" i="6" s="1"/>
  <c r="V397" i="5" a="1"/>
  <c r="V397" i="5" s="1"/>
  <c r="R395" i="6" s="1"/>
  <c r="W397" i="5" a="1"/>
  <c r="W397" i="5" s="1"/>
  <c r="S395" i="6" s="1"/>
  <c r="U365" i="5" a="1"/>
  <c r="U365" i="5" s="1"/>
  <c r="Q363" i="6" s="1"/>
  <c r="W365" i="5" a="1"/>
  <c r="W365" i="5" s="1"/>
  <c r="S363" i="6" s="1"/>
  <c r="U357" i="5" a="1"/>
  <c r="U357" i="5" s="1"/>
  <c r="Q355" i="6" s="1"/>
  <c r="W357" i="5" a="1"/>
  <c r="W357" i="5" s="1"/>
  <c r="S355" i="6" s="1"/>
  <c r="V349" i="5" a="1"/>
  <c r="V349" i="5" s="1"/>
  <c r="R347" i="6" s="1"/>
  <c r="W349" i="5" a="1"/>
  <c r="W349" i="5" s="1"/>
  <c r="S347" i="6" s="1"/>
  <c r="W341" i="5" a="1"/>
  <c r="W341" i="5" s="1"/>
  <c r="S339" i="6" s="1"/>
  <c r="V341" i="5" a="1"/>
  <c r="V341" i="5" s="1"/>
  <c r="R339" i="6" s="1"/>
  <c r="V333" i="5" a="1"/>
  <c r="V333" i="5" s="1"/>
  <c r="R331" i="6" s="1"/>
  <c r="W333" i="5" a="1"/>
  <c r="W333" i="5" s="1"/>
  <c r="S331" i="6" s="1"/>
  <c r="V301" i="5" a="1"/>
  <c r="V301" i="5" s="1"/>
  <c r="R299" i="6" s="1"/>
  <c r="W301" i="5" a="1"/>
  <c r="W301" i="5" s="1"/>
  <c r="S299" i="6" s="1"/>
  <c r="V269" i="5" a="1"/>
  <c r="V269" i="5" s="1"/>
  <c r="R267" i="6" s="1"/>
  <c r="W269" i="5" a="1"/>
  <c r="W269" i="5" s="1"/>
  <c r="S267" i="6" s="1"/>
  <c r="V261" i="5" a="1"/>
  <c r="V261" i="5" s="1"/>
  <c r="R259" i="6" s="1"/>
  <c r="W261" i="5" a="1"/>
  <c r="W261" i="5" s="1"/>
  <c r="S259" i="6" s="1"/>
  <c r="V253" i="5" a="1"/>
  <c r="V253" i="5" s="1"/>
  <c r="R251" i="6" s="1"/>
  <c r="W253" i="5" a="1"/>
  <c r="W253" i="5" s="1"/>
  <c r="S251" i="6" s="1"/>
  <c r="V237" i="5" a="1"/>
  <c r="V237" i="5" s="1"/>
  <c r="R235" i="6" s="1"/>
  <c r="W237" i="5" a="1"/>
  <c r="W237" i="5" s="1"/>
  <c r="S235" i="6" s="1"/>
  <c r="V205" i="5" a="1"/>
  <c r="V205" i="5" s="1"/>
  <c r="R203" i="6" s="1"/>
  <c r="W205" i="5" a="1"/>
  <c r="W205" i="5" s="1"/>
  <c r="S203" i="6" s="1"/>
  <c r="V197" i="5" a="1"/>
  <c r="V197" i="5" s="1"/>
  <c r="R195" i="6" s="1"/>
  <c r="W197" i="5" a="1"/>
  <c r="W197" i="5" s="1"/>
  <c r="S195" i="6" s="1"/>
  <c r="V189" i="5" a="1"/>
  <c r="V189" i="5" s="1"/>
  <c r="R187" i="6" s="1"/>
  <c r="W189" i="5" a="1"/>
  <c r="W189" i="5" s="1"/>
  <c r="S187" i="6" s="1"/>
  <c r="U173" i="5" a="1"/>
  <c r="U173" i="5" s="1"/>
  <c r="Q171" i="6" s="1"/>
  <c r="W173" i="5" a="1"/>
  <c r="W173" i="5" s="1"/>
  <c r="S171" i="6" s="1"/>
  <c r="V141" i="5" a="1"/>
  <c r="V141" i="5" s="1"/>
  <c r="R139" i="6" s="1"/>
  <c r="W141" i="5" a="1"/>
  <c r="W141" i="5" s="1"/>
  <c r="S139" i="6" s="1"/>
  <c r="U109" i="5" a="1"/>
  <c r="U109" i="5" s="1"/>
  <c r="Q107" i="6" s="1"/>
  <c r="W109" i="5" a="1"/>
  <c r="W109" i="5" s="1"/>
  <c r="S107" i="6" s="1"/>
  <c r="V101" i="5" a="1"/>
  <c r="V101" i="5" s="1"/>
  <c r="R99" i="6" s="1"/>
  <c r="W101" i="5" a="1"/>
  <c r="W101" i="5" s="1"/>
  <c r="S99" i="6" s="1"/>
  <c r="U93" i="5" a="1"/>
  <c r="U93" i="5" s="1"/>
  <c r="Q91" i="6" s="1"/>
  <c r="W93" i="5" a="1"/>
  <c r="W93" i="5" s="1"/>
  <c r="S91" i="6" s="1"/>
  <c r="U45" i="5" a="1"/>
  <c r="U45" i="5" s="1"/>
  <c r="Q43" i="6" s="1"/>
  <c r="W45" i="5" a="1"/>
  <c r="W45" i="5" s="1"/>
  <c r="S43" i="6" s="1"/>
  <c r="U37" i="5" a="1"/>
  <c r="U37" i="5" s="1"/>
  <c r="Q35" i="6" s="1"/>
  <c r="V37" i="5" a="1"/>
  <c r="V37" i="5" s="1"/>
  <c r="R35" i="6" s="1"/>
  <c r="S43" i="5" a="1"/>
  <c r="S43" i="5" s="1"/>
  <c r="O41" i="6" s="1"/>
  <c r="T170" i="5" a="1"/>
  <c r="T170" i="5" s="1"/>
  <c r="P168" i="6" s="1"/>
  <c r="V10" i="5" a="1"/>
  <c r="V10" i="5" s="1"/>
  <c r="R8" i="6" s="1"/>
  <c r="V85" i="5" a="1"/>
  <c r="V85" i="5" s="1"/>
  <c r="R83" i="6" s="1"/>
  <c r="V118" i="5" a="1"/>
  <c r="V118" i="5" s="1"/>
  <c r="R116" i="6" s="1"/>
  <c r="V171" i="5" a="1"/>
  <c r="V171" i="5" s="1"/>
  <c r="R169" i="6" s="1"/>
  <c r="V235" i="5" a="1"/>
  <c r="V235" i="5" s="1"/>
  <c r="R233" i="6" s="1"/>
  <c r="W10" i="5" a="1"/>
  <c r="W10" i="5" s="1"/>
  <c r="S8" i="6" s="1"/>
  <c r="W35" i="5" a="1"/>
  <c r="W35" i="5" s="1"/>
  <c r="S33" i="6" s="1"/>
  <c r="W43" i="5" a="1"/>
  <c r="W43" i="5" s="1"/>
  <c r="S41" i="6" s="1"/>
  <c r="W51" i="5" a="1"/>
  <c r="W51" i="5" s="1"/>
  <c r="S49" i="6" s="1"/>
  <c r="W186" i="5" a="1"/>
  <c r="W186" i="5" s="1"/>
  <c r="S184" i="6" s="1"/>
  <c r="W212" i="5" a="1"/>
  <c r="W212" i="5" s="1"/>
  <c r="S210" i="6" s="1"/>
  <c r="W222" i="5" a="1"/>
  <c r="W222" i="5" s="1"/>
  <c r="S220" i="6" s="1"/>
  <c r="W235" i="5" a="1"/>
  <c r="W235" i="5" s="1"/>
  <c r="S233" i="6" s="1"/>
  <c r="W362" i="5" a="1"/>
  <c r="W362" i="5" s="1"/>
  <c r="S360" i="6" s="1"/>
  <c r="W398" i="5" a="1"/>
  <c r="W398" i="5" s="1"/>
  <c r="S396" i="6" s="1"/>
  <c r="W410" i="5" a="1"/>
  <c r="W410" i="5" s="1"/>
  <c r="S408" i="6" s="1"/>
  <c r="V278" i="5" a="1"/>
  <c r="V278" i="5" s="1"/>
  <c r="R276" i="6" s="1"/>
  <c r="W278" i="5" a="1"/>
  <c r="W278" i="5" s="1"/>
  <c r="S276" i="6" s="1"/>
  <c r="U284" i="5" a="1"/>
  <c r="U284" i="5" s="1"/>
  <c r="Q282" i="6" s="1"/>
  <c r="W284" i="5" a="1"/>
  <c r="W284" i="5" s="1"/>
  <c r="S282" i="6" s="1"/>
  <c r="V260" i="5" a="1"/>
  <c r="V260" i="5" s="1"/>
  <c r="R258" i="6" s="1"/>
  <c r="W260" i="5" a="1"/>
  <c r="W260" i="5" s="1"/>
  <c r="S258" i="6" s="1"/>
  <c r="V188" i="5" a="1"/>
  <c r="V188" i="5" s="1"/>
  <c r="R186" i="6" s="1"/>
  <c r="W188" i="5" a="1"/>
  <c r="W188" i="5" s="1"/>
  <c r="S186" i="6" s="1"/>
  <c r="V180" i="5" a="1"/>
  <c r="V180" i="5" s="1"/>
  <c r="R178" i="6" s="1"/>
  <c r="W180" i="5" a="1"/>
  <c r="W180" i="5" s="1"/>
  <c r="S178" i="6" s="1"/>
  <c r="U124" i="5" a="1"/>
  <c r="U124" i="5" s="1"/>
  <c r="Q122" i="6" s="1"/>
  <c r="W124" i="5" a="1"/>
  <c r="W124" i="5" s="1"/>
  <c r="S122" i="6" s="1"/>
  <c r="S76" i="5" a="1"/>
  <c r="S76" i="5" s="1"/>
  <c r="O74" i="6" s="1"/>
  <c r="W76" i="5" a="1"/>
  <c r="W76" i="5" s="1"/>
  <c r="S74" i="6" s="1"/>
  <c r="V76" i="5" a="1"/>
  <c r="V76" i="5" s="1"/>
  <c r="R74" i="6" s="1"/>
  <c r="T68" i="5" a="1"/>
  <c r="T68" i="5" s="1"/>
  <c r="P66" i="6" s="1"/>
  <c r="W68" i="5" a="1"/>
  <c r="W68" i="5" s="1"/>
  <c r="S66" i="6" s="1"/>
  <c r="V68" i="5" a="1"/>
  <c r="V68" i="5" s="1"/>
  <c r="R66" i="6" s="1"/>
  <c r="V36" i="5" a="1"/>
  <c r="V36" i="5" s="1"/>
  <c r="R34" i="6" s="1"/>
  <c r="W36" i="5" a="1"/>
  <c r="W36" i="5" s="1"/>
  <c r="S34" i="6" s="1"/>
  <c r="U36" i="5" a="1"/>
  <c r="U36" i="5" s="1"/>
  <c r="Q34" i="6" s="1"/>
  <c r="T28" i="5" a="1"/>
  <c r="T28" i="5" s="1"/>
  <c r="P26" i="6" s="1"/>
  <c r="W28" i="5" a="1"/>
  <c r="W28" i="5" s="1"/>
  <c r="S26" i="6" s="1"/>
  <c r="V20" i="5" a="1"/>
  <c r="V20" i="5" s="1"/>
  <c r="R18" i="6" s="1"/>
  <c r="W20" i="5" a="1"/>
  <c r="W20" i="5" s="1"/>
  <c r="S18" i="6" s="1"/>
  <c r="U12" i="5" a="1"/>
  <c r="U12" i="5" s="1"/>
  <c r="Q10" i="6" s="1"/>
  <c r="W12" i="5" a="1"/>
  <c r="W12" i="5" s="1"/>
  <c r="S10" i="6" s="1"/>
  <c r="V86" i="5" a="1"/>
  <c r="V86" i="5" s="1"/>
  <c r="R84" i="6" s="1"/>
  <c r="W294" i="5" a="1"/>
  <c r="W294" i="5" s="1"/>
  <c r="S292" i="6" s="1"/>
  <c r="W340" i="5" a="1"/>
  <c r="W340" i="5" s="1"/>
  <c r="S338" i="6" s="1"/>
  <c r="W412" i="5" a="1"/>
  <c r="W412" i="5" s="1"/>
  <c r="S410" i="6" s="1"/>
  <c r="W4" i="5" a="1"/>
  <c r="W4" i="5" s="1"/>
  <c r="S2" i="6" s="1"/>
  <c r="V4" i="5" a="1"/>
  <c r="V4" i="5" s="1"/>
  <c r="R2" i="6" s="1"/>
  <c r="T387" i="5" a="1"/>
  <c r="T387" i="5" s="1"/>
  <c r="P385" i="6" s="1"/>
  <c r="W387" i="5" a="1"/>
  <c r="W387" i="5" s="1"/>
  <c r="S385" i="6" s="1"/>
  <c r="U379" i="5" a="1"/>
  <c r="U379" i="5" s="1"/>
  <c r="Q377" i="6" s="1"/>
  <c r="W379" i="5" a="1"/>
  <c r="W379" i="5" s="1"/>
  <c r="S377" i="6" s="1"/>
  <c r="U371" i="5" a="1"/>
  <c r="U371" i="5" s="1"/>
  <c r="Q369" i="6" s="1"/>
  <c r="W371" i="5" a="1"/>
  <c r="W371" i="5" s="1"/>
  <c r="S369" i="6" s="1"/>
  <c r="U363" i="5" a="1"/>
  <c r="U363" i="5" s="1"/>
  <c r="Q361" i="6" s="1"/>
  <c r="W363" i="5" a="1"/>
  <c r="W363" i="5" s="1"/>
  <c r="S361" i="6" s="1"/>
  <c r="V347" i="5" a="1"/>
  <c r="V347" i="5" s="1"/>
  <c r="R345" i="6" s="1"/>
  <c r="W347" i="5" a="1"/>
  <c r="W347" i="5" s="1"/>
  <c r="S345" i="6" s="1"/>
  <c r="U227" i="5" a="1"/>
  <c r="U227" i="5" s="1"/>
  <c r="Q225" i="6" s="1"/>
  <c r="V227" i="5" a="1"/>
  <c r="V227" i="5" s="1"/>
  <c r="R225" i="6" s="1"/>
  <c r="V219" i="5" a="1"/>
  <c r="V219" i="5" s="1"/>
  <c r="R217" i="6" s="1"/>
  <c r="W219" i="5" a="1"/>
  <c r="W219" i="5" s="1"/>
  <c r="S217" i="6" s="1"/>
  <c r="V211" i="5" a="1"/>
  <c r="V211" i="5" s="1"/>
  <c r="R209" i="6" s="1"/>
  <c r="W211" i="5" a="1"/>
  <c r="W211" i="5" s="1"/>
  <c r="S209" i="6" s="1"/>
  <c r="V155" i="5" a="1"/>
  <c r="V155" i="5" s="1"/>
  <c r="R153" i="6" s="1"/>
  <c r="W155" i="5" a="1"/>
  <c r="W155" i="5" s="1"/>
  <c r="S153" i="6" s="1"/>
  <c r="V59" i="5" a="1"/>
  <c r="V59" i="5" s="1"/>
  <c r="R57" i="6" s="1"/>
  <c r="W59" i="5" a="1"/>
  <c r="W59" i="5" s="1"/>
  <c r="S57" i="6" s="1"/>
  <c r="V131" i="5" a="1"/>
  <c r="V131" i="5" s="1"/>
  <c r="R129" i="6" s="1"/>
  <c r="W110" i="5" a="1"/>
  <c r="W110" i="5" s="1"/>
  <c r="S108" i="6" s="1"/>
  <c r="V418" i="5" a="1"/>
  <c r="V418" i="5" s="1"/>
  <c r="R416" i="6" s="1"/>
  <c r="W418" i="5" a="1"/>
  <c r="W418" i="5" s="1"/>
  <c r="S416" i="6" s="1"/>
  <c r="V386" i="5" a="1"/>
  <c r="V386" i="5" s="1"/>
  <c r="R384" i="6" s="1"/>
  <c r="W386" i="5" a="1"/>
  <c r="W386" i="5" s="1"/>
  <c r="S384" i="6" s="1"/>
  <c r="V298" i="5" a="1"/>
  <c r="V298" i="5" s="1"/>
  <c r="R296" i="6" s="1"/>
  <c r="W298" i="5" a="1"/>
  <c r="W298" i="5" s="1"/>
  <c r="S296" i="6" s="1"/>
  <c r="W290" i="5" a="1"/>
  <c r="W290" i="5" s="1"/>
  <c r="S288" i="6" s="1"/>
  <c r="T290" i="5" a="1"/>
  <c r="T290" i="5" s="1"/>
  <c r="P288" i="6" s="1"/>
  <c r="V282" i="5" a="1"/>
  <c r="V282" i="5" s="1"/>
  <c r="R280" i="6" s="1"/>
  <c r="W282" i="5" a="1"/>
  <c r="W282" i="5" s="1"/>
  <c r="S280" i="6" s="1"/>
  <c r="V274" i="5" a="1"/>
  <c r="V274" i="5" s="1"/>
  <c r="R272" i="6" s="1"/>
  <c r="W274" i="5" a="1"/>
  <c r="W274" i="5" s="1"/>
  <c r="S272" i="6" s="1"/>
  <c r="V202" i="5" a="1"/>
  <c r="V202" i="5" s="1"/>
  <c r="R200" i="6" s="1"/>
  <c r="W202" i="5" a="1"/>
  <c r="W202" i="5" s="1"/>
  <c r="S200" i="6" s="1"/>
  <c r="V194" i="5" a="1"/>
  <c r="V194" i="5" s="1"/>
  <c r="R192" i="6" s="1"/>
  <c r="W194" i="5" a="1"/>
  <c r="W194" i="5" s="1"/>
  <c r="S192" i="6" s="1"/>
  <c r="V162" i="5" a="1"/>
  <c r="V162" i="5" s="1"/>
  <c r="R160" i="6" s="1"/>
  <c r="W162" i="5" a="1"/>
  <c r="W162" i="5" s="1"/>
  <c r="S160" i="6" s="1"/>
  <c r="V122" i="5" a="1"/>
  <c r="V122" i="5" s="1"/>
  <c r="R120" i="6" s="1"/>
  <c r="W122" i="5" a="1"/>
  <c r="W122" i="5" s="1"/>
  <c r="S120" i="6" s="1"/>
  <c r="V98" i="5" a="1"/>
  <c r="V98" i="5" s="1"/>
  <c r="R96" i="6" s="1"/>
  <c r="W98" i="5" a="1"/>
  <c r="W98" i="5" s="1"/>
  <c r="S96" i="6" s="1"/>
  <c r="T74" i="5" a="1"/>
  <c r="T74" i="5" s="1"/>
  <c r="P72" i="6" s="1"/>
  <c r="W74" i="5" a="1"/>
  <c r="W74" i="5" s="1"/>
  <c r="S72" i="6" s="1"/>
  <c r="T50" i="5" a="1"/>
  <c r="T50" i="5" s="1"/>
  <c r="P48" i="6" s="1"/>
  <c r="W50" i="5" a="1"/>
  <c r="W50" i="5" s="1"/>
  <c r="S48" i="6" s="1"/>
  <c r="T18" i="5" a="1"/>
  <c r="T18" i="5" s="1"/>
  <c r="P16" i="6" s="1"/>
  <c r="U18" i="5" a="1"/>
  <c r="U18" i="5" s="1"/>
  <c r="Q16" i="6" s="1"/>
  <c r="U123" i="5" a="1"/>
  <c r="U123" i="5" s="1"/>
  <c r="Q121" i="6" s="1"/>
  <c r="V44" i="5" a="1"/>
  <c r="V44" i="5" s="1"/>
  <c r="R42" i="6" s="1"/>
  <c r="V91" i="5" a="1"/>
  <c r="V91" i="5" s="1"/>
  <c r="R89" i="6" s="1"/>
  <c r="V139" i="5" a="1"/>
  <c r="V139" i="5" s="1"/>
  <c r="R137" i="6" s="1"/>
  <c r="V195" i="5" a="1"/>
  <c r="V195" i="5" s="1"/>
  <c r="R193" i="6" s="1"/>
  <c r="V363" i="5" a="1"/>
  <c r="V363" i="5" s="1"/>
  <c r="R361" i="6" s="1"/>
  <c r="W13" i="5" a="1"/>
  <c r="W13" i="5" s="1"/>
  <c r="S11" i="6" s="1"/>
  <c r="W67" i="5" a="1"/>
  <c r="W67" i="5" s="1"/>
  <c r="S65" i="6" s="1"/>
  <c r="W147" i="5" a="1"/>
  <c r="W147" i="5" s="1"/>
  <c r="S145" i="6" s="1"/>
  <c r="W238" i="5" a="1"/>
  <c r="W238" i="5" s="1"/>
  <c r="S236" i="6" s="1"/>
  <c r="W250" i="5" a="1"/>
  <c r="W250" i="5" s="1"/>
  <c r="S248" i="6" s="1"/>
  <c r="W286" i="5" a="1"/>
  <c r="W286" i="5" s="1"/>
  <c r="S284" i="6" s="1"/>
  <c r="W332" i="5" a="1"/>
  <c r="W332" i="5" s="1"/>
  <c r="S330" i="6" s="1"/>
  <c r="W390" i="5" a="1"/>
  <c r="W390" i="5" s="1"/>
  <c r="S388" i="6" s="1"/>
  <c r="V361" i="5" a="1"/>
  <c r="V361" i="5" s="1"/>
  <c r="R359" i="6" s="1"/>
  <c r="W361" i="5" a="1"/>
  <c r="W361" i="5" s="1"/>
  <c r="S359" i="6" s="1"/>
  <c r="V313" i="5" a="1"/>
  <c r="V313" i="5" s="1"/>
  <c r="R311" i="6" s="1"/>
  <c r="W313" i="5" a="1"/>
  <c r="W313" i="5" s="1"/>
  <c r="S311" i="6" s="1"/>
  <c r="V281" i="5" a="1"/>
  <c r="V281" i="5" s="1"/>
  <c r="R279" i="6" s="1"/>
  <c r="W281" i="5" a="1"/>
  <c r="W281" i="5" s="1"/>
  <c r="S279" i="6" s="1"/>
  <c r="V415" i="5" a="1"/>
  <c r="V415" i="5" s="1"/>
  <c r="R413" i="6" s="1"/>
  <c r="W415" i="5" a="1"/>
  <c r="W415" i="5" s="1"/>
  <c r="S413" i="6" s="1"/>
  <c r="V407" i="5" a="1"/>
  <c r="V407" i="5" s="1"/>
  <c r="R405" i="6" s="1"/>
  <c r="W407" i="5" a="1"/>
  <c r="W407" i="5" s="1"/>
  <c r="S405" i="6" s="1"/>
  <c r="V391" i="5" a="1"/>
  <c r="V391" i="5" s="1"/>
  <c r="R389" i="6" s="1"/>
  <c r="W391" i="5" a="1"/>
  <c r="W391" i="5" s="1"/>
  <c r="S389" i="6" s="1"/>
  <c r="V375" i="5" a="1"/>
  <c r="V375" i="5" s="1"/>
  <c r="R373" i="6" s="1"/>
  <c r="W375" i="5" a="1"/>
  <c r="W375" i="5" s="1"/>
  <c r="S373" i="6" s="1"/>
  <c r="V359" i="5" a="1"/>
  <c r="V359" i="5" s="1"/>
  <c r="R357" i="6" s="1"/>
  <c r="W359" i="5" a="1"/>
  <c r="W359" i="5" s="1"/>
  <c r="S357" i="6" s="1"/>
  <c r="V343" i="5" a="1"/>
  <c r="V343" i="5" s="1"/>
  <c r="R341" i="6" s="1"/>
  <c r="W343" i="5" a="1"/>
  <c r="W343" i="5" s="1"/>
  <c r="S341" i="6" s="1"/>
  <c r="V327" i="5" a="1"/>
  <c r="V327" i="5" s="1"/>
  <c r="R325" i="6" s="1"/>
  <c r="W327" i="5" a="1"/>
  <c r="W327" i="5" s="1"/>
  <c r="S325" i="6" s="1"/>
  <c r="V295" i="5" a="1"/>
  <c r="V295" i="5" s="1"/>
  <c r="R293" i="6" s="1"/>
  <c r="W295" i="5" a="1"/>
  <c r="W295" i="5" s="1"/>
  <c r="S293" i="6" s="1"/>
  <c r="V279" i="5" a="1"/>
  <c r="V279" i="5" s="1"/>
  <c r="R277" i="6" s="1"/>
  <c r="W279" i="5" a="1"/>
  <c r="W279" i="5" s="1"/>
  <c r="S277" i="6" s="1"/>
  <c r="V231" i="5" a="1"/>
  <c r="V231" i="5" s="1"/>
  <c r="R229" i="6" s="1"/>
  <c r="W231" i="5" a="1"/>
  <c r="W231" i="5" s="1"/>
  <c r="S229" i="6" s="1"/>
  <c r="V183" i="5" a="1"/>
  <c r="V183" i="5" s="1"/>
  <c r="R181" i="6" s="1"/>
  <c r="W183" i="5" a="1"/>
  <c r="W183" i="5" s="1"/>
  <c r="S181" i="6" s="1"/>
  <c r="U119" i="5" a="1"/>
  <c r="U119" i="5" s="1"/>
  <c r="Q117" i="6" s="1"/>
  <c r="V9" i="5" a="1"/>
  <c r="V9" i="5" s="1"/>
  <c r="R7" i="6" s="1"/>
  <c r="V24" i="5" a="1"/>
  <c r="V24" i="5" s="1"/>
  <c r="R22" i="6" s="1"/>
  <c r="V40" i="5" a="1"/>
  <c r="V40" i="5" s="1"/>
  <c r="R38" i="6" s="1"/>
  <c r="W41" i="5" a="1"/>
  <c r="W41" i="5" s="1"/>
  <c r="S39" i="6" s="1"/>
  <c r="W64" i="5" a="1"/>
  <c r="W64" i="5" s="1"/>
  <c r="S62" i="6" s="1"/>
  <c r="W145" i="5" a="1"/>
  <c r="W145" i="5" s="1"/>
  <c r="S143" i="6" s="1"/>
  <c r="W175" i="5" a="1"/>
  <c r="W175" i="5" s="1"/>
  <c r="S173" i="6" s="1"/>
  <c r="W255" i="5" a="1"/>
  <c r="W255" i="5" s="1"/>
  <c r="S253" i="6" s="1"/>
  <c r="W321" i="5" a="1"/>
  <c r="W321" i="5" s="1"/>
  <c r="S319" i="6" s="1"/>
  <c r="W328" i="5" a="1"/>
  <c r="W328" i="5" s="1"/>
  <c r="S326" i="6" s="1"/>
  <c r="V345" i="5" a="1"/>
  <c r="V345" i="5" s="1"/>
  <c r="R343" i="6" s="1"/>
  <c r="W345" i="5" a="1"/>
  <c r="W345" i="5" s="1"/>
  <c r="S343" i="6" s="1"/>
  <c r="V265" i="5" a="1"/>
  <c r="V265" i="5" s="1"/>
  <c r="R263" i="6" s="1"/>
  <c r="W265" i="5" a="1"/>
  <c r="W265" i="5" s="1"/>
  <c r="S263" i="6" s="1"/>
  <c r="V249" i="5" a="1"/>
  <c r="V249" i="5" s="1"/>
  <c r="R247" i="6" s="1"/>
  <c r="W249" i="5" a="1"/>
  <c r="W249" i="5" s="1"/>
  <c r="S247" i="6" s="1"/>
  <c r="V217" i="5" a="1"/>
  <c r="V217" i="5" s="1"/>
  <c r="R215" i="6" s="1"/>
  <c r="W217" i="5" a="1"/>
  <c r="W217" i="5" s="1"/>
  <c r="S215" i="6" s="1"/>
  <c r="V201" i="5" a="1"/>
  <c r="V201" i="5" s="1"/>
  <c r="R199" i="6" s="1"/>
  <c r="W201" i="5" a="1"/>
  <c r="W201" i="5" s="1"/>
  <c r="S199" i="6" s="1"/>
  <c r="V185" i="5" a="1"/>
  <c r="V185" i="5" s="1"/>
  <c r="R183" i="6" s="1"/>
  <c r="W185" i="5" a="1"/>
  <c r="W185" i="5" s="1"/>
  <c r="S183" i="6" s="1"/>
  <c r="V169" i="5" a="1"/>
  <c r="V169" i="5" s="1"/>
  <c r="R167" i="6" s="1"/>
  <c r="W169" i="5" a="1"/>
  <c r="W169" i="5" s="1"/>
  <c r="S167" i="6" s="1"/>
  <c r="V153" i="5" a="1"/>
  <c r="V153" i="5" s="1"/>
  <c r="R151" i="6" s="1"/>
  <c r="W153" i="5" a="1"/>
  <c r="W153" i="5" s="1"/>
  <c r="S151" i="6" s="1"/>
  <c r="V137" i="5" a="1"/>
  <c r="V137" i="5" s="1"/>
  <c r="R135" i="6" s="1"/>
  <c r="W137" i="5" a="1"/>
  <c r="W137" i="5" s="1"/>
  <c r="S135" i="6" s="1"/>
  <c r="V105" i="5" a="1"/>
  <c r="V105" i="5" s="1"/>
  <c r="R103" i="6" s="1"/>
  <c r="W105" i="5" a="1"/>
  <c r="W105" i="5" s="1"/>
  <c r="S103" i="6" s="1"/>
  <c r="V96" i="5" a="1"/>
  <c r="V96" i="5" s="1"/>
  <c r="R94" i="6" s="1"/>
  <c r="V120" i="5" a="1"/>
  <c r="V120" i="5" s="1"/>
  <c r="R118" i="6" s="1"/>
  <c r="V184" i="5" a="1"/>
  <c r="V184" i="5" s="1"/>
  <c r="R182" i="6" s="1"/>
  <c r="V257" i="5" a="1"/>
  <c r="V257" i="5" s="1"/>
  <c r="R255" i="6" s="1"/>
  <c r="W40" i="5" a="1"/>
  <c r="W40" i="5" s="1"/>
  <c r="S38" i="6" s="1"/>
  <c r="W49" i="5" a="1"/>
  <c r="W49" i="5" s="1"/>
  <c r="S47" i="6" s="1"/>
  <c r="W136" i="5" a="1"/>
  <c r="W136" i="5" s="1"/>
  <c r="S134" i="6" s="1"/>
  <c r="W209" i="5" a="1"/>
  <c r="W209" i="5" s="1"/>
  <c r="S207" i="6" s="1"/>
  <c r="W392" i="5" a="1"/>
  <c r="W392" i="5" s="1"/>
  <c r="S390" i="6" s="1"/>
  <c r="V329" i="5" a="1"/>
  <c r="V329" i="5" s="1"/>
  <c r="R327" i="6" s="1"/>
  <c r="W329" i="5" a="1"/>
  <c r="W329" i="5" s="1"/>
  <c r="S327" i="6" s="1"/>
  <c r="V400" i="5" a="1"/>
  <c r="V400" i="5" s="1"/>
  <c r="R398" i="6" s="1"/>
  <c r="W400" i="5" a="1"/>
  <c r="W400" i="5" s="1"/>
  <c r="S398" i="6" s="1"/>
  <c r="V368" i="5" a="1"/>
  <c r="V368" i="5" s="1"/>
  <c r="R366" i="6" s="1"/>
  <c r="W368" i="5" a="1"/>
  <c r="W368" i="5" s="1"/>
  <c r="S366" i="6" s="1"/>
  <c r="V336" i="5" a="1"/>
  <c r="V336" i="5" s="1"/>
  <c r="R334" i="6" s="1"/>
  <c r="W336" i="5" a="1"/>
  <c r="W336" i="5" s="1"/>
  <c r="S334" i="6" s="1"/>
  <c r="V304" i="5" a="1"/>
  <c r="V304" i="5" s="1"/>
  <c r="R302" i="6" s="1"/>
  <c r="W304" i="5" a="1"/>
  <c r="W304" i="5" s="1"/>
  <c r="S302" i="6" s="1"/>
  <c r="V272" i="5" a="1"/>
  <c r="V272" i="5" s="1"/>
  <c r="R270" i="6" s="1"/>
  <c r="W272" i="5" a="1"/>
  <c r="W272" i="5" s="1"/>
  <c r="S270" i="6" s="1"/>
  <c r="V240" i="5" a="1"/>
  <c r="V240" i="5" s="1"/>
  <c r="R238" i="6" s="1"/>
  <c r="W240" i="5" a="1"/>
  <c r="W240" i="5" s="1"/>
  <c r="S238" i="6" s="1"/>
  <c r="U224" i="5" a="1"/>
  <c r="U224" i="5" s="1"/>
  <c r="Q222" i="6" s="1"/>
  <c r="W224" i="5" a="1"/>
  <c r="W224" i="5" s="1"/>
  <c r="S222" i="6" s="1"/>
  <c r="V208" i="5" a="1"/>
  <c r="V208" i="5" s="1"/>
  <c r="R206" i="6" s="1"/>
  <c r="W208" i="5" a="1"/>
  <c r="W208" i="5" s="1"/>
  <c r="S206" i="6" s="1"/>
  <c r="T192" i="5" a="1"/>
  <c r="T192" i="5" s="1"/>
  <c r="P190" i="6" s="1"/>
  <c r="W192" i="5" a="1"/>
  <c r="W192" i="5" s="1"/>
  <c r="S190" i="6" s="1"/>
  <c r="V176" i="5" a="1"/>
  <c r="V176" i="5" s="1"/>
  <c r="R174" i="6" s="1"/>
  <c r="W176" i="5" a="1"/>
  <c r="W176" i="5" s="1"/>
  <c r="S174" i="6" s="1"/>
  <c r="R160" i="5" a="1"/>
  <c r="R160" i="5" s="1"/>
  <c r="N158" i="6" s="1"/>
  <c r="W160" i="5" a="1"/>
  <c r="W160" i="5" s="1"/>
  <c r="S158" i="6" s="1"/>
  <c r="U144" i="5" a="1"/>
  <c r="U144" i="5" s="1"/>
  <c r="Q142" i="6" s="1"/>
  <c r="W144" i="5" a="1"/>
  <c r="W144" i="5" s="1"/>
  <c r="S142" i="6" s="1"/>
  <c r="T128" i="5" a="1"/>
  <c r="T128" i="5" s="1"/>
  <c r="P126" i="6" s="1"/>
  <c r="W128" i="5" a="1"/>
  <c r="W128" i="5" s="1"/>
  <c r="S126" i="6" s="1"/>
  <c r="U112" i="5" a="1"/>
  <c r="U112" i="5" s="1"/>
  <c r="Q110" i="6" s="1"/>
  <c r="W112" i="5" a="1"/>
  <c r="W112" i="5" s="1"/>
  <c r="S110" i="6" s="1"/>
  <c r="T80" i="5" a="1"/>
  <c r="T80" i="5" s="1"/>
  <c r="P78" i="6" s="1"/>
  <c r="W80" i="5" a="1"/>
  <c r="W80" i="5" s="1"/>
  <c r="S78" i="6" s="1"/>
  <c r="V72" i="5" a="1"/>
  <c r="V72" i="5" s="1"/>
  <c r="R70" i="6" s="1"/>
  <c r="W72" i="5" a="1"/>
  <c r="W72" i="5" s="1"/>
  <c r="S70" i="6" s="1"/>
  <c r="T32" i="5" a="1"/>
  <c r="T32" i="5" s="1"/>
  <c r="P30" i="6" s="1"/>
  <c r="U113" i="5" a="1"/>
  <c r="U113" i="5" s="1"/>
  <c r="Q111" i="6" s="1"/>
  <c r="V97" i="5" a="1"/>
  <c r="V97" i="5" s="1"/>
  <c r="R95" i="6" s="1"/>
  <c r="V152" i="5" a="1"/>
  <c r="V152" i="5" s="1"/>
  <c r="R150" i="6" s="1"/>
  <c r="V192" i="5" a="1"/>
  <c r="V192" i="5" s="1"/>
  <c r="R190" i="6" s="1"/>
  <c r="V225" i="5" a="1"/>
  <c r="V225" i="5" s="1"/>
  <c r="R223" i="6" s="1"/>
  <c r="W8" i="5" a="1"/>
  <c r="W8" i="5" s="1"/>
  <c r="S6" i="6" s="1"/>
  <c r="W73" i="5" a="1"/>
  <c r="W73" i="5" s="1"/>
  <c r="S71" i="6" s="1"/>
  <c r="W225" i="5" a="1"/>
  <c r="W225" i="5" s="1"/>
  <c r="S223" i="6" s="1"/>
  <c r="W232" i="5" a="1"/>
  <c r="W232" i="5" s="1"/>
  <c r="S230" i="6" s="1"/>
  <c r="W305" i="5" a="1"/>
  <c r="W305" i="5" s="1"/>
  <c r="S303" i="6" s="1"/>
  <c r="W335" i="5" a="1"/>
  <c r="W335" i="5" s="1"/>
  <c r="S333" i="6" s="1"/>
  <c r="W416" i="5" a="1"/>
  <c r="W416" i="5" s="1"/>
  <c r="S414" i="6" s="1"/>
  <c r="R383" i="5" a="1"/>
  <c r="R383" i="5" s="1"/>
  <c r="N381" i="6" s="1"/>
  <c r="V383" i="5" a="1"/>
  <c r="V383" i="5" s="1"/>
  <c r="R381" i="6" s="1"/>
  <c r="U367" i="5" a="1"/>
  <c r="U367" i="5" s="1"/>
  <c r="Q365" i="6" s="1"/>
  <c r="V367" i="5" a="1"/>
  <c r="V367" i="5" s="1"/>
  <c r="R365" i="6" s="1"/>
  <c r="V351" i="5" a="1"/>
  <c r="V351" i="5" s="1"/>
  <c r="R349" i="6" s="1"/>
  <c r="U351" i="5" a="1"/>
  <c r="U351" i="5" s="1"/>
  <c r="Q349" i="6" s="1"/>
  <c r="U319" i="5" a="1"/>
  <c r="U319" i="5" s="1"/>
  <c r="Q317" i="6" s="1"/>
  <c r="V319" i="5" a="1"/>
  <c r="V319" i="5" s="1"/>
  <c r="R317" i="6" s="1"/>
  <c r="U311" i="5" a="1"/>
  <c r="U311" i="5" s="1"/>
  <c r="Q309" i="6" s="1"/>
  <c r="V311" i="5" a="1"/>
  <c r="V311" i="5" s="1"/>
  <c r="R309" i="6" s="1"/>
  <c r="U303" i="5" a="1"/>
  <c r="U303" i="5" s="1"/>
  <c r="Q301" i="6" s="1"/>
  <c r="V303" i="5" a="1"/>
  <c r="V303" i="5" s="1"/>
  <c r="R301" i="6" s="1"/>
  <c r="U271" i="5" a="1"/>
  <c r="U271" i="5" s="1"/>
  <c r="Q269" i="6" s="1"/>
  <c r="V271" i="5" a="1"/>
  <c r="V271" i="5" s="1"/>
  <c r="R269" i="6" s="1"/>
  <c r="U263" i="5" a="1"/>
  <c r="U263" i="5" s="1"/>
  <c r="Q261" i="6" s="1"/>
  <c r="V263" i="5" a="1"/>
  <c r="V263" i="5" s="1"/>
  <c r="R261" i="6" s="1"/>
  <c r="U247" i="5" a="1"/>
  <c r="U247" i="5" s="1"/>
  <c r="Q245" i="6" s="1"/>
  <c r="V247" i="5" a="1"/>
  <c r="V247" i="5" s="1"/>
  <c r="R245" i="6" s="1"/>
  <c r="U239" i="5" a="1"/>
  <c r="U239" i="5" s="1"/>
  <c r="Q237" i="6" s="1"/>
  <c r="V239" i="5" a="1"/>
  <c r="V239" i="5" s="1"/>
  <c r="R237" i="6" s="1"/>
  <c r="U223" i="5" a="1"/>
  <c r="U223" i="5" s="1"/>
  <c r="Q221" i="6" s="1"/>
  <c r="V223" i="5" a="1"/>
  <c r="V223" i="5" s="1"/>
  <c r="R221" i="6" s="1"/>
  <c r="U215" i="5" a="1"/>
  <c r="U215" i="5" s="1"/>
  <c r="Q213" i="6" s="1"/>
  <c r="V215" i="5" a="1"/>
  <c r="V215" i="5" s="1"/>
  <c r="R213" i="6" s="1"/>
  <c r="U207" i="5" a="1"/>
  <c r="U207" i="5" s="1"/>
  <c r="Q205" i="6" s="1"/>
  <c r="V207" i="5" a="1"/>
  <c r="V207" i="5" s="1"/>
  <c r="R205" i="6" s="1"/>
  <c r="U199" i="5" a="1"/>
  <c r="U199" i="5" s="1"/>
  <c r="Q197" i="6" s="1"/>
  <c r="V199" i="5" a="1"/>
  <c r="V199" i="5" s="1"/>
  <c r="R197" i="6" s="1"/>
  <c r="T167" i="5" a="1"/>
  <c r="T167" i="5" s="1"/>
  <c r="P165" i="6" s="1"/>
  <c r="V167" i="5" a="1"/>
  <c r="V167" i="5" s="1"/>
  <c r="R165" i="6" s="1"/>
  <c r="S159" i="5" a="1"/>
  <c r="S159" i="5" s="1"/>
  <c r="O157" i="6" s="1"/>
  <c r="V159" i="5" a="1"/>
  <c r="V159" i="5" s="1"/>
  <c r="R157" i="6" s="1"/>
  <c r="U159" i="5" a="1"/>
  <c r="U159" i="5" s="1"/>
  <c r="Q157" i="6" s="1"/>
  <c r="S151" i="5" a="1"/>
  <c r="S151" i="5" s="1"/>
  <c r="O149" i="6" s="1"/>
  <c r="V151" i="5" a="1"/>
  <c r="V151" i="5" s="1"/>
  <c r="R149" i="6" s="1"/>
  <c r="S143" i="5" a="1"/>
  <c r="S143" i="5" s="1"/>
  <c r="O141" i="6" s="1"/>
  <c r="V143" i="5" a="1"/>
  <c r="V143" i="5" s="1"/>
  <c r="R141" i="6" s="1"/>
  <c r="T135" i="5" a="1"/>
  <c r="T135" i="5" s="1"/>
  <c r="P133" i="6" s="1"/>
  <c r="V135" i="5" a="1"/>
  <c r="V135" i="5" s="1"/>
  <c r="R133" i="6" s="1"/>
  <c r="U135" i="5" a="1"/>
  <c r="U135" i="5" s="1"/>
  <c r="Q133" i="6" s="1"/>
  <c r="S127" i="5" a="1"/>
  <c r="S127" i="5" s="1"/>
  <c r="O125" i="6" s="1"/>
  <c r="V127" i="5" a="1"/>
  <c r="V127" i="5" s="1"/>
  <c r="R125" i="6" s="1"/>
  <c r="U127" i="5" a="1"/>
  <c r="U127" i="5" s="1"/>
  <c r="Q125" i="6" s="1"/>
  <c r="S119" i="5" a="1"/>
  <c r="S119" i="5" s="1"/>
  <c r="O117" i="6" s="1"/>
  <c r="V119" i="5" a="1"/>
  <c r="V119" i="5" s="1"/>
  <c r="R117" i="6" s="1"/>
  <c r="V103" i="5" a="1"/>
  <c r="V103" i="5" s="1"/>
  <c r="R101" i="6" s="1"/>
  <c r="U103" i="5" a="1"/>
  <c r="U103" i="5" s="1"/>
  <c r="Q101" i="6" s="1"/>
  <c r="V95" i="5" a="1"/>
  <c r="V95" i="5" s="1"/>
  <c r="R93" i="6" s="1"/>
  <c r="U95" i="5" a="1"/>
  <c r="U95" i="5" s="1"/>
  <c r="Q93" i="6" s="1"/>
  <c r="R87" i="5" a="1"/>
  <c r="R87" i="5" s="1"/>
  <c r="N85" i="6" s="1"/>
  <c r="V87" i="5" a="1"/>
  <c r="V87" i="5" s="1"/>
  <c r="R85" i="6" s="1"/>
  <c r="U79" i="5" a="1"/>
  <c r="U79" i="5" s="1"/>
  <c r="Q77" i="6" s="1"/>
  <c r="V79" i="5" a="1"/>
  <c r="V79" i="5" s="1"/>
  <c r="R77" i="6" s="1"/>
  <c r="U71" i="5" a="1"/>
  <c r="U71" i="5" s="1"/>
  <c r="Q69" i="6" s="1"/>
  <c r="V71" i="5" a="1"/>
  <c r="V71" i="5" s="1"/>
  <c r="R69" i="6" s="1"/>
  <c r="U63" i="5" a="1"/>
  <c r="U63" i="5" s="1"/>
  <c r="Q61" i="6" s="1"/>
  <c r="V63" i="5" a="1"/>
  <c r="V63" i="5" s="1"/>
  <c r="R61" i="6" s="1"/>
  <c r="U55" i="5" a="1"/>
  <c r="U55" i="5" s="1"/>
  <c r="Q53" i="6" s="1"/>
  <c r="V55" i="5" a="1"/>
  <c r="V55" i="5" s="1"/>
  <c r="R53" i="6" s="1"/>
  <c r="U47" i="5" a="1"/>
  <c r="U47" i="5" s="1"/>
  <c r="Q45" i="6" s="1"/>
  <c r="V47" i="5" a="1"/>
  <c r="V47" i="5" s="1"/>
  <c r="R45" i="6" s="1"/>
  <c r="S31" i="5" a="1"/>
  <c r="S31" i="5" s="1"/>
  <c r="O29" i="6" s="1"/>
  <c r="V31" i="5" a="1"/>
  <c r="V31" i="5" s="1"/>
  <c r="R29" i="6" s="1"/>
  <c r="V23" i="5" a="1"/>
  <c r="V23" i="5" s="1"/>
  <c r="R21" i="6" s="1"/>
  <c r="R23" i="5" a="1"/>
  <c r="R23" i="5" s="1"/>
  <c r="N21" i="6" s="1"/>
  <c r="V15" i="5" a="1"/>
  <c r="V15" i="5" s="1"/>
  <c r="R13" i="6" s="1"/>
  <c r="S15" i="5" a="1"/>
  <c r="S15" i="5" s="1"/>
  <c r="O13" i="6" s="1"/>
  <c r="T23" i="5" a="1"/>
  <c r="T23" i="5" s="1"/>
  <c r="P21" i="6" s="1"/>
  <c r="U151" i="5" a="1"/>
  <c r="U151" i="5" s="1"/>
  <c r="Q149" i="6" s="1"/>
  <c r="U406" i="5" a="1"/>
  <c r="U406" i="5" s="1"/>
  <c r="Q404" i="6" s="1"/>
  <c r="V406" i="5" a="1"/>
  <c r="V406" i="5" s="1"/>
  <c r="R404" i="6" s="1"/>
  <c r="U374" i="5" a="1"/>
  <c r="U374" i="5" s="1"/>
  <c r="Q372" i="6" s="1"/>
  <c r="V374" i="5" a="1"/>
  <c r="V374" i="5" s="1"/>
  <c r="R372" i="6" s="1"/>
  <c r="U358" i="5" a="1"/>
  <c r="U358" i="5" s="1"/>
  <c r="Q356" i="6" s="1"/>
  <c r="V358" i="5" a="1"/>
  <c r="V358" i="5" s="1"/>
  <c r="R356" i="6" s="1"/>
  <c r="U342" i="5" a="1"/>
  <c r="U342" i="5" s="1"/>
  <c r="Q340" i="6" s="1"/>
  <c r="V342" i="5" a="1"/>
  <c r="V342" i="5" s="1"/>
  <c r="R340" i="6" s="1"/>
  <c r="U334" i="5" a="1"/>
  <c r="U334" i="5" s="1"/>
  <c r="Q332" i="6" s="1"/>
  <c r="V334" i="5" a="1"/>
  <c r="V334" i="5" s="1"/>
  <c r="R332" i="6" s="1"/>
  <c r="U310" i="5" a="1"/>
  <c r="U310" i="5" s="1"/>
  <c r="Q308" i="6" s="1"/>
  <c r="V310" i="5" a="1"/>
  <c r="V310" i="5" s="1"/>
  <c r="R308" i="6" s="1"/>
  <c r="U270" i="5" a="1"/>
  <c r="U270" i="5" s="1"/>
  <c r="Q268" i="6" s="1"/>
  <c r="V270" i="5" a="1"/>
  <c r="V270" i="5" s="1"/>
  <c r="R268" i="6" s="1"/>
  <c r="U214" i="5" a="1"/>
  <c r="U214" i="5" s="1"/>
  <c r="Q212" i="6" s="1"/>
  <c r="V214" i="5" a="1"/>
  <c r="V214" i="5" s="1"/>
  <c r="R212" i="6" s="1"/>
  <c r="U190" i="5" a="1"/>
  <c r="U190" i="5" s="1"/>
  <c r="Q188" i="6" s="1"/>
  <c r="V190" i="5" a="1"/>
  <c r="V190" i="5" s="1"/>
  <c r="R188" i="6" s="1"/>
  <c r="U182" i="5" a="1"/>
  <c r="U182" i="5" s="1"/>
  <c r="Q180" i="6" s="1"/>
  <c r="V182" i="5" a="1"/>
  <c r="V182" i="5" s="1"/>
  <c r="R180" i="6" s="1"/>
  <c r="U142" i="5" a="1"/>
  <c r="U142" i="5" s="1"/>
  <c r="Q140" i="6" s="1"/>
  <c r="V142" i="5" a="1"/>
  <c r="V142" i="5" s="1"/>
  <c r="R140" i="6" s="1"/>
  <c r="U126" i="5" a="1"/>
  <c r="U126" i="5" s="1"/>
  <c r="Q124" i="6" s="1"/>
  <c r="V126" i="5" a="1"/>
  <c r="V126" i="5" s="1"/>
  <c r="R124" i="6" s="1"/>
  <c r="U102" i="5" a="1"/>
  <c r="U102" i="5" s="1"/>
  <c r="Q100" i="6" s="1"/>
  <c r="V102" i="5" a="1"/>
  <c r="V102" i="5" s="1"/>
  <c r="R100" i="6" s="1"/>
  <c r="U70" i="5" a="1"/>
  <c r="U70" i="5" s="1"/>
  <c r="Q68" i="6" s="1"/>
  <c r="V70" i="5" a="1"/>
  <c r="V70" i="5" s="1"/>
  <c r="R68" i="6" s="1"/>
  <c r="U6" i="5" a="1"/>
  <c r="U6" i="5" s="1"/>
  <c r="Q4" i="6" s="1"/>
  <c r="V6" i="5" a="1"/>
  <c r="V6" i="5" s="1"/>
  <c r="R4" i="6" s="1"/>
  <c r="R103" i="5" a="1"/>
  <c r="R103" i="5" s="1"/>
  <c r="N101" i="6" s="1"/>
  <c r="U87" i="5" a="1"/>
  <c r="U87" i="5" s="1"/>
  <c r="Q85" i="6" s="1"/>
  <c r="U13" i="5" a="1"/>
  <c r="U13" i="5" s="1"/>
  <c r="Q11" i="6" s="1"/>
  <c r="V69" i="5" a="1"/>
  <c r="V69" i="5" s="1"/>
  <c r="R67" i="6" s="1"/>
  <c r="V324" i="5" a="1"/>
  <c r="V324" i="5" s="1"/>
  <c r="R322" i="6" s="1"/>
  <c r="U324" i="5" a="1"/>
  <c r="U324" i="5" s="1"/>
  <c r="Q322" i="6" s="1"/>
  <c r="T228" i="5" a="1"/>
  <c r="T228" i="5" s="1"/>
  <c r="P226" i="6" s="1"/>
  <c r="V228" i="5" a="1"/>
  <c r="V228" i="5" s="1"/>
  <c r="R226" i="6" s="1"/>
  <c r="U228" i="5" a="1"/>
  <c r="U228" i="5" s="1"/>
  <c r="Q226" i="6" s="1"/>
  <c r="T100" i="5" a="1"/>
  <c r="T100" i="5" s="1"/>
  <c r="P98" i="6" s="1"/>
  <c r="V100" i="5" a="1"/>
  <c r="V100" i="5" s="1"/>
  <c r="R98" i="6" s="1"/>
  <c r="V12" i="5" a="1"/>
  <c r="V12" i="5" s="1"/>
  <c r="R10" i="6" s="1"/>
  <c r="V365" i="5" a="1"/>
  <c r="V365" i="5" s="1"/>
  <c r="R363" i="6" s="1"/>
  <c r="U411" i="5" a="1"/>
  <c r="U411" i="5" s="1"/>
  <c r="Q409" i="6" s="1"/>
  <c r="V411" i="5" a="1"/>
  <c r="V411" i="5" s="1"/>
  <c r="R409" i="6" s="1"/>
  <c r="R243" i="5" a="1"/>
  <c r="R243" i="5" s="1"/>
  <c r="N241" i="6" s="1"/>
  <c r="T243" i="5" a="1"/>
  <c r="T243" i="5" s="1"/>
  <c r="P241" i="6" s="1"/>
  <c r="U243" i="5" a="1"/>
  <c r="U243" i="5" s="1"/>
  <c r="Q241" i="6" s="1"/>
  <c r="T179" i="5" a="1"/>
  <c r="T179" i="5" s="1"/>
  <c r="P177" i="6" s="1"/>
  <c r="U179" i="5" a="1"/>
  <c r="U179" i="5" s="1"/>
  <c r="Q177" i="6" s="1"/>
  <c r="S200" i="5" a="1"/>
  <c r="S200" i="5" s="1"/>
  <c r="O198" i="6" s="1"/>
  <c r="T98" i="5" a="1"/>
  <c r="T98" i="5" s="1"/>
  <c r="P96" i="6" s="1"/>
  <c r="T363" i="5" a="1"/>
  <c r="T363" i="5" s="1"/>
  <c r="P361" i="6" s="1"/>
  <c r="U44" i="5" a="1"/>
  <c r="U44" i="5" s="1"/>
  <c r="Q42" i="6" s="1"/>
  <c r="U73" i="5" a="1"/>
  <c r="U73" i="5" s="1"/>
  <c r="Q71" i="6" s="1"/>
  <c r="U131" i="5" a="1"/>
  <c r="U131" i="5" s="1"/>
  <c r="Q129" i="6" s="1"/>
  <c r="U171" i="5" a="1"/>
  <c r="U171" i="5" s="1"/>
  <c r="Q169" i="6" s="1"/>
  <c r="V33" i="5" a="1"/>
  <c r="V33" i="5" s="1"/>
  <c r="R31" i="6" s="1"/>
  <c r="V48" i="5" a="1"/>
  <c r="V48" i="5" s="1"/>
  <c r="R46" i="6" s="1"/>
  <c r="V80" i="5" a="1"/>
  <c r="V80" i="5" s="1"/>
  <c r="R78" i="6" s="1"/>
  <c r="V112" i="5" a="1"/>
  <c r="V112" i="5" s="1"/>
  <c r="R110" i="6" s="1"/>
  <c r="V144" i="5" a="1"/>
  <c r="V144" i="5" s="1"/>
  <c r="R142" i="6" s="1"/>
  <c r="V165" i="5" a="1"/>
  <c r="V165" i="5" s="1"/>
  <c r="R163" i="6" s="1"/>
  <c r="V187" i="5" a="1"/>
  <c r="V187" i="5" s="1"/>
  <c r="R185" i="6" s="1"/>
  <c r="V357" i="5" a="1"/>
  <c r="V357" i="5" s="1"/>
  <c r="R355" i="6" s="1"/>
  <c r="V379" i="5" a="1"/>
  <c r="V379" i="5" s="1"/>
  <c r="R377" i="6" s="1"/>
  <c r="U356" i="5" a="1"/>
  <c r="U356" i="5" s="1"/>
  <c r="Q354" i="6" s="1"/>
  <c r="V356" i="5" a="1"/>
  <c r="V356" i="5" s="1"/>
  <c r="R354" i="6" s="1"/>
  <c r="T276" i="5" a="1"/>
  <c r="T276" i="5" s="1"/>
  <c r="P274" i="6" s="1"/>
  <c r="V276" i="5" a="1"/>
  <c r="V276" i="5" s="1"/>
  <c r="R274" i="6" s="1"/>
  <c r="T196" i="5" a="1"/>
  <c r="T196" i="5" s="1"/>
  <c r="P194" i="6" s="1"/>
  <c r="V196" i="5" a="1"/>
  <c r="V196" i="5" s="1"/>
  <c r="R194" i="6" s="1"/>
  <c r="U132" i="5" a="1"/>
  <c r="U132" i="5" s="1"/>
  <c r="Q130" i="6" s="1"/>
  <c r="V132" i="5" a="1"/>
  <c r="V132" i="5" s="1"/>
  <c r="R130" i="6" s="1"/>
  <c r="V109" i="5" a="1"/>
  <c r="V109" i="5" s="1"/>
  <c r="R107" i="6" s="1"/>
  <c r="V173" i="5" a="1"/>
  <c r="V173" i="5" s="1"/>
  <c r="R171" i="6" s="1"/>
  <c r="U394" i="5" a="1"/>
  <c r="U394" i="5" s="1"/>
  <c r="Q392" i="6" s="1"/>
  <c r="V394" i="5" a="1"/>
  <c r="V394" i="5" s="1"/>
  <c r="R392" i="6" s="1"/>
  <c r="U346" i="5" a="1"/>
  <c r="U346" i="5" s="1"/>
  <c r="Q344" i="6" s="1"/>
  <c r="V346" i="5" a="1"/>
  <c r="V346" i="5" s="1"/>
  <c r="R344" i="6" s="1"/>
  <c r="U330" i="5" a="1"/>
  <c r="U330" i="5" s="1"/>
  <c r="Q328" i="6" s="1"/>
  <c r="V330" i="5" a="1"/>
  <c r="V330" i="5" s="1"/>
  <c r="R328" i="6" s="1"/>
  <c r="U314" i="5" a="1"/>
  <c r="U314" i="5" s="1"/>
  <c r="Q312" i="6" s="1"/>
  <c r="V314" i="5" a="1"/>
  <c r="V314" i="5" s="1"/>
  <c r="R312" i="6" s="1"/>
  <c r="U306" i="5" a="1"/>
  <c r="U306" i="5" s="1"/>
  <c r="Q304" i="6" s="1"/>
  <c r="V306" i="5" a="1"/>
  <c r="V306" i="5" s="1"/>
  <c r="R304" i="6" s="1"/>
  <c r="U290" i="5" a="1"/>
  <c r="U290" i="5" s="1"/>
  <c r="Q288" i="6" s="1"/>
  <c r="V290" i="5" a="1"/>
  <c r="V290" i="5" s="1"/>
  <c r="R288" i="6" s="1"/>
  <c r="U242" i="5" a="1"/>
  <c r="U242" i="5" s="1"/>
  <c r="Q240" i="6" s="1"/>
  <c r="V242" i="5" a="1"/>
  <c r="V242" i="5" s="1"/>
  <c r="R240" i="6" s="1"/>
  <c r="U234" i="5" a="1"/>
  <c r="U234" i="5" s="1"/>
  <c r="Q232" i="6" s="1"/>
  <c r="V234" i="5" a="1"/>
  <c r="V234" i="5" s="1"/>
  <c r="R232" i="6" s="1"/>
  <c r="U210" i="5" a="1"/>
  <c r="U210" i="5" s="1"/>
  <c r="Q208" i="6" s="1"/>
  <c r="V210" i="5" a="1"/>
  <c r="V210" i="5" s="1"/>
  <c r="R208" i="6" s="1"/>
  <c r="U146" i="5" a="1"/>
  <c r="U146" i="5" s="1"/>
  <c r="Q144" i="6" s="1"/>
  <c r="V146" i="5" a="1"/>
  <c r="V146" i="5" s="1"/>
  <c r="R144" i="6" s="1"/>
  <c r="V138" i="5" a="1"/>
  <c r="V138" i="5" s="1"/>
  <c r="R136" i="6" s="1"/>
  <c r="T138" i="5" a="1"/>
  <c r="T138" i="5" s="1"/>
  <c r="P136" i="6" s="1"/>
  <c r="U130" i="5" a="1"/>
  <c r="U130" i="5" s="1"/>
  <c r="Q128" i="6" s="1"/>
  <c r="V130" i="5" a="1"/>
  <c r="V130" i="5" s="1"/>
  <c r="R128" i="6" s="1"/>
  <c r="U114" i="5" a="1"/>
  <c r="U114" i="5" s="1"/>
  <c r="Q112" i="6" s="1"/>
  <c r="V114" i="5" a="1"/>
  <c r="V114" i="5" s="1"/>
  <c r="R112" i="6" s="1"/>
  <c r="U82" i="5" a="1"/>
  <c r="U82" i="5" s="1"/>
  <c r="Q80" i="6" s="1"/>
  <c r="V82" i="5" a="1"/>
  <c r="V82" i="5" s="1"/>
  <c r="R80" i="6" s="1"/>
  <c r="T26" i="5" a="1"/>
  <c r="T26" i="5" s="1"/>
  <c r="P24" i="6" s="1"/>
  <c r="U26" i="5" a="1"/>
  <c r="U26" i="5" s="1"/>
  <c r="Q24" i="6" s="1"/>
  <c r="S34" i="5" a="1"/>
  <c r="S34" i="5" s="1"/>
  <c r="O32" i="6" s="1"/>
  <c r="S243" i="5" a="1"/>
  <c r="S243" i="5" s="1"/>
  <c r="O241" i="6" s="1"/>
  <c r="T227" i="5" a="1"/>
  <c r="T227" i="5" s="1"/>
  <c r="P225" i="6" s="1"/>
  <c r="T371" i="5" a="1"/>
  <c r="T371" i="5" s="1"/>
  <c r="P369" i="6" s="1"/>
  <c r="U20" i="5" a="1"/>
  <c r="U20" i="5" s="1"/>
  <c r="Q18" i="6" s="1"/>
  <c r="U49" i="5" a="1"/>
  <c r="U49" i="5" s="1"/>
  <c r="Q47" i="6" s="1"/>
  <c r="U105" i="5" a="1"/>
  <c r="U105" i="5" s="1"/>
  <c r="Q103" i="6" s="1"/>
  <c r="V13" i="5" a="1"/>
  <c r="V13" i="5" s="1"/>
  <c r="R11" i="6" s="1"/>
  <c r="V34" i="5" a="1"/>
  <c r="V34" i="5" s="1"/>
  <c r="R32" i="6" s="1"/>
  <c r="V41" i="5" a="1"/>
  <c r="V41" i="5" s="1"/>
  <c r="R39" i="6" s="1"/>
  <c r="V45" i="5" a="1"/>
  <c r="V45" i="5" s="1"/>
  <c r="R43" i="6" s="1"/>
  <c r="V77" i="5" a="1"/>
  <c r="V77" i="5" s="1"/>
  <c r="R75" i="6" s="1"/>
  <c r="T404" i="5" a="1"/>
  <c r="T404" i="5" s="1"/>
  <c r="P402" i="6" s="1"/>
  <c r="V404" i="5" a="1"/>
  <c r="V404" i="5" s="1"/>
  <c r="R402" i="6" s="1"/>
  <c r="U388" i="5" a="1"/>
  <c r="U388" i="5" s="1"/>
  <c r="Q386" i="6" s="1"/>
  <c r="V388" i="5" a="1"/>
  <c r="V388" i="5" s="1"/>
  <c r="R386" i="6" s="1"/>
  <c r="T308" i="5" a="1"/>
  <c r="T308" i="5" s="1"/>
  <c r="P306" i="6" s="1"/>
  <c r="V308" i="5" a="1"/>
  <c r="V308" i="5" s="1"/>
  <c r="R306" i="6" s="1"/>
  <c r="S292" i="5" a="1"/>
  <c r="S292" i="5" s="1"/>
  <c r="O290" i="6" s="1"/>
  <c r="V292" i="5" a="1"/>
  <c r="V292" i="5" s="1"/>
  <c r="R290" i="6" s="1"/>
  <c r="U233" i="5" a="1"/>
  <c r="U233" i="5" s="1"/>
  <c r="Q231" i="6" s="1"/>
  <c r="V233" i="5" a="1"/>
  <c r="V233" i="5" s="1"/>
  <c r="R231" i="6" s="1"/>
  <c r="R121" i="5" a="1"/>
  <c r="R121" i="5" s="1"/>
  <c r="N119" i="6" s="1"/>
  <c r="U121" i="5" a="1"/>
  <c r="U121" i="5" s="1"/>
  <c r="Q119" i="6" s="1"/>
  <c r="V121" i="5" a="1"/>
  <c r="V121" i="5" s="1"/>
  <c r="R119" i="6" s="1"/>
  <c r="S89" i="5" a="1"/>
  <c r="S89" i="5" s="1"/>
  <c r="O87" i="6" s="1"/>
  <c r="V89" i="5" a="1"/>
  <c r="V89" i="5" s="1"/>
  <c r="R87" i="6" s="1"/>
  <c r="S40" i="5" a="1"/>
  <c r="S40" i="5" s="1"/>
  <c r="O38" i="6" s="1"/>
  <c r="S362" i="5" a="1"/>
  <c r="S362" i="5" s="1"/>
  <c r="O360" i="6" s="1"/>
  <c r="T234" i="5" a="1"/>
  <c r="T234" i="5" s="1"/>
  <c r="P232" i="6" s="1"/>
  <c r="T379" i="5" a="1"/>
  <c r="T379" i="5" s="1"/>
  <c r="P377" i="6" s="1"/>
  <c r="U50" i="5" a="1"/>
  <c r="U50" i="5" s="1"/>
  <c r="Q48" i="6" s="1"/>
  <c r="U139" i="5" a="1"/>
  <c r="U139" i="5" s="1"/>
  <c r="Q137" i="6" s="1"/>
  <c r="U323" i="5" a="1"/>
  <c r="U323" i="5" s="1"/>
  <c r="Q321" i="6" s="1"/>
  <c r="V8" i="5" a="1"/>
  <c r="V8" i="5" s="1"/>
  <c r="R6" i="6" s="1"/>
  <c r="V28" i="5" a="1"/>
  <c r="V28" i="5" s="1"/>
  <c r="R26" i="6" s="1"/>
  <c r="V42" i="5" a="1"/>
  <c r="V42" i="5" s="1"/>
  <c r="R40" i="6" s="1"/>
  <c r="V57" i="5" a="1"/>
  <c r="V57" i="5" s="1"/>
  <c r="R55" i="6" s="1"/>
  <c r="V65" i="5" a="1"/>
  <c r="V65" i="5" s="1"/>
  <c r="R63" i="6" s="1"/>
  <c r="V81" i="5" a="1"/>
  <c r="V81" i="5" s="1"/>
  <c r="R79" i="6" s="1"/>
  <c r="V92" i="5" a="1"/>
  <c r="V92" i="5" s="1"/>
  <c r="R90" i="6" s="1"/>
  <c r="V124" i="5" a="1"/>
  <c r="V124" i="5" s="1"/>
  <c r="R122" i="6" s="1"/>
  <c r="V177" i="5" a="1"/>
  <c r="V177" i="5" s="1"/>
  <c r="R175" i="6" s="1"/>
  <c r="V241" i="5" a="1"/>
  <c r="V241" i="5" s="1"/>
  <c r="R239" i="6" s="1"/>
  <c r="V273" i="5" a="1"/>
  <c r="V273" i="5" s="1"/>
  <c r="R271" i="6" s="1"/>
  <c r="V284" i="5" a="1"/>
  <c r="V284" i="5" s="1"/>
  <c r="R282" i="6" s="1"/>
  <c r="V305" i="5" a="1"/>
  <c r="V305" i="5" s="1"/>
  <c r="R303" i="6" s="1"/>
  <c r="V316" i="5" a="1"/>
  <c r="V316" i="5" s="1"/>
  <c r="R314" i="6" s="1"/>
  <c r="V337" i="5" a="1"/>
  <c r="V337" i="5" s="1"/>
  <c r="R335" i="6" s="1"/>
  <c r="V348" i="5" a="1"/>
  <c r="V348" i="5" s="1"/>
  <c r="R346" i="6" s="1"/>
  <c r="V369" i="5" a="1"/>
  <c r="V369" i="5" s="1"/>
  <c r="R367" i="6" s="1"/>
  <c r="V413" i="5" a="1"/>
  <c r="V413" i="5" s="1"/>
  <c r="R411" i="6" s="1"/>
  <c r="T148" i="5" a="1"/>
  <c r="T148" i="5" s="1"/>
  <c r="P146" i="6" s="1"/>
  <c r="U148" i="5" a="1"/>
  <c r="U148" i="5" s="1"/>
  <c r="Q146" i="6" s="1"/>
  <c r="V148" i="5" a="1"/>
  <c r="V148" i="5" s="1"/>
  <c r="R146" i="6" s="1"/>
  <c r="U116" i="5" a="1"/>
  <c r="U116" i="5" s="1"/>
  <c r="Q114" i="6" s="1"/>
  <c r="V116" i="5" a="1"/>
  <c r="V116" i="5" s="1"/>
  <c r="R114" i="6" s="1"/>
  <c r="U378" i="5" a="1"/>
  <c r="U378" i="5" s="1"/>
  <c r="Q376" i="6" s="1"/>
  <c r="V378" i="5" a="1"/>
  <c r="V378" i="5" s="1"/>
  <c r="R376" i="6" s="1"/>
  <c r="U370" i="5" a="1"/>
  <c r="U370" i="5" s="1"/>
  <c r="Q368" i="6" s="1"/>
  <c r="V370" i="5" a="1"/>
  <c r="V370" i="5" s="1"/>
  <c r="R368" i="6" s="1"/>
  <c r="U297" i="5" a="1"/>
  <c r="U297" i="5" s="1"/>
  <c r="Q295" i="6" s="1"/>
  <c r="V297" i="5" a="1"/>
  <c r="V297" i="5" s="1"/>
  <c r="R295" i="6" s="1"/>
  <c r="T408" i="5" a="1"/>
  <c r="T408" i="5" s="1"/>
  <c r="P406" i="6" s="1"/>
  <c r="U408" i="5" a="1"/>
  <c r="U408" i="5" s="1"/>
  <c r="Q406" i="6" s="1"/>
  <c r="V408" i="5" a="1"/>
  <c r="V408" i="5" s="1"/>
  <c r="R406" i="6" s="1"/>
  <c r="T96" i="5" a="1"/>
  <c r="T96" i="5" s="1"/>
  <c r="P94" i="6" s="1"/>
  <c r="U96" i="5" a="1"/>
  <c r="U96" i="5" s="1"/>
  <c r="Q94" i="6" s="1"/>
  <c r="N72" i="5"/>
  <c r="J70" i="6" s="1"/>
  <c r="U72" i="5" a="1"/>
  <c r="U72" i="5" s="1"/>
  <c r="Q70" i="6" s="1"/>
  <c r="S378" i="5" a="1"/>
  <c r="S378" i="5" s="1"/>
  <c r="O376" i="6" s="1"/>
  <c r="T235" i="5" a="1"/>
  <c r="T235" i="5" s="1"/>
  <c r="P233" i="6" s="1"/>
  <c r="U8" i="5" a="1"/>
  <c r="U8" i="5" s="1"/>
  <c r="Q6" i="6" s="1"/>
  <c r="U58" i="5" a="1"/>
  <c r="U58" i="5" s="1"/>
  <c r="Q56" i="6" s="1"/>
  <c r="U81" i="5" a="1"/>
  <c r="U81" i="5" s="1"/>
  <c r="Q79" i="6" s="1"/>
  <c r="U140" i="5" a="1"/>
  <c r="U140" i="5" s="1"/>
  <c r="Q138" i="6" s="1"/>
  <c r="V21" i="5" a="1"/>
  <c r="V21" i="5" s="1"/>
  <c r="R19" i="6" s="1"/>
  <c r="V50" i="5" a="1"/>
  <c r="V50" i="5" s="1"/>
  <c r="R48" i="6" s="1"/>
  <c r="V66" i="5" a="1"/>
  <c r="V66" i="5" s="1"/>
  <c r="R64" i="6" s="1"/>
  <c r="V74" i="5" a="1"/>
  <c r="V74" i="5" s="1"/>
  <c r="R72" i="6" s="1"/>
  <c r="V93" i="5" a="1"/>
  <c r="V93" i="5" s="1"/>
  <c r="R91" i="6" s="1"/>
  <c r="V136" i="5" a="1"/>
  <c r="V136" i="5" s="1"/>
  <c r="R134" i="6" s="1"/>
  <c r="V147" i="5" a="1"/>
  <c r="V147" i="5" s="1"/>
  <c r="R145" i="6" s="1"/>
  <c r="V179" i="5" a="1"/>
  <c r="V179" i="5" s="1"/>
  <c r="R177" i="6" s="1"/>
  <c r="V200" i="5" a="1"/>
  <c r="V200" i="5" s="1"/>
  <c r="R198" i="6" s="1"/>
  <c r="V232" i="5" a="1"/>
  <c r="V232" i="5" s="1"/>
  <c r="R230" i="6" s="1"/>
  <c r="V243" i="5" a="1"/>
  <c r="V243" i="5" s="1"/>
  <c r="R241" i="6" s="1"/>
  <c r="V275" i="5" a="1"/>
  <c r="V275" i="5" s="1"/>
  <c r="R273" i="6" s="1"/>
  <c r="V371" i="5" a="1"/>
  <c r="V371" i="5" s="1"/>
  <c r="R369" i="6" s="1"/>
  <c r="V403" i="5" a="1"/>
  <c r="V403" i="5" s="1"/>
  <c r="R401" i="6" s="1"/>
  <c r="T400" i="5" a="1"/>
  <c r="T400" i="5" s="1"/>
  <c r="P398" i="6" s="1"/>
  <c r="U400" i="5" a="1"/>
  <c r="U400" i="5" s="1"/>
  <c r="Q398" i="6" s="1"/>
  <c r="T392" i="5" a="1"/>
  <c r="T392" i="5" s="1"/>
  <c r="P390" i="6" s="1"/>
  <c r="U392" i="5" a="1"/>
  <c r="U392" i="5" s="1"/>
  <c r="Q390" i="6" s="1"/>
  <c r="S384" i="5" a="1"/>
  <c r="S384" i="5" s="1"/>
  <c r="O382" i="6" s="1"/>
  <c r="U384" i="5" a="1"/>
  <c r="U384" i="5" s="1"/>
  <c r="Q382" i="6" s="1"/>
  <c r="T376" i="5" a="1"/>
  <c r="T376" i="5" s="1"/>
  <c r="P374" i="6" s="1"/>
  <c r="U376" i="5" a="1"/>
  <c r="U376" i="5" s="1"/>
  <c r="Q374" i="6" s="1"/>
  <c r="T368" i="5" a="1"/>
  <c r="T368" i="5" s="1"/>
  <c r="P366" i="6" s="1"/>
  <c r="U368" i="5" a="1"/>
  <c r="U368" i="5" s="1"/>
  <c r="Q366" i="6" s="1"/>
  <c r="T360" i="5" a="1"/>
  <c r="T360" i="5" s="1"/>
  <c r="P358" i="6" s="1"/>
  <c r="U360" i="5" a="1"/>
  <c r="U360" i="5" s="1"/>
  <c r="Q358" i="6" s="1"/>
  <c r="T352" i="5" a="1"/>
  <c r="T352" i="5" s="1"/>
  <c r="P350" i="6" s="1"/>
  <c r="U352" i="5" a="1"/>
  <c r="U352" i="5" s="1"/>
  <c r="Q350" i="6" s="1"/>
  <c r="T344" i="5" a="1"/>
  <c r="T344" i="5" s="1"/>
  <c r="P342" i="6" s="1"/>
  <c r="U344" i="5" a="1"/>
  <c r="U344" i="5" s="1"/>
  <c r="Q342" i="6" s="1"/>
  <c r="T336" i="5" a="1"/>
  <c r="T336" i="5" s="1"/>
  <c r="P334" i="6" s="1"/>
  <c r="U336" i="5" a="1"/>
  <c r="U336" i="5" s="1"/>
  <c r="Q334" i="6" s="1"/>
  <c r="T328" i="5" a="1"/>
  <c r="T328" i="5" s="1"/>
  <c r="P326" i="6" s="1"/>
  <c r="U328" i="5" a="1"/>
  <c r="U328" i="5" s="1"/>
  <c r="Q326" i="6" s="1"/>
  <c r="S320" i="5" a="1"/>
  <c r="S320" i="5" s="1"/>
  <c r="O318" i="6" s="1"/>
  <c r="U320" i="5" a="1"/>
  <c r="U320" i="5" s="1"/>
  <c r="Q318" i="6" s="1"/>
  <c r="T312" i="5" a="1"/>
  <c r="T312" i="5" s="1"/>
  <c r="P310" i="6" s="1"/>
  <c r="U312" i="5" a="1"/>
  <c r="U312" i="5" s="1"/>
  <c r="Q310" i="6" s="1"/>
  <c r="T304" i="5" a="1"/>
  <c r="T304" i="5" s="1"/>
  <c r="P302" i="6" s="1"/>
  <c r="U304" i="5" a="1"/>
  <c r="U304" i="5" s="1"/>
  <c r="Q302" i="6" s="1"/>
  <c r="T296" i="5" a="1"/>
  <c r="T296" i="5" s="1"/>
  <c r="P294" i="6" s="1"/>
  <c r="U296" i="5" a="1"/>
  <c r="U296" i="5" s="1"/>
  <c r="Q294" i="6" s="1"/>
  <c r="T288" i="5" a="1"/>
  <c r="T288" i="5" s="1"/>
  <c r="P286" i="6" s="1"/>
  <c r="U288" i="5" a="1"/>
  <c r="U288" i="5" s="1"/>
  <c r="Q286" i="6" s="1"/>
  <c r="T280" i="5" a="1"/>
  <c r="T280" i="5" s="1"/>
  <c r="P278" i="6" s="1"/>
  <c r="U280" i="5" a="1"/>
  <c r="U280" i="5" s="1"/>
  <c r="Q278" i="6" s="1"/>
  <c r="T272" i="5" a="1"/>
  <c r="T272" i="5" s="1"/>
  <c r="P270" i="6" s="1"/>
  <c r="U272" i="5" a="1"/>
  <c r="U272" i="5" s="1"/>
  <c r="Q270" i="6" s="1"/>
  <c r="R264" i="5" a="1"/>
  <c r="R264" i="5" s="1"/>
  <c r="N262" i="6" s="1"/>
  <c r="U264" i="5" a="1"/>
  <c r="U264" i="5" s="1"/>
  <c r="Q262" i="6" s="1"/>
  <c r="S256" i="5" a="1"/>
  <c r="S256" i="5" s="1"/>
  <c r="O254" i="6" s="1"/>
  <c r="U256" i="5" a="1"/>
  <c r="U256" i="5" s="1"/>
  <c r="Q254" i="6" s="1"/>
  <c r="R248" i="5" a="1"/>
  <c r="R248" i="5" s="1"/>
  <c r="N246" i="6" s="1"/>
  <c r="T248" i="5" a="1"/>
  <c r="T248" i="5" s="1"/>
  <c r="P246" i="6" s="1"/>
  <c r="U248" i="5" a="1"/>
  <c r="U248" i="5" s="1"/>
  <c r="Q246" i="6" s="1"/>
  <c r="T240" i="5" a="1"/>
  <c r="T240" i="5" s="1"/>
  <c r="P238" i="6" s="1"/>
  <c r="U240" i="5" a="1"/>
  <c r="U240" i="5" s="1"/>
  <c r="Q238" i="6" s="1"/>
  <c r="U255" i="5" a="1"/>
  <c r="U255" i="5" s="1"/>
  <c r="Q253" i="6" s="1"/>
  <c r="R255" i="5" a="1"/>
  <c r="R255" i="5" s="1"/>
  <c r="N253" i="6" s="1"/>
  <c r="T231" i="5" a="1"/>
  <c r="T231" i="5" s="1"/>
  <c r="P229" i="6" s="1"/>
  <c r="U231" i="5" a="1"/>
  <c r="U231" i="5" s="1"/>
  <c r="Q229" i="6" s="1"/>
  <c r="T191" i="5" a="1"/>
  <c r="T191" i="5" s="1"/>
  <c r="P189" i="6" s="1"/>
  <c r="S191" i="5" a="1"/>
  <c r="S191" i="5" s="1"/>
  <c r="O189" i="6" s="1"/>
  <c r="R191" i="5" a="1"/>
  <c r="R191" i="5" s="1"/>
  <c r="N189" i="6" s="1"/>
  <c r="U191" i="5" a="1"/>
  <c r="U191" i="5" s="1"/>
  <c r="Q189" i="6" s="1"/>
  <c r="T183" i="5" a="1"/>
  <c r="T183" i="5" s="1"/>
  <c r="P181" i="6" s="1"/>
  <c r="U183" i="5" a="1"/>
  <c r="U183" i="5" s="1"/>
  <c r="Q181" i="6" s="1"/>
  <c r="U175" i="5" a="1"/>
  <c r="U175" i="5" s="1"/>
  <c r="Q173" i="6" s="1"/>
  <c r="S175" i="5" a="1"/>
  <c r="S175" i="5" s="1"/>
  <c r="O173" i="6" s="1"/>
  <c r="R398" i="5" a="1"/>
  <c r="R398" i="5" s="1"/>
  <c r="N396" i="6" s="1"/>
  <c r="U398" i="5" a="1"/>
  <c r="U398" i="5" s="1"/>
  <c r="Q396" i="6" s="1"/>
  <c r="T390" i="5" a="1"/>
  <c r="T390" i="5" s="1"/>
  <c r="P388" i="6" s="1"/>
  <c r="U390" i="5" a="1"/>
  <c r="U390" i="5" s="1"/>
  <c r="Q388" i="6" s="1"/>
  <c r="T382" i="5" a="1"/>
  <c r="T382" i="5" s="1"/>
  <c r="P380" i="6" s="1"/>
  <c r="U382" i="5" a="1"/>
  <c r="U382" i="5" s="1"/>
  <c r="Q380" i="6" s="1"/>
  <c r="T262" i="5" a="1"/>
  <c r="T262" i="5" s="1"/>
  <c r="P260" i="6" s="1"/>
  <c r="U262" i="5" a="1"/>
  <c r="U262" i="5" s="1"/>
  <c r="Q260" i="6" s="1"/>
  <c r="T254" i="5" a="1"/>
  <c r="T254" i="5" s="1"/>
  <c r="P252" i="6" s="1"/>
  <c r="U254" i="5" a="1"/>
  <c r="U254" i="5" s="1"/>
  <c r="Q252" i="6" s="1"/>
  <c r="U246" i="5" a="1"/>
  <c r="U246" i="5" s="1"/>
  <c r="Q244" i="6" s="1"/>
  <c r="S246" i="5" a="1"/>
  <c r="S246" i="5" s="1"/>
  <c r="O244" i="6" s="1"/>
  <c r="R238" i="5" a="1"/>
  <c r="R238" i="5" s="1"/>
  <c r="N236" i="6" s="1"/>
  <c r="U238" i="5" a="1"/>
  <c r="U238" i="5" s="1"/>
  <c r="Q236" i="6" s="1"/>
  <c r="T230" i="5" a="1"/>
  <c r="T230" i="5" s="1"/>
  <c r="P228" i="6" s="1"/>
  <c r="U230" i="5" a="1"/>
  <c r="U230" i="5" s="1"/>
  <c r="Q228" i="6" s="1"/>
  <c r="S222" i="5" a="1"/>
  <c r="S222" i="5" s="1"/>
  <c r="O220" i="6" s="1"/>
  <c r="U222" i="5" a="1"/>
  <c r="U222" i="5" s="1"/>
  <c r="Q220" i="6" s="1"/>
  <c r="T222" i="5" a="1"/>
  <c r="T222" i="5" s="1"/>
  <c r="P220" i="6" s="1"/>
  <c r="T174" i="5" a="1"/>
  <c r="T174" i="5" s="1"/>
  <c r="P172" i="6" s="1"/>
  <c r="U174" i="5" a="1"/>
  <c r="U174" i="5" s="1"/>
  <c r="Q172" i="6" s="1"/>
  <c r="T166" i="5" a="1"/>
  <c r="T166" i="5" s="1"/>
  <c r="P164" i="6" s="1"/>
  <c r="U166" i="5" a="1"/>
  <c r="U166" i="5" s="1"/>
  <c r="Q164" i="6" s="1"/>
  <c r="T158" i="5" a="1"/>
  <c r="T158" i="5" s="1"/>
  <c r="P156" i="6" s="1"/>
  <c r="U158" i="5" a="1"/>
  <c r="U158" i="5" s="1"/>
  <c r="Q156" i="6" s="1"/>
  <c r="T134" i="5" a="1"/>
  <c r="T134" i="5" s="1"/>
  <c r="P132" i="6" s="1"/>
  <c r="U134" i="5" a="1"/>
  <c r="U134" i="5" s="1"/>
  <c r="Q132" i="6" s="1"/>
  <c r="U118" i="5" a="1"/>
  <c r="U118" i="5" s="1"/>
  <c r="Q116" i="6" s="1"/>
  <c r="S118" i="5" a="1"/>
  <c r="S118" i="5" s="1"/>
  <c r="O116" i="6" s="1"/>
  <c r="S110" i="5" a="1"/>
  <c r="S110" i="5" s="1"/>
  <c r="O108" i="6" s="1"/>
  <c r="U110" i="5" a="1"/>
  <c r="U110" i="5" s="1"/>
  <c r="Q108" i="6" s="1"/>
  <c r="T94" i="5" a="1"/>
  <c r="T94" i="5" s="1"/>
  <c r="P92" i="6" s="1"/>
  <c r="U94" i="5" a="1"/>
  <c r="U94" i="5" s="1"/>
  <c r="Q92" i="6" s="1"/>
  <c r="R78" i="5" a="1"/>
  <c r="R78" i="5" s="1"/>
  <c r="N76" i="6" s="1"/>
  <c r="U78" i="5" a="1"/>
  <c r="U78" i="5" s="1"/>
  <c r="Q76" i="6" s="1"/>
  <c r="S78" i="5" a="1"/>
  <c r="S78" i="5" s="1"/>
  <c r="O76" i="6" s="1"/>
  <c r="R62" i="5" a="1"/>
  <c r="R62" i="5" s="1"/>
  <c r="N60" i="6" s="1"/>
  <c r="U62" i="5" a="1"/>
  <c r="U62" i="5" s="1"/>
  <c r="Q60" i="6" s="1"/>
  <c r="U54" i="5" a="1"/>
  <c r="U54" i="5" s="1"/>
  <c r="Q52" i="6" s="1"/>
  <c r="T54" i="5" a="1"/>
  <c r="T54" i="5" s="1"/>
  <c r="P52" i="6" s="1"/>
  <c r="R46" i="5" a="1"/>
  <c r="R46" i="5" s="1"/>
  <c r="N44" i="6" s="1"/>
  <c r="T46" i="5" a="1"/>
  <c r="T46" i="5" s="1"/>
  <c r="P44" i="6" s="1"/>
  <c r="U46" i="5" a="1"/>
  <c r="U46" i="5" s="1"/>
  <c r="Q44" i="6" s="1"/>
  <c r="R38" i="5" a="1"/>
  <c r="R38" i="5" s="1"/>
  <c r="N36" i="6" s="1"/>
  <c r="U38" i="5" a="1"/>
  <c r="U38" i="5" s="1"/>
  <c r="Q36" i="6" s="1"/>
  <c r="T38" i="5" a="1"/>
  <c r="T38" i="5" s="1"/>
  <c r="P36" i="6" s="1"/>
  <c r="U30" i="5" a="1"/>
  <c r="U30" i="5" s="1"/>
  <c r="Q28" i="6" s="1"/>
  <c r="R22" i="5" a="1"/>
  <c r="R22" i="5" s="1"/>
  <c r="N20" i="6" s="1"/>
  <c r="T22" i="5" a="1"/>
  <c r="T22" i="5" s="1"/>
  <c r="P20" i="6" s="1"/>
  <c r="U22" i="5" a="1"/>
  <c r="U22" i="5" s="1"/>
  <c r="Q20" i="6" s="1"/>
  <c r="U14" i="5" a="1"/>
  <c r="U14" i="5" s="1"/>
  <c r="Q12" i="6" s="1"/>
  <c r="T14" i="5" a="1"/>
  <c r="T14" i="5" s="1"/>
  <c r="P12" i="6" s="1"/>
  <c r="R6" i="5" a="1"/>
  <c r="R6" i="5" s="1"/>
  <c r="N4" i="6" s="1"/>
  <c r="T6" i="5" a="1"/>
  <c r="T6" i="5" s="1"/>
  <c r="P4" i="6" s="1"/>
  <c r="T416" i="5" a="1"/>
  <c r="T416" i="5" s="1"/>
  <c r="P414" i="6" s="1"/>
  <c r="U416" i="5" a="1"/>
  <c r="U416" i="5" s="1"/>
  <c r="Q414" i="6" s="1"/>
  <c r="T415" i="5" a="1"/>
  <c r="T415" i="5" s="1"/>
  <c r="P413" i="6" s="1"/>
  <c r="U415" i="5" a="1"/>
  <c r="U415" i="5" s="1"/>
  <c r="Q413" i="6" s="1"/>
  <c r="S399" i="5" a="1"/>
  <c r="S399" i="5" s="1"/>
  <c r="O397" i="6" s="1"/>
  <c r="U399" i="5" a="1"/>
  <c r="U399" i="5" s="1"/>
  <c r="Q397" i="6" s="1"/>
  <c r="T391" i="5" a="1"/>
  <c r="T391" i="5" s="1"/>
  <c r="P389" i="6" s="1"/>
  <c r="U391" i="5" a="1"/>
  <c r="U391" i="5" s="1"/>
  <c r="Q389" i="6" s="1"/>
  <c r="T383" i="5" a="1"/>
  <c r="T383" i="5" s="1"/>
  <c r="P381" i="6" s="1"/>
  <c r="U383" i="5" a="1"/>
  <c r="U383" i="5" s="1"/>
  <c r="Q381" i="6" s="1"/>
  <c r="T359" i="5" a="1"/>
  <c r="T359" i="5" s="1"/>
  <c r="P357" i="6" s="1"/>
  <c r="U359" i="5" a="1"/>
  <c r="U359" i="5" s="1"/>
  <c r="Q357" i="6" s="1"/>
  <c r="T351" i="5" a="1"/>
  <c r="T351" i="5" s="1"/>
  <c r="P349" i="6" s="1"/>
  <c r="S351" i="5" a="1"/>
  <c r="S351" i="5" s="1"/>
  <c r="O349" i="6" s="1"/>
  <c r="R351" i="5" a="1"/>
  <c r="R351" i="5" s="1"/>
  <c r="N349" i="6" s="1"/>
  <c r="U343" i="5" a="1"/>
  <c r="U343" i="5" s="1"/>
  <c r="Q341" i="6" s="1"/>
  <c r="S343" i="5" a="1"/>
  <c r="S343" i="5" s="1"/>
  <c r="O341" i="6" s="1"/>
  <c r="T335" i="5" a="1"/>
  <c r="T335" i="5" s="1"/>
  <c r="P333" i="6" s="1"/>
  <c r="S335" i="5" a="1"/>
  <c r="S335" i="5" s="1"/>
  <c r="O333" i="6" s="1"/>
  <c r="R335" i="5" a="1"/>
  <c r="R335" i="5" s="1"/>
  <c r="N333" i="6" s="1"/>
  <c r="T327" i="5" a="1"/>
  <c r="T327" i="5" s="1"/>
  <c r="P325" i="6" s="1"/>
  <c r="U327" i="5" a="1"/>
  <c r="U327" i="5" s="1"/>
  <c r="Q325" i="6" s="1"/>
  <c r="U295" i="5" a="1"/>
  <c r="U295" i="5" s="1"/>
  <c r="Q293" i="6" s="1"/>
  <c r="R295" i="5" a="1"/>
  <c r="R295" i="5" s="1"/>
  <c r="N293" i="6" s="1"/>
  <c r="R366" i="5" a="1"/>
  <c r="R366" i="5" s="1"/>
  <c r="N364" i="6" s="1"/>
  <c r="U366" i="5" a="1"/>
  <c r="U366" i="5" s="1"/>
  <c r="Q364" i="6" s="1"/>
  <c r="T326" i="5" a="1"/>
  <c r="T326" i="5" s="1"/>
  <c r="P324" i="6" s="1"/>
  <c r="U326" i="5" a="1"/>
  <c r="U326" i="5" s="1"/>
  <c r="Q324" i="6" s="1"/>
  <c r="T318" i="5" a="1"/>
  <c r="T318" i="5" s="1"/>
  <c r="P316" i="6" s="1"/>
  <c r="U318" i="5" a="1"/>
  <c r="U318" i="5" s="1"/>
  <c r="Q316" i="6" s="1"/>
  <c r="R206" i="5" a="1"/>
  <c r="R206" i="5" s="1"/>
  <c r="N204" i="6" s="1"/>
  <c r="U206" i="5" a="1"/>
  <c r="U206" i="5" s="1"/>
  <c r="Q204" i="6" s="1"/>
  <c r="T206" i="5" a="1"/>
  <c r="T206" i="5" s="1"/>
  <c r="P204" i="6" s="1"/>
  <c r="T198" i="5" a="1"/>
  <c r="T198" i="5" s="1"/>
  <c r="P196" i="6" s="1"/>
  <c r="U198" i="5" a="1"/>
  <c r="U198" i="5" s="1"/>
  <c r="Q196" i="6" s="1"/>
  <c r="U405" i="5" a="1"/>
  <c r="U405" i="5" s="1"/>
  <c r="Q403" i="6" s="1"/>
  <c r="T405" i="5" a="1"/>
  <c r="T405" i="5" s="1"/>
  <c r="P403" i="6" s="1"/>
  <c r="U389" i="5" a="1"/>
  <c r="U389" i="5" s="1"/>
  <c r="Q387" i="6" s="1"/>
  <c r="T389" i="5" a="1"/>
  <c r="T389" i="5" s="1"/>
  <c r="P387" i="6" s="1"/>
  <c r="T373" i="5" a="1"/>
  <c r="T373" i="5" s="1"/>
  <c r="P371" i="6" s="1"/>
  <c r="U373" i="5" a="1"/>
  <c r="U373" i="5" s="1"/>
  <c r="Q371" i="6" s="1"/>
  <c r="T349" i="5" a="1"/>
  <c r="T349" i="5" s="1"/>
  <c r="P347" i="6" s="1"/>
  <c r="U349" i="5" a="1"/>
  <c r="U349" i="5" s="1"/>
  <c r="Q347" i="6" s="1"/>
  <c r="T333" i="5" a="1"/>
  <c r="T333" i="5" s="1"/>
  <c r="P331" i="6" s="1"/>
  <c r="U333" i="5" a="1"/>
  <c r="U333" i="5" s="1"/>
  <c r="Q331" i="6" s="1"/>
  <c r="U325" i="5" a="1"/>
  <c r="U325" i="5" s="1"/>
  <c r="Q323" i="6" s="1"/>
  <c r="T325" i="5" a="1"/>
  <c r="T325" i="5" s="1"/>
  <c r="P323" i="6" s="1"/>
  <c r="T317" i="5" a="1"/>
  <c r="T317" i="5" s="1"/>
  <c r="P315" i="6" s="1"/>
  <c r="U317" i="5" a="1"/>
  <c r="U317" i="5" s="1"/>
  <c r="Q315" i="6" s="1"/>
  <c r="T309" i="5" a="1"/>
  <c r="T309" i="5" s="1"/>
  <c r="P307" i="6" s="1"/>
  <c r="U309" i="5" a="1"/>
  <c r="U309" i="5" s="1"/>
  <c r="Q307" i="6" s="1"/>
  <c r="T301" i="5" a="1"/>
  <c r="T301" i="5" s="1"/>
  <c r="P299" i="6" s="1"/>
  <c r="U301" i="5" a="1"/>
  <c r="U301" i="5" s="1"/>
  <c r="Q299" i="6" s="1"/>
  <c r="T293" i="5" a="1"/>
  <c r="T293" i="5" s="1"/>
  <c r="P291" i="6" s="1"/>
  <c r="U293" i="5" a="1"/>
  <c r="U293" i="5" s="1"/>
  <c r="Q291" i="6" s="1"/>
  <c r="T285" i="5" a="1"/>
  <c r="T285" i="5" s="1"/>
  <c r="P283" i="6" s="1"/>
  <c r="U285" i="5" a="1"/>
  <c r="U285" i="5" s="1"/>
  <c r="Q283" i="6" s="1"/>
  <c r="U277" i="5" a="1"/>
  <c r="U277" i="5" s="1"/>
  <c r="Q275" i="6" s="1"/>
  <c r="T277" i="5" a="1"/>
  <c r="T277" i="5" s="1"/>
  <c r="P275" i="6" s="1"/>
  <c r="T269" i="5" a="1"/>
  <c r="T269" i="5" s="1"/>
  <c r="P267" i="6" s="1"/>
  <c r="U269" i="5" a="1"/>
  <c r="U269" i="5" s="1"/>
  <c r="Q267" i="6" s="1"/>
  <c r="U261" i="5" a="1"/>
  <c r="U261" i="5" s="1"/>
  <c r="Q259" i="6" s="1"/>
  <c r="T261" i="5" a="1"/>
  <c r="T261" i="5" s="1"/>
  <c r="P259" i="6" s="1"/>
  <c r="U253" i="5" a="1"/>
  <c r="U253" i="5" s="1"/>
  <c r="Q251" i="6" s="1"/>
  <c r="T253" i="5" a="1"/>
  <c r="T253" i="5" s="1"/>
  <c r="P251" i="6" s="1"/>
  <c r="T245" i="5" a="1"/>
  <c r="T245" i="5" s="1"/>
  <c r="P243" i="6" s="1"/>
  <c r="U245" i="5" a="1"/>
  <c r="U245" i="5" s="1"/>
  <c r="Q243" i="6" s="1"/>
  <c r="T237" i="5" a="1"/>
  <c r="T237" i="5" s="1"/>
  <c r="P235" i="6" s="1"/>
  <c r="U237" i="5" a="1"/>
  <c r="U237" i="5" s="1"/>
  <c r="Q235" i="6" s="1"/>
  <c r="T229" i="5" a="1"/>
  <c r="T229" i="5" s="1"/>
  <c r="P227" i="6" s="1"/>
  <c r="U229" i="5" a="1"/>
  <c r="U229" i="5" s="1"/>
  <c r="Q227" i="6" s="1"/>
  <c r="T221" i="5" a="1"/>
  <c r="T221" i="5" s="1"/>
  <c r="P219" i="6" s="1"/>
  <c r="U221" i="5" a="1"/>
  <c r="U221" i="5" s="1"/>
  <c r="Q219" i="6" s="1"/>
  <c r="U213" i="5" a="1"/>
  <c r="U213" i="5" s="1"/>
  <c r="Q211" i="6" s="1"/>
  <c r="T213" i="5" a="1"/>
  <c r="T213" i="5" s="1"/>
  <c r="P211" i="6" s="1"/>
  <c r="R205" i="5" a="1"/>
  <c r="R205" i="5" s="1"/>
  <c r="N203" i="6" s="1"/>
  <c r="U205" i="5" a="1"/>
  <c r="U205" i="5" s="1"/>
  <c r="Q203" i="6" s="1"/>
  <c r="R197" i="5" a="1"/>
  <c r="R197" i="5" s="1"/>
  <c r="N195" i="6" s="1"/>
  <c r="U197" i="5" a="1"/>
  <c r="U197" i="5" s="1"/>
  <c r="Q195" i="6" s="1"/>
  <c r="T197" i="5" a="1"/>
  <c r="T197" i="5" s="1"/>
  <c r="P195" i="6" s="1"/>
  <c r="T189" i="5" a="1"/>
  <c r="T189" i="5" s="1"/>
  <c r="P187" i="6" s="1"/>
  <c r="U189" i="5" a="1"/>
  <c r="U189" i="5" s="1"/>
  <c r="Q187" i="6" s="1"/>
  <c r="U181" i="5" a="1"/>
  <c r="U181" i="5" s="1"/>
  <c r="Q179" i="6" s="1"/>
  <c r="T181" i="5" a="1"/>
  <c r="T181" i="5" s="1"/>
  <c r="P179" i="6" s="1"/>
  <c r="T157" i="5" a="1"/>
  <c r="T157" i="5" s="1"/>
  <c r="P155" i="6" s="1"/>
  <c r="U157" i="5" a="1"/>
  <c r="U157" i="5" s="1"/>
  <c r="Q155" i="6" s="1"/>
  <c r="T149" i="5" a="1"/>
  <c r="T149" i="5" s="1"/>
  <c r="P147" i="6" s="1"/>
  <c r="U149" i="5" a="1"/>
  <c r="U149" i="5" s="1"/>
  <c r="Q147" i="6" s="1"/>
  <c r="R141" i="5" a="1"/>
  <c r="R141" i="5" s="1"/>
  <c r="N139" i="6" s="1"/>
  <c r="U141" i="5" a="1"/>
  <c r="U141" i="5" s="1"/>
  <c r="Q139" i="6" s="1"/>
  <c r="S141" i="5" a="1"/>
  <c r="S141" i="5" s="1"/>
  <c r="O139" i="6" s="1"/>
  <c r="T141" i="5" a="1"/>
  <c r="T141" i="5" s="1"/>
  <c r="P139" i="6" s="1"/>
  <c r="R133" i="5" a="1"/>
  <c r="R133" i="5" s="1"/>
  <c r="N131" i="6" s="1"/>
  <c r="U133" i="5" a="1"/>
  <c r="U133" i="5" s="1"/>
  <c r="Q131" i="6" s="1"/>
  <c r="S125" i="5" a="1"/>
  <c r="S125" i="5" s="1"/>
  <c r="O123" i="6" s="1"/>
  <c r="U125" i="5" a="1"/>
  <c r="U125" i="5" s="1"/>
  <c r="Q123" i="6" s="1"/>
  <c r="T125" i="5" a="1"/>
  <c r="T125" i="5" s="1"/>
  <c r="P123" i="6" s="1"/>
  <c r="T117" i="5" a="1"/>
  <c r="T117" i="5" s="1"/>
  <c r="P115" i="6" s="1"/>
  <c r="U117" i="5" a="1"/>
  <c r="U117" i="5" s="1"/>
  <c r="Q115" i="6" s="1"/>
  <c r="U85" i="5" a="1"/>
  <c r="U85" i="5" s="1"/>
  <c r="Q83" i="6" s="1"/>
  <c r="T85" i="5" a="1"/>
  <c r="T85" i="5" s="1"/>
  <c r="P83" i="6" s="1"/>
  <c r="T61" i="5" a="1"/>
  <c r="T61" i="5" s="1"/>
  <c r="P59" i="6" s="1"/>
  <c r="U61" i="5" a="1"/>
  <c r="U61" i="5" s="1"/>
  <c r="Q59" i="6" s="1"/>
  <c r="R53" i="5" a="1"/>
  <c r="R53" i="5" s="1"/>
  <c r="N51" i="6" s="1"/>
  <c r="U53" i="5" a="1"/>
  <c r="U53" i="5" s="1"/>
  <c r="Q51" i="6" s="1"/>
  <c r="T5" i="5" a="1"/>
  <c r="T5" i="5" s="1"/>
  <c r="P3" i="6" s="1"/>
  <c r="U5" i="5" a="1"/>
  <c r="U5" i="5" s="1"/>
  <c r="Q3" i="6" s="1"/>
  <c r="R358" i="5" a="1"/>
  <c r="R358" i="5" s="1"/>
  <c r="N356" i="6" s="1"/>
  <c r="U167" i="5" a="1"/>
  <c r="U167" i="5" s="1"/>
  <c r="Q165" i="6" s="1"/>
  <c r="U335" i="5" a="1"/>
  <c r="U335" i="5" s="1"/>
  <c r="Q333" i="6" s="1"/>
  <c r="T407" i="5" a="1"/>
  <c r="T407" i="5" s="1"/>
  <c r="P405" i="6" s="1"/>
  <c r="U407" i="5" a="1"/>
  <c r="U407" i="5" s="1"/>
  <c r="Q405" i="6" s="1"/>
  <c r="S375" i="5" a="1"/>
  <c r="S375" i="5" s="1"/>
  <c r="O373" i="6" s="1"/>
  <c r="U375" i="5" a="1"/>
  <c r="U375" i="5" s="1"/>
  <c r="Q373" i="6" s="1"/>
  <c r="U287" i="5" a="1"/>
  <c r="U287" i="5" s="1"/>
  <c r="Q285" i="6" s="1"/>
  <c r="R287" i="5" a="1"/>
  <c r="R287" i="5" s="1"/>
  <c r="N285" i="6" s="1"/>
  <c r="R279" i="5" a="1"/>
  <c r="R279" i="5" s="1"/>
  <c r="N277" i="6" s="1"/>
  <c r="U279" i="5" a="1"/>
  <c r="U279" i="5" s="1"/>
  <c r="Q277" i="6" s="1"/>
  <c r="S414" i="5" a="1"/>
  <c r="S414" i="5" s="1"/>
  <c r="O412" i="6" s="1"/>
  <c r="U414" i="5" a="1"/>
  <c r="U414" i="5" s="1"/>
  <c r="Q412" i="6" s="1"/>
  <c r="T350" i="5" a="1"/>
  <c r="T350" i="5" s="1"/>
  <c r="P348" i="6" s="1"/>
  <c r="U350" i="5" a="1"/>
  <c r="U350" i="5" s="1"/>
  <c r="Q348" i="6" s="1"/>
  <c r="R302" i="5" a="1"/>
  <c r="R302" i="5" s="1"/>
  <c r="N300" i="6" s="1"/>
  <c r="U302" i="5" a="1"/>
  <c r="U302" i="5" s="1"/>
  <c r="Q300" i="6" s="1"/>
  <c r="T294" i="5" a="1"/>
  <c r="T294" i="5" s="1"/>
  <c r="P292" i="6" s="1"/>
  <c r="U294" i="5" a="1"/>
  <c r="U294" i="5" s="1"/>
  <c r="Q292" i="6" s="1"/>
  <c r="S286" i="5" a="1"/>
  <c r="S286" i="5" s="1"/>
  <c r="O284" i="6" s="1"/>
  <c r="U286" i="5" a="1"/>
  <c r="U286" i="5" s="1"/>
  <c r="Q284" i="6" s="1"/>
  <c r="S278" i="5" a="1"/>
  <c r="S278" i="5" s="1"/>
  <c r="O276" i="6" s="1"/>
  <c r="U278" i="5" a="1"/>
  <c r="U278" i="5" s="1"/>
  <c r="Q276" i="6" s="1"/>
  <c r="U397" i="5" a="1"/>
  <c r="U397" i="5" s="1"/>
  <c r="Q395" i="6" s="1"/>
  <c r="T397" i="5" a="1"/>
  <c r="T397" i="5" s="1"/>
  <c r="P395" i="6" s="1"/>
  <c r="T381" i="5" a="1"/>
  <c r="T381" i="5" s="1"/>
  <c r="P379" i="6" s="1"/>
  <c r="U381" i="5" a="1"/>
  <c r="U381" i="5" s="1"/>
  <c r="Q379" i="6" s="1"/>
  <c r="U341" i="5" a="1"/>
  <c r="U341" i="5" s="1"/>
  <c r="Q339" i="6" s="1"/>
  <c r="T341" i="5" a="1"/>
  <c r="T341" i="5" s="1"/>
  <c r="P339" i="6" s="1"/>
  <c r="T101" i="5" a="1"/>
  <c r="T101" i="5" s="1"/>
  <c r="P99" i="6" s="1"/>
  <c r="U101" i="5" a="1"/>
  <c r="U101" i="5" s="1"/>
  <c r="Q99" i="6" s="1"/>
  <c r="T412" i="5" a="1"/>
  <c r="T412" i="5" s="1"/>
  <c r="P410" i="6" s="1"/>
  <c r="U412" i="5" a="1"/>
  <c r="U412" i="5" s="1"/>
  <c r="Q410" i="6" s="1"/>
  <c r="T396" i="5" a="1"/>
  <c r="T396" i="5" s="1"/>
  <c r="P394" i="6" s="1"/>
  <c r="U396" i="5" a="1"/>
  <c r="U396" i="5" s="1"/>
  <c r="Q394" i="6" s="1"/>
  <c r="S380" i="5" a="1"/>
  <c r="S380" i="5" s="1"/>
  <c r="O378" i="6" s="1"/>
  <c r="U380" i="5" a="1"/>
  <c r="U380" i="5" s="1"/>
  <c r="Q378" i="6" s="1"/>
  <c r="T372" i="5" a="1"/>
  <c r="T372" i="5" s="1"/>
  <c r="P370" i="6" s="1"/>
  <c r="U372" i="5" a="1"/>
  <c r="U372" i="5" s="1"/>
  <c r="Q370" i="6" s="1"/>
  <c r="S365" i="5" a="1"/>
  <c r="S365" i="5" s="1"/>
  <c r="O363" i="6" s="1"/>
  <c r="T62" i="5" a="1"/>
  <c r="T62" i="5" s="1"/>
  <c r="P60" i="6" s="1"/>
  <c r="U404" i="5" a="1"/>
  <c r="U404" i="5" s="1"/>
  <c r="Q402" i="6" s="1"/>
  <c r="T340" i="5" a="1"/>
  <c r="T340" i="5" s="1"/>
  <c r="P338" i="6" s="1"/>
  <c r="U340" i="5" a="1"/>
  <c r="U340" i="5" s="1"/>
  <c r="Q338" i="6" s="1"/>
  <c r="T332" i="5" a="1"/>
  <c r="T332" i="5" s="1"/>
  <c r="P330" i="6" s="1"/>
  <c r="U332" i="5" a="1"/>
  <c r="U332" i="5" s="1"/>
  <c r="Q330" i="6" s="1"/>
  <c r="T300" i="5" a="1"/>
  <c r="T300" i="5" s="1"/>
  <c r="P298" i="6" s="1"/>
  <c r="U300" i="5" a="1"/>
  <c r="U300" i="5" s="1"/>
  <c r="Q298" i="6" s="1"/>
  <c r="T220" i="5" a="1"/>
  <c r="T220" i="5" s="1"/>
  <c r="P218" i="6" s="1"/>
  <c r="U220" i="5" a="1"/>
  <c r="U220" i="5" s="1"/>
  <c r="Q218" i="6" s="1"/>
  <c r="T212" i="5" a="1"/>
  <c r="T212" i="5" s="1"/>
  <c r="P210" i="6" s="1"/>
  <c r="U212" i="5" a="1"/>
  <c r="U212" i="5" s="1"/>
  <c r="Q210" i="6" s="1"/>
  <c r="T188" i="5" a="1"/>
  <c r="T188" i="5" s="1"/>
  <c r="P186" i="6" s="1"/>
  <c r="U188" i="5" a="1"/>
  <c r="U188" i="5" s="1"/>
  <c r="Q186" i="6" s="1"/>
  <c r="T180" i="5" a="1"/>
  <c r="T180" i="5" s="1"/>
  <c r="P178" i="6" s="1"/>
  <c r="U180" i="5" a="1"/>
  <c r="U180" i="5" s="1"/>
  <c r="Q178" i="6" s="1"/>
  <c r="T84" i="5" a="1"/>
  <c r="T84" i="5" s="1"/>
  <c r="P82" i="6" s="1"/>
  <c r="U84" i="5" a="1"/>
  <c r="U84" i="5" s="1"/>
  <c r="Q82" i="6" s="1"/>
  <c r="T60" i="5" a="1"/>
  <c r="T60" i="5" s="1"/>
  <c r="P58" i="6" s="1"/>
  <c r="U60" i="5" a="1"/>
  <c r="U60" i="5" s="1"/>
  <c r="Q58" i="6" s="1"/>
  <c r="R28" i="5" a="1"/>
  <c r="R28" i="5" s="1"/>
  <c r="N26" i="6" s="1"/>
  <c r="U28" i="5" a="1"/>
  <c r="U28" i="5" s="1"/>
  <c r="Q26" i="6" s="1"/>
  <c r="U52" i="5" a="1"/>
  <c r="U52" i="5" s="1"/>
  <c r="Q50" i="6" s="1"/>
  <c r="U232" i="5" a="1"/>
  <c r="U232" i="5" s="1"/>
  <c r="Q230" i="6" s="1"/>
  <c r="T364" i="5" a="1"/>
  <c r="T364" i="5" s="1"/>
  <c r="P362" i="6" s="1"/>
  <c r="U364" i="5" a="1"/>
  <c r="U364" i="5" s="1"/>
  <c r="Q362" i="6" s="1"/>
  <c r="T268" i="5" a="1"/>
  <c r="T268" i="5" s="1"/>
  <c r="P266" i="6" s="1"/>
  <c r="U268" i="5" a="1"/>
  <c r="U268" i="5" s="1"/>
  <c r="Q266" i="6" s="1"/>
  <c r="T260" i="5" a="1"/>
  <c r="T260" i="5" s="1"/>
  <c r="P258" i="6" s="1"/>
  <c r="U260" i="5" a="1"/>
  <c r="U260" i="5" s="1"/>
  <c r="Q258" i="6" s="1"/>
  <c r="T252" i="5" a="1"/>
  <c r="T252" i="5" s="1"/>
  <c r="P250" i="6" s="1"/>
  <c r="U252" i="5" a="1"/>
  <c r="U252" i="5" s="1"/>
  <c r="Q250" i="6" s="1"/>
  <c r="T244" i="5" a="1"/>
  <c r="T244" i="5" s="1"/>
  <c r="P242" i="6" s="1"/>
  <c r="U244" i="5" a="1"/>
  <c r="U244" i="5" s="1"/>
  <c r="Q242" i="6" s="1"/>
  <c r="T236" i="5" a="1"/>
  <c r="T236" i="5" s="1"/>
  <c r="P234" i="6" s="1"/>
  <c r="U236" i="5" a="1"/>
  <c r="U236" i="5" s="1"/>
  <c r="Q234" i="6" s="1"/>
  <c r="T164" i="5" a="1"/>
  <c r="T164" i="5" s="1"/>
  <c r="P162" i="6" s="1"/>
  <c r="U164" i="5" a="1"/>
  <c r="U164" i="5" s="1"/>
  <c r="Q162" i="6" s="1"/>
  <c r="T156" i="5" a="1"/>
  <c r="T156" i="5" s="1"/>
  <c r="P154" i="6" s="1"/>
  <c r="U156" i="5" a="1"/>
  <c r="U156" i="5" s="1"/>
  <c r="Q154" i="6" s="1"/>
  <c r="R20" i="5" a="1"/>
  <c r="R20" i="5" s="1"/>
  <c r="N18" i="6" s="1"/>
  <c r="T20" i="5" a="1"/>
  <c r="T20" i="5" s="1"/>
  <c r="P18" i="6" s="1"/>
  <c r="S20" i="5" a="1"/>
  <c r="S20" i="5" s="1"/>
  <c r="O18" i="6" s="1"/>
  <c r="R4" i="5" a="1"/>
  <c r="R4" i="5" s="1"/>
  <c r="N2" i="6" s="1"/>
  <c r="S4" i="5" a="1"/>
  <c r="S4" i="5" s="1"/>
  <c r="O2" i="6" s="1"/>
  <c r="T4" i="5" a="1"/>
  <c r="T4" i="5" s="1"/>
  <c r="P2" i="6" s="1"/>
  <c r="T395" i="5" a="1"/>
  <c r="T395" i="5" s="1"/>
  <c r="P393" i="6" s="1"/>
  <c r="U395" i="5" a="1"/>
  <c r="U395" i="5" s="1"/>
  <c r="Q393" i="6" s="1"/>
  <c r="T355" i="5" a="1"/>
  <c r="T355" i="5" s="1"/>
  <c r="P353" i="6" s="1"/>
  <c r="U355" i="5" a="1"/>
  <c r="U355" i="5" s="1"/>
  <c r="Q353" i="6" s="1"/>
  <c r="T347" i="5" a="1"/>
  <c r="T347" i="5" s="1"/>
  <c r="P345" i="6" s="1"/>
  <c r="U347" i="5" a="1"/>
  <c r="U347" i="5" s="1"/>
  <c r="Q345" i="6" s="1"/>
  <c r="T339" i="5" a="1"/>
  <c r="T339" i="5" s="1"/>
  <c r="P337" i="6" s="1"/>
  <c r="U339" i="5" a="1"/>
  <c r="U339" i="5" s="1"/>
  <c r="Q337" i="6" s="1"/>
  <c r="T331" i="5" a="1"/>
  <c r="T331" i="5" s="1"/>
  <c r="P329" i="6" s="1"/>
  <c r="U331" i="5" a="1"/>
  <c r="U331" i="5" s="1"/>
  <c r="Q329" i="6" s="1"/>
  <c r="R315" i="5" a="1"/>
  <c r="R315" i="5" s="1"/>
  <c r="N313" i="6" s="1"/>
  <c r="U315" i="5" a="1"/>
  <c r="U315" i="5" s="1"/>
  <c r="Q313" i="6" s="1"/>
  <c r="T315" i="5" a="1"/>
  <c r="T315" i="5" s="1"/>
  <c r="P313" i="6" s="1"/>
  <c r="R307" i="5" a="1"/>
  <c r="R307" i="5" s="1"/>
  <c r="N305" i="6" s="1"/>
  <c r="U307" i="5" a="1"/>
  <c r="U307" i="5" s="1"/>
  <c r="Q305" i="6" s="1"/>
  <c r="S307" i="5" a="1"/>
  <c r="S307" i="5" s="1"/>
  <c r="O305" i="6" s="1"/>
  <c r="U299" i="5" a="1"/>
  <c r="U299" i="5" s="1"/>
  <c r="Q297" i="6" s="1"/>
  <c r="T299" i="5" a="1"/>
  <c r="T299" i="5" s="1"/>
  <c r="P297" i="6" s="1"/>
  <c r="R283" i="5" a="1"/>
  <c r="R283" i="5" s="1"/>
  <c r="N281" i="6" s="1"/>
  <c r="U283" i="5" a="1"/>
  <c r="U283" i="5" s="1"/>
  <c r="Q281" i="6" s="1"/>
  <c r="T267" i="5" a="1"/>
  <c r="T267" i="5" s="1"/>
  <c r="P265" i="6" s="1"/>
  <c r="U267" i="5" a="1"/>
  <c r="U267" i="5" s="1"/>
  <c r="Q265" i="6" s="1"/>
  <c r="R251" i="5" a="1"/>
  <c r="R251" i="5" s="1"/>
  <c r="N249" i="6" s="1"/>
  <c r="U251" i="5" a="1"/>
  <c r="U251" i="5" s="1"/>
  <c r="Q249" i="6" s="1"/>
  <c r="T251" i="5" a="1"/>
  <c r="T251" i="5" s="1"/>
  <c r="P249" i="6" s="1"/>
  <c r="R219" i="5" a="1"/>
  <c r="R219" i="5" s="1"/>
  <c r="N217" i="6" s="1"/>
  <c r="U219" i="5" a="1"/>
  <c r="U219" i="5" s="1"/>
  <c r="Q217" i="6" s="1"/>
  <c r="R211" i="5" a="1"/>
  <c r="R211" i="5" s="1"/>
  <c r="N209" i="6" s="1"/>
  <c r="U211" i="5" a="1"/>
  <c r="U211" i="5" s="1"/>
  <c r="Q209" i="6" s="1"/>
  <c r="T203" i="5" a="1"/>
  <c r="T203" i="5" s="1"/>
  <c r="P201" i="6" s="1"/>
  <c r="U203" i="5" a="1"/>
  <c r="U203" i="5" s="1"/>
  <c r="Q201" i="6" s="1"/>
  <c r="U35" i="5" a="1"/>
  <c r="U35" i="5" s="1"/>
  <c r="Q33" i="6" s="1"/>
  <c r="S35" i="5" a="1"/>
  <c r="S35" i="5" s="1"/>
  <c r="O33" i="6" s="1"/>
  <c r="R19" i="5" a="1"/>
  <c r="R19" i="5" s="1"/>
  <c r="N17" i="6" s="1"/>
  <c r="U19" i="5" a="1"/>
  <c r="U19" i="5" s="1"/>
  <c r="Q17" i="6" s="1"/>
  <c r="U11" i="5" a="1"/>
  <c r="U11" i="5" s="1"/>
  <c r="Q9" i="6" s="1"/>
  <c r="U172" i="5" a="1"/>
  <c r="U172" i="5" s="1"/>
  <c r="Q170" i="6" s="1"/>
  <c r="U275" i="5" a="1"/>
  <c r="U275" i="5" s="1"/>
  <c r="Q273" i="6" s="1"/>
  <c r="T418" i="5" a="1"/>
  <c r="T418" i="5" s="1"/>
  <c r="P416" i="6" s="1"/>
  <c r="U418" i="5" a="1"/>
  <c r="U418" i="5" s="1"/>
  <c r="Q416" i="6" s="1"/>
  <c r="S410" i="5" a="1"/>
  <c r="S410" i="5" s="1"/>
  <c r="O408" i="6" s="1"/>
  <c r="U410" i="5" a="1"/>
  <c r="U410" i="5" s="1"/>
  <c r="Q408" i="6" s="1"/>
  <c r="T410" i="5" a="1"/>
  <c r="T410" i="5" s="1"/>
  <c r="P408" i="6" s="1"/>
  <c r="R402" i="5" a="1"/>
  <c r="R402" i="5" s="1"/>
  <c r="N400" i="6" s="1"/>
  <c r="U402" i="5" a="1"/>
  <c r="U402" i="5" s="1"/>
  <c r="Q400" i="6" s="1"/>
  <c r="R338" i="5" a="1"/>
  <c r="R338" i="5" s="1"/>
  <c r="N336" i="6" s="1"/>
  <c r="U338" i="5" a="1"/>
  <c r="U338" i="5" s="1"/>
  <c r="Q336" i="6" s="1"/>
  <c r="T322" i="5" a="1"/>
  <c r="T322" i="5" s="1"/>
  <c r="P320" i="6" s="1"/>
  <c r="U322" i="5" a="1"/>
  <c r="U322" i="5" s="1"/>
  <c r="Q320" i="6" s="1"/>
  <c r="R298" i="5" a="1"/>
  <c r="R298" i="5" s="1"/>
  <c r="N296" i="6" s="1"/>
  <c r="U298" i="5" a="1"/>
  <c r="U298" i="5" s="1"/>
  <c r="Q296" i="6" s="1"/>
  <c r="T282" i="5" a="1"/>
  <c r="T282" i="5" s="1"/>
  <c r="P280" i="6" s="1"/>
  <c r="U282" i="5" a="1"/>
  <c r="U282" i="5" s="1"/>
  <c r="Q280" i="6" s="1"/>
  <c r="T274" i="5" a="1"/>
  <c r="T274" i="5" s="1"/>
  <c r="P272" i="6" s="1"/>
  <c r="U274" i="5" a="1"/>
  <c r="U274" i="5" s="1"/>
  <c r="Q272" i="6" s="1"/>
  <c r="U266" i="5" a="1"/>
  <c r="U266" i="5" s="1"/>
  <c r="Q264" i="6" s="1"/>
  <c r="T266" i="5" a="1"/>
  <c r="T266" i="5" s="1"/>
  <c r="P264" i="6" s="1"/>
  <c r="T258" i="5" a="1"/>
  <c r="T258" i="5" s="1"/>
  <c r="P256" i="6" s="1"/>
  <c r="U258" i="5" a="1"/>
  <c r="U258" i="5" s="1"/>
  <c r="Q256" i="6" s="1"/>
  <c r="T250" i="5" a="1"/>
  <c r="T250" i="5" s="1"/>
  <c r="P248" i="6" s="1"/>
  <c r="U250" i="5" a="1"/>
  <c r="U250" i="5" s="1"/>
  <c r="Q248" i="6" s="1"/>
  <c r="U226" i="5" a="1"/>
  <c r="U226" i="5" s="1"/>
  <c r="Q224" i="6" s="1"/>
  <c r="T226" i="5" a="1"/>
  <c r="T226" i="5" s="1"/>
  <c r="P224" i="6" s="1"/>
  <c r="T218" i="5" a="1"/>
  <c r="T218" i="5" s="1"/>
  <c r="P216" i="6" s="1"/>
  <c r="U218" i="5" a="1"/>
  <c r="U218" i="5" s="1"/>
  <c r="Q216" i="6" s="1"/>
  <c r="T202" i="5" a="1"/>
  <c r="T202" i="5" s="1"/>
  <c r="P200" i="6" s="1"/>
  <c r="U202" i="5" a="1"/>
  <c r="U202" i="5" s="1"/>
  <c r="Q200" i="6" s="1"/>
  <c r="T194" i="5" a="1"/>
  <c r="T194" i="5" s="1"/>
  <c r="P192" i="6" s="1"/>
  <c r="U194" i="5" a="1"/>
  <c r="U194" i="5" s="1"/>
  <c r="Q192" i="6" s="1"/>
  <c r="T186" i="5" a="1"/>
  <c r="T186" i="5" s="1"/>
  <c r="P184" i="6" s="1"/>
  <c r="U186" i="5" a="1"/>
  <c r="U186" i="5" s="1"/>
  <c r="Q184" i="6" s="1"/>
  <c r="T178" i="5" a="1"/>
  <c r="T178" i="5" s="1"/>
  <c r="P176" i="6" s="1"/>
  <c r="U178" i="5" a="1"/>
  <c r="U178" i="5" s="1"/>
  <c r="Q176" i="6" s="1"/>
  <c r="S170" i="5" a="1"/>
  <c r="S170" i="5" s="1"/>
  <c r="O168" i="6" s="1"/>
  <c r="U170" i="5" a="1"/>
  <c r="U170" i="5" s="1"/>
  <c r="Q168" i="6" s="1"/>
  <c r="T162" i="5" a="1"/>
  <c r="T162" i="5" s="1"/>
  <c r="P160" i="6" s="1"/>
  <c r="U162" i="5" a="1"/>
  <c r="U162" i="5" s="1"/>
  <c r="Q160" i="6" s="1"/>
  <c r="R154" i="5" a="1"/>
  <c r="R154" i="5" s="1"/>
  <c r="N152" i="6" s="1"/>
  <c r="U154" i="5" a="1"/>
  <c r="U154" i="5" s="1"/>
  <c r="Q152" i="6" s="1"/>
  <c r="T154" i="5" a="1"/>
  <c r="T154" i="5" s="1"/>
  <c r="P152" i="6" s="1"/>
  <c r="S275" i="5" a="1"/>
  <c r="S275" i="5" s="1"/>
  <c r="O273" i="6" s="1"/>
  <c r="T48" i="5" a="1"/>
  <c r="T48" i="5" s="1"/>
  <c r="P46" i="6" s="1"/>
  <c r="T210" i="5" a="1"/>
  <c r="T210" i="5" s="1"/>
  <c r="P208" i="6" s="1"/>
  <c r="U68" i="5" a="1"/>
  <c r="U68" i="5" s="1"/>
  <c r="Q66" i="6" s="1"/>
  <c r="U76" i="5" a="1"/>
  <c r="U76" i="5" s="1"/>
  <c r="Q74" i="6" s="1"/>
  <c r="U100" i="5" a="1"/>
  <c r="U100" i="5" s="1"/>
  <c r="Q98" i="6" s="1"/>
  <c r="U108" i="5" a="1"/>
  <c r="U108" i="5" s="1"/>
  <c r="Q106" i="6" s="1"/>
  <c r="U184" i="5" a="1"/>
  <c r="U184" i="5" s="1"/>
  <c r="Q182" i="6" s="1"/>
  <c r="U195" i="5" a="1"/>
  <c r="U195" i="5" s="1"/>
  <c r="Q193" i="6" s="1"/>
  <c r="U291" i="5" a="1"/>
  <c r="U291" i="5" s="1"/>
  <c r="Q289" i="6" s="1"/>
  <c r="T163" i="5" a="1"/>
  <c r="T163" i="5" s="1"/>
  <c r="P161" i="6" s="1"/>
  <c r="U163" i="5" a="1"/>
  <c r="U163" i="5" s="1"/>
  <c r="Q161" i="6" s="1"/>
  <c r="R155" i="5" a="1"/>
  <c r="R155" i="5" s="1"/>
  <c r="N153" i="6" s="1"/>
  <c r="T155" i="5" a="1"/>
  <c r="T155" i="5" s="1"/>
  <c r="P153" i="6" s="1"/>
  <c r="S83" i="5" a="1"/>
  <c r="S83" i="5" s="1"/>
  <c r="O81" i="6" s="1"/>
  <c r="U83" i="5" a="1"/>
  <c r="U83" i="5" s="1"/>
  <c r="Q81" i="6" s="1"/>
  <c r="T75" i="5" a="1"/>
  <c r="T75" i="5" s="1"/>
  <c r="P73" i="6" s="1"/>
  <c r="U75" i="5" a="1"/>
  <c r="U75" i="5" s="1"/>
  <c r="Q73" i="6" s="1"/>
  <c r="S75" i="5" a="1"/>
  <c r="S75" i="5" s="1"/>
  <c r="O73" i="6" s="1"/>
  <c r="U67" i="5" a="1"/>
  <c r="U67" i="5" s="1"/>
  <c r="Q65" i="6" s="1"/>
  <c r="S67" i="5" a="1"/>
  <c r="S67" i="5" s="1"/>
  <c r="O65" i="6" s="1"/>
  <c r="T59" i="5" a="1"/>
  <c r="T59" i="5" s="1"/>
  <c r="P57" i="6" s="1"/>
  <c r="U59" i="5" a="1"/>
  <c r="U59" i="5" s="1"/>
  <c r="Q57" i="6" s="1"/>
  <c r="T51" i="5" a="1"/>
  <c r="T51" i="5" s="1"/>
  <c r="P49" i="6" s="1"/>
  <c r="U51" i="5" a="1"/>
  <c r="U51" i="5" s="1"/>
  <c r="Q49" i="6" s="1"/>
  <c r="T27" i="5" a="1"/>
  <c r="T27" i="5" s="1"/>
  <c r="P25" i="6" s="1"/>
  <c r="U27" i="5" a="1"/>
  <c r="U27" i="5" s="1"/>
  <c r="Q25" i="6" s="1"/>
  <c r="S12" i="5" a="1"/>
  <c r="S12" i="5" s="1"/>
  <c r="O10" i="6" s="1"/>
  <c r="T11" i="5" a="1"/>
  <c r="T11" i="5" s="1"/>
  <c r="P9" i="6" s="1"/>
  <c r="U91" i="5" a="1"/>
  <c r="U91" i="5" s="1"/>
  <c r="Q89" i="6" s="1"/>
  <c r="T386" i="5" a="1"/>
  <c r="T386" i="5" s="1"/>
  <c r="P384" i="6" s="1"/>
  <c r="U386" i="5" a="1"/>
  <c r="U386" i="5" s="1"/>
  <c r="Q384" i="6" s="1"/>
  <c r="R362" i="5" a="1"/>
  <c r="R362" i="5" s="1"/>
  <c r="N360" i="6" s="1"/>
  <c r="U362" i="5" a="1"/>
  <c r="U362" i="5" s="1"/>
  <c r="Q360" i="6" s="1"/>
  <c r="T362" i="5" a="1"/>
  <c r="T362" i="5" s="1"/>
  <c r="P360" i="6" s="1"/>
  <c r="T354" i="5" a="1"/>
  <c r="T354" i="5" s="1"/>
  <c r="P352" i="6" s="1"/>
  <c r="U354" i="5" a="1"/>
  <c r="U354" i="5" s="1"/>
  <c r="Q352" i="6" s="1"/>
  <c r="T417" i="5" a="1"/>
  <c r="T417" i="5" s="1"/>
  <c r="P415" i="6" s="1"/>
  <c r="U417" i="5" a="1"/>
  <c r="U417" i="5" s="1"/>
  <c r="Q415" i="6" s="1"/>
  <c r="S409" i="5" a="1"/>
  <c r="S409" i="5" s="1"/>
  <c r="O407" i="6" s="1"/>
  <c r="U409" i="5" a="1"/>
  <c r="U409" i="5" s="1"/>
  <c r="Q407" i="6" s="1"/>
  <c r="T401" i="5" a="1"/>
  <c r="T401" i="5" s="1"/>
  <c r="P399" i="6" s="1"/>
  <c r="U401" i="5" a="1"/>
  <c r="U401" i="5" s="1"/>
  <c r="Q399" i="6" s="1"/>
  <c r="S393" i="5" a="1"/>
  <c r="S393" i="5" s="1"/>
  <c r="O391" i="6" s="1"/>
  <c r="U393" i="5" a="1"/>
  <c r="U393" i="5" s="1"/>
  <c r="Q391" i="6" s="1"/>
  <c r="T385" i="5" a="1"/>
  <c r="T385" i="5" s="1"/>
  <c r="P383" i="6" s="1"/>
  <c r="U385" i="5" a="1"/>
  <c r="U385" i="5" s="1"/>
  <c r="Q383" i="6" s="1"/>
  <c r="T377" i="5" a="1"/>
  <c r="T377" i="5" s="1"/>
  <c r="P375" i="6" s="1"/>
  <c r="U377" i="5" a="1"/>
  <c r="U377" i="5" s="1"/>
  <c r="Q375" i="6" s="1"/>
  <c r="T361" i="5" a="1"/>
  <c r="T361" i="5" s="1"/>
  <c r="P359" i="6" s="1"/>
  <c r="U361" i="5" a="1"/>
  <c r="U361" i="5" s="1"/>
  <c r="Q359" i="6" s="1"/>
  <c r="T345" i="5" a="1"/>
  <c r="T345" i="5" s="1"/>
  <c r="P343" i="6" s="1"/>
  <c r="U345" i="5" a="1"/>
  <c r="U345" i="5" s="1"/>
  <c r="Q343" i="6" s="1"/>
  <c r="S329" i="5" a="1"/>
  <c r="S329" i="5" s="1"/>
  <c r="O327" i="6" s="1"/>
  <c r="U329" i="5" a="1"/>
  <c r="U329" i="5" s="1"/>
  <c r="Q327" i="6" s="1"/>
  <c r="T313" i="5" a="1"/>
  <c r="T313" i="5" s="1"/>
  <c r="P311" i="6" s="1"/>
  <c r="U313" i="5" a="1"/>
  <c r="U313" i="5" s="1"/>
  <c r="Q311" i="6" s="1"/>
  <c r="T281" i="5" a="1"/>
  <c r="T281" i="5" s="1"/>
  <c r="P279" i="6" s="1"/>
  <c r="U281" i="5" a="1"/>
  <c r="U281" i="5" s="1"/>
  <c r="Q279" i="6" s="1"/>
  <c r="R265" i="5" a="1"/>
  <c r="R265" i="5" s="1"/>
  <c r="N263" i="6" s="1"/>
  <c r="U265" i="5" a="1"/>
  <c r="U265" i="5" s="1"/>
  <c r="Q263" i="6" s="1"/>
  <c r="S249" i="5" a="1"/>
  <c r="S249" i="5" s="1"/>
  <c r="O247" i="6" s="1"/>
  <c r="U249" i="5" a="1"/>
  <c r="U249" i="5" s="1"/>
  <c r="Q247" i="6" s="1"/>
  <c r="T217" i="5" a="1"/>
  <c r="T217" i="5" s="1"/>
  <c r="P215" i="6" s="1"/>
  <c r="U217" i="5" a="1"/>
  <c r="U217" i="5" s="1"/>
  <c r="Q215" i="6" s="1"/>
  <c r="T209" i="5" a="1"/>
  <c r="T209" i="5" s="1"/>
  <c r="P207" i="6" s="1"/>
  <c r="U209" i="5" a="1"/>
  <c r="U209" i="5" s="1"/>
  <c r="Q207" i="6" s="1"/>
  <c r="T201" i="5" a="1"/>
  <c r="T201" i="5" s="1"/>
  <c r="P199" i="6" s="1"/>
  <c r="U201" i="5" a="1"/>
  <c r="U201" i="5" s="1"/>
  <c r="Q199" i="6" s="1"/>
  <c r="T193" i="5" a="1"/>
  <c r="T193" i="5" s="1"/>
  <c r="P191" i="6" s="1"/>
  <c r="U193" i="5" a="1"/>
  <c r="U193" i="5" s="1"/>
  <c r="Q191" i="6" s="1"/>
  <c r="T185" i="5" a="1"/>
  <c r="T185" i="5" s="1"/>
  <c r="P183" i="6" s="1"/>
  <c r="U185" i="5" a="1"/>
  <c r="U185" i="5" s="1"/>
  <c r="Q183" i="6" s="1"/>
  <c r="T169" i="5" a="1"/>
  <c r="T169" i="5" s="1"/>
  <c r="P167" i="6" s="1"/>
  <c r="U169" i="5" a="1"/>
  <c r="U169" i="5" s="1"/>
  <c r="Q167" i="6" s="1"/>
  <c r="T153" i="5" a="1"/>
  <c r="T153" i="5" s="1"/>
  <c r="P151" i="6" s="1"/>
  <c r="U153" i="5" a="1"/>
  <c r="U153" i="5" s="1"/>
  <c r="Q151" i="6" s="1"/>
  <c r="T145" i="5" a="1"/>
  <c r="T145" i="5" s="1"/>
  <c r="P143" i="6" s="1"/>
  <c r="U145" i="5" a="1"/>
  <c r="U145" i="5" s="1"/>
  <c r="Q143" i="6" s="1"/>
  <c r="T137" i="5" a="1"/>
  <c r="T137" i="5" s="1"/>
  <c r="P135" i="6" s="1"/>
  <c r="U137" i="5" a="1"/>
  <c r="U137" i="5" s="1"/>
  <c r="Q135" i="6" s="1"/>
  <c r="S129" i="5" a="1"/>
  <c r="S129" i="5" s="1"/>
  <c r="O127" i="6" s="1"/>
  <c r="U129" i="5" a="1"/>
  <c r="U129" i="5" s="1"/>
  <c r="Q127" i="6" s="1"/>
  <c r="S19" i="5" a="1"/>
  <c r="S19" i="5" s="1"/>
  <c r="O17" i="6" s="1"/>
  <c r="T99" i="5" a="1"/>
  <c r="T99" i="5" s="1"/>
  <c r="P97" i="6" s="1"/>
  <c r="T275" i="5" a="1"/>
  <c r="T275" i="5" s="1"/>
  <c r="P273" i="6" s="1"/>
  <c r="T346" i="5" a="1"/>
  <c r="T346" i="5" s="1"/>
  <c r="P344" i="6" s="1"/>
  <c r="T411" i="5" a="1"/>
  <c r="T411" i="5" s="1"/>
  <c r="P409" i="6" s="1"/>
  <c r="U32" i="5" a="1"/>
  <c r="U32" i="5" s="1"/>
  <c r="Q30" i="6" s="1"/>
  <c r="U40" i="5" a="1"/>
  <c r="U40" i="5" s="1"/>
  <c r="Q38" i="6" s="1"/>
  <c r="U136" i="5" a="1"/>
  <c r="U136" i="5" s="1"/>
  <c r="Q134" i="6" s="1"/>
  <c r="U147" i="5" a="1"/>
  <c r="U147" i="5" s="1"/>
  <c r="Q145" i="6" s="1"/>
  <c r="U155" i="5" a="1"/>
  <c r="U155" i="5" s="1"/>
  <c r="Q153" i="6" s="1"/>
  <c r="U196" i="5" a="1"/>
  <c r="U196" i="5" s="1"/>
  <c r="Q194" i="6" s="1"/>
  <c r="U276" i="5" a="1"/>
  <c r="U276" i="5" s="1"/>
  <c r="Q274" i="6" s="1"/>
  <c r="U387" i="5" a="1"/>
  <c r="U387" i="5" s="1"/>
  <c r="Q385" i="6" s="1"/>
  <c r="T208" i="5" a="1"/>
  <c r="T208" i="5" s="1"/>
  <c r="P206" i="6" s="1"/>
  <c r="U208" i="5" a="1"/>
  <c r="U208" i="5" s="1"/>
  <c r="Q206" i="6" s="1"/>
  <c r="R200" i="5" a="1"/>
  <c r="R200" i="5" s="1"/>
  <c r="N198" i="6" s="1"/>
  <c r="T200" i="5" a="1"/>
  <c r="T200" i="5" s="1"/>
  <c r="P198" i="6" s="1"/>
  <c r="R192" i="5" a="1"/>
  <c r="R192" i="5" s="1"/>
  <c r="N190" i="6" s="1"/>
  <c r="U192" i="5" a="1"/>
  <c r="U192" i="5" s="1"/>
  <c r="Q190" i="6" s="1"/>
  <c r="S176" i="5" a="1"/>
  <c r="S176" i="5" s="1"/>
  <c r="O174" i="6" s="1"/>
  <c r="U176" i="5" a="1"/>
  <c r="U176" i="5" s="1"/>
  <c r="Q174" i="6" s="1"/>
  <c r="R168" i="5" a="1"/>
  <c r="R168" i="5" s="1"/>
  <c r="N166" i="6" s="1"/>
  <c r="U168" i="5" a="1"/>
  <c r="U168" i="5" s="1"/>
  <c r="Q166" i="6" s="1"/>
  <c r="R152" i="5" a="1"/>
  <c r="R152" i="5" s="1"/>
  <c r="N150" i="6" s="1"/>
  <c r="U152" i="5" a="1"/>
  <c r="U152" i="5" s="1"/>
  <c r="Q150" i="6" s="1"/>
  <c r="R120" i="5" a="1"/>
  <c r="R120" i="5" s="1"/>
  <c r="N118" i="6" s="1"/>
  <c r="U120" i="5" a="1"/>
  <c r="U120" i="5" s="1"/>
  <c r="Q118" i="6" s="1"/>
  <c r="R112" i="5" a="1"/>
  <c r="R112" i="5" s="1"/>
  <c r="N110" i="6" s="1"/>
  <c r="T112" i="5" a="1"/>
  <c r="T112" i="5" s="1"/>
  <c r="P110" i="6" s="1"/>
  <c r="R104" i="5" a="1"/>
  <c r="R104" i="5" s="1"/>
  <c r="N102" i="6" s="1"/>
  <c r="T104" i="5" a="1"/>
  <c r="T104" i="5" s="1"/>
  <c r="P102" i="6" s="1"/>
  <c r="U104" i="5" a="1"/>
  <c r="U104" i="5" s="1"/>
  <c r="Q102" i="6" s="1"/>
  <c r="R88" i="5" a="1"/>
  <c r="R88" i="5" s="1"/>
  <c r="N86" i="6" s="1"/>
  <c r="U88" i="5" a="1"/>
  <c r="U88" i="5" s="1"/>
  <c r="Q86" i="6" s="1"/>
  <c r="S80" i="5" a="1"/>
  <c r="S80" i="5" s="1"/>
  <c r="O78" i="6" s="1"/>
  <c r="U80" i="5" a="1"/>
  <c r="U80" i="5" s="1"/>
  <c r="Q78" i="6" s="1"/>
  <c r="R64" i="5" a="1"/>
  <c r="R64" i="5" s="1"/>
  <c r="N62" i="6" s="1"/>
  <c r="T64" i="5" a="1"/>
  <c r="T64" i="5" s="1"/>
  <c r="P62" i="6" s="1"/>
  <c r="S56" i="5" a="1"/>
  <c r="S56" i="5" s="1"/>
  <c r="O54" i="6" s="1"/>
  <c r="U56" i="5" a="1"/>
  <c r="U56" i="5" s="1"/>
  <c r="Q54" i="6" s="1"/>
  <c r="S24" i="5" a="1"/>
  <c r="S24" i="5" s="1"/>
  <c r="O22" i="6" s="1"/>
  <c r="T24" i="5" a="1"/>
  <c r="T24" i="5" s="1"/>
  <c r="P22" i="6" s="1"/>
  <c r="U24" i="5" a="1"/>
  <c r="U24" i="5" s="1"/>
  <c r="Q22" i="6" s="1"/>
  <c r="U16" i="5" a="1"/>
  <c r="U16" i="5" s="1"/>
  <c r="Q14" i="6" s="1"/>
  <c r="R176" i="5" a="1"/>
  <c r="R176" i="5" s="1"/>
  <c r="N174" i="6" s="1"/>
  <c r="T56" i="5" a="1"/>
  <c r="T56" i="5" s="1"/>
  <c r="P54" i="6" s="1"/>
  <c r="T107" i="5" a="1"/>
  <c r="T107" i="5" s="1"/>
  <c r="P105" i="6" s="1"/>
  <c r="T144" i="5" a="1"/>
  <c r="T144" i="5" s="1"/>
  <c r="P142" i="6" s="1"/>
  <c r="T184" i="5" a="1"/>
  <c r="T184" i="5" s="1"/>
  <c r="P182" i="6" s="1"/>
  <c r="U4" i="5" a="1"/>
  <c r="U4" i="5" s="1"/>
  <c r="Q2" i="6" s="1"/>
  <c r="U128" i="5" a="1"/>
  <c r="U128" i="5" s="1"/>
  <c r="Q126" i="6" s="1"/>
  <c r="U292" i="5" a="1"/>
  <c r="U292" i="5" s="1"/>
  <c r="Q290" i="6" s="1"/>
  <c r="U403" i="5" a="1"/>
  <c r="U403" i="5" s="1"/>
  <c r="Q401" i="6" s="1"/>
  <c r="R138" i="5" a="1"/>
  <c r="R138" i="5" s="1"/>
  <c r="N136" i="6" s="1"/>
  <c r="U138" i="5" a="1"/>
  <c r="U138" i="5" s="1"/>
  <c r="Q136" i="6" s="1"/>
  <c r="T122" i="5" a="1"/>
  <c r="T122" i="5" s="1"/>
  <c r="P120" i="6" s="1"/>
  <c r="U122" i="5" a="1"/>
  <c r="U122" i="5" s="1"/>
  <c r="Q120" i="6" s="1"/>
  <c r="T106" i="5" a="1"/>
  <c r="T106" i="5" s="1"/>
  <c r="P104" i="6" s="1"/>
  <c r="U106" i="5" a="1"/>
  <c r="U106" i="5" s="1"/>
  <c r="Q104" i="6" s="1"/>
  <c r="R98" i="5" a="1"/>
  <c r="R98" i="5" s="1"/>
  <c r="N96" i="6" s="1"/>
  <c r="U98" i="5" a="1"/>
  <c r="U98" i="5" s="1"/>
  <c r="Q96" i="6" s="1"/>
  <c r="S90" i="5" a="1"/>
  <c r="S90" i="5" s="1"/>
  <c r="O88" i="6" s="1"/>
  <c r="U90" i="5" a="1"/>
  <c r="U90" i="5" s="1"/>
  <c r="Q88" i="6" s="1"/>
  <c r="R31" i="5" a="1"/>
  <c r="R31" i="5" s="1"/>
  <c r="N29" i="6" s="1"/>
  <c r="T66" i="5" a="1"/>
  <c r="T66" i="5" s="1"/>
  <c r="P64" i="6" s="1"/>
  <c r="U33" i="5" a="1"/>
  <c r="U33" i="5" s="1"/>
  <c r="Q31" i="6" s="1"/>
  <c r="U74" i="5" a="1"/>
  <c r="U74" i="5" s="1"/>
  <c r="Q72" i="6" s="1"/>
  <c r="U89" i="5" a="1"/>
  <c r="U89" i="5" s="1"/>
  <c r="Q87" i="6" s="1"/>
  <c r="S111" i="5" a="1"/>
  <c r="S111" i="5" s="1"/>
  <c r="O109" i="6" s="1"/>
  <c r="U111" i="5" a="1"/>
  <c r="U111" i="5" s="1"/>
  <c r="Q109" i="6" s="1"/>
  <c r="S39" i="5" a="1"/>
  <c r="S39" i="5" s="1"/>
  <c r="O37" i="6" s="1"/>
  <c r="U39" i="5" a="1"/>
  <c r="U39" i="5" s="1"/>
  <c r="Q37" i="6" s="1"/>
  <c r="T31" i="5" a="1"/>
  <c r="T31" i="5" s="1"/>
  <c r="P29" i="6" s="1"/>
  <c r="U31" i="5" a="1"/>
  <c r="U31" i="5" s="1"/>
  <c r="Q29" i="6" s="1"/>
  <c r="U23" i="5" a="1"/>
  <c r="U23" i="5" s="1"/>
  <c r="Q21" i="6" s="1"/>
  <c r="R15" i="5" a="1"/>
  <c r="R15" i="5" s="1"/>
  <c r="N13" i="6" s="1"/>
  <c r="U15" i="5" a="1"/>
  <c r="U15" i="5" s="1"/>
  <c r="Q13" i="6" s="1"/>
  <c r="R7" i="5" a="1"/>
  <c r="R7" i="5" s="1"/>
  <c r="N5" i="6" s="1"/>
  <c r="U7" i="5" a="1"/>
  <c r="U7" i="5" s="1"/>
  <c r="Q5" i="6" s="1"/>
  <c r="U25" i="5" a="1"/>
  <c r="U25" i="5" s="1"/>
  <c r="Q23" i="6" s="1"/>
  <c r="U57" i="5" a="1"/>
  <c r="U57" i="5" s="1"/>
  <c r="Q55" i="6" s="1"/>
  <c r="U66" i="5" a="1"/>
  <c r="U66" i="5" s="1"/>
  <c r="Q64" i="6" s="1"/>
  <c r="R305" i="5" a="1"/>
  <c r="R305" i="5" s="1"/>
  <c r="N303" i="6" s="1"/>
  <c r="T305" i="5" a="1"/>
  <c r="T305" i="5" s="1"/>
  <c r="P303" i="6" s="1"/>
  <c r="R297" i="5" a="1"/>
  <c r="R297" i="5" s="1"/>
  <c r="N295" i="6" s="1"/>
  <c r="T297" i="5" a="1"/>
  <c r="T297" i="5" s="1"/>
  <c r="P295" i="6" s="1"/>
  <c r="R289" i="5" a="1"/>
  <c r="R289" i="5" s="1"/>
  <c r="N287" i="6" s="1"/>
  <c r="T289" i="5" a="1"/>
  <c r="T289" i="5" s="1"/>
  <c r="P287" i="6" s="1"/>
  <c r="R273" i="5" a="1"/>
  <c r="R273" i="5" s="1"/>
  <c r="N271" i="6" s="1"/>
  <c r="T273" i="5" a="1"/>
  <c r="T273" i="5" s="1"/>
  <c r="P271" i="6" s="1"/>
  <c r="S57" i="5" a="1"/>
  <c r="S57" i="5" s="1"/>
  <c r="O55" i="6" s="1"/>
  <c r="S81" i="5" a="1"/>
  <c r="S81" i="5" s="1"/>
  <c r="O79" i="6" s="1"/>
  <c r="R246" i="5" a="1"/>
  <c r="R246" i="5" s="1"/>
  <c r="N244" i="6" s="1"/>
  <c r="T246" i="5" a="1"/>
  <c r="T246" i="5" s="1"/>
  <c r="P244" i="6" s="1"/>
  <c r="R214" i="5" a="1"/>
  <c r="R214" i="5" s="1"/>
  <c r="N212" i="6" s="1"/>
  <c r="T214" i="5" a="1"/>
  <c r="T214" i="5" s="1"/>
  <c r="P212" i="6" s="1"/>
  <c r="S214" i="5" a="1"/>
  <c r="S214" i="5" s="1"/>
  <c r="O212" i="6" s="1"/>
  <c r="R150" i="5" a="1"/>
  <c r="R150" i="5" s="1"/>
  <c r="N148" i="6" s="1"/>
  <c r="T150" i="5" a="1"/>
  <c r="T150" i="5" s="1"/>
  <c r="P148" i="6" s="1"/>
  <c r="R142" i="5" a="1"/>
  <c r="R142" i="5" s="1"/>
  <c r="N140" i="6" s="1"/>
  <c r="T142" i="5" a="1"/>
  <c r="T142" i="5" s="1"/>
  <c r="P140" i="6" s="1"/>
  <c r="R70" i="5" a="1"/>
  <c r="R70" i="5" s="1"/>
  <c r="N68" i="6" s="1"/>
  <c r="T70" i="5" a="1"/>
  <c r="T70" i="5" s="1"/>
  <c r="P68" i="6" s="1"/>
  <c r="R174" i="5" a="1"/>
  <c r="R174" i="5" s="1"/>
  <c r="N172" i="6" s="1"/>
  <c r="S204" i="5" a="1"/>
  <c r="S204" i="5" s="1"/>
  <c r="O202" i="6" s="1"/>
  <c r="T204" i="5" a="1"/>
  <c r="T204" i="5" s="1"/>
  <c r="P202" i="6" s="1"/>
  <c r="S394" i="5" a="1"/>
  <c r="S394" i="5" s="1"/>
  <c r="O392" i="6" s="1"/>
  <c r="R394" i="5" a="1"/>
  <c r="R394" i="5" s="1"/>
  <c r="N392" i="6" s="1"/>
  <c r="T394" i="5" a="1"/>
  <c r="T394" i="5" s="1"/>
  <c r="P392" i="6" s="1"/>
  <c r="R378" i="5" a="1"/>
  <c r="R378" i="5" s="1"/>
  <c r="N376" i="6" s="1"/>
  <c r="T378" i="5" a="1"/>
  <c r="T378" i="5" s="1"/>
  <c r="P376" i="6" s="1"/>
  <c r="R370" i="5" a="1"/>
  <c r="R370" i="5" s="1"/>
  <c r="N368" i="6" s="1"/>
  <c r="T370" i="5" a="1"/>
  <c r="T370" i="5" s="1"/>
  <c r="P368" i="6" s="1"/>
  <c r="R346" i="5" a="1"/>
  <c r="R346" i="5" s="1"/>
  <c r="N344" i="6" s="1"/>
  <c r="S346" i="5" a="1"/>
  <c r="S346" i="5" s="1"/>
  <c r="O344" i="6" s="1"/>
  <c r="R330" i="5" a="1"/>
  <c r="R330" i="5" s="1"/>
  <c r="N328" i="6" s="1"/>
  <c r="S330" i="5" a="1"/>
  <c r="S330" i="5" s="1"/>
  <c r="O328" i="6" s="1"/>
  <c r="T330" i="5" a="1"/>
  <c r="T330" i="5" s="1"/>
  <c r="P328" i="6" s="1"/>
  <c r="R314" i="5" a="1"/>
  <c r="R314" i="5" s="1"/>
  <c r="N312" i="6" s="1"/>
  <c r="T314" i="5" a="1"/>
  <c r="T314" i="5" s="1"/>
  <c r="P312" i="6" s="1"/>
  <c r="R306" i="5" a="1"/>
  <c r="R306" i="5" s="1"/>
  <c r="N304" i="6" s="1"/>
  <c r="T306" i="5" a="1"/>
  <c r="T306" i="5" s="1"/>
  <c r="P304" i="6" s="1"/>
  <c r="S242" i="5" a="1"/>
  <c r="S242" i="5" s="1"/>
  <c r="O240" i="6" s="1"/>
  <c r="T242" i="5" a="1"/>
  <c r="T242" i="5" s="1"/>
  <c r="P240" i="6" s="1"/>
  <c r="R146" i="5" a="1"/>
  <c r="R146" i="5" s="1"/>
  <c r="N144" i="6" s="1"/>
  <c r="S146" i="5" a="1"/>
  <c r="S146" i="5" s="1"/>
  <c r="O144" i="6" s="1"/>
  <c r="R114" i="5" a="1"/>
  <c r="R114" i="5" s="1"/>
  <c r="N112" i="6" s="1"/>
  <c r="T114" i="5" a="1"/>
  <c r="T114" i="5" s="1"/>
  <c r="P112" i="6" s="1"/>
  <c r="S82" i="5" a="1"/>
  <c r="S82" i="5" s="1"/>
  <c r="O80" i="6" s="1"/>
  <c r="R82" i="5" a="1"/>
  <c r="R82" i="5" s="1"/>
  <c r="N80" i="6" s="1"/>
  <c r="T58" i="5" a="1"/>
  <c r="T58" i="5" s="1"/>
  <c r="P56" i="6" s="1"/>
  <c r="S42" i="5" a="1"/>
  <c r="S42" i="5" s="1"/>
  <c r="O40" i="6" s="1"/>
  <c r="T42" i="5" a="1"/>
  <c r="T42" i="5" s="1"/>
  <c r="P40" i="6" s="1"/>
  <c r="R34" i="5" a="1"/>
  <c r="R34" i="5" s="1"/>
  <c r="N32" i="6" s="1"/>
  <c r="T34" i="5" a="1"/>
  <c r="T34" i="5" s="1"/>
  <c r="P32" i="6" s="1"/>
  <c r="S10" i="5" a="1"/>
  <c r="S10" i="5" s="1"/>
  <c r="O8" i="6" s="1"/>
  <c r="T10" i="5" a="1"/>
  <c r="T10" i="5" s="1"/>
  <c r="P8" i="6" s="1"/>
  <c r="R222" i="5" a="1"/>
  <c r="R222" i="5" s="1"/>
  <c r="N220" i="6" s="1"/>
  <c r="R81" i="5" a="1"/>
  <c r="R81" i="5" s="1"/>
  <c r="N79" i="6" s="1"/>
  <c r="S174" i="5" a="1"/>
  <c r="S174" i="5" s="1"/>
  <c r="O172" i="6" s="1"/>
  <c r="T44" i="5" a="1"/>
  <c r="T44" i="5" s="1"/>
  <c r="P42" i="6" s="1"/>
  <c r="T82" i="5" a="1"/>
  <c r="T82" i="5" s="1"/>
  <c r="P80" i="6" s="1"/>
  <c r="T110" i="5" a="1"/>
  <c r="T110" i="5" s="1"/>
  <c r="P108" i="6" s="1"/>
  <c r="T232" i="5" a="1"/>
  <c r="T232" i="5" s="1"/>
  <c r="P230" i="6" s="1"/>
  <c r="T286" i="5" a="1"/>
  <c r="T286" i="5" s="1"/>
  <c r="P284" i="6" s="1"/>
  <c r="T320" i="5" a="1"/>
  <c r="T320" i="5" s="1"/>
  <c r="P318" i="6" s="1"/>
  <c r="T338" i="5" a="1"/>
  <c r="T338" i="5" s="1"/>
  <c r="P336" i="6" s="1"/>
  <c r="S353" i="5" a="1"/>
  <c r="S353" i="5" s="1"/>
  <c r="O351" i="6" s="1"/>
  <c r="T353" i="5" a="1"/>
  <c r="T353" i="5" s="1"/>
  <c r="P351" i="6" s="1"/>
  <c r="R337" i="5" a="1"/>
  <c r="R337" i="5" s="1"/>
  <c r="N335" i="6" s="1"/>
  <c r="T337" i="5" a="1"/>
  <c r="T337" i="5" s="1"/>
  <c r="P335" i="6" s="1"/>
  <c r="R257" i="5" a="1"/>
  <c r="R257" i="5" s="1"/>
  <c r="N255" i="6" s="1"/>
  <c r="T257" i="5" a="1"/>
  <c r="T257" i="5" s="1"/>
  <c r="P255" i="6" s="1"/>
  <c r="R113" i="5" a="1"/>
  <c r="R113" i="5" s="1"/>
  <c r="N111" i="6" s="1"/>
  <c r="T113" i="5" a="1"/>
  <c r="T113" i="5" s="1"/>
  <c r="P111" i="6" s="1"/>
  <c r="S113" i="5" a="1"/>
  <c r="S113" i="5" s="1"/>
  <c r="O111" i="6" s="1"/>
  <c r="T105" i="5" a="1"/>
  <c r="T105" i="5" s="1"/>
  <c r="P103" i="6" s="1"/>
  <c r="R97" i="5" a="1"/>
  <c r="R97" i="5" s="1"/>
  <c r="N95" i="6" s="1"/>
  <c r="T97" i="5" a="1"/>
  <c r="T97" i="5" s="1"/>
  <c r="P95" i="6" s="1"/>
  <c r="T249" i="5" a="1"/>
  <c r="T249" i="5" s="1"/>
  <c r="P247" i="6" s="1"/>
  <c r="T264" i="5" a="1"/>
  <c r="T264" i="5" s="1"/>
  <c r="P262" i="6" s="1"/>
  <c r="S62" i="5" a="1"/>
  <c r="S62" i="5" s="1"/>
  <c r="O60" i="6" s="1"/>
  <c r="T30" i="5" a="1"/>
  <c r="T30" i="5" s="1"/>
  <c r="P28" i="6" s="1"/>
  <c r="T238" i="5" a="1"/>
  <c r="T238" i="5" s="1"/>
  <c r="P236" i="6" s="1"/>
  <c r="T265" i="5" a="1"/>
  <c r="T265" i="5" s="1"/>
  <c r="P263" i="6" s="1"/>
  <c r="T393" i="5" a="1"/>
  <c r="T393" i="5" s="1"/>
  <c r="P391" i="6" s="1"/>
  <c r="T409" i="5" a="1"/>
  <c r="T409" i="5" s="1"/>
  <c r="P407" i="6" s="1"/>
  <c r="R321" i="5" a="1"/>
  <c r="R321" i="5" s="1"/>
  <c r="N319" i="6" s="1"/>
  <c r="T321" i="5" a="1"/>
  <c r="T321" i="5" s="1"/>
  <c r="P319" i="6" s="1"/>
  <c r="R129" i="5" a="1"/>
  <c r="R129" i="5" s="1"/>
  <c r="N127" i="6" s="1"/>
  <c r="T129" i="5" a="1"/>
  <c r="T129" i="5" s="1"/>
  <c r="P127" i="6" s="1"/>
  <c r="R49" i="5" a="1"/>
  <c r="R49" i="5" s="1"/>
  <c r="N47" i="6" s="1"/>
  <c r="S49" i="5" a="1"/>
  <c r="S49" i="5" s="1"/>
  <c r="O47" i="6" s="1"/>
  <c r="S374" i="5" a="1"/>
  <c r="S374" i="5" s="1"/>
  <c r="O372" i="6" s="1"/>
  <c r="T374" i="5" a="1"/>
  <c r="T374" i="5" s="1"/>
  <c r="P372" i="6" s="1"/>
  <c r="R374" i="5" a="1"/>
  <c r="R374" i="5" s="1"/>
  <c r="N372" i="6" s="1"/>
  <c r="R310" i="5" a="1"/>
  <c r="R310" i="5" s="1"/>
  <c r="N308" i="6" s="1"/>
  <c r="T310" i="5" a="1"/>
  <c r="T310" i="5" s="1"/>
  <c r="P308" i="6" s="1"/>
  <c r="R278" i="5" a="1"/>
  <c r="R278" i="5" s="1"/>
  <c r="N276" i="6" s="1"/>
  <c r="T278" i="5" a="1"/>
  <c r="T278" i="5" s="1"/>
  <c r="P276" i="6" s="1"/>
  <c r="R270" i="5" a="1"/>
  <c r="R270" i="5" s="1"/>
  <c r="N268" i="6" s="1"/>
  <c r="T270" i="5" a="1"/>
  <c r="T270" i="5" s="1"/>
  <c r="P268" i="6" s="1"/>
  <c r="S270" i="5" a="1"/>
  <c r="S270" i="5" s="1"/>
  <c r="O268" i="6" s="1"/>
  <c r="S126" i="5" a="1"/>
  <c r="S126" i="5" s="1"/>
  <c r="O124" i="6" s="1"/>
  <c r="T126" i="5" a="1"/>
  <c r="T126" i="5" s="1"/>
  <c r="P124" i="6" s="1"/>
  <c r="R118" i="5" a="1"/>
  <c r="R118" i="5" s="1"/>
  <c r="N116" i="6" s="1"/>
  <c r="T118" i="5" a="1"/>
  <c r="T118" i="5" s="1"/>
  <c r="P116" i="6" s="1"/>
  <c r="R54" i="5" a="1"/>
  <c r="R54" i="5" s="1"/>
  <c r="N52" i="6" s="1"/>
  <c r="S54" i="5" a="1"/>
  <c r="S54" i="5" s="1"/>
  <c r="O52" i="6" s="1"/>
  <c r="R414" i="5" a="1"/>
  <c r="R414" i="5" s="1"/>
  <c r="N412" i="6" s="1"/>
  <c r="T329" i="5" a="1"/>
  <c r="T329" i="5" s="1"/>
  <c r="P327" i="6" s="1"/>
  <c r="R413" i="5" a="1"/>
  <c r="R413" i="5" s="1"/>
  <c r="N411" i="6" s="1"/>
  <c r="T413" i="5" a="1"/>
  <c r="T413" i="5" s="1"/>
  <c r="P411" i="6" s="1"/>
  <c r="R365" i="5" a="1"/>
  <c r="R365" i="5" s="1"/>
  <c r="N363" i="6" s="1"/>
  <c r="T365" i="5" a="1"/>
  <c r="T365" i="5" s="1"/>
  <c r="P363" i="6" s="1"/>
  <c r="R357" i="5" a="1"/>
  <c r="R357" i="5" s="1"/>
  <c r="N355" i="6" s="1"/>
  <c r="T357" i="5" a="1"/>
  <c r="T357" i="5" s="1"/>
  <c r="P355" i="6" s="1"/>
  <c r="R173" i="5" a="1"/>
  <c r="R173" i="5" s="1"/>
  <c r="N171" i="6" s="1"/>
  <c r="S173" i="5" a="1"/>
  <c r="S173" i="5" s="1"/>
  <c r="O171" i="6" s="1"/>
  <c r="R165" i="5" a="1"/>
  <c r="R165" i="5" s="1"/>
  <c r="N163" i="6" s="1"/>
  <c r="T165" i="5" a="1"/>
  <c r="T165" i="5" s="1"/>
  <c r="P163" i="6" s="1"/>
  <c r="R109" i="5" a="1"/>
  <c r="R109" i="5" s="1"/>
  <c r="N107" i="6" s="1"/>
  <c r="T109" i="5" a="1"/>
  <c r="T109" i="5" s="1"/>
  <c r="P107" i="6" s="1"/>
  <c r="R93" i="5" a="1"/>
  <c r="R93" i="5" s="1"/>
  <c r="N91" i="6" s="1"/>
  <c r="T93" i="5" a="1"/>
  <c r="T93" i="5" s="1"/>
  <c r="P91" i="6" s="1"/>
  <c r="R77" i="5" a="1"/>
  <c r="R77" i="5" s="1"/>
  <c r="N75" i="6" s="1"/>
  <c r="T77" i="5" a="1"/>
  <c r="T77" i="5" s="1"/>
  <c r="P75" i="6" s="1"/>
  <c r="S77" i="5" a="1"/>
  <c r="S77" i="5" s="1"/>
  <c r="O75" i="6" s="1"/>
  <c r="T69" i="5" a="1"/>
  <c r="T69" i="5" s="1"/>
  <c r="P67" i="6" s="1"/>
  <c r="S69" i="5" a="1"/>
  <c r="S69" i="5" s="1"/>
  <c r="O67" i="6" s="1"/>
  <c r="S53" i="5" a="1"/>
  <c r="S53" i="5" s="1"/>
  <c r="O51" i="6" s="1"/>
  <c r="T53" i="5" a="1"/>
  <c r="T53" i="5" s="1"/>
  <c r="P51" i="6" s="1"/>
  <c r="S45" i="5" a="1"/>
  <c r="S45" i="5" s="1"/>
  <c r="O43" i="6" s="1"/>
  <c r="T45" i="5" a="1"/>
  <c r="T45" i="5" s="1"/>
  <c r="P43" i="6" s="1"/>
  <c r="R45" i="5" a="1"/>
  <c r="R45" i="5" s="1"/>
  <c r="N43" i="6" s="1"/>
  <c r="R37" i="5" a="1"/>
  <c r="R37" i="5" s="1"/>
  <c r="N35" i="6" s="1"/>
  <c r="T37" i="5" a="1"/>
  <c r="T37" i="5" s="1"/>
  <c r="P35" i="6" s="1"/>
  <c r="S29" i="5" a="1"/>
  <c r="S29" i="5" s="1"/>
  <c r="O27" i="6" s="1"/>
  <c r="T29" i="5" a="1"/>
  <c r="T29" i="5" s="1"/>
  <c r="P27" i="6" s="1"/>
  <c r="S21" i="5" a="1"/>
  <c r="S21" i="5" s="1"/>
  <c r="O19" i="6" s="1"/>
  <c r="T21" i="5" a="1"/>
  <c r="T21" i="5" s="1"/>
  <c r="P19" i="6" s="1"/>
  <c r="R410" i="5" a="1"/>
  <c r="R410" i="5" s="1"/>
  <c r="N408" i="6" s="1"/>
  <c r="R110" i="5" a="1"/>
  <c r="R110" i="5" s="1"/>
  <c r="N108" i="6" s="1"/>
  <c r="S22" i="5" a="1"/>
  <c r="S22" i="5" s="1"/>
  <c r="O20" i="6" s="1"/>
  <c r="S98" i="5" a="1"/>
  <c r="S98" i="5" s="1"/>
  <c r="O96" i="6" s="1"/>
  <c r="S205" i="5" a="1"/>
  <c r="S205" i="5" s="1"/>
  <c r="O203" i="6" s="1"/>
  <c r="S306" i="5" a="1"/>
  <c r="S306" i="5" s="1"/>
  <c r="O304" i="6" s="1"/>
  <c r="T33" i="5" a="1"/>
  <c r="T33" i="5" s="1"/>
  <c r="P31" i="6" s="1"/>
  <c r="T41" i="5" a="1"/>
  <c r="T41" i="5" s="1"/>
  <c r="P39" i="6" s="1"/>
  <c r="T78" i="5" a="1"/>
  <c r="T78" i="5" s="1"/>
  <c r="P76" i="6" s="1"/>
  <c r="T90" i="5" a="1"/>
  <c r="T90" i="5" s="1"/>
  <c r="P88" i="6" s="1"/>
  <c r="T146" i="5" a="1"/>
  <c r="T146" i="5" s="1"/>
  <c r="P144" i="6" s="1"/>
  <c r="T173" i="5" a="1"/>
  <c r="T173" i="5" s="1"/>
  <c r="P171" i="6" s="1"/>
  <c r="T298" i="5" a="1"/>
  <c r="T298" i="5" s="1"/>
  <c r="P296" i="6" s="1"/>
  <c r="R132" i="5" a="1"/>
  <c r="R132" i="5" s="1"/>
  <c r="N130" i="6" s="1"/>
  <c r="T132" i="5" a="1"/>
  <c r="T132" i="5" s="1"/>
  <c r="P130" i="6" s="1"/>
  <c r="R124" i="5" a="1"/>
  <c r="R124" i="5" s="1"/>
  <c r="N122" i="6" s="1"/>
  <c r="T124" i="5" a="1"/>
  <c r="T124" i="5" s="1"/>
  <c r="P122" i="6" s="1"/>
  <c r="S116" i="5" a="1"/>
  <c r="S116" i="5" s="1"/>
  <c r="O114" i="6" s="1"/>
  <c r="T116" i="5" a="1"/>
  <c r="T116" i="5" s="1"/>
  <c r="P114" i="6" s="1"/>
  <c r="R92" i="5" a="1"/>
  <c r="R92" i="5" s="1"/>
  <c r="N90" i="6" s="1"/>
  <c r="T92" i="5" a="1"/>
  <c r="T92" i="5" s="1"/>
  <c r="P90" i="6" s="1"/>
  <c r="R76" i="5" a="1"/>
  <c r="R76" i="5" s="1"/>
  <c r="N74" i="6" s="1"/>
  <c r="T76" i="5" a="1"/>
  <c r="T76" i="5" s="1"/>
  <c r="P74" i="6" s="1"/>
  <c r="R52" i="5" a="1"/>
  <c r="R52" i="5" s="1"/>
  <c r="N50" i="6" s="1"/>
  <c r="T52" i="5" a="1"/>
  <c r="T52" i="5" s="1"/>
  <c r="P50" i="6" s="1"/>
  <c r="S36" i="5" a="1"/>
  <c r="S36" i="5" s="1"/>
  <c r="O34" i="6" s="1"/>
  <c r="T36" i="5" a="1"/>
  <c r="T36" i="5" s="1"/>
  <c r="P34" i="6" s="1"/>
  <c r="R12" i="5" a="1"/>
  <c r="R12" i="5" s="1"/>
  <c r="N10" i="6" s="1"/>
  <c r="T12" i="5" a="1"/>
  <c r="T12" i="5" s="1"/>
  <c r="P10" i="6" s="1"/>
  <c r="S6" i="5" a="1"/>
  <c r="S6" i="5" s="1"/>
  <c r="O4" i="6" s="1"/>
  <c r="S46" i="5" a="1"/>
  <c r="S46" i="5" s="1"/>
  <c r="O44" i="6" s="1"/>
  <c r="S206" i="5" a="1"/>
  <c r="S206" i="5" s="1"/>
  <c r="O204" i="6" s="1"/>
  <c r="T25" i="5" a="1"/>
  <c r="T25" i="5" s="1"/>
  <c r="P23" i="6" s="1"/>
  <c r="T133" i="5" a="1"/>
  <c r="T133" i="5" s="1"/>
  <c r="P131" i="6" s="1"/>
  <c r="T256" i="5" a="1"/>
  <c r="T256" i="5" s="1"/>
  <c r="P254" i="6" s="1"/>
  <c r="T366" i="5" a="1"/>
  <c r="T366" i="5" s="1"/>
  <c r="P364" i="6" s="1"/>
  <c r="S369" i="5" a="1"/>
  <c r="S369" i="5" s="1"/>
  <c r="O367" i="6" s="1"/>
  <c r="T369" i="5" a="1"/>
  <c r="T369" i="5" s="1"/>
  <c r="P367" i="6" s="1"/>
  <c r="R241" i="5" a="1"/>
  <c r="R241" i="5" s="1"/>
  <c r="N239" i="6" s="1"/>
  <c r="T241" i="5" a="1"/>
  <c r="T241" i="5" s="1"/>
  <c r="P239" i="6" s="1"/>
  <c r="R233" i="5" a="1"/>
  <c r="R233" i="5" s="1"/>
  <c r="N231" i="6" s="1"/>
  <c r="T233" i="5" a="1"/>
  <c r="T233" i="5" s="1"/>
  <c r="P231" i="6" s="1"/>
  <c r="R225" i="5" a="1"/>
  <c r="R225" i="5" s="1"/>
  <c r="N223" i="6" s="1"/>
  <c r="T225" i="5" a="1"/>
  <c r="T225" i="5" s="1"/>
  <c r="P223" i="6" s="1"/>
  <c r="S177" i="5" a="1"/>
  <c r="S177" i="5" s="1"/>
  <c r="O175" i="6" s="1"/>
  <c r="T177" i="5" a="1"/>
  <c r="T177" i="5" s="1"/>
  <c r="P175" i="6" s="1"/>
  <c r="S161" i="5" a="1"/>
  <c r="S161" i="5" s="1"/>
  <c r="O159" i="6" s="1"/>
  <c r="T161" i="5" a="1"/>
  <c r="T161" i="5" s="1"/>
  <c r="P159" i="6" s="1"/>
  <c r="R73" i="5" a="1"/>
  <c r="R73" i="5" s="1"/>
  <c r="N71" i="6" s="1"/>
  <c r="T73" i="5" a="1"/>
  <c r="T73" i="5" s="1"/>
  <c r="P71" i="6" s="1"/>
  <c r="R65" i="5" a="1"/>
  <c r="R65" i="5" s="1"/>
  <c r="N63" i="6" s="1"/>
  <c r="T65" i="5" a="1"/>
  <c r="T65" i="5" s="1"/>
  <c r="P63" i="6" s="1"/>
  <c r="R17" i="5" a="1"/>
  <c r="R17" i="5" s="1"/>
  <c r="N15" i="6" s="1"/>
  <c r="T17" i="5" a="1"/>
  <c r="T17" i="5" s="1"/>
  <c r="P15" i="6" s="1"/>
  <c r="R224" i="5" a="1"/>
  <c r="R224" i="5" s="1"/>
  <c r="N222" i="6" s="1"/>
  <c r="T224" i="5" a="1"/>
  <c r="T224" i="5" s="1"/>
  <c r="P222" i="6" s="1"/>
  <c r="R216" i="5" a="1"/>
  <c r="R216" i="5" s="1"/>
  <c r="N214" i="6" s="1"/>
  <c r="T216" i="5" a="1"/>
  <c r="T216" i="5" s="1"/>
  <c r="P214" i="6" s="1"/>
  <c r="S406" i="5" a="1"/>
  <c r="S406" i="5" s="1"/>
  <c r="O404" i="6" s="1"/>
  <c r="T406" i="5" a="1"/>
  <c r="T406" i="5" s="1"/>
  <c r="P404" i="6" s="1"/>
  <c r="S398" i="5" a="1"/>
  <c r="S398" i="5" s="1"/>
  <c r="O396" i="6" s="1"/>
  <c r="T398" i="5" a="1"/>
  <c r="T398" i="5" s="1"/>
  <c r="P396" i="6" s="1"/>
  <c r="S358" i="5" a="1"/>
  <c r="S358" i="5" s="1"/>
  <c r="O356" i="6" s="1"/>
  <c r="T358" i="5" a="1"/>
  <c r="T358" i="5" s="1"/>
  <c r="P356" i="6" s="1"/>
  <c r="R342" i="5" a="1"/>
  <c r="R342" i="5" s="1"/>
  <c r="N340" i="6" s="1"/>
  <c r="T342" i="5" a="1"/>
  <c r="T342" i="5" s="1"/>
  <c r="P340" i="6" s="1"/>
  <c r="S334" i="5" a="1"/>
  <c r="S334" i="5" s="1"/>
  <c r="O332" i="6" s="1"/>
  <c r="R334" i="5" a="1"/>
  <c r="R334" i="5" s="1"/>
  <c r="N332" i="6" s="1"/>
  <c r="T334" i="5" a="1"/>
  <c r="T334" i="5" s="1"/>
  <c r="P332" i="6" s="1"/>
  <c r="S190" i="5" a="1"/>
  <c r="S190" i="5" s="1"/>
  <c r="O188" i="6" s="1"/>
  <c r="R190" i="5" a="1"/>
  <c r="R190" i="5" s="1"/>
  <c r="N188" i="6" s="1"/>
  <c r="T190" i="5" a="1"/>
  <c r="T190" i="5" s="1"/>
  <c r="P188" i="6" s="1"/>
  <c r="R182" i="5" a="1"/>
  <c r="R182" i="5" s="1"/>
  <c r="N180" i="6" s="1"/>
  <c r="T182" i="5" a="1"/>
  <c r="T182" i="5" s="1"/>
  <c r="P180" i="6" s="1"/>
  <c r="S182" i="5" a="1"/>
  <c r="S182" i="5" s="1"/>
  <c r="O180" i="6" s="1"/>
  <c r="R102" i="5" a="1"/>
  <c r="R102" i="5" s="1"/>
  <c r="N100" i="6" s="1"/>
  <c r="T102" i="5" a="1"/>
  <c r="T102" i="5" s="1"/>
  <c r="P100" i="6" s="1"/>
  <c r="S102" i="5" a="1"/>
  <c r="S102" i="5" s="1"/>
  <c r="O100" i="6" s="1"/>
  <c r="R86" i="5" a="1"/>
  <c r="R86" i="5" s="1"/>
  <c r="N84" i="6" s="1"/>
  <c r="T86" i="5" a="1"/>
  <c r="T86" i="5" s="1"/>
  <c r="P84" i="6" s="1"/>
  <c r="S86" i="5" a="1"/>
  <c r="S86" i="5" s="1"/>
  <c r="O84" i="6" s="1"/>
  <c r="R14" i="5" a="1"/>
  <c r="R14" i="5" s="1"/>
  <c r="N12" i="6" s="1"/>
  <c r="S14" i="5" a="1"/>
  <c r="S14" i="5" s="1"/>
  <c r="O12" i="6" s="1"/>
  <c r="S97" i="5" a="1"/>
  <c r="S97" i="5" s="1"/>
  <c r="O95" i="6" s="1"/>
  <c r="T9" i="5" a="1"/>
  <c r="T9" i="5" s="1"/>
  <c r="P7" i="6" s="1"/>
  <c r="T49" i="5" a="1"/>
  <c r="T49" i="5" s="1"/>
  <c r="P47" i="6" s="1"/>
  <c r="T57" i="5" a="1"/>
  <c r="T57" i="5" s="1"/>
  <c r="P55" i="6" s="1"/>
  <c r="T89" i="5" a="1"/>
  <c r="T89" i="5" s="1"/>
  <c r="P87" i="6" s="1"/>
  <c r="R388" i="5" a="1"/>
  <c r="R388" i="5" s="1"/>
  <c r="N386" i="6" s="1"/>
  <c r="T388" i="5" a="1"/>
  <c r="T388" i="5" s="1"/>
  <c r="P386" i="6" s="1"/>
  <c r="R380" i="5" a="1"/>
  <c r="R380" i="5" s="1"/>
  <c r="N378" i="6" s="1"/>
  <c r="T380" i="5" a="1"/>
  <c r="T380" i="5" s="1"/>
  <c r="P378" i="6" s="1"/>
  <c r="R356" i="5" a="1"/>
  <c r="R356" i="5" s="1"/>
  <c r="N354" i="6" s="1"/>
  <c r="T356" i="5" a="1"/>
  <c r="T356" i="5" s="1"/>
  <c r="P354" i="6" s="1"/>
  <c r="R348" i="5" a="1"/>
  <c r="R348" i="5" s="1"/>
  <c r="N346" i="6" s="1"/>
  <c r="T348" i="5" a="1"/>
  <c r="T348" i="5" s="1"/>
  <c r="P346" i="6" s="1"/>
  <c r="S348" i="5" a="1"/>
  <c r="S348" i="5" s="1"/>
  <c r="O346" i="6" s="1"/>
  <c r="R324" i="5" a="1"/>
  <c r="R324" i="5" s="1"/>
  <c r="N322" i="6" s="1"/>
  <c r="T324" i="5" a="1"/>
  <c r="T324" i="5" s="1"/>
  <c r="P322" i="6" s="1"/>
  <c r="R316" i="5" a="1"/>
  <c r="R316" i="5" s="1"/>
  <c r="N314" i="6" s="1"/>
  <c r="T316" i="5" a="1"/>
  <c r="T316" i="5" s="1"/>
  <c r="P314" i="6" s="1"/>
  <c r="S316" i="5" a="1"/>
  <c r="S316" i="5" s="1"/>
  <c r="O314" i="6" s="1"/>
  <c r="R292" i="5" a="1"/>
  <c r="R292" i="5" s="1"/>
  <c r="N290" i="6" s="1"/>
  <c r="T292" i="5" a="1"/>
  <c r="T292" i="5" s="1"/>
  <c r="P290" i="6" s="1"/>
  <c r="R284" i="5" a="1"/>
  <c r="R284" i="5" s="1"/>
  <c r="N282" i="6" s="1"/>
  <c r="T284" i="5" a="1"/>
  <c r="T284" i="5" s="1"/>
  <c r="P282" i="6" s="1"/>
  <c r="R89" i="5" a="1"/>
  <c r="R89" i="5" s="1"/>
  <c r="N87" i="6" s="1"/>
  <c r="S30" i="5" a="1"/>
  <c r="S30" i="5" s="1"/>
  <c r="O28" i="6" s="1"/>
  <c r="S109" i="5" a="1"/>
  <c r="S109" i="5" s="1"/>
  <c r="O107" i="6" s="1"/>
  <c r="S165" i="5" a="1"/>
  <c r="S165" i="5" s="1"/>
  <c r="O163" i="6" s="1"/>
  <c r="S238" i="5" a="1"/>
  <c r="S238" i="5" s="1"/>
  <c r="O236" i="6" s="1"/>
  <c r="T121" i="5" a="1"/>
  <c r="T121" i="5" s="1"/>
  <c r="P119" i="6" s="1"/>
  <c r="T205" i="5" a="1"/>
  <c r="T205" i="5" s="1"/>
  <c r="P203" i="6" s="1"/>
  <c r="T302" i="5" a="1"/>
  <c r="T302" i="5" s="1"/>
  <c r="P300" i="6" s="1"/>
  <c r="T384" i="5" a="1"/>
  <c r="T384" i="5" s="1"/>
  <c r="P382" i="6" s="1"/>
  <c r="T402" i="5" a="1"/>
  <c r="T402" i="5" s="1"/>
  <c r="P400" i="6" s="1"/>
  <c r="T414" i="5" a="1"/>
  <c r="T414" i="5" s="1"/>
  <c r="P412" i="6" s="1"/>
  <c r="R67" i="5" a="1"/>
  <c r="R67" i="5" s="1"/>
  <c r="N65" i="6" s="1"/>
  <c r="T67" i="5" a="1"/>
  <c r="T67" i="5" s="1"/>
  <c r="P65" i="6" s="1"/>
  <c r="R43" i="5" a="1"/>
  <c r="R43" i="5" s="1"/>
  <c r="N41" i="6" s="1"/>
  <c r="T43" i="5" a="1"/>
  <c r="T43" i="5" s="1"/>
  <c r="P41" i="6" s="1"/>
  <c r="T35" i="5" a="1"/>
  <c r="T35" i="5" s="1"/>
  <c r="P33" i="6" s="1"/>
  <c r="S7" i="5" a="1"/>
  <c r="S7" i="5" s="1"/>
  <c r="O5" i="6" s="1"/>
  <c r="S32" i="5" a="1"/>
  <c r="S32" i="5" s="1"/>
  <c r="O30" i="6" s="1"/>
  <c r="T19" i="5" a="1"/>
  <c r="T19" i="5" s="1"/>
  <c r="P17" i="6" s="1"/>
  <c r="T88" i="5" a="1"/>
  <c r="T88" i="5" s="1"/>
  <c r="P86" i="6" s="1"/>
  <c r="S23" i="5" a="1"/>
  <c r="S23" i="5" s="1"/>
  <c r="O21" i="6" s="1"/>
  <c r="S283" i="5" a="1"/>
  <c r="S283" i="5" s="1"/>
  <c r="O281" i="6" s="1"/>
  <c r="S383" i="5" a="1"/>
  <c r="S383" i="5" s="1"/>
  <c r="O381" i="6" s="1"/>
  <c r="T7" i="5" a="1"/>
  <c r="T7" i="5" s="1"/>
  <c r="P5" i="6" s="1"/>
  <c r="T16" i="5" a="1"/>
  <c r="T16" i="5" s="1"/>
  <c r="P14" i="6" s="1"/>
  <c r="T83" i="5" a="1"/>
  <c r="T83" i="5" s="1"/>
  <c r="P81" i="6" s="1"/>
  <c r="T168" i="5" a="1"/>
  <c r="T168" i="5" s="1"/>
  <c r="P166" i="6" s="1"/>
  <c r="T176" i="5" a="1"/>
  <c r="T176" i="5" s="1"/>
  <c r="P174" i="6" s="1"/>
  <c r="T211" i="5" a="1"/>
  <c r="T211" i="5" s="1"/>
  <c r="P209" i="6" s="1"/>
  <c r="T219" i="5" a="1"/>
  <c r="T219" i="5" s="1"/>
  <c r="P217" i="6" s="1"/>
  <c r="R399" i="5" a="1"/>
  <c r="R399" i="5" s="1"/>
  <c r="N397" i="6" s="1"/>
  <c r="T399" i="5" a="1"/>
  <c r="T399" i="5" s="1"/>
  <c r="P397" i="6" s="1"/>
  <c r="R375" i="5" a="1"/>
  <c r="R375" i="5" s="1"/>
  <c r="N373" i="6" s="1"/>
  <c r="T375" i="5" a="1"/>
  <c r="T375" i="5" s="1"/>
  <c r="P373" i="6" s="1"/>
  <c r="R367" i="5" a="1"/>
  <c r="R367" i="5" s="1"/>
  <c r="N365" i="6" s="1"/>
  <c r="S367" i="5" a="1"/>
  <c r="S367" i="5" s="1"/>
  <c r="O365" i="6" s="1"/>
  <c r="T367" i="5" a="1"/>
  <c r="T367" i="5" s="1"/>
  <c r="P365" i="6" s="1"/>
  <c r="R343" i="5" a="1"/>
  <c r="R343" i="5" s="1"/>
  <c r="N341" i="6" s="1"/>
  <c r="T343" i="5" a="1"/>
  <c r="T343" i="5" s="1"/>
  <c r="P341" i="6" s="1"/>
  <c r="R319" i="5" a="1"/>
  <c r="R319" i="5" s="1"/>
  <c r="N317" i="6" s="1"/>
  <c r="T319" i="5" a="1"/>
  <c r="T319" i="5" s="1"/>
  <c r="P317" i="6" s="1"/>
  <c r="R311" i="5" a="1"/>
  <c r="R311" i="5" s="1"/>
  <c r="N309" i="6" s="1"/>
  <c r="T311" i="5" a="1"/>
  <c r="T311" i="5" s="1"/>
  <c r="P309" i="6" s="1"/>
  <c r="R303" i="5" a="1"/>
  <c r="R303" i="5" s="1"/>
  <c r="N301" i="6" s="1"/>
  <c r="T303" i="5" a="1"/>
  <c r="T303" i="5" s="1"/>
  <c r="P301" i="6" s="1"/>
  <c r="S295" i="5" a="1"/>
  <c r="S295" i="5" s="1"/>
  <c r="O293" i="6" s="1"/>
  <c r="T295" i="5" a="1"/>
  <c r="T295" i="5" s="1"/>
  <c r="P293" i="6" s="1"/>
  <c r="S287" i="5" a="1"/>
  <c r="S287" i="5" s="1"/>
  <c r="O285" i="6" s="1"/>
  <c r="T287" i="5" a="1"/>
  <c r="T287" i="5" s="1"/>
  <c r="P285" i="6" s="1"/>
  <c r="S279" i="5" a="1"/>
  <c r="S279" i="5" s="1"/>
  <c r="O277" i="6" s="1"/>
  <c r="T279" i="5" a="1"/>
  <c r="T279" i="5" s="1"/>
  <c r="P277" i="6" s="1"/>
  <c r="R271" i="5" a="1"/>
  <c r="R271" i="5" s="1"/>
  <c r="N269" i="6" s="1"/>
  <c r="T271" i="5" a="1"/>
  <c r="T271" i="5" s="1"/>
  <c r="P269" i="6" s="1"/>
  <c r="S263" i="5" a="1"/>
  <c r="S263" i="5" s="1"/>
  <c r="O261" i="6" s="1"/>
  <c r="T263" i="5" a="1"/>
  <c r="T263" i="5" s="1"/>
  <c r="P261" i="6" s="1"/>
  <c r="S255" i="5" a="1"/>
  <c r="S255" i="5" s="1"/>
  <c r="O253" i="6" s="1"/>
  <c r="T255" i="5" a="1"/>
  <c r="T255" i="5" s="1"/>
  <c r="P253" i="6" s="1"/>
  <c r="T247" i="5" a="1"/>
  <c r="T247" i="5" s="1"/>
  <c r="P245" i="6" s="1"/>
  <c r="R239" i="5" a="1"/>
  <c r="R239" i="5" s="1"/>
  <c r="N237" i="6" s="1"/>
  <c r="T239" i="5" a="1"/>
  <c r="T239" i="5" s="1"/>
  <c r="P237" i="6" s="1"/>
  <c r="R223" i="5" a="1"/>
  <c r="R223" i="5" s="1"/>
  <c r="N221" i="6" s="1"/>
  <c r="T223" i="5" a="1"/>
  <c r="T223" i="5" s="1"/>
  <c r="P221" i="6" s="1"/>
  <c r="R215" i="5" a="1"/>
  <c r="R215" i="5" s="1"/>
  <c r="N213" i="6" s="1"/>
  <c r="T215" i="5" a="1"/>
  <c r="T215" i="5" s="1"/>
  <c r="P213" i="6" s="1"/>
  <c r="R207" i="5" a="1"/>
  <c r="R207" i="5" s="1"/>
  <c r="N205" i="6" s="1"/>
  <c r="T207" i="5" a="1"/>
  <c r="T207" i="5" s="1"/>
  <c r="P205" i="6" s="1"/>
  <c r="S199" i="5" a="1"/>
  <c r="S199" i="5" s="1"/>
  <c r="O197" i="6" s="1"/>
  <c r="T199" i="5" a="1"/>
  <c r="T199" i="5" s="1"/>
  <c r="P197" i="6" s="1"/>
  <c r="R175" i="5" a="1"/>
  <c r="R175" i="5" s="1"/>
  <c r="N173" i="6" s="1"/>
  <c r="T175" i="5" a="1"/>
  <c r="T175" i="5" s="1"/>
  <c r="P173" i="6" s="1"/>
  <c r="R159" i="5" a="1"/>
  <c r="R159" i="5" s="1"/>
  <c r="N157" i="6" s="1"/>
  <c r="T159" i="5" a="1"/>
  <c r="T159" i="5" s="1"/>
  <c r="P157" i="6" s="1"/>
  <c r="R151" i="5" a="1"/>
  <c r="R151" i="5" s="1"/>
  <c r="N149" i="6" s="1"/>
  <c r="T151" i="5" a="1"/>
  <c r="T151" i="5" s="1"/>
  <c r="P149" i="6" s="1"/>
  <c r="R143" i="5" a="1"/>
  <c r="R143" i="5" s="1"/>
  <c r="N141" i="6" s="1"/>
  <c r="T143" i="5" a="1"/>
  <c r="T143" i="5" s="1"/>
  <c r="P141" i="6" s="1"/>
  <c r="R127" i="5" a="1"/>
  <c r="R127" i="5" s="1"/>
  <c r="N125" i="6" s="1"/>
  <c r="T127" i="5" a="1"/>
  <c r="T127" i="5" s="1"/>
  <c r="P125" i="6" s="1"/>
  <c r="R119" i="5" a="1"/>
  <c r="R119" i="5" s="1"/>
  <c r="N117" i="6" s="1"/>
  <c r="T119" i="5" a="1"/>
  <c r="T119" i="5" s="1"/>
  <c r="P117" i="6" s="1"/>
  <c r="R111" i="5" a="1"/>
  <c r="R111" i="5" s="1"/>
  <c r="N109" i="6" s="1"/>
  <c r="T111" i="5" a="1"/>
  <c r="T111" i="5" s="1"/>
  <c r="P109" i="6" s="1"/>
  <c r="S103" i="5" a="1"/>
  <c r="S103" i="5" s="1"/>
  <c r="O101" i="6" s="1"/>
  <c r="T103" i="5" a="1"/>
  <c r="T103" i="5" s="1"/>
  <c r="P101" i="6" s="1"/>
  <c r="S95" i="5" a="1"/>
  <c r="S95" i="5" s="1"/>
  <c r="O93" i="6" s="1"/>
  <c r="T95" i="5" a="1"/>
  <c r="T95" i="5" s="1"/>
  <c r="P93" i="6" s="1"/>
  <c r="T87" i="5" a="1"/>
  <c r="T87" i="5" s="1"/>
  <c r="P85" i="6" s="1"/>
  <c r="R79" i="5" a="1"/>
  <c r="R79" i="5" s="1"/>
  <c r="N77" i="6" s="1"/>
  <c r="T79" i="5" a="1"/>
  <c r="T79" i="5" s="1"/>
  <c r="P77" i="6" s="1"/>
  <c r="R71" i="5" a="1"/>
  <c r="R71" i="5" s="1"/>
  <c r="N69" i="6" s="1"/>
  <c r="T71" i="5" a="1"/>
  <c r="T71" i="5" s="1"/>
  <c r="P69" i="6" s="1"/>
  <c r="T63" i="5" a="1"/>
  <c r="T63" i="5" s="1"/>
  <c r="P61" i="6" s="1"/>
  <c r="T55" i="5" a="1"/>
  <c r="T55" i="5" s="1"/>
  <c r="P53" i="6" s="1"/>
  <c r="S47" i="5" a="1"/>
  <c r="S47" i="5" s="1"/>
  <c r="O45" i="6" s="1"/>
  <c r="T47" i="5" a="1"/>
  <c r="T47" i="5" s="1"/>
  <c r="P45" i="6" s="1"/>
  <c r="R39" i="5" a="1"/>
  <c r="R39" i="5" s="1"/>
  <c r="N37" i="6" s="1"/>
  <c r="T39" i="5" a="1"/>
  <c r="T39" i="5" s="1"/>
  <c r="P37" i="6" s="1"/>
  <c r="R183" i="5" a="1"/>
  <c r="R183" i="5" s="1"/>
  <c r="N181" i="6" s="1"/>
  <c r="S27" i="5" a="1"/>
  <c r="S27" i="5" s="1"/>
  <c r="O25" i="6" s="1"/>
  <c r="S71" i="5" a="1"/>
  <c r="S71" i="5" s="1"/>
  <c r="O69" i="6" s="1"/>
  <c r="S87" i="5" a="1"/>
  <c r="S87" i="5" s="1"/>
  <c r="O85" i="6" s="1"/>
  <c r="S183" i="5" a="1"/>
  <c r="S183" i="5" s="1"/>
  <c r="O181" i="6" s="1"/>
  <c r="S219" i="5" a="1"/>
  <c r="S219" i="5" s="1"/>
  <c r="O217" i="6" s="1"/>
  <c r="T152" i="5" a="1"/>
  <c r="T152" i="5" s="1"/>
  <c r="P150" i="6" s="1"/>
  <c r="T160" i="5" a="1"/>
  <c r="T160" i="5" s="1"/>
  <c r="P158" i="6" s="1"/>
  <c r="S48" i="5" a="1"/>
  <c r="S48" i="5" s="1"/>
  <c r="O46" i="6" s="1"/>
  <c r="S289" i="5" a="1"/>
  <c r="S289" i="5" s="1"/>
  <c r="O287" i="6" s="1"/>
  <c r="S305" i="5" a="1"/>
  <c r="S305" i="5" s="1"/>
  <c r="O303" i="6" s="1"/>
  <c r="S160" i="5" a="1"/>
  <c r="S160" i="5" s="1"/>
  <c r="O158" i="6" s="1"/>
  <c r="R384" i="5" a="1"/>
  <c r="R384" i="5" s="1"/>
  <c r="N382" i="6" s="1"/>
  <c r="R353" i="5" a="1"/>
  <c r="R353" i="5" s="1"/>
  <c r="N351" i="6" s="1"/>
  <c r="S28" i="5" a="1"/>
  <c r="S28" i="5" s="1"/>
  <c r="O26" i="6" s="1"/>
  <c r="S44" i="5" a="1"/>
  <c r="S44" i="5" s="1"/>
  <c r="O42" i="6" s="1"/>
  <c r="S88" i="5" a="1"/>
  <c r="S88" i="5" s="1"/>
  <c r="O86" i="6" s="1"/>
  <c r="S120" i="5" a="1"/>
  <c r="S120" i="5" s="1"/>
  <c r="O118" i="6" s="1"/>
  <c r="S132" i="5" a="1"/>
  <c r="S132" i="5" s="1"/>
  <c r="O130" i="6" s="1"/>
  <c r="S248" i="5" a="1"/>
  <c r="S248" i="5" s="1"/>
  <c r="O246" i="6" s="1"/>
  <c r="S264" i="5" a="1"/>
  <c r="S264" i="5" s="1"/>
  <c r="O262" i="6" s="1"/>
  <c r="S321" i="5" a="1"/>
  <c r="S321" i="5" s="1"/>
  <c r="O319" i="6" s="1"/>
  <c r="S337" i="5" a="1"/>
  <c r="S337" i="5" s="1"/>
  <c r="O335" i="6" s="1"/>
  <c r="R405" i="5" a="1"/>
  <c r="R405" i="5" s="1"/>
  <c r="N403" i="6" s="1"/>
  <c r="S405" i="5" a="1"/>
  <c r="S405" i="5" s="1"/>
  <c r="O403" i="6" s="1"/>
  <c r="R397" i="5" a="1"/>
  <c r="R397" i="5" s="1"/>
  <c r="N395" i="6" s="1"/>
  <c r="S397" i="5" a="1"/>
  <c r="S397" i="5" s="1"/>
  <c r="O395" i="6" s="1"/>
  <c r="R389" i="5" a="1"/>
  <c r="R389" i="5" s="1"/>
  <c r="N387" i="6" s="1"/>
  <c r="S389" i="5" a="1"/>
  <c r="S389" i="5" s="1"/>
  <c r="O387" i="6" s="1"/>
  <c r="R381" i="5" a="1"/>
  <c r="R381" i="5" s="1"/>
  <c r="N379" i="6" s="1"/>
  <c r="S381" i="5" a="1"/>
  <c r="S381" i="5" s="1"/>
  <c r="O379" i="6" s="1"/>
  <c r="R373" i="5" a="1"/>
  <c r="R373" i="5" s="1"/>
  <c r="N371" i="6" s="1"/>
  <c r="S373" i="5" a="1"/>
  <c r="S373" i="5" s="1"/>
  <c r="O371" i="6" s="1"/>
  <c r="R349" i="5" a="1"/>
  <c r="R349" i="5" s="1"/>
  <c r="N347" i="6" s="1"/>
  <c r="S349" i="5" a="1"/>
  <c r="S349" i="5" s="1"/>
  <c r="O347" i="6" s="1"/>
  <c r="R341" i="5" a="1"/>
  <c r="R341" i="5" s="1"/>
  <c r="N339" i="6" s="1"/>
  <c r="S341" i="5" a="1"/>
  <c r="S341" i="5" s="1"/>
  <c r="O339" i="6" s="1"/>
  <c r="R333" i="5" a="1"/>
  <c r="R333" i="5" s="1"/>
  <c r="N331" i="6" s="1"/>
  <c r="S333" i="5" a="1"/>
  <c r="S333" i="5" s="1"/>
  <c r="O331" i="6" s="1"/>
  <c r="R325" i="5" a="1"/>
  <c r="R325" i="5" s="1"/>
  <c r="N323" i="6" s="1"/>
  <c r="S325" i="5" a="1"/>
  <c r="S325" i="5" s="1"/>
  <c r="O323" i="6" s="1"/>
  <c r="R317" i="5" a="1"/>
  <c r="R317" i="5" s="1"/>
  <c r="N315" i="6" s="1"/>
  <c r="S317" i="5" a="1"/>
  <c r="S317" i="5" s="1"/>
  <c r="O315" i="6" s="1"/>
  <c r="R309" i="5" a="1"/>
  <c r="R309" i="5" s="1"/>
  <c r="N307" i="6" s="1"/>
  <c r="S309" i="5" a="1"/>
  <c r="S309" i="5" s="1"/>
  <c r="O307" i="6" s="1"/>
  <c r="R301" i="5" a="1"/>
  <c r="R301" i="5" s="1"/>
  <c r="N299" i="6" s="1"/>
  <c r="S301" i="5" a="1"/>
  <c r="S301" i="5" s="1"/>
  <c r="O299" i="6" s="1"/>
  <c r="R293" i="5" a="1"/>
  <c r="R293" i="5" s="1"/>
  <c r="N291" i="6" s="1"/>
  <c r="S293" i="5" a="1"/>
  <c r="S293" i="5" s="1"/>
  <c r="O291" i="6" s="1"/>
  <c r="R285" i="5" a="1"/>
  <c r="R285" i="5" s="1"/>
  <c r="N283" i="6" s="1"/>
  <c r="S285" i="5" a="1"/>
  <c r="S285" i="5" s="1"/>
  <c r="O283" i="6" s="1"/>
  <c r="R277" i="5" a="1"/>
  <c r="R277" i="5" s="1"/>
  <c r="N275" i="6" s="1"/>
  <c r="S277" i="5" a="1"/>
  <c r="S277" i="5" s="1"/>
  <c r="O275" i="6" s="1"/>
  <c r="R269" i="5" a="1"/>
  <c r="R269" i="5" s="1"/>
  <c r="N267" i="6" s="1"/>
  <c r="S269" i="5" a="1"/>
  <c r="S269" i="5" s="1"/>
  <c r="O267" i="6" s="1"/>
  <c r="R261" i="5" a="1"/>
  <c r="R261" i="5" s="1"/>
  <c r="N259" i="6" s="1"/>
  <c r="S261" i="5" a="1"/>
  <c r="S261" i="5" s="1"/>
  <c r="O259" i="6" s="1"/>
  <c r="R253" i="5" a="1"/>
  <c r="R253" i="5" s="1"/>
  <c r="N251" i="6" s="1"/>
  <c r="S253" i="5" a="1"/>
  <c r="S253" i="5" s="1"/>
  <c r="O251" i="6" s="1"/>
  <c r="R245" i="5" a="1"/>
  <c r="R245" i="5" s="1"/>
  <c r="N243" i="6" s="1"/>
  <c r="S245" i="5" a="1"/>
  <c r="S245" i="5" s="1"/>
  <c r="O243" i="6" s="1"/>
  <c r="R237" i="5" a="1"/>
  <c r="R237" i="5" s="1"/>
  <c r="N235" i="6" s="1"/>
  <c r="S237" i="5" a="1"/>
  <c r="S237" i="5" s="1"/>
  <c r="O235" i="6" s="1"/>
  <c r="R229" i="5" a="1"/>
  <c r="R229" i="5" s="1"/>
  <c r="N227" i="6" s="1"/>
  <c r="S229" i="5" a="1"/>
  <c r="S229" i="5" s="1"/>
  <c r="O227" i="6" s="1"/>
  <c r="R221" i="5" a="1"/>
  <c r="R221" i="5" s="1"/>
  <c r="N219" i="6" s="1"/>
  <c r="S221" i="5" a="1"/>
  <c r="S221" i="5" s="1"/>
  <c r="O219" i="6" s="1"/>
  <c r="R213" i="5" a="1"/>
  <c r="R213" i="5" s="1"/>
  <c r="N211" i="6" s="1"/>
  <c r="S213" i="5" a="1"/>
  <c r="S213" i="5" s="1"/>
  <c r="O211" i="6" s="1"/>
  <c r="R189" i="5" a="1"/>
  <c r="R189" i="5" s="1"/>
  <c r="N187" i="6" s="1"/>
  <c r="S189" i="5" a="1"/>
  <c r="S189" i="5" s="1"/>
  <c r="O187" i="6" s="1"/>
  <c r="R181" i="5" a="1"/>
  <c r="R181" i="5" s="1"/>
  <c r="N179" i="6" s="1"/>
  <c r="S181" i="5" a="1"/>
  <c r="S181" i="5" s="1"/>
  <c r="O179" i="6" s="1"/>
  <c r="R157" i="5" a="1"/>
  <c r="R157" i="5" s="1"/>
  <c r="N155" i="6" s="1"/>
  <c r="S157" i="5" a="1"/>
  <c r="S157" i="5" s="1"/>
  <c r="O155" i="6" s="1"/>
  <c r="R149" i="5" a="1"/>
  <c r="R149" i="5" s="1"/>
  <c r="N147" i="6" s="1"/>
  <c r="S149" i="5" a="1"/>
  <c r="S149" i="5" s="1"/>
  <c r="O147" i="6" s="1"/>
  <c r="R117" i="5" a="1"/>
  <c r="R117" i="5" s="1"/>
  <c r="N115" i="6" s="1"/>
  <c r="S117" i="5" a="1"/>
  <c r="S117" i="5" s="1"/>
  <c r="O115" i="6" s="1"/>
  <c r="R101" i="5" a="1"/>
  <c r="R101" i="5" s="1"/>
  <c r="N99" i="6" s="1"/>
  <c r="S101" i="5" a="1"/>
  <c r="S101" i="5" s="1"/>
  <c r="O99" i="6" s="1"/>
  <c r="R85" i="5" a="1"/>
  <c r="R85" i="5" s="1"/>
  <c r="N83" i="6" s="1"/>
  <c r="S85" i="5" a="1"/>
  <c r="S85" i="5" s="1"/>
  <c r="O83" i="6" s="1"/>
  <c r="R61" i="5" a="1"/>
  <c r="R61" i="5" s="1"/>
  <c r="N59" i="6" s="1"/>
  <c r="S61" i="5" a="1"/>
  <c r="S61" i="5" s="1"/>
  <c r="O59" i="6" s="1"/>
  <c r="R13" i="5" a="1"/>
  <c r="R13" i="5" s="1"/>
  <c r="N11" i="6" s="1"/>
  <c r="S13" i="5" a="1"/>
  <c r="S13" i="5" s="1"/>
  <c r="O11" i="6" s="1"/>
  <c r="R5" i="5" a="1"/>
  <c r="R5" i="5" s="1"/>
  <c r="N3" i="6" s="1"/>
  <c r="S5" i="5" a="1"/>
  <c r="S5" i="5" s="1"/>
  <c r="O3" i="6" s="1"/>
  <c r="S37" i="5" a="1"/>
  <c r="S37" i="5" s="1"/>
  <c r="O35" i="6" s="1"/>
  <c r="S123" i="5" a="1"/>
  <c r="S123" i="5" s="1"/>
  <c r="O121" i="6" s="1"/>
  <c r="S133" i="5" a="1"/>
  <c r="S133" i="5" s="1"/>
  <c r="O131" i="6" s="1"/>
  <c r="S192" i="5" a="1"/>
  <c r="S192" i="5" s="1"/>
  <c r="O190" i="6" s="1"/>
  <c r="S251" i="5" a="1"/>
  <c r="S251" i="5" s="1"/>
  <c r="O249" i="6" s="1"/>
  <c r="S265" i="5" a="1"/>
  <c r="S265" i="5" s="1"/>
  <c r="O263" i="6" s="1"/>
  <c r="S324" i="5" a="1"/>
  <c r="S324" i="5" s="1"/>
  <c r="O322" i="6" s="1"/>
  <c r="S338" i="5" a="1"/>
  <c r="S338" i="5" s="1"/>
  <c r="O336" i="6" s="1"/>
  <c r="S370" i="5" a="1"/>
  <c r="S370" i="5" s="1"/>
  <c r="O368" i="6" s="1"/>
  <c r="S402" i="5" a="1"/>
  <c r="S402" i="5" s="1"/>
  <c r="O400" i="6" s="1"/>
  <c r="S417" i="5" a="1"/>
  <c r="S417" i="5" s="1"/>
  <c r="O415" i="6" s="1"/>
  <c r="R417" i="5" a="1"/>
  <c r="R417" i="5" s="1"/>
  <c r="N415" i="6" s="1"/>
  <c r="R385" i="5" a="1"/>
  <c r="R385" i="5" s="1"/>
  <c r="N383" i="6" s="1"/>
  <c r="S385" i="5" a="1"/>
  <c r="S385" i="5" s="1"/>
  <c r="O383" i="6" s="1"/>
  <c r="R377" i="5" a="1"/>
  <c r="R377" i="5" s="1"/>
  <c r="N375" i="6" s="1"/>
  <c r="S377" i="5" a="1"/>
  <c r="S377" i="5" s="1"/>
  <c r="O375" i="6" s="1"/>
  <c r="R345" i="5" a="1"/>
  <c r="R345" i="5" s="1"/>
  <c r="N343" i="6" s="1"/>
  <c r="S345" i="5" a="1"/>
  <c r="S345" i="5" s="1"/>
  <c r="O343" i="6" s="1"/>
  <c r="R217" i="5" a="1"/>
  <c r="R217" i="5" s="1"/>
  <c r="N215" i="6" s="1"/>
  <c r="S217" i="5" a="1"/>
  <c r="S217" i="5" s="1"/>
  <c r="O215" i="6" s="1"/>
  <c r="R209" i="5" a="1"/>
  <c r="R209" i="5" s="1"/>
  <c r="N207" i="6" s="1"/>
  <c r="S209" i="5" a="1"/>
  <c r="S209" i="5" s="1"/>
  <c r="O207" i="6" s="1"/>
  <c r="R201" i="5" a="1"/>
  <c r="R201" i="5" s="1"/>
  <c r="N199" i="6" s="1"/>
  <c r="S201" i="5" a="1"/>
  <c r="S201" i="5" s="1"/>
  <c r="O199" i="6" s="1"/>
  <c r="R193" i="5" a="1"/>
  <c r="R193" i="5" s="1"/>
  <c r="N191" i="6" s="1"/>
  <c r="S193" i="5" a="1"/>
  <c r="S193" i="5" s="1"/>
  <c r="O191" i="6" s="1"/>
  <c r="S185" i="5" a="1"/>
  <c r="S185" i="5" s="1"/>
  <c r="O183" i="6" s="1"/>
  <c r="R185" i="5" a="1"/>
  <c r="R185" i="5" s="1"/>
  <c r="N183" i="6" s="1"/>
  <c r="R153" i="5" a="1"/>
  <c r="R153" i="5" s="1"/>
  <c r="N151" i="6" s="1"/>
  <c r="S153" i="5" a="1"/>
  <c r="S153" i="5" s="1"/>
  <c r="O151" i="6" s="1"/>
  <c r="R145" i="5" a="1"/>
  <c r="R145" i="5" s="1"/>
  <c r="N143" i="6" s="1"/>
  <c r="S145" i="5" a="1"/>
  <c r="S145" i="5" s="1"/>
  <c r="O143" i="6" s="1"/>
  <c r="R137" i="5" a="1"/>
  <c r="R137" i="5" s="1"/>
  <c r="N135" i="6" s="1"/>
  <c r="S137" i="5" a="1"/>
  <c r="S137" i="5" s="1"/>
  <c r="O135" i="6" s="1"/>
  <c r="R329" i="5" a="1"/>
  <c r="R329" i="5" s="1"/>
  <c r="N327" i="6" s="1"/>
  <c r="S257" i="5" a="1"/>
  <c r="S257" i="5" s="1"/>
  <c r="O255" i="6" s="1"/>
  <c r="S273" i="5" a="1"/>
  <c r="S273" i="5" s="1"/>
  <c r="O271" i="6" s="1"/>
  <c r="R376" i="5" a="1"/>
  <c r="R376" i="5" s="1"/>
  <c r="N374" i="6" s="1"/>
  <c r="S376" i="5" a="1"/>
  <c r="S376" i="5" s="1"/>
  <c r="O374" i="6" s="1"/>
  <c r="S368" i="5" a="1"/>
  <c r="S368" i="5" s="1"/>
  <c r="O366" i="6" s="1"/>
  <c r="R368" i="5" a="1"/>
  <c r="R368" i="5" s="1"/>
  <c r="N366" i="6" s="1"/>
  <c r="R360" i="5" a="1"/>
  <c r="R360" i="5" s="1"/>
  <c r="N358" i="6" s="1"/>
  <c r="S360" i="5" a="1"/>
  <c r="S360" i="5" s="1"/>
  <c r="O358" i="6" s="1"/>
  <c r="S352" i="5" a="1"/>
  <c r="S352" i="5" s="1"/>
  <c r="O350" i="6" s="1"/>
  <c r="R352" i="5" a="1"/>
  <c r="R352" i="5" s="1"/>
  <c r="N350" i="6" s="1"/>
  <c r="R344" i="5" a="1"/>
  <c r="R344" i="5" s="1"/>
  <c r="N342" i="6" s="1"/>
  <c r="S344" i="5" a="1"/>
  <c r="S344" i="5" s="1"/>
  <c r="O342" i="6" s="1"/>
  <c r="S336" i="5" a="1"/>
  <c r="S336" i="5" s="1"/>
  <c r="O334" i="6" s="1"/>
  <c r="R336" i="5" a="1"/>
  <c r="R336" i="5" s="1"/>
  <c r="N334" i="6" s="1"/>
  <c r="R328" i="5" a="1"/>
  <c r="R328" i="5" s="1"/>
  <c r="N326" i="6" s="1"/>
  <c r="S328" i="5" a="1"/>
  <c r="S328" i="5" s="1"/>
  <c r="O326" i="6" s="1"/>
  <c r="R208" i="5" a="1"/>
  <c r="R208" i="5" s="1"/>
  <c r="N206" i="6" s="1"/>
  <c r="S208" i="5" a="1"/>
  <c r="S208" i="5" s="1"/>
  <c r="O206" i="6" s="1"/>
  <c r="R144" i="5" a="1"/>
  <c r="R144" i="5" s="1"/>
  <c r="N142" i="6" s="1"/>
  <c r="S144" i="5" a="1"/>
  <c r="S144" i="5" s="1"/>
  <c r="O142" i="6" s="1"/>
  <c r="R136" i="5" a="1"/>
  <c r="R136" i="5" s="1"/>
  <c r="N134" i="6" s="1"/>
  <c r="S136" i="5" a="1"/>
  <c r="S136" i="5" s="1"/>
  <c r="O134" i="6" s="1"/>
  <c r="R128" i="5" a="1"/>
  <c r="R128" i="5" s="1"/>
  <c r="N126" i="6" s="1"/>
  <c r="S128" i="5" a="1"/>
  <c r="S128" i="5" s="1"/>
  <c r="O126" i="6" s="1"/>
  <c r="R96" i="5" a="1"/>
  <c r="R96" i="5" s="1"/>
  <c r="N94" i="6" s="1"/>
  <c r="S96" i="5" a="1"/>
  <c r="S96" i="5" s="1"/>
  <c r="O94" i="6" s="1"/>
  <c r="S216" i="5" a="1"/>
  <c r="S216" i="5" s="1"/>
  <c r="O214" i="6" s="1"/>
  <c r="S232" i="5" a="1"/>
  <c r="S232" i="5" s="1"/>
  <c r="O230" i="6" s="1"/>
  <c r="S233" i="5" a="1"/>
  <c r="S233" i="5" s="1"/>
  <c r="O231" i="6" s="1"/>
  <c r="R196" i="5" a="1"/>
  <c r="R196" i="5" s="1"/>
  <c r="N194" i="6" s="1"/>
  <c r="S196" i="5" a="1"/>
  <c r="S196" i="5" s="1"/>
  <c r="O194" i="6" s="1"/>
  <c r="R188" i="5" a="1"/>
  <c r="R188" i="5" s="1"/>
  <c r="N186" i="6" s="1"/>
  <c r="S188" i="5" a="1"/>
  <c r="S188" i="5" s="1"/>
  <c r="O186" i="6" s="1"/>
  <c r="R108" i="5" a="1"/>
  <c r="R108" i="5" s="1"/>
  <c r="N106" i="6" s="1"/>
  <c r="S108" i="5" a="1"/>
  <c r="S108" i="5" s="1"/>
  <c r="O106" i="6" s="1"/>
  <c r="R100" i="5" a="1"/>
  <c r="R100" i="5" s="1"/>
  <c r="N98" i="6" s="1"/>
  <c r="S100" i="5" a="1"/>
  <c r="S100" i="5" s="1"/>
  <c r="O98" i="6" s="1"/>
  <c r="R68" i="5" a="1"/>
  <c r="R68" i="5" s="1"/>
  <c r="N66" i="6" s="1"/>
  <c r="S68" i="5" a="1"/>
  <c r="S68" i="5" s="1"/>
  <c r="O66" i="6" s="1"/>
  <c r="R60" i="5" a="1"/>
  <c r="R60" i="5" s="1"/>
  <c r="N58" i="6" s="1"/>
  <c r="S60" i="5" a="1"/>
  <c r="S60" i="5" s="1"/>
  <c r="O58" i="6" s="1"/>
  <c r="R249" i="5" a="1"/>
  <c r="R249" i="5" s="1"/>
  <c r="N247" i="6" s="1"/>
  <c r="S8" i="5" a="1"/>
  <c r="S8" i="5" s="1"/>
  <c r="O6" i="6" s="1"/>
  <c r="S112" i="5" a="1"/>
  <c r="S112" i="5" s="1"/>
  <c r="O110" i="6" s="1"/>
  <c r="S124" i="5" a="1"/>
  <c r="S124" i="5" s="1"/>
  <c r="O122" i="6" s="1"/>
  <c r="S224" i="5" a="1"/>
  <c r="S224" i="5" s="1"/>
  <c r="O222" i="6" s="1"/>
  <c r="S297" i="5" a="1"/>
  <c r="S297" i="5" s="1"/>
  <c r="O295" i="6" s="1"/>
  <c r="S356" i="5" a="1"/>
  <c r="S356" i="5" s="1"/>
  <c r="O354" i="6" s="1"/>
  <c r="R411" i="5" a="1"/>
  <c r="R411" i="5" s="1"/>
  <c r="N409" i="6" s="1"/>
  <c r="S411" i="5" a="1"/>
  <c r="S411" i="5" s="1"/>
  <c r="O409" i="6" s="1"/>
  <c r="R403" i="5" a="1"/>
  <c r="R403" i="5" s="1"/>
  <c r="N401" i="6" s="1"/>
  <c r="S403" i="5" a="1"/>
  <c r="S403" i="5" s="1"/>
  <c r="O401" i="6" s="1"/>
  <c r="R395" i="5" a="1"/>
  <c r="R395" i="5" s="1"/>
  <c r="N393" i="6" s="1"/>
  <c r="S395" i="5" a="1"/>
  <c r="S395" i="5" s="1"/>
  <c r="O393" i="6" s="1"/>
  <c r="R387" i="5" a="1"/>
  <c r="R387" i="5" s="1"/>
  <c r="N385" i="6" s="1"/>
  <c r="S387" i="5" a="1"/>
  <c r="S387" i="5" s="1"/>
  <c r="O385" i="6" s="1"/>
  <c r="R379" i="5" a="1"/>
  <c r="R379" i="5" s="1"/>
  <c r="N377" i="6" s="1"/>
  <c r="S379" i="5" a="1"/>
  <c r="S379" i="5" s="1"/>
  <c r="O377" i="6" s="1"/>
  <c r="R371" i="5" a="1"/>
  <c r="R371" i="5" s="1"/>
  <c r="N369" i="6" s="1"/>
  <c r="S371" i="5" a="1"/>
  <c r="S371" i="5" s="1"/>
  <c r="O369" i="6" s="1"/>
  <c r="R363" i="5" a="1"/>
  <c r="R363" i="5" s="1"/>
  <c r="N361" i="6" s="1"/>
  <c r="S363" i="5" a="1"/>
  <c r="S363" i="5" s="1"/>
  <c r="O361" i="6" s="1"/>
  <c r="R355" i="5" a="1"/>
  <c r="R355" i="5" s="1"/>
  <c r="N353" i="6" s="1"/>
  <c r="S355" i="5" a="1"/>
  <c r="S355" i="5" s="1"/>
  <c r="O353" i="6" s="1"/>
  <c r="R347" i="5" a="1"/>
  <c r="R347" i="5" s="1"/>
  <c r="N345" i="6" s="1"/>
  <c r="S347" i="5" a="1"/>
  <c r="S347" i="5" s="1"/>
  <c r="O345" i="6" s="1"/>
  <c r="R339" i="5" a="1"/>
  <c r="R339" i="5" s="1"/>
  <c r="N337" i="6" s="1"/>
  <c r="S339" i="5" a="1"/>
  <c r="S339" i="5" s="1"/>
  <c r="O337" i="6" s="1"/>
  <c r="R331" i="5" a="1"/>
  <c r="R331" i="5" s="1"/>
  <c r="N329" i="6" s="1"/>
  <c r="S331" i="5" a="1"/>
  <c r="S331" i="5" s="1"/>
  <c r="O329" i="6" s="1"/>
  <c r="R323" i="5" a="1"/>
  <c r="R323" i="5" s="1"/>
  <c r="N321" i="6" s="1"/>
  <c r="S323" i="5" a="1"/>
  <c r="S323" i="5" s="1"/>
  <c r="O321" i="6" s="1"/>
  <c r="R299" i="5" a="1"/>
  <c r="R299" i="5" s="1"/>
  <c r="N297" i="6" s="1"/>
  <c r="S299" i="5" a="1"/>
  <c r="S299" i="5" s="1"/>
  <c r="O297" i="6" s="1"/>
  <c r="R291" i="5" a="1"/>
  <c r="R291" i="5" s="1"/>
  <c r="N289" i="6" s="1"/>
  <c r="S291" i="5" a="1"/>
  <c r="S291" i="5" s="1"/>
  <c r="O289" i="6" s="1"/>
  <c r="R267" i="5" a="1"/>
  <c r="R267" i="5" s="1"/>
  <c r="N265" i="6" s="1"/>
  <c r="S267" i="5" a="1"/>
  <c r="S267" i="5" s="1"/>
  <c r="O265" i="6" s="1"/>
  <c r="R259" i="5" a="1"/>
  <c r="R259" i="5" s="1"/>
  <c r="N257" i="6" s="1"/>
  <c r="S259" i="5" a="1"/>
  <c r="S259" i="5" s="1"/>
  <c r="O257" i="6" s="1"/>
  <c r="R235" i="5" a="1"/>
  <c r="R235" i="5" s="1"/>
  <c r="N233" i="6" s="1"/>
  <c r="S235" i="5" a="1"/>
  <c r="S235" i="5" s="1"/>
  <c r="O233" i="6" s="1"/>
  <c r="R227" i="5" a="1"/>
  <c r="R227" i="5" s="1"/>
  <c r="N225" i="6" s="1"/>
  <c r="S227" i="5" a="1"/>
  <c r="S227" i="5" s="1"/>
  <c r="O225" i="6" s="1"/>
  <c r="R203" i="5" a="1"/>
  <c r="R203" i="5" s="1"/>
  <c r="N201" i="6" s="1"/>
  <c r="S203" i="5" a="1"/>
  <c r="S203" i="5" s="1"/>
  <c r="O201" i="6" s="1"/>
  <c r="R195" i="5" a="1"/>
  <c r="R195" i="5" s="1"/>
  <c r="N193" i="6" s="1"/>
  <c r="S195" i="5" a="1"/>
  <c r="S195" i="5" s="1"/>
  <c r="O193" i="6" s="1"/>
  <c r="R187" i="5" a="1"/>
  <c r="R187" i="5" s="1"/>
  <c r="N185" i="6" s="1"/>
  <c r="S187" i="5" a="1"/>
  <c r="S187" i="5" s="1"/>
  <c r="O185" i="6" s="1"/>
  <c r="R179" i="5" a="1"/>
  <c r="R179" i="5" s="1"/>
  <c r="N177" i="6" s="1"/>
  <c r="S179" i="5" a="1"/>
  <c r="S179" i="5" s="1"/>
  <c r="O177" i="6" s="1"/>
  <c r="R171" i="5" a="1"/>
  <c r="R171" i="5" s="1"/>
  <c r="N169" i="6" s="1"/>
  <c r="S171" i="5" a="1"/>
  <c r="S171" i="5" s="1"/>
  <c r="O169" i="6" s="1"/>
  <c r="S163" i="5" a="1"/>
  <c r="S163" i="5" s="1"/>
  <c r="O161" i="6" s="1"/>
  <c r="R163" i="5" a="1"/>
  <c r="R163" i="5" s="1"/>
  <c r="N161" i="6" s="1"/>
  <c r="S155" i="5" a="1"/>
  <c r="S155" i="5" s="1"/>
  <c r="O153" i="6" s="1"/>
  <c r="R139" i="5" a="1"/>
  <c r="R139" i="5" s="1"/>
  <c r="N137" i="6" s="1"/>
  <c r="S139" i="5" a="1"/>
  <c r="S139" i="5" s="1"/>
  <c r="O137" i="6" s="1"/>
  <c r="S131" i="5" a="1"/>
  <c r="S131" i="5" s="1"/>
  <c r="O129" i="6" s="1"/>
  <c r="R115" i="5" a="1"/>
  <c r="R115" i="5" s="1"/>
  <c r="N113" i="6" s="1"/>
  <c r="S115" i="5" a="1"/>
  <c r="S115" i="5" s="1"/>
  <c r="O113" i="6" s="1"/>
  <c r="S99" i="5" a="1"/>
  <c r="S99" i="5" s="1"/>
  <c r="O97" i="6" s="1"/>
  <c r="R91" i="5" a="1"/>
  <c r="R91" i="5" s="1"/>
  <c r="N89" i="6" s="1"/>
  <c r="S91" i="5" a="1"/>
  <c r="S91" i="5" s="1"/>
  <c r="O89" i="6" s="1"/>
  <c r="S59" i="5" a="1"/>
  <c r="S59" i="5" s="1"/>
  <c r="O57" i="6" s="1"/>
  <c r="R51" i="5" a="1"/>
  <c r="R51" i="5" s="1"/>
  <c r="N49" i="6" s="1"/>
  <c r="S51" i="5" a="1"/>
  <c r="S51" i="5" s="1"/>
  <c r="O49" i="6" s="1"/>
  <c r="R409" i="5" a="1"/>
  <c r="R409" i="5" s="1"/>
  <c r="N407" i="6" s="1"/>
  <c r="R242" i="5" a="1"/>
  <c r="R242" i="5" s="1"/>
  <c r="N240" i="6" s="1"/>
  <c r="R21" i="5" a="1"/>
  <c r="R21" i="5" s="1"/>
  <c r="N19" i="6" s="1"/>
  <c r="S16" i="5" a="1"/>
  <c r="S16" i="5" s="1"/>
  <c r="O14" i="6" s="1"/>
  <c r="S64" i="5" a="1"/>
  <c r="S64" i="5" s="1"/>
  <c r="O62" i="6" s="1"/>
  <c r="S72" i="5" a="1"/>
  <c r="S72" i="5" s="1"/>
  <c r="O70" i="6" s="1"/>
  <c r="S92" i="5" a="1"/>
  <c r="S92" i="5" s="1"/>
  <c r="O90" i="6" s="1"/>
  <c r="S152" i="5" a="1"/>
  <c r="S152" i="5" s="1"/>
  <c r="O150" i="6" s="1"/>
  <c r="S168" i="5" a="1"/>
  <c r="S168" i="5" s="1"/>
  <c r="O166" i="6" s="1"/>
  <c r="S211" i="5" a="1"/>
  <c r="S211" i="5" s="1"/>
  <c r="O209" i="6" s="1"/>
  <c r="S225" i="5" a="1"/>
  <c r="S225" i="5" s="1"/>
  <c r="O223" i="6" s="1"/>
  <c r="S241" i="5" a="1"/>
  <c r="S241" i="5" s="1"/>
  <c r="O239" i="6" s="1"/>
  <c r="S284" i="5" a="1"/>
  <c r="S284" i="5" s="1"/>
  <c r="O282" i="6" s="1"/>
  <c r="S298" i="5" a="1"/>
  <c r="S298" i="5" s="1"/>
  <c r="O296" i="6" s="1"/>
  <c r="S314" i="5" a="1"/>
  <c r="S314" i="5" s="1"/>
  <c r="O312" i="6" s="1"/>
  <c r="S357" i="5" a="1"/>
  <c r="S357" i="5" s="1"/>
  <c r="O355" i="6" s="1"/>
  <c r="S388" i="5" a="1"/>
  <c r="S388" i="5" s="1"/>
  <c r="O386" i="6" s="1"/>
  <c r="S401" i="5" a="1"/>
  <c r="S401" i="5" s="1"/>
  <c r="O399" i="6" s="1"/>
  <c r="R401" i="5" a="1"/>
  <c r="R401" i="5" s="1"/>
  <c r="N399" i="6" s="1"/>
  <c r="R361" i="5" a="1"/>
  <c r="R361" i="5" s="1"/>
  <c r="N359" i="6" s="1"/>
  <c r="S361" i="5" a="1"/>
  <c r="S361" i="5" s="1"/>
  <c r="O359" i="6" s="1"/>
  <c r="R313" i="5" a="1"/>
  <c r="R313" i="5" s="1"/>
  <c r="N311" i="6" s="1"/>
  <c r="S313" i="5" a="1"/>
  <c r="S313" i="5" s="1"/>
  <c r="O311" i="6" s="1"/>
  <c r="R281" i="5" a="1"/>
  <c r="R281" i="5" s="1"/>
  <c r="N279" i="6" s="1"/>
  <c r="S281" i="5" a="1"/>
  <c r="S281" i="5" s="1"/>
  <c r="O279" i="6" s="1"/>
  <c r="S169" i="5" a="1"/>
  <c r="S169" i="5" s="1"/>
  <c r="O167" i="6" s="1"/>
  <c r="R169" i="5" a="1"/>
  <c r="R169" i="5" s="1"/>
  <c r="N167" i="6" s="1"/>
  <c r="R416" i="5" a="1"/>
  <c r="R416" i="5" s="1"/>
  <c r="N414" i="6" s="1"/>
  <c r="S416" i="5" a="1"/>
  <c r="S416" i="5" s="1"/>
  <c r="O414" i="6" s="1"/>
  <c r="R408" i="5" a="1"/>
  <c r="R408" i="5" s="1"/>
  <c r="N406" i="6" s="1"/>
  <c r="S408" i="5" a="1"/>
  <c r="S408" i="5" s="1"/>
  <c r="O406" i="6" s="1"/>
  <c r="R400" i="5" a="1"/>
  <c r="R400" i="5" s="1"/>
  <c r="N398" i="6" s="1"/>
  <c r="S400" i="5" a="1"/>
  <c r="S400" i="5" s="1"/>
  <c r="O398" i="6" s="1"/>
  <c r="R392" i="5" a="1"/>
  <c r="R392" i="5" s="1"/>
  <c r="N390" i="6" s="1"/>
  <c r="S392" i="5" a="1"/>
  <c r="S392" i="5" s="1"/>
  <c r="O390" i="6" s="1"/>
  <c r="R312" i="5" a="1"/>
  <c r="R312" i="5" s="1"/>
  <c r="N310" i="6" s="1"/>
  <c r="S312" i="5" a="1"/>
  <c r="S312" i="5" s="1"/>
  <c r="O310" i="6" s="1"/>
  <c r="R304" i="5" a="1"/>
  <c r="R304" i="5" s="1"/>
  <c r="N302" i="6" s="1"/>
  <c r="S304" i="5" a="1"/>
  <c r="S304" i="5" s="1"/>
  <c r="O302" i="6" s="1"/>
  <c r="R296" i="5" a="1"/>
  <c r="R296" i="5" s="1"/>
  <c r="N294" i="6" s="1"/>
  <c r="S296" i="5" a="1"/>
  <c r="S296" i="5" s="1"/>
  <c r="O294" i="6" s="1"/>
  <c r="R288" i="5" a="1"/>
  <c r="R288" i="5" s="1"/>
  <c r="N286" i="6" s="1"/>
  <c r="S288" i="5" a="1"/>
  <c r="S288" i="5" s="1"/>
  <c r="O286" i="6" s="1"/>
  <c r="R280" i="5" a="1"/>
  <c r="R280" i="5" s="1"/>
  <c r="N278" i="6" s="1"/>
  <c r="S280" i="5" a="1"/>
  <c r="S280" i="5" s="1"/>
  <c r="O278" i="6" s="1"/>
  <c r="S272" i="5" a="1"/>
  <c r="S272" i="5" s="1"/>
  <c r="O270" i="6" s="1"/>
  <c r="R272" i="5" a="1"/>
  <c r="R272" i="5" s="1"/>
  <c r="N270" i="6" s="1"/>
  <c r="R240" i="5" a="1"/>
  <c r="R240" i="5" s="1"/>
  <c r="N238" i="6" s="1"/>
  <c r="S240" i="5" a="1"/>
  <c r="S240" i="5" s="1"/>
  <c r="O238" i="6" s="1"/>
  <c r="R320" i="5" a="1"/>
  <c r="R320" i="5" s="1"/>
  <c r="N318" i="6" s="1"/>
  <c r="R393" i="5" a="1"/>
  <c r="R393" i="5" s="1"/>
  <c r="N391" i="6" s="1"/>
  <c r="R256" i="5" a="1"/>
  <c r="R256" i="5" s="1"/>
  <c r="N254" i="6" s="1"/>
  <c r="R412" i="5" a="1"/>
  <c r="R412" i="5" s="1"/>
  <c r="N410" i="6" s="1"/>
  <c r="S412" i="5" a="1"/>
  <c r="S412" i="5" s="1"/>
  <c r="O410" i="6" s="1"/>
  <c r="R404" i="5" a="1"/>
  <c r="R404" i="5" s="1"/>
  <c r="N402" i="6" s="1"/>
  <c r="S404" i="5" a="1"/>
  <c r="S404" i="5" s="1"/>
  <c r="O402" i="6" s="1"/>
  <c r="R396" i="5" a="1"/>
  <c r="R396" i="5" s="1"/>
  <c r="N394" i="6" s="1"/>
  <c r="S396" i="5" a="1"/>
  <c r="S396" i="5" s="1"/>
  <c r="O394" i="6" s="1"/>
  <c r="R372" i="5" a="1"/>
  <c r="R372" i="5" s="1"/>
  <c r="N370" i="6" s="1"/>
  <c r="S372" i="5" a="1"/>
  <c r="S372" i="5" s="1"/>
  <c r="O370" i="6" s="1"/>
  <c r="R364" i="5" a="1"/>
  <c r="R364" i="5" s="1"/>
  <c r="N362" i="6" s="1"/>
  <c r="S364" i="5" a="1"/>
  <c r="S364" i="5" s="1"/>
  <c r="O362" i="6" s="1"/>
  <c r="R340" i="5" a="1"/>
  <c r="R340" i="5" s="1"/>
  <c r="N338" i="6" s="1"/>
  <c r="S340" i="5" a="1"/>
  <c r="S340" i="5" s="1"/>
  <c r="O338" i="6" s="1"/>
  <c r="R332" i="5" a="1"/>
  <c r="R332" i="5" s="1"/>
  <c r="N330" i="6" s="1"/>
  <c r="S332" i="5" a="1"/>
  <c r="S332" i="5" s="1"/>
  <c r="O330" i="6" s="1"/>
  <c r="R308" i="5" a="1"/>
  <c r="R308" i="5" s="1"/>
  <c r="N306" i="6" s="1"/>
  <c r="S308" i="5" a="1"/>
  <c r="S308" i="5" s="1"/>
  <c r="O306" i="6" s="1"/>
  <c r="R300" i="5" a="1"/>
  <c r="R300" i="5" s="1"/>
  <c r="N298" i="6" s="1"/>
  <c r="S300" i="5" a="1"/>
  <c r="S300" i="5" s="1"/>
  <c r="O298" i="6" s="1"/>
  <c r="R276" i="5" a="1"/>
  <c r="R276" i="5" s="1"/>
  <c r="N274" i="6" s="1"/>
  <c r="S276" i="5" a="1"/>
  <c r="S276" i="5" s="1"/>
  <c r="O274" i="6" s="1"/>
  <c r="R268" i="5" a="1"/>
  <c r="R268" i="5" s="1"/>
  <c r="N266" i="6" s="1"/>
  <c r="S268" i="5" a="1"/>
  <c r="S268" i="5" s="1"/>
  <c r="O266" i="6" s="1"/>
  <c r="R260" i="5" a="1"/>
  <c r="R260" i="5" s="1"/>
  <c r="N258" i="6" s="1"/>
  <c r="S260" i="5" a="1"/>
  <c r="S260" i="5" s="1"/>
  <c r="O258" i="6" s="1"/>
  <c r="R252" i="5" a="1"/>
  <c r="R252" i="5" s="1"/>
  <c r="N250" i="6" s="1"/>
  <c r="S252" i="5" a="1"/>
  <c r="S252" i="5" s="1"/>
  <c r="O250" i="6" s="1"/>
  <c r="R244" i="5" a="1"/>
  <c r="R244" i="5" s="1"/>
  <c r="N242" i="6" s="1"/>
  <c r="S244" i="5" a="1"/>
  <c r="S244" i="5" s="1"/>
  <c r="O242" i="6" s="1"/>
  <c r="R236" i="5" a="1"/>
  <c r="R236" i="5" s="1"/>
  <c r="N234" i="6" s="1"/>
  <c r="S236" i="5" a="1"/>
  <c r="S236" i="5" s="1"/>
  <c r="O234" i="6" s="1"/>
  <c r="R228" i="5" a="1"/>
  <c r="R228" i="5" s="1"/>
  <c r="N226" i="6" s="1"/>
  <c r="S228" i="5" a="1"/>
  <c r="S228" i="5" s="1"/>
  <c r="O226" i="6" s="1"/>
  <c r="R220" i="5" a="1"/>
  <c r="R220" i="5" s="1"/>
  <c r="N218" i="6" s="1"/>
  <c r="S220" i="5" a="1"/>
  <c r="S220" i="5" s="1"/>
  <c r="O218" i="6" s="1"/>
  <c r="R212" i="5" a="1"/>
  <c r="R212" i="5" s="1"/>
  <c r="N210" i="6" s="1"/>
  <c r="S212" i="5" a="1"/>
  <c r="S212" i="5" s="1"/>
  <c r="O210" i="6" s="1"/>
  <c r="R180" i="5" a="1"/>
  <c r="R180" i="5" s="1"/>
  <c r="N178" i="6" s="1"/>
  <c r="S180" i="5" a="1"/>
  <c r="S180" i="5" s="1"/>
  <c r="O178" i="6" s="1"/>
  <c r="R172" i="5" a="1"/>
  <c r="R172" i="5" s="1"/>
  <c r="N170" i="6" s="1"/>
  <c r="S172" i="5" a="1"/>
  <c r="S172" i="5" s="1"/>
  <c r="O170" i="6" s="1"/>
  <c r="R164" i="5" a="1"/>
  <c r="R164" i="5" s="1"/>
  <c r="N162" i="6" s="1"/>
  <c r="S164" i="5" a="1"/>
  <c r="S164" i="5" s="1"/>
  <c r="O162" i="6" s="1"/>
  <c r="R156" i="5" a="1"/>
  <c r="R156" i="5" s="1"/>
  <c r="N154" i="6" s="1"/>
  <c r="S156" i="5" a="1"/>
  <c r="S156" i="5" s="1"/>
  <c r="O154" i="6" s="1"/>
  <c r="R148" i="5" a="1"/>
  <c r="R148" i="5" s="1"/>
  <c r="N146" i="6" s="1"/>
  <c r="S148" i="5" a="1"/>
  <c r="S148" i="5" s="1"/>
  <c r="O146" i="6" s="1"/>
  <c r="S140" i="5" a="1"/>
  <c r="S140" i="5" s="1"/>
  <c r="O138" i="6" s="1"/>
  <c r="R84" i="5" a="1"/>
  <c r="R84" i="5" s="1"/>
  <c r="N82" i="6" s="1"/>
  <c r="S84" i="5" a="1"/>
  <c r="S84" i="5" s="1"/>
  <c r="O82" i="6" s="1"/>
  <c r="S418" i="5" a="1"/>
  <c r="S418" i="5" s="1"/>
  <c r="O416" i="6" s="1"/>
  <c r="R418" i="5" a="1"/>
  <c r="R418" i="5" s="1"/>
  <c r="N416" i="6" s="1"/>
  <c r="R386" i="5" a="1"/>
  <c r="R386" i="5" s="1"/>
  <c r="N384" i="6" s="1"/>
  <c r="S386" i="5" a="1"/>
  <c r="S386" i="5" s="1"/>
  <c r="O384" i="6" s="1"/>
  <c r="R354" i="5" a="1"/>
  <c r="R354" i="5" s="1"/>
  <c r="N352" i="6" s="1"/>
  <c r="S354" i="5" a="1"/>
  <c r="S354" i="5" s="1"/>
  <c r="O352" i="6" s="1"/>
  <c r="R322" i="5" a="1"/>
  <c r="R322" i="5" s="1"/>
  <c r="N320" i="6" s="1"/>
  <c r="S322" i="5" a="1"/>
  <c r="S322" i="5" s="1"/>
  <c r="O320" i="6" s="1"/>
  <c r="R290" i="5" a="1"/>
  <c r="R290" i="5" s="1"/>
  <c r="N288" i="6" s="1"/>
  <c r="S290" i="5" a="1"/>
  <c r="S290" i="5" s="1"/>
  <c r="O288" i="6" s="1"/>
  <c r="R282" i="5" a="1"/>
  <c r="R282" i="5" s="1"/>
  <c r="N280" i="6" s="1"/>
  <c r="S282" i="5" a="1"/>
  <c r="S282" i="5" s="1"/>
  <c r="O280" i="6" s="1"/>
  <c r="R274" i="5" a="1"/>
  <c r="R274" i="5" s="1"/>
  <c r="N272" i="6" s="1"/>
  <c r="S274" i="5" a="1"/>
  <c r="S274" i="5" s="1"/>
  <c r="O272" i="6" s="1"/>
  <c r="R266" i="5" a="1"/>
  <c r="R266" i="5" s="1"/>
  <c r="N264" i="6" s="1"/>
  <c r="S266" i="5" a="1"/>
  <c r="S266" i="5" s="1"/>
  <c r="O264" i="6" s="1"/>
  <c r="R258" i="5" a="1"/>
  <c r="R258" i="5" s="1"/>
  <c r="N256" i="6" s="1"/>
  <c r="S258" i="5" a="1"/>
  <c r="S258" i="5" s="1"/>
  <c r="O256" i="6" s="1"/>
  <c r="S250" i="5" a="1"/>
  <c r="S250" i="5" s="1"/>
  <c r="O248" i="6" s="1"/>
  <c r="R250" i="5" a="1"/>
  <c r="R250" i="5" s="1"/>
  <c r="N248" i="6" s="1"/>
  <c r="R234" i="5" a="1"/>
  <c r="R234" i="5" s="1"/>
  <c r="N232" i="6" s="1"/>
  <c r="S234" i="5" a="1"/>
  <c r="S234" i="5" s="1"/>
  <c r="O232" i="6" s="1"/>
  <c r="R226" i="5" a="1"/>
  <c r="R226" i="5" s="1"/>
  <c r="N224" i="6" s="1"/>
  <c r="S226" i="5" a="1"/>
  <c r="S226" i="5" s="1"/>
  <c r="O224" i="6" s="1"/>
  <c r="R218" i="5" a="1"/>
  <c r="R218" i="5" s="1"/>
  <c r="N216" i="6" s="1"/>
  <c r="S218" i="5" a="1"/>
  <c r="S218" i="5" s="1"/>
  <c r="O216" i="6" s="1"/>
  <c r="R210" i="5" a="1"/>
  <c r="R210" i="5" s="1"/>
  <c r="N208" i="6" s="1"/>
  <c r="S210" i="5" a="1"/>
  <c r="S210" i="5" s="1"/>
  <c r="O208" i="6" s="1"/>
  <c r="R202" i="5" a="1"/>
  <c r="R202" i="5" s="1"/>
  <c r="N200" i="6" s="1"/>
  <c r="S202" i="5" a="1"/>
  <c r="S202" i="5" s="1"/>
  <c r="O200" i="6" s="1"/>
  <c r="R194" i="5" a="1"/>
  <c r="R194" i="5" s="1"/>
  <c r="N192" i="6" s="1"/>
  <c r="S194" i="5" a="1"/>
  <c r="S194" i="5" s="1"/>
  <c r="O192" i="6" s="1"/>
  <c r="R186" i="5" a="1"/>
  <c r="R186" i="5" s="1"/>
  <c r="N184" i="6" s="1"/>
  <c r="S186" i="5" a="1"/>
  <c r="S186" i="5" s="1"/>
  <c r="O184" i="6" s="1"/>
  <c r="R178" i="5" a="1"/>
  <c r="R178" i="5" s="1"/>
  <c r="N176" i="6" s="1"/>
  <c r="S178" i="5" a="1"/>
  <c r="S178" i="5" s="1"/>
  <c r="O176" i="6" s="1"/>
  <c r="R162" i="5" a="1"/>
  <c r="R162" i="5" s="1"/>
  <c r="N160" i="6" s="1"/>
  <c r="S162" i="5" a="1"/>
  <c r="S162" i="5" s="1"/>
  <c r="O160" i="6" s="1"/>
  <c r="R130" i="5" a="1"/>
  <c r="R130" i="5" s="1"/>
  <c r="N128" i="6" s="1"/>
  <c r="S130" i="5" a="1"/>
  <c r="S130" i="5" s="1"/>
  <c r="O128" i="6" s="1"/>
  <c r="S122" i="5" a="1"/>
  <c r="S122" i="5" s="1"/>
  <c r="O120" i="6" s="1"/>
  <c r="R106" i="5" a="1"/>
  <c r="R106" i="5" s="1"/>
  <c r="N104" i="6" s="1"/>
  <c r="S106" i="5" a="1"/>
  <c r="S106" i="5" s="1"/>
  <c r="O104" i="6" s="1"/>
  <c r="R90" i="5" a="1"/>
  <c r="R90" i="5" s="1"/>
  <c r="N88" i="6" s="1"/>
  <c r="R74" i="5" a="1"/>
  <c r="R74" i="5" s="1"/>
  <c r="N72" i="6" s="1"/>
  <c r="S74" i="5" a="1"/>
  <c r="S74" i="5" s="1"/>
  <c r="O72" i="6" s="1"/>
  <c r="R50" i="5" a="1"/>
  <c r="R50" i="5" s="1"/>
  <c r="N48" i="6" s="1"/>
  <c r="S50" i="5" a="1"/>
  <c r="S50" i="5" s="1"/>
  <c r="O48" i="6" s="1"/>
  <c r="R26" i="5" a="1"/>
  <c r="R26" i="5" s="1"/>
  <c r="N24" i="6" s="1"/>
  <c r="S26" i="5" a="1"/>
  <c r="S26" i="5" s="1"/>
  <c r="O24" i="6" s="1"/>
  <c r="R18" i="5" a="1"/>
  <c r="R18" i="5" s="1"/>
  <c r="N16" i="6" s="1"/>
  <c r="S18" i="5" a="1"/>
  <c r="S18" i="5" s="1"/>
  <c r="O16" i="6" s="1"/>
  <c r="R369" i="5" a="1"/>
  <c r="R369" i="5" s="1"/>
  <c r="N367" i="6" s="1"/>
  <c r="R177" i="5" a="1"/>
  <c r="R177" i="5" s="1"/>
  <c r="N175" i="6" s="1"/>
  <c r="R80" i="5" a="1"/>
  <c r="R80" i="5" s="1"/>
  <c r="N78" i="6" s="1"/>
  <c r="S58" i="5" a="1"/>
  <c r="S58" i="5" s="1"/>
  <c r="O56" i="6" s="1"/>
  <c r="S66" i="5" a="1"/>
  <c r="S66" i="5" s="1"/>
  <c r="O64" i="6" s="1"/>
  <c r="S93" i="5" a="1"/>
  <c r="S93" i="5" s="1"/>
  <c r="O91" i="6" s="1"/>
  <c r="S104" i="5" a="1"/>
  <c r="S104" i="5" s="1"/>
  <c r="O102" i="6" s="1"/>
  <c r="S114" i="5" a="1"/>
  <c r="S114" i="5" s="1"/>
  <c r="O112" i="6" s="1"/>
  <c r="S138" i="5" a="1"/>
  <c r="S138" i="5" s="1"/>
  <c r="O136" i="6" s="1"/>
  <c r="S154" i="5" a="1"/>
  <c r="S154" i="5" s="1"/>
  <c r="O152" i="6" s="1"/>
  <c r="S197" i="5" a="1"/>
  <c r="S197" i="5" s="1"/>
  <c r="O195" i="6" s="1"/>
  <c r="S315" i="5" a="1"/>
  <c r="S315" i="5" s="1"/>
  <c r="O313" i="6" s="1"/>
  <c r="S413" i="5" a="1"/>
  <c r="S413" i="5" s="1"/>
  <c r="O411" i="6" s="1"/>
  <c r="S239" i="5" a="1"/>
  <c r="S239" i="5" s="1"/>
  <c r="O237" i="6" s="1"/>
  <c r="S247" i="5" a="1"/>
  <c r="S247" i="5" s="1"/>
  <c r="O245" i="6" s="1"/>
  <c r="S342" i="5" a="1"/>
  <c r="S342" i="5" s="1"/>
  <c r="O340" i="6" s="1"/>
  <c r="R286" i="5" a="1"/>
  <c r="R286" i="5" s="1"/>
  <c r="N284" i="6" s="1"/>
  <c r="R126" i="5" a="1"/>
  <c r="R126" i="5" s="1"/>
  <c r="N124" i="6" s="1"/>
  <c r="S73" i="5" a="1"/>
  <c r="S73" i="5" s="1"/>
  <c r="O71" i="6" s="1"/>
  <c r="S271" i="5" a="1"/>
  <c r="S271" i="5" s="1"/>
  <c r="O269" i="6" s="1"/>
  <c r="S366" i="5" a="1"/>
  <c r="S366" i="5" s="1"/>
  <c r="O364" i="6" s="1"/>
  <c r="R415" i="5" a="1"/>
  <c r="R415" i="5" s="1"/>
  <c r="N413" i="6" s="1"/>
  <c r="S415" i="5" a="1"/>
  <c r="S415" i="5" s="1"/>
  <c r="O413" i="6" s="1"/>
  <c r="R407" i="5" a="1"/>
  <c r="R407" i="5" s="1"/>
  <c r="N405" i="6" s="1"/>
  <c r="S407" i="5" a="1"/>
  <c r="S407" i="5" s="1"/>
  <c r="O405" i="6" s="1"/>
  <c r="R359" i="5" a="1"/>
  <c r="R359" i="5" s="1"/>
  <c r="N357" i="6" s="1"/>
  <c r="S359" i="5" a="1"/>
  <c r="S359" i="5" s="1"/>
  <c r="O357" i="6" s="1"/>
  <c r="R231" i="5" a="1"/>
  <c r="R231" i="5" s="1"/>
  <c r="N229" i="6" s="1"/>
  <c r="S231" i="5" a="1"/>
  <c r="S231" i="5" s="1"/>
  <c r="O229" i="6" s="1"/>
  <c r="R167" i="5" a="1"/>
  <c r="R167" i="5" s="1"/>
  <c r="N165" i="6" s="1"/>
  <c r="S167" i="5" a="1"/>
  <c r="S167" i="5" s="1"/>
  <c r="O165" i="6" s="1"/>
  <c r="R135" i="5" a="1"/>
  <c r="R135" i="5" s="1"/>
  <c r="N133" i="6" s="1"/>
  <c r="S135" i="5" a="1"/>
  <c r="S135" i="5" s="1"/>
  <c r="O133" i="6" s="1"/>
  <c r="R406" i="5" a="1"/>
  <c r="R406" i="5" s="1"/>
  <c r="N404" i="6" s="1"/>
  <c r="R263" i="5" a="1"/>
  <c r="R263" i="5" s="1"/>
  <c r="N261" i="6" s="1"/>
  <c r="R247" i="5" a="1"/>
  <c r="R247" i="5" s="1"/>
  <c r="N245" i="6" s="1"/>
  <c r="R95" i="5" a="1"/>
  <c r="R95" i="5" s="1"/>
  <c r="N93" i="6" s="1"/>
  <c r="S33" i="5" a="1"/>
  <c r="S33" i="5" s="1"/>
  <c r="O31" i="6" s="1"/>
  <c r="S65" i="5" a="1"/>
  <c r="S65" i="5" s="1"/>
  <c r="O63" i="6" s="1"/>
  <c r="S121" i="5" a="1"/>
  <c r="S121" i="5" s="1"/>
  <c r="O119" i="6" s="1"/>
  <c r="S207" i="5" a="1"/>
  <c r="S207" i="5" s="1"/>
  <c r="O205" i="6" s="1"/>
  <c r="S215" i="5" a="1"/>
  <c r="S215" i="5" s="1"/>
  <c r="O213" i="6" s="1"/>
  <c r="S223" i="5" a="1"/>
  <c r="S223" i="5" s="1"/>
  <c r="O221" i="6" s="1"/>
  <c r="S302" i="5" a="1"/>
  <c r="S302" i="5" s="1"/>
  <c r="O300" i="6" s="1"/>
  <c r="S310" i="5" a="1"/>
  <c r="S310" i="5" s="1"/>
  <c r="O308" i="6" s="1"/>
  <c r="R391" i="5" a="1"/>
  <c r="R391" i="5" s="1"/>
  <c r="N389" i="6" s="1"/>
  <c r="S391" i="5" a="1"/>
  <c r="S391" i="5" s="1"/>
  <c r="O389" i="6" s="1"/>
  <c r="R327" i="5" a="1"/>
  <c r="R327" i="5" s="1"/>
  <c r="N325" i="6" s="1"/>
  <c r="S327" i="5" a="1"/>
  <c r="S327" i="5" s="1"/>
  <c r="O325" i="6" s="1"/>
  <c r="R390" i="5" a="1"/>
  <c r="R390" i="5" s="1"/>
  <c r="N388" i="6" s="1"/>
  <c r="S390" i="5" a="1"/>
  <c r="S390" i="5" s="1"/>
  <c r="O388" i="6" s="1"/>
  <c r="R382" i="5" a="1"/>
  <c r="R382" i="5" s="1"/>
  <c r="N380" i="6" s="1"/>
  <c r="S382" i="5" a="1"/>
  <c r="S382" i="5" s="1"/>
  <c r="O380" i="6" s="1"/>
  <c r="R350" i="5" a="1"/>
  <c r="R350" i="5" s="1"/>
  <c r="N348" i="6" s="1"/>
  <c r="S350" i="5" a="1"/>
  <c r="S350" i="5" s="1"/>
  <c r="O348" i="6" s="1"/>
  <c r="R326" i="5" a="1"/>
  <c r="R326" i="5" s="1"/>
  <c r="N324" i="6" s="1"/>
  <c r="S326" i="5" a="1"/>
  <c r="S326" i="5" s="1"/>
  <c r="O324" i="6" s="1"/>
  <c r="R318" i="5" a="1"/>
  <c r="R318" i="5" s="1"/>
  <c r="N316" i="6" s="1"/>
  <c r="S318" i="5" a="1"/>
  <c r="S318" i="5" s="1"/>
  <c r="O316" i="6" s="1"/>
  <c r="R294" i="5" a="1"/>
  <c r="R294" i="5" s="1"/>
  <c r="N292" i="6" s="1"/>
  <c r="S294" i="5" a="1"/>
  <c r="S294" i="5" s="1"/>
  <c r="O292" i="6" s="1"/>
  <c r="R262" i="5" a="1"/>
  <c r="R262" i="5" s="1"/>
  <c r="N260" i="6" s="1"/>
  <c r="S262" i="5" a="1"/>
  <c r="S262" i="5" s="1"/>
  <c r="O260" i="6" s="1"/>
  <c r="S254" i="5" a="1"/>
  <c r="S254" i="5" s="1"/>
  <c r="O252" i="6" s="1"/>
  <c r="R230" i="5" a="1"/>
  <c r="R230" i="5" s="1"/>
  <c r="N228" i="6" s="1"/>
  <c r="S230" i="5" a="1"/>
  <c r="S230" i="5" s="1"/>
  <c r="O228" i="6" s="1"/>
  <c r="R198" i="5" a="1"/>
  <c r="R198" i="5" s="1"/>
  <c r="N196" i="6" s="1"/>
  <c r="S198" i="5" a="1"/>
  <c r="S198" i="5" s="1"/>
  <c r="O196" i="6" s="1"/>
  <c r="R166" i="5" a="1"/>
  <c r="R166" i="5" s="1"/>
  <c r="N164" i="6" s="1"/>
  <c r="S166" i="5" a="1"/>
  <c r="S166" i="5" s="1"/>
  <c r="O164" i="6" s="1"/>
  <c r="R158" i="5" a="1"/>
  <c r="R158" i="5" s="1"/>
  <c r="N156" i="6" s="1"/>
  <c r="S158" i="5" a="1"/>
  <c r="S158" i="5" s="1"/>
  <c r="O156" i="6" s="1"/>
  <c r="R134" i="5" a="1"/>
  <c r="R134" i="5" s="1"/>
  <c r="N132" i="6" s="1"/>
  <c r="S134" i="5" a="1"/>
  <c r="S134" i="5" s="1"/>
  <c r="O132" i="6" s="1"/>
  <c r="R94" i="5" a="1"/>
  <c r="R94" i="5" s="1"/>
  <c r="N92" i="6" s="1"/>
  <c r="S94" i="5" a="1"/>
  <c r="S94" i="5" s="1"/>
  <c r="O92" i="6" s="1"/>
  <c r="R199" i="5" a="1"/>
  <c r="R199" i="5" s="1"/>
  <c r="N197" i="6" s="1"/>
  <c r="R30" i="5" a="1"/>
  <c r="R30" i="5" s="1"/>
  <c r="N28" i="6" s="1"/>
  <c r="S9" i="5" a="1"/>
  <c r="S9" i="5" s="1"/>
  <c r="O7" i="6" s="1"/>
  <c r="S17" i="5" a="1"/>
  <c r="S17" i="5" s="1"/>
  <c r="O15" i="6" s="1"/>
  <c r="S25" i="5" a="1"/>
  <c r="S25" i="5" s="1"/>
  <c r="O23" i="6" s="1"/>
  <c r="S38" i="5" a="1"/>
  <c r="S38" i="5" s="1"/>
  <c r="O36" i="6" s="1"/>
  <c r="S70" i="5" a="1"/>
  <c r="S70" i="5" s="1"/>
  <c r="O68" i="6" s="1"/>
  <c r="S79" i="5" a="1"/>
  <c r="S79" i="5" s="1"/>
  <c r="O77" i="6" s="1"/>
  <c r="S105" i="5" a="1"/>
  <c r="S105" i="5" s="1"/>
  <c r="O103" i="6" s="1"/>
  <c r="S142" i="5" a="1"/>
  <c r="S142" i="5" s="1"/>
  <c r="O140" i="6" s="1"/>
  <c r="S150" i="5" a="1"/>
  <c r="S150" i="5" s="1"/>
  <c r="O148" i="6" s="1"/>
  <c r="S303" i="5" a="1"/>
  <c r="S303" i="5" s="1"/>
  <c r="O301" i="6" s="1"/>
  <c r="S311" i="5" a="1"/>
  <c r="S311" i="5" s="1"/>
  <c r="O309" i="6" s="1"/>
  <c r="S319" i="5" a="1"/>
  <c r="S319" i="5" s="1"/>
  <c r="O317" i="6" s="1"/>
  <c r="R69" i="5" a="1"/>
  <c r="R69" i="5" s="1"/>
  <c r="N67" i="6" s="1"/>
  <c r="R29" i="5" a="1"/>
  <c r="R29" i="5" s="1"/>
  <c r="N27" i="6" s="1"/>
  <c r="R125" i="5" a="1"/>
  <c r="R125" i="5" s="1"/>
  <c r="N123" i="6" s="1"/>
  <c r="R116" i="5" a="1"/>
  <c r="R116" i="5" s="1"/>
  <c r="N114" i="6" s="1"/>
  <c r="R107" i="5" a="1"/>
  <c r="R107" i="5" s="1"/>
  <c r="N105" i="6" s="1"/>
  <c r="R170" i="5" a="1"/>
  <c r="R170" i="5" s="1"/>
  <c r="N168" i="6" s="1"/>
  <c r="R10" i="5" a="1"/>
  <c r="R10" i="5" s="1"/>
  <c r="N8" i="6" s="1"/>
  <c r="R161" i="5" a="1"/>
  <c r="R161" i="5" s="1"/>
  <c r="N159" i="6" s="1"/>
  <c r="R56" i="5" a="1"/>
  <c r="R56" i="5" s="1"/>
  <c r="N54" i="6" s="1"/>
  <c r="R24" i="5" a="1"/>
  <c r="R24" i="5" s="1"/>
  <c r="N22" i="6" s="1"/>
  <c r="R41" i="5" a="1"/>
  <c r="R41" i="5" s="1"/>
  <c r="N39" i="6" s="1"/>
  <c r="R35" i="5" a="1"/>
  <c r="R35" i="5" s="1"/>
  <c r="N33" i="6" s="1"/>
  <c r="R27" i="5" a="1"/>
  <c r="R27" i="5" s="1"/>
  <c r="N25" i="6" s="1"/>
  <c r="R147" i="5" a="1"/>
  <c r="R147" i="5" s="1"/>
  <c r="N145" i="6" s="1"/>
  <c r="R83" i="5" a="1"/>
  <c r="R83" i="5" s="1"/>
  <c r="N81" i="6" s="1"/>
  <c r="R75" i="5" a="1"/>
  <c r="R75" i="5" s="1"/>
  <c r="N73" i="6" s="1"/>
  <c r="R42" i="5" a="1"/>
  <c r="R42" i="5" s="1"/>
  <c r="N40" i="6" s="1"/>
  <c r="R36" i="5" a="1"/>
  <c r="R36" i="5" s="1"/>
  <c r="N34" i="6" s="1"/>
  <c r="R204" i="5" a="1"/>
  <c r="R204" i="5" s="1"/>
  <c r="N202" i="6" s="1"/>
  <c r="R131" i="5" a="1"/>
  <c r="R131" i="5" s="1"/>
  <c r="N129" i="6" s="1"/>
  <c r="R58" i="5" a="1"/>
  <c r="R58" i="5" s="1"/>
  <c r="N56" i="6" s="1"/>
  <c r="R47" i="5" a="1"/>
  <c r="R47" i="5" s="1"/>
  <c r="N45" i="6" s="1"/>
  <c r="R254" i="5" a="1"/>
  <c r="R254" i="5" s="1"/>
  <c r="N252" i="6" s="1"/>
  <c r="R122" i="5" a="1"/>
  <c r="R122" i="5" s="1"/>
  <c r="N120" i="6" s="1"/>
  <c r="R63" i="5" a="1"/>
  <c r="R63" i="5" s="1"/>
  <c r="N61" i="6" s="1"/>
  <c r="R55" i="5" a="1"/>
  <c r="R55" i="5" s="1"/>
  <c r="N53" i="6" s="1"/>
  <c r="R8" i="5" a="1"/>
  <c r="R8" i="5" s="1"/>
  <c r="N6" i="6" s="1"/>
  <c r="R140" i="5" a="1"/>
  <c r="R140" i="5" s="1"/>
  <c r="N138" i="6" s="1"/>
  <c r="R59" i="5" a="1"/>
  <c r="R59" i="5" s="1"/>
  <c r="N57" i="6" s="1"/>
  <c r="R11" i="5" a="1"/>
  <c r="R11" i="5" s="1"/>
  <c r="N9" i="6" s="1"/>
  <c r="R105" i="5" a="1"/>
  <c r="R105" i="5" s="1"/>
  <c r="N103" i="6" s="1"/>
  <c r="R99" i="5" a="1"/>
  <c r="R99" i="5" s="1"/>
  <c r="N97" i="6" s="1"/>
  <c r="R48" i="5" a="1"/>
  <c r="R48" i="5" s="1"/>
  <c r="N46" i="6" s="1"/>
  <c r="R40" i="5" a="1"/>
  <c r="R40" i="5" s="1"/>
  <c r="N38" i="6" s="1"/>
  <c r="R32" i="5" a="1"/>
  <c r="R32" i="5" s="1"/>
  <c r="N30" i="6" s="1"/>
  <c r="R16" i="5" a="1"/>
  <c r="R16" i="5" s="1"/>
  <c r="N14" i="6" s="1"/>
  <c r="N75" i="5"/>
  <c r="J73" i="6" s="1"/>
  <c r="P73" i="5"/>
  <c r="L71" i="6" s="1"/>
  <c r="N74" i="5"/>
  <c r="J72" i="6" s="1"/>
  <c r="N418" i="5"/>
  <c r="J416" i="6" s="1"/>
  <c r="N402" i="5"/>
  <c r="J400" i="6" s="1"/>
  <c r="N386" i="5"/>
  <c r="N362" i="5"/>
  <c r="J360" i="6" s="1"/>
  <c r="N290" i="5"/>
  <c r="N416" i="5"/>
  <c r="N400" i="5"/>
  <c r="N392" i="5"/>
  <c r="J390" i="6" s="1"/>
  <c r="N384" i="5"/>
  <c r="J382" i="6" s="1"/>
  <c r="N376" i="5"/>
  <c r="N368" i="5"/>
  <c r="N360" i="5"/>
  <c r="N352" i="5"/>
  <c r="N344" i="5"/>
  <c r="J342" i="6" s="1"/>
  <c r="N336" i="5"/>
  <c r="N328" i="5"/>
  <c r="J326" i="6" s="1"/>
  <c r="N320" i="5"/>
  <c r="J318" i="6" s="1"/>
  <c r="N312" i="5"/>
  <c r="N304" i="5"/>
  <c r="N296" i="5"/>
  <c r="N288" i="5"/>
  <c r="N280" i="5"/>
  <c r="N272" i="5"/>
  <c r="N264" i="5"/>
  <c r="N256" i="5"/>
  <c r="N248" i="5"/>
  <c r="N240" i="5"/>
  <c r="N232" i="5"/>
  <c r="J230" i="6" s="1"/>
  <c r="N224" i="5"/>
  <c r="N216" i="5"/>
  <c r="J214" i="6" s="1"/>
  <c r="N208" i="5"/>
  <c r="N200" i="5"/>
  <c r="N192" i="5"/>
  <c r="N184" i="5"/>
  <c r="N176" i="5"/>
  <c r="N168" i="5"/>
  <c r="N160" i="5"/>
  <c r="N417" i="5"/>
  <c r="N409" i="5"/>
  <c r="N401" i="5"/>
  <c r="J399" i="6" s="1"/>
  <c r="N393" i="5"/>
  <c r="N385" i="5"/>
  <c r="N377" i="5"/>
  <c r="N369" i="5"/>
  <c r="N361" i="5"/>
  <c r="N353" i="5"/>
  <c r="N345" i="5"/>
  <c r="N337" i="5"/>
  <c r="J335" i="6" s="1"/>
  <c r="N329" i="5"/>
  <c r="N321" i="5"/>
  <c r="J319" i="6" s="1"/>
  <c r="N313" i="5"/>
  <c r="N305" i="5"/>
  <c r="N297" i="5"/>
  <c r="N289" i="5"/>
  <c r="N281" i="5"/>
  <c r="N273" i="5"/>
  <c r="N265" i="5"/>
  <c r="J263" i="6" s="1"/>
  <c r="N257" i="5"/>
  <c r="N249" i="5"/>
  <c r="N241" i="5"/>
  <c r="N233" i="5"/>
  <c r="N225" i="5"/>
  <c r="N217" i="5"/>
  <c r="N209" i="5"/>
  <c r="N201" i="5"/>
  <c r="J199" i="6" s="1"/>
  <c r="N193" i="5"/>
  <c r="N185" i="5"/>
  <c r="N177" i="5"/>
  <c r="N169" i="5"/>
  <c r="N161" i="5"/>
  <c r="N153" i="5"/>
  <c r="N145" i="5"/>
  <c r="N137" i="5"/>
  <c r="N129" i="5"/>
  <c r="N121" i="5"/>
  <c r="N113" i="5"/>
  <c r="N105" i="5"/>
  <c r="N97" i="5"/>
  <c r="P89" i="5"/>
  <c r="L87" i="6" s="1"/>
  <c r="N81" i="5"/>
  <c r="J79" i="6" s="1"/>
  <c r="N408" i="5"/>
  <c r="N410" i="5"/>
  <c r="N394" i="5"/>
  <c r="N378" i="5"/>
  <c r="N370" i="5"/>
  <c r="N354" i="5"/>
  <c r="J352" i="6" s="1"/>
  <c r="N346" i="5"/>
  <c r="N338" i="5"/>
  <c r="N330" i="5"/>
  <c r="N322" i="5"/>
  <c r="N314" i="5"/>
  <c r="N306" i="5"/>
  <c r="N298" i="5"/>
  <c r="N282" i="5"/>
  <c r="N274" i="5"/>
  <c r="N266" i="5"/>
  <c r="N258" i="5"/>
  <c r="N250" i="5"/>
  <c r="N242" i="5"/>
  <c r="N234" i="5"/>
  <c r="N226" i="5"/>
  <c r="N218" i="5"/>
  <c r="N210" i="5"/>
  <c r="N202" i="5"/>
  <c r="N194" i="5"/>
  <c r="N186" i="5"/>
  <c r="N178" i="5"/>
  <c r="N170" i="5"/>
  <c r="N162" i="5"/>
  <c r="N154" i="5"/>
  <c r="N146" i="5"/>
  <c r="N138" i="5"/>
  <c r="N130" i="5"/>
  <c r="N122" i="5"/>
  <c r="N114" i="5"/>
  <c r="N106" i="5"/>
  <c r="N98" i="5"/>
  <c r="N90" i="5"/>
  <c r="N82" i="5"/>
  <c r="N152" i="5"/>
  <c r="N144" i="5"/>
  <c r="N136" i="5"/>
  <c r="N128" i="5"/>
  <c r="N120" i="5"/>
  <c r="N112" i="5"/>
  <c r="N104" i="5"/>
  <c r="N80" i="5"/>
  <c r="N413" i="5"/>
  <c r="N405" i="5"/>
  <c r="N397" i="5"/>
  <c r="J395" i="6" s="1"/>
  <c r="N389" i="5"/>
  <c r="N381" i="5"/>
  <c r="N373" i="5"/>
  <c r="N365" i="5"/>
  <c r="N357" i="5"/>
  <c r="N349" i="5"/>
  <c r="N341" i="5"/>
  <c r="N333" i="5"/>
  <c r="N325" i="5"/>
  <c r="N317" i="5"/>
  <c r="N309" i="5"/>
  <c r="N301" i="5"/>
  <c r="J299" i="6" s="1"/>
  <c r="N293" i="5"/>
  <c r="N285" i="5"/>
  <c r="N277" i="5"/>
  <c r="N269" i="5"/>
  <c r="N261" i="5"/>
  <c r="N253" i="5"/>
  <c r="N245" i="5"/>
  <c r="N237" i="5"/>
  <c r="N229" i="5"/>
  <c r="N221" i="5"/>
  <c r="N213" i="5"/>
  <c r="N205" i="5"/>
  <c r="N197" i="5"/>
  <c r="N189" i="5"/>
  <c r="N181" i="5"/>
  <c r="N173" i="5"/>
  <c r="N165" i="5"/>
  <c r="N157" i="5"/>
  <c r="N149" i="5"/>
  <c r="N141" i="5"/>
  <c r="N133" i="5"/>
  <c r="N125" i="5"/>
  <c r="N117" i="5"/>
  <c r="N109" i="5"/>
  <c r="N101" i="5"/>
  <c r="N93" i="5"/>
  <c r="N85" i="5"/>
  <c r="J83" i="6" s="1"/>
  <c r="N77" i="5"/>
  <c r="J75" i="6" s="1"/>
  <c r="N4" i="5"/>
  <c r="N411" i="5"/>
  <c r="N403" i="5"/>
  <c r="N395" i="5"/>
  <c r="N387" i="5"/>
  <c r="N379" i="5"/>
  <c r="N371" i="5"/>
  <c r="N363" i="5"/>
  <c r="N355" i="5"/>
  <c r="N347" i="5"/>
  <c r="N339" i="5"/>
  <c r="N331" i="5"/>
  <c r="N323" i="5"/>
  <c r="N315" i="5"/>
  <c r="N307" i="5"/>
  <c r="N299" i="5"/>
  <c r="N291" i="5"/>
  <c r="N283" i="5"/>
  <c r="N275" i="5"/>
  <c r="N267" i="5"/>
  <c r="N259" i="5"/>
  <c r="N251" i="5"/>
  <c r="N243" i="5"/>
  <c r="N235" i="5"/>
  <c r="N227" i="5"/>
  <c r="N219" i="5"/>
  <c r="N211" i="5"/>
  <c r="N203" i="5"/>
  <c r="N195" i="5"/>
  <c r="N187" i="5"/>
  <c r="N179" i="5"/>
  <c r="N171" i="5"/>
  <c r="N163" i="5"/>
  <c r="N155" i="5"/>
  <c r="N147" i="5"/>
  <c r="N139" i="5"/>
  <c r="N131" i="5"/>
  <c r="N123" i="5"/>
  <c r="N115" i="5"/>
  <c r="N107" i="5"/>
  <c r="N99" i="5"/>
  <c r="N91" i="5"/>
  <c r="N83" i="5"/>
  <c r="N415" i="5"/>
  <c r="N399" i="5"/>
  <c r="N383" i="5"/>
  <c r="N367" i="5"/>
  <c r="N351" i="5"/>
  <c r="N327" i="5"/>
  <c r="P311" i="5"/>
  <c r="L309" i="6" s="1"/>
  <c r="P295" i="5"/>
  <c r="L293" i="6" s="1"/>
  <c r="P279" i="5"/>
  <c r="L277" i="6" s="1"/>
  <c r="P263" i="5"/>
  <c r="L261" i="6" s="1"/>
  <c r="P239" i="5"/>
  <c r="L237" i="6" s="1"/>
  <c r="N223" i="5"/>
  <c r="N207" i="5"/>
  <c r="N191" i="5"/>
  <c r="N167" i="5"/>
  <c r="N151" i="5"/>
  <c r="N135" i="5"/>
  <c r="N119" i="5"/>
  <c r="N103" i="5"/>
  <c r="N79" i="5"/>
  <c r="N407" i="5"/>
  <c r="N391" i="5"/>
  <c r="N375" i="5"/>
  <c r="N359" i="5"/>
  <c r="N343" i="5"/>
  <c r="N335" i="5"/>
  <c r="N319" i="5"/>
  <c r="P303" i="5"/>
  <c r="L301" i="6" s="1"/>
  <c r="P287" i="5"/>
  <c r="L285" i="6" s="1"/>
  <c r="P271" i="5"/>
  <c r="L269" i="6" s="1"/>
  <c r="P255" i="5"/>
  <c r="L253" i="6" s="1"/>
  <c r="P247" i="5"/>
  <c r="L245" i="6" s="1"/>
  <c r="N231" i="5"/>
  <c r="N215" i="5"/>
  <c r="N199" i="5"/>
  <c r="N183" i="5"/>
  <c r="N175" i="5"/>
  <c r="N159" i="5"/>
  <c r="N143" i="5"/>
  <c r="N127" i="5"/>
  <c r="N111" i="5"/>
  <c r="N95" i="5"/>
  <c r="N87" i="5"/>
  <c r="N414" i="5"/>
  <c r="N406" i="5"/>
  <c r="N398" i="5"/>
  <c r="N390" i="5"/>
  <c r="N382" i="5"/>
  <c r="N374" i="5"/>
  <c r="N366" i="5"/>
  <c r="N358" i="5"/>
  <c r="N350" i="5"/>
  <c r="N342" i="5"/>
  <c r="N334" i="5"/>
  <c r="N326" i="5"/>
  <c r="N318" i="5"/>
  <c r="N310" i="5"/>
  <c r="N302" i="5"/>
  <c r="N294" i="5"/>
  <c r="N286" i="5"/>
  <c r="N278" i="5"/>
  <c r="N270" i="5"/>
  <c r="N262" i="5"/>
  <c r="N254" i="5"/>
  <c r="N246" i="5"/>
  <c r="N238" i="5"/>
  <c r="N230" i="5"/>
  <c r="N222" i="5"/>
  <c r="N214" i="5"/>
  <c r="N206" i="5"/>
  <c r="N198" i="5"/>
  <c r="N190" i="5"/>
  <c r="N182" i="5"/>
  <c r="N174" i="5"/>
  <c r="N166" i="5"/>
  <c r="N158" i="5"/>
  <c r="N150" i="5"/>
  <c r="N142" i="5"/>
  <c r="N134" i="5"/>
  <c r="N126" i="5"/>
  <c r="N118" i="5"/>
  <c r="N110" i="5"/>
  <c r="N102" i="5"/>
  <c r="P94" i="5"/>
  <c r="L92" i="6" s="1"/>
  <c r="N86" i="5"/>
  <c r="N78" i="5"/>
  <c r="N412" i="5"/>
  <c r="N404" i="5"/>
  <c r="N396" i="5"/>
  <c r="N388" i="5"/>
  <c r="N380" i="5"/>
  <c r="N372" i="5"/>
  <c r="N364" i="5"/>
  <c r="N356" i="5"/>
  <c r="N348" i="5"/>
  <c r="N340" i="5"/>
  <c r="P332" i="5"/>
  <c r="N324" i="5"/>
  <c r="N316" i="5"/>
  <c r="N308" i="5"/>
  <c r="N300" i="5"/>
  <c r="N292" i="5"/>
  <c r="N284" i="5"/>
  <c r="N276" i="5"/>
  <c r="N268" i="5"/>
  <c r="N260" i="5"/>
  <c r="N252" i="5"/>
  <c r="N244" i="5"/>
  <c r="N236" i="5"/>
  <c r="N228" i="5"/>
  <c r="N220" i="5"/>
  <c r="N212" i="5"/>
  <c r="N204" i="5"/>
  <c r="N196" i="5"/>
  <c r="N188" i="5"/>
  <c r="N180" i="5"/>
  <c r="N172" i="5"/>
  <c r="N164" i="5"/>
  <c r="N156" i="5"/>
  <c r="N148" i="5"/>
  <c r="P140" i="5"/>
  <c r="N132" i="5"/>
  <c r="N124" i="5"/>
  <c r="N116" i="5"/>
  <c r="N108" i="5"/>
  <c r="N84" i="5"/>
  <c r="N76" i="5"/>
  <c r="N100" i="5"/>
  <c r="N96" i="5"/>
  <c r="N92" i="5"/>
  <c r="N88" i="5"/>
  <c r="N69" i="5"/>
  <c r="N61" i="5"/>
  <c r="N53" i="5"/>
  <c r="N45" i="5"/>
  <c r="N37" i="5"/>
  <c r="N68" i="5"/>
  <c r="N60" i="5"/>
  <c r="N52" i="5"/>
  <c r="N44" i="5"/>
  <c r="P36" i="5"/>
  <c r="L34" i="6" s="1"/>
  <c r="P28" i="5"/>
  <c r="L26" i="6" s="1"/>
  <c r="P20" i="5"/>
  <c r="L18" i="6" s="1"/>
  <c r="P12" i="5"/>
  <c r="L10" i="6" s="1"/>
  <c r="N67" i="5"/>
  <c r="N59" i="5"/>
  <c r="N51" i="5"/>
  <c r="N43" i="5"/>
  <c r="N35" i="5"/>
  <c r="N27" i="5"/>
  <c r="N19" i="5"/>
  <c r="N11" i="5"/>
  <c r="N66" i="5"/>
  <c r="N58" i="5"/>
  <c r="N50" i="5"/>
  <c r="N42" i="5"/>
  <c r="N34" i="5"/>
  <c r="N26" i="5"/>
  <c r="N18" i="5"/>
  <c r="N10" i="5"/>
  <c r="N65" i="5"/>
  <c r="N57" i="5"/>
  <c r="N49" i="5"/>
  <c r="N41" i="5"/>
  <c r="N33" i="5"/>
  <c r="N25" i="5"/>
  <c r="N9" i="5"/>
  <c r="N64" i="5"/>
  <c r="N56" i="5"/>
  <c r="N48" i="5"/>
  <c r="N40" i="5"/>
  <c r="N32" i="5"/>
  <c r="N24" i="5"/>
  <c r="N16" i="5"/>
  <c r="N55" i="5"/>
  <c r="N47" i="5"/>
  <c r="N39" i="5"/>
  <c r="N31" i="5"/>
  <c r="N15" i="5"/>
  <c r="N70" i="5"/>
  <c r="N62" i="5"/>
  <c r="N54" i="5"/>
  <c r="N46" i="5"/>
  <c r="N38" i="5"/>
  <c r="N30" i="5"/>
  <c r="N22" i="5"/>
  <c r="N14" i="5"/>
  <c r="N7" i="5"/>
  <c r="N23" i="5"/>
  <c r="N63" i="5"/>
  <c r="N71" i="5"/>
  <c r="N6" i="5"/>
  <c r="N13" i="5"/>
  <c r="P92" i="5"/>
  <c r="L90" i="6" s="1"/>
  <c r="N21" i="5"/>
  <c r="N239" i="5"/>
  <c r="N5" i="5"/>
  <c r="N28" i="5"/>
  <c r="N29" i="5"/>
  <c r="N255" i="5"/>
  <c r="N17" i="5"/>
  <c r="N263" i="5"/>
  <c r="N36" i="5"/>
  <c r="N89" i="5"/>
  <c r="N303" i="5"/>
  <c r="N279" i="5"/>
  <c r="N332" i="5"/>
  <c r="N295" i="5"/>
  <c r="P8" i="5"/>
  <c r="L6" i="6" s="1"/>
  <c r="N8" i="5"/>
  <c r="N20" i="5"/>
  <c r="N73" i="5"/>
  <c r="N94" i="5"/>
  <c r="N271" i="5"/>
  <c r="N247" i="5"/>
  <c r="N311" i="5"/>
  <c r="N12" i="5"/>
  <c r="N140" i="5"/>
  <c r="N287" i="5"/>
  <c r="P4" i="5"/>
  <c r="L2" i="6" s="1"/>
  <c r="P416" i="5"/>
  <c r="L414" i="6" s="1"/>
  <c r="P415" i="5"/>
  <c r="L413" i="6" s="1"/>
  <c r="P408" i="5"/>
  <c r="L406" i="6" s="1"/>
  <c r="P407" i="5"/>
  <c r="L405" i="6" s="1"/>
  <c r="P400" i="5"/>
  <c r="L398" i="6" s="1"/>
  <c r="P399" i="5"/>
  <c r="L397" i="6" s="1"/>
  <c r="P392" i="5"/>
  <c r="L390" i="6" s="1"/>
  <c r="P391" i="5"/>
  <c r="L389" i="6" s="1"/>
  <c r="P384" i="5"/>
  <c r="L382" i="6" s="1"/>
  <c r="P383" i="5"/>
  <c r="L381" i="6" s="1"/>
  <c r="P376" i="5"/>
  <c r="L374" i="6" s="1"/>
  <c r="P375" i="5"/>
  <c r="L373" i="6" s="1"/>
  <c r="P368" i="5"/>
  <c r="L366" i="6" s="1"/>
  <c r="P367" i="5"/>
  <c r="L365" i="6" s="1"/>
  <c r="P360" i="5"/>
  <c r="L358" i="6" s="1"/>
  <c r="P359" i="5"/>
  <c r="L357" i="6" s="1"/>
  <c r="P352" i="5"/>
  <c r="L350" i="6" s="1"/>
  <c r="P351" i="5"/>
  <c r="L349" i="6" s="1"/>
  <c r="P344" i="5"/>
  <c r="L342" i="6" s="1"/>
  <c r="P343" i="5"/>
  <c r="L341" i="6" s="1"/>
  <c r="P336" i="5"/>
  <c r="L334" i="6" s="1"/>
  <c r="P335" i="5"/>
  <c r="L333" i="6" s="1"/>
  <c r="P328" i="5"/>
  <c r="L326" i="6" s="1"/>
  <c r="P327" i="5"/>
  <c r="L325" i="6" s="1"/>
  <c r="P320" i="5"/>
  <c r="L318" i="6" s="1"/>
  <c r="P319" i="5"/>
  <c r="L317" i="6" s="1"/>
  <c r="P312" i="5"/>
  <c r="L310" i="6" s="1"/>
  <c r="P304" i="5"/>
  <c r="L302" i="6" s="1"/>
  <c r="P296" i="5"/>
  <c r="L294" i="6" s="1"/>
  <c r="P288" i="5"/>
  <c r="L286" i="6" s="1"/>
  <c r="P280" i="5"/>
  <c r="L278" i="6" s="1"/>
  <c r="P272" i="5"/>
  <c r="L270" i="6" s="1"/>
  <c r="P264" i="5"/>
  <c r="L262" i="6" s="1"/>
  <c r="P256" i="5"/>
  <c r="L254" i="6" s="1"/>
  <c r="P248" i="5"/>
  <c r="L246" i="6" s="1"/>
  <c r="P240" i="5"/>
  <c r="L238" i="6" s="1"/>
  <c r="P232" i="5"/>
  <c r="P224" i="5"/>
  <c r="L222" i="6" s="1"/>
  <c r="P216" i="5"/>
  <c r="L214" i="6" s="1"/>
  <c r="P208" i="5"/>
  <c r="L206" i="6" s="1"/>
  <c r="P200" i="5"/>
  <c r="L198" i="6" s="1"/>
  <c r="P192" i="5"/>
  <c r="L190" i="6" s="1"/>
  <c r="P184" i="5"/>
  <c r="L182" i="6" s="1"/>
  <c r="P176" i="5"/>
  <c r="L174" i="6" s="1"/>
  <c r="P168" i="5"/>
  <c r="L166" i="6" s="1"/>
  <c r="P160" i="5"/>
  <c r="L158" i="6" s="1"/>
  <c r="P153" i="5"/>
  <c r="L151" i="6" s="1"/>
  <c r="P152" i="5"/>
  <c r="L150" i="6" s="1"/>
  <c r="P144" i="5"/>
  <c r="L142" i="6" s="1"/>
  <c r="P136" i="5"/>
  <c r="L134" i="6" s="1"/>
  <c r="P128" i="5"/>
  <c r="L126" i="6" s="1"/>
  <c r="P120" i="5"/>
  <c r="L118" i="6" s="1"/>
  <c r="P112" i="5"/>
  <c r="L110" i="6" s="1"/>
  <c r="P104" i="5"/>
  <c r="L102" i="6" s="1"/>
  <c r="P96" i="5"/>
  <c r="L94" i="6" s="1"/>
  <c r="P88" i="5"/>
  <c r="L86" i="6" s="1"/>
  <c r="P80" i="5"/>
  <c r="L78" i="6" s="1"/>
  <c r="P72" i="5"/>
  <c r="L70" i="6" s="1"/>
  <c r="P64" i="5"/>
  <c r="L62" i="6" s="1"/>
  <c r="P56" i="5"/>
  <c r="L54" i="6" s="1"/>
  <c r="P48" i="5"/>
  <c r="L46" i="6" s="1"/>
  <c r="P40" i="5"/>
  <c r="L38" i="6" s="1"/>
  <c r="P32" i="5"/>
  <c r="L30" i="6" s="1"/>
  <c r="P24" i="5"/>
  <c r="L22" i="6" s="1"/>
  <c r="P16" i="5"/>
  <c r="L14" i="6" s="1"/>
  <c r="P9" i="5"/>
  <c r="P25" i="5"/>
  <c r="P33" i="5"/>
  <c r="L31" i="6" s="1"/>
  <c r="P41" i="5"/>
  <c r="L39" i="6" s="1"/>
  <c r="P57" i="5"/>
  <c r="L55" i="6" s="1"/>
  <c r="P105" i="5"/>
  <c r="L103" i="6" s="1"/>
  <c r="P121" i="5"/>
  <c r="L119" i="6" s="1"/>
  <c r="P340" i="5"/>
  <c r="P231" i="5"/>
  <c r="L229" i="6" s="1"/>
  <c r="P223" i="5"/>
  <c r="L221" i="6" s="1"/>
  <c r="P215" i="5"/>
  <c r="L213" i="6" s="1"/>
  <c r="P207" i="5"/>
  <c r="L205" i="6" s="1"/>
  <c r="P199" i="5"/>
  <c r="L197" i="6" s="1"/>
  <c r="P191" i="5"/>
  <c r="L189" i="6" s="1"/>
  <c r="P183" i="5"/>
  <c r="L181" i="6" s="1"/>
  <c r="P175" i="5"/>
  <c r="L173" i="6" s="1"/>
  <c r="P167" i="5"/>
  <c r="L165" i="6" s="1"/>
  <c r="P159" i="5"/>
  <c r="L157" i="6" s="1"/>
  <c r="P151" i="5"/>
  <c r="L149" i="6" s="1"/>
  <c r="P143" i="5"/>
  <c r="L141" i="6" s="1"/>
  <c r="P135" i="5"/>
  <c r="L133" i="6" s="1"/>
  <c r="P127" i="5"/>
  <c r="L125" i="6" s="1"/>
  <c r="P119" i="5"/>
  <c r="L117" i="6" s="1"/>
  <c r="P111" i="5"/>
  <c r="L109" i="6" s="1"/>
  <c r="P103" i="5"/>
  <c r="L101" i="6" s="1"/>
  <c r="P95" i="5"/>
  <c r="L93" i="6" s="1"/>
  <c r="P87" i="5"/>
  <c r="L85" i="6" s="1"/>
  <c r="P79" i="5"/>
  <c r="P71" i="5"/>
  <c r="L69" i="6" s="1"/>
  <c r="P63" i="5"/>
  <c r="P55" i="5"/>
  <c r="P47" i="5"/>
  <c r="P39" i="5"/>
  <c r="P31" i="5"/>
  <c r="P23" i="5"/>
  <c r="P15" i="5"/>
  <c r="P7" i="5"/>
  <c r="P164" i="5"/>
  <c r="P413" i="5"/>
  <c r="P405" i="5"/>
  <c r="L403" i="6" s="1"/>
  <c r="P397" i="5"/>
  <c r="P389" i="5"/>
  <c r="P381" i="5"/>
  <c r="L379" i="6" s="1"/>
  <c r="P373" i="5"/>
  <c r="L371" i="6" s="1"/>
  <c r="P365" i="5"/>
  <c r="P357" i="5"/>
  <c r="P349" i="5"/>
  <c r="P341" i="5"/>
  <c r="P333" i="5"/>
  <c r="P325" i="5"/>
  <c r="P317" i="5"/>
  <c r="L315" i="6" s="1"/>
  <c r="P309" i="5"/>
  <c r="P301" i="5"/>
  <c r="P293" i="5"/>
  <c r="P285" i="5"/>
  <c r="L283" i="6" s="1"/>
  <c r="P277" i="5"/>
  <c r="L275" i="6" s="1"/>
  <c r="P269" i="5"/>
  <c r="P261" i="5"/>
  <c r="P253" i="5"/>
  <c r="P245" i="5"/>
  <c r="P237" i="5"/>
  <c r="P229" i="5"/>
  <c r="L227" i="6" s="1"/>
  <c r="P221" i="5"/>
  <c r="P213" i="5"/>
  <c r="P205" i="5"/>
  <c r="P197" i="5"/>
  <c r="P189" i="5"/>
  <c r="P181" i="5"/>
  <c r="P173" i="5"/>
  <c r="P165" i="5"/>
  <c r="L163" i="6" s="1"/>
  <c r="P157" i="5"/>
  <c r="P149" i="5"/>
  <c r="P141" i="5"/>
  <c r="P133" i="5"/>
  <c r="L131" i="6" s="1"/>
  <c r="P125" i="5"/>
  <c r="L123" i="6" s="1"/>
  <c r="P117" i="5"/>
  <c r="P109" i="5"/>
  <c r="P101" i="5"/>
  <c r="P93" i="5"/>
  <c r="P61" i="5"/>
  <c r="L59" i="6" s="1"/>
  <c r="P45" i="5"/>
  <c r="L43" i="6" s="1"/>
  <c r="P37" i="5"/>
  <c r="L35" i="6" s="1"/>
  <c r="P29" i="5"/>
  <c r="L27" i="6" s="1"/>
  <c r="P21" i="5"/>
  <c r="L19" i="6" s="1"/>
  <c r="P5" i="5"/>
  <c r="L3" i="6" s="1"/>
  <c r="P13" i="5"/>
  <c r="L11" i="6" s="1"/>
  <c r="P142" i="5"/>
  <c r="L140" i="6" s="1"/>
  <c r="P412" i="5"/>
  <c r="L410" i="6" s="1"/>
  <c r="P404" i="5"/>
  <c r="L402" i="6" s="1"/>
  <c r="P396" i="5"/>
  <c r="P388" i="5"/>
  <c r="P380" i="5"/>
  <c r="P372" i="5"/>
  <c r="P364" i="5"/>
  <c r="P356" i="5"/>
  <c r="P348" i="5"/>
  <c r="L346" i="6" s="1"/>
  <c r="P324" i="5"/>
  <c r="P316" i="5"/>
  <c r="L314" i="6" s="1"/>
  <c r="P308" i="5"/>
  <c r="L306" i="6" s="1"/>
  <c r="P300" i="5"/>
  <c r="L298" i="6" s="1"/>
  <c r="P284" i="5"/>
  <c r="P276" i="5"/>
  <c r="P268" i="5"/>
  <c r="P260" i="5"/>
  <c r="P244" i="5"/>
  <c r="L242" i="6" s="1"/>
  <c r="P236" i="5"/>
  <c r="L234" i="6" s="1"/>
  <c r="P228" i="5"/>
  <c r="L226" i="6" s="1"/>
  <c r="P220" i="5"/>
  <c r="P212" i="5"/>
  <c r="L210" i="6" s="1"/>
  <c r="P204" i="5"/>
  <c r="P196" i="5"/>
  <c r="L194" i="6" s="1"/>
  <c r="P188" i="5"/>
  <c r="P172" i="5"/>
  <c r="P156" i="5"/>
  <c r="L154" i="6" s="1"/>
  <c r="P148" i="5"/>
  <c r="P132" i="5"/>
  <c r="P124" i="5"/>
  <c r="P116" i="5"/>
  <c r="P108" i="5"/>
  <c r="P100" i="5"/>
  <c r="P84" i="5"/>
  <c r="L82" i="6" s="1"/>
  <c r="P76" i="5"/>
  <c r="L74" i="6" s="1"/>
  <c r="P60" i="5"/>
  <c r="L58" i="6" s="1"/>
  <c r="P52" i="5"/>
  <c r="L50" i="6" s="1"/>
  <c r="P44" i="5"/>
  <c r="L42" i="6" s="1"/>
  <c r="P22" i="5"/>
  <c r="L20" i="6" s="1"/>
  <c r="P180" i="5"/>
  <c r="P54" i="5"/>
  <c r="P252" i="5"/>
  <c r="L250" i="6" s="1"/>
  <c r="P414" i="5"/>
  <c r="L412" i="6" s="1"/>
  <c r="P406" i="5"/>
  <c r="L404" i="6" s="1"/>
  <c r="P398" i="5"/>
  <c r="L396" i="6" s="1"/>
  <c r="P390" i="5"/>
  <c r="L388" i="6" s="1"/>
  <c r="P382" i="5"/>
  <c r="L380" i="6" s="1"/>
  <c r="P374" i="5"/>
  <c r="L372" i="6" s="1"/>
  <c r="P366" i="5"/>
  <c r="L364" i="6" s="1"/>
  <c r="P358" i="5"/>
  <c r="L356" i="6" s="1"/>
  <c r="P350" i="5"/>
  <c r="L348" i="6" s="1"/>
  <c r="P342" i="5"/>
  <c r="L340" i="6" s="1"/>
  <c r="P334" i="5"/>
  <c r="L332" i="6" s="1"/>
  <c r="P326" i="5"/>
  <c r="L324" i="6" s="1"/>
  <c r="P318" i="5"/>
  <c r="P310" i="5"/>
  <c r="L308" i="6" s="1"/>
  <c r="P302" i="5"/>
  <c r="L300" i="6" s="1"/>
  <c r="P294" i="5"/>
  <c r="P286" i="5"/>
  <c r="L284" i="6" s="1"/>
  <c r="P278" i="5"/>
  <c r="P270" i="5"/>
  <c r="L268" i="6" s="1"/>
  <c r="P262" i="5"/>
  <c r="L260" i="6" s="1"/>
  <c r="P254" i="5"/>
  <c r="P246" i="5"/>
  <c r="L244" i="6" s="1"/>
  <c r="P238" i="5"/>
  <c r="L236" i="6" s="1"/>
  <c r="P230" i="5"/>
  <c r="P222" i="5"/>
  <c r="L220" i="6" s="1"/>
  <c r="P214" i="5"/>
  <c r="P206" i="5"/>
  <c r="L204" i="6" s="1"/>
  <c r="P198" i="5"/>
  <c r="L196" i="6" s="1"/>
  <c r="P190" i="5"/>
  <c r="L188" i="6" s="1"/>
  <c r="P182" i="5"/>
  <c r="L180" i="6" s="1"/>
  <c r="P174" i="5"/>
  <c r="L172" i="6" s="1"/>
  <c r="P166" i="5"/>
  <c r="P158" i="5"/>
  <c r="L156" i="6" s="1"/>
  <c r="P150" i="5"/>
  <c r="P134" i="5"/>
  <c r="L132" i="6" s="1"/>
  <c r="P126" i="5"/>
  <c r="L124" i="6" s="1"/>
  <c r="P118" i="5"/>
  <c r="L116" i="6" s="1"/>
  <c r="P110" i="5"/>
  <c r="L108" i="6" s="1"/>
  <c r="P102" i="5"/>
  <c r="P62" i="5"/>
  <c r="L60" i="6" s="1"/>
  <c r="P46" i="5"/>
  <c r="P38" i="5"/>
  <c r="P30" i="5"/>
  <c r="L28" i="6" s="1"/>
  <c r="P14" i="5"/>
  <c r="L12" i="6" s="1"/>
  <c r="P6" i="5"/>
  <c r="L4" i="6" s="1"/>
  <c r="P292" i="5"/>
  <c r="L290" i="6" s="1"/>
  <c r="P78" i="5"/>
  <c r="P411" i="5"/>
  <c r="L409" i="6" s="1"/>
  <c r="P403" i="5"/>
  <c r="L401" i="6" s="1"/>
  <c r="P395" i="5"/>
  <c r="L393" i="6" s="1"/>
  <c r="P387" i="5"/>
  <c r="L385" i="6" s="1"/>
  <c r="P379" i="5"/>
  <c r="P371" i="5"/>
  <c r="P363" i="5"/>
  <c r="P355" i="5"/>
  <c r="P347" i="5"/>
  <c r="P339" i="5"/>
  <c r="L337" i="6" s="1"/>
  <c r="P331" i="5"/>
  <c r="P323" i="5"/>
  <c r="L321" i="6" s="1"/>
  <c r="P315" i="5"/>
  <c r="P307" i="5"/>
  <c r="P299" i="5"/>
  <c r="P291" i="5"/>
  <c r="P283" i="5"/>
  <c r="P275" i="5"/>
  <c r="L273" i="6" s="1"/>
  <c r="P267" i="5"/>
  <c r="P259" i="5"/>
  <c r="P251" i="5"/>
  <c r="P243" i="5"/>
  <c r="L241" i="6" s="1"/>
  <c r="P235" i="5"/>
  <c r="L233" i="6" s="1"/>
  <c r="P227" i="5"/>
  <c r="L225" i="6" s="1"/>
  <c r="P219" i="5"/>
  <c r="P211" i="5"/>
  <c r="P203" i="5"/>
  <c r="P195" i="5"/>
  <c r="P187" i="5"/>
  <c r="P179" i="5"/>
  <c r="L177" i="6" s="1"/>
  <c r="P171" i="5"/>
  <c r="L169" i="6" s="1"/>
  <c r="P163" i="5"/>
  <c r="P155" i="5"/>
  <c r="P147" i="5"/>
  <c r="L145" i="6" s="1"/>
  <c r="P139" i="5"/>
  <c r="P131" i="5"/>
  <c r="P123" i="5"/>
  <c r="P115" i="5"/>
  <c r="P107" i="5"/>
  <c r="P99" i="5"/>
  <c r="P91" i="5"/>
  <c r="P27" i="5"/>
  <c r="L25" i="6" s="1"/>
  <c r="P86" i="5"/>
  <c r="P418" i="5"/>
  <c r="P410" i="5"/>
  <c r="L408" i="6" s="1"/>
  <c r="P402" i="5"/>
  <c r="P394" i="5"/>
  <c r="L392" i="6" s="1"/>
  <c r="P386" i="5"/>
  <c r="P378" i="5"/>
  <c r="P370" i="5"/>
  <c r="L368" i="6" s="1"/>
  <c r="P362" i="5"/>
  <c r="L360" i="6" s="1"/>
  <c r="P354" i="5"/>
  <c r="P346" i="5"/>
  <c r="P338" i="5"/>
  <c r="P330" i="5"/>
  <c r="P322" i="5"/>
  <c r="P314" i="5"/>
  <c r="P306" i="5"/>
  <c r="L304" i="6" s="1"/>
  <c r="P298" i="5"/>
  <c r="P290" i="5"/>
  <c r="P282" i="5"/>
  <c r="P274" i="5"/>
  <c r="P266" i="5"/>
  <c r="L264" i="6" s="1"/>
  <c r="P258" i="5"/>
  <c r="P250" i="5"/>
  <c r="L248" i="6" s="1"/>
  <c r="P242" i="5"/>
  <c r="L240" i="6" s="1"/>
  <c r="P234" i="5"/>
  <c r="P226" i="5"/>
  <c r="P218" i="5"/>
  <c r="P210" i="5"/>
  <c r="L208" i="6" s="1"/>
  <c r="P202" i="5"/>
  <c r="P194" i="5"/>
  <c r="P186" i="5"/>
  <c r="P178" i="5"/>
  <c r="P170" i="5"/>
  <c r="L168" i="6" s="1"/>
  <c r="P162" i="5"/>
  <c r="P154" i="5"/>
  <c r="P146" i="5"/>
  <c r="L144" i="6" s="1"/>
  <c r="P138" i="5"/>
  <c r="L136" i="6" s="1"/>
  <c r="P130" i="5"/>
  <c r="P122" i="5"/>
  <c r="P114" i="5"/>
  <c r="L112" i="6" s="1"/>
  <c r="P106" i="5"/>
  <c r="L104" i="6" s="1"/>
  <c r="P98" i="5"/>
  <c r="P90" i="5"/>
  <c r="L88" i="6" s="1"/>
  <c r="P58" i="5"/>
  <c r="P26" i="5"/>
  <c r="L24" i="6" s="1"/>
  <c r="P10" i="5"/>
  <c r="L8" i="6" s="1"/>
  <c r="P68" i="5"/>
  <c r="L66" i="6" s="1"/>
  <c r="P417" i="5"/>
  <c r="L415" i="6" s="1"/>
  <c r="P409" i="5"/>
  <c r="L407" i="6" s="1"/>
  <c r="P401" i="5"/>
  <c r="L399" i="6" s="1"/>
  <c r="P393" i="5"/>
  <c r="L391" i="6" s="1"/>
  <c r="P385" i="5"/>
  <c r="L383" i="6" s="1"/>
  <c r="P377" i="5"/>
  <c r="L375" i="6" s="1"/>
  <c r="P369" i="5"/>
  <c r="L367" i="6" s="1"/>
  <c r="P361" i="5"/>
  <c r="L359" i="6" s="1"/>
  <c r="P353" i="5"/>
  <c r="L351" i="6" s="1"/>
  <c r="P345" i="5"/>
  <c r="L343" i="6" s="1"/>
  <c r="P337" i="5"/>
  <c r="L335" i="6" s="1"/>
  <c r="P329" i="5"/>
  <c r="L327" i="6" s="1"/>
  <c r="P321" i="5"/>
  <c r="L319" i="6" s="1"/>
  <c r="P313" i="5"/>
  <c r="L311" i="6" s="1"/>
  <c r="P305" i="5"/>
  <c r="L303" i="6" s="1"/>
  <c r="P297" i="5"/>
  <c r="L295" i="6" s="1"/>
  <c r="P289" i="5"/>
  <c r="L287" i="6" s="1"/>
  <c r="P281" i="5"/>
  <c r="L279" i="6" s="1"/>
  <c r="P273" i="5"/>
  <c r="L271" i="6" s="1"/>
  <c r="P265" i="5"/>
  <c r="L263" i="6" s="1"/>
  <c r="P257" i="5"/>
  <c r="L255" i="6" s="1"/>
  <c r="P249" i="5"/>
  <c r="L247" i="6" s="1"/>
  <c r="P241" i="5"/>
  <c r="L239" i="6" s="1"/>
  <c r="P233" i="5"/>
  <c r="L231" i="6" s="1"/>
  <c r="P225" i="5"/>
  <c r="L223" i="6" s="1"/>
  <c r="P217" i="5"/>
  <c r="L215" i="6" s="1"/>
  <c r="P209" i="5"/>
  <c r="L207" i="6" s="1"/>
  <c r="P201" i="5"/>
  <c r="L199" i="6" s="1"/>
  <c r="P193" i="5"/>
  <c r="L191" i="6" s="1"/>
  <c r="P185" i="5"/>
  <c r="L183" i="6" s="1"/>
  <c r="P177" i="5"/>
  <c r="L175" i="6" s="1"/>
  <c r="P169" i="5"/>
  <c r="L167" i="6" s="1"/>
  <c r="P161" i="5"/>
  <c r="L159" i="6" s="1"/>
  <c r="P145" i="5"/>
  <c r="L143" i="6" s="1"/>
  <c r="P137" i="5"/>
  <c r="L135" i="6" s="1"/>
  <c r="P129" i="5"/>
  <c r="L127" i="6" s="1"/>
  <c r="P113" i="5"/>
  <c r="L111" i="6" s="1"/>
  <c r="P97" i="5"/>
  <c r="L95" i="6" s="1"/>
  <c r="P65" i="5"/>
  <c r="L63" i="6" s="1"/>
  <c r="P17" i="5"/>
  <c r="L15" i="6" s="1"/>
  <c r="P70" i="5"/>
  <c r="P35" i="5"/>
  <c r="L33" i="6" s="1"/>
  <c r="P67" i="5"/>
  <c r="L65" i="6" s="1"/>
  <c r="P77" i="5"/>
  <c r="L75" i="6" s="1"/>
  <c r="P82" i="5"/>
  <c r="L80" i="6" s="1"/>
  <c r="P74" i="5"/>
  <c r="P66" i="5"/>
  <c r="L64" i="6" s="1"/>
  <c r="P50" i="5"/>
  <c r="P42" i="5"/>
  <c r="L40" i="6" s="1"/>
  <c r="P34" i="5"/>
  <c r="L32" i="6" s="1"/>
  <c r="P18" i="5"/>
  <c r="P59" i="5"/>
  <c r="L57" i="6" s="1"/>
  <c r="P69" i="5"/>
  <c r="L67" i="6" s="1"/>
  <c r="P81" i="5"/>
  <c r="L79" i="6" s="1"/>
  <c r="P49" i="5"/>
  <c r="L47" i="6" s="1"/>
  <c r="P19" i="5"/>
  <c r="L17" i="6" s="1"/>
  <c r="P51" i="5"/>
  <c r="L49" i="6" s="1"/>
  <c r="P83" i="5"/>
  <c r="L81" i="6" s="1"/>
  <c r="P11" i="5"/>
  <c r="L9" i="6" s="1"/>
  <c r="P43" i="5"/>
  <c r="L41" i="6" s="1"/>
  <c r="P53" i="5"/>
  <c r="L51" i="6" s="1"/>
  <c r="P75" i="5"/>
  <c r="L73" i="6" s="1"/>
  <c r="P85" i="5"/>
  <c r="L83" i="6" s="1"/>
  <c r="W66" i="3"/>
  <c r="W23" i="3"/>
  <c r="W15" i="3"/>
  <c r="W22" i="3"/>
  <c r="W14" i="3"/>
  <c r="W69" i="3"/>
  <c r="W13" i="3"/>
  <c r="W11" i="3"/>
  <c r="W12" i="3"/>
  <c r="W40" i="3"/>
  <c r="W24" i="3"/>
  <c r="W20" i="3"/>
  <c r="W29" i="3"/>
  <c r="W31" i="3"/>
  <c r="W46" i="3"/>
  <c r="W37" i="3"/>
  <c r="W19" i="3"/>
  <c r="W7" i="3"/>
  <c r="W5" i="3"/>
  <c r="W35" i="3"/>
  <c r="W25" i="3"/>
  <c r="W6" i="3"/>
  <c r="W4" i="3"/>
  <c r="W52" i="3"/>
  <c r="W41" i="3"/>
  <c r="W82" i="3"/>
  <c r="W32" i="3"/>
  <c r="W80" i="3"/>
  <c r="W58" i="3"/>
  <c r="W47" i="3"/>
  <c r="W42" i="3"/>
  <c r="W34" i="3"/>
  <c r="W21" i="3"/>
  <c r="W43" i="3"/>
  <c r="W38" i="3"/>
  <c r="W30" i="3"/>
  <c r="W76" i="3"/>
  <c r="W65" i="3"/>
  <c r="W10" i="3"/>
  <c r="W64" i="3"/>
  <c r="W8" i="3"/>
  <c r="W54" i="3"/>
  <c r="W26" i="3"/>
  <c r="W36" i="3"/>
  <c r="W79" i="3"/>
  <c r="W83" i="3"/>
  <c r="W28" i="3"/>
  <c r="W27" i="3"/>
  <c r="W74" i="3"/>
  <c r="W68" i="3"/>
  <c r="W60" i="3"/>
  <c r="W33" i="3"/>
  <c r="W48" i="3"/>
  <c r="W17" i="3"/>
  <c r="W84" i="3"/>
  <c r="W45" i="3"/>
  <c r="W16" i="3"/>
  <c r="W56" i="3"/>
  <c r="W39" i="3"/>
  <c r="W72" i="3"/>
  <c r="W62" i="3"/>
  <c r="W51" i="3"/>
  <c r="W70" i="3"/>
  <c r="W67" i="3"/>
  <c r="W57" i="3"/>
  <c r="W55" i="3"/>
  <c r="W49" i="3"/>
  <c r="W44" i="3"/>
  <c r="W78" i="3"/>
  <c r="W71" i="3"/>
  <c r="W61" i="3"/>
  <c r="W50" i="3"/>
  <c r="W59" i="3"/>
  <c r="W63" i="3"/>
  <c r="W9" i="3"/>
  <c r="W85" i="3"/>
  <c r="W75" i="3"/>
  <c r="W73" i="3"/>
  <c r="W77" i="3"/>
  <c r="W18" i="3"/>
  <c r="W53" i="3"/>
  <c r="W81" i="3"/>
  <c r="W3" i="3"/>
  <c r="B2" i="1"/>
  <c r="J2" i="1"/>
  <c r="H3" i="1"/>
  <c r="F4" i="1"/>
  <c r="D5" i="1"/>
  <c r="B6" i="1"/>
  <c r="J6" i="1"/>
  <c r="H7" i="1"/>
  <c r="F8" i="1"/>
  <c r="D9" i="1"/>
  <c r="B10" i="1"/>
  <c r="J10" i="1"/>
  <c r="H11" i="1"/>
  <c r="F12" i="1"/>
  <c r="D13" i="1"/>
  <c r="B14" i="1"/>
  <c r="J14" i="1"/>
  <c r="H15" i="1"/>
  <c r="F16" i="1"/>
  <c r="D17" i="1"/>
  <c r="B18" i="1"/>
  <c r="J18" i="1"/>
  <c r="E2" i="1"/>
  <c r="C3" i="1"/>
  <c r="K3" i="1"/>
  <c r="I4" i="1"/>
  <c r="G5" i="1"/>
  <c r="E6" i="1"/>
  <c r="C7" i="1"/>
  <c r="K7" i="1"/>
  <c r="I8" i="1"/>
  <c r="G9" i="1"/>
  <c r="E10" i="1"/>
  <c r="C11" i="1"/>
  <c r="K11" i="1"/>
  <c r="I12" i="1"/>
  <c r="G13" i="1"/>
  <c r="E14" i="1"/>
  <c r="C15" i="1"/>
  <c r="K15" i="1"/>
  <c r="I16" i="1"/>
  <c r="G17" i="1"/>
  <c r="E18" i="1"/>
  <c r="C19" i="1"/>
  <c r="K19" i="1"/>
  <c r="I20" i="1"/>
  <c r="G21" i="1"/>
  <c r="E22" i="1"/>
  <c r="C23" i="1"/>
  <c r="K23" i="1"/>
  <c r="I24" i="1"/>
  <c r="G25" i="1"/>
  <c r="E26" i="1"/>
  <c r="C27" i="1"/>
  <c r="K27" i="1"/>
  <c r="I28" i="1"/>
  <c r="G29" i="1"/>
  <c r="E30" i="1"/>
  <c r="C31" i="1"/>
  <c r="K31" i="1"/>
  <c r="I32" i="1"/>
  <c r="G33" i="1"/>
  <c r="E34" i="1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I68" i="1"/>
  <c r="G69" i="1"/>
  <c r="E70" i="1"/>
  <c r="C71" i="1"/>
  <c r="K71" i="1"/>
  <c r="I72" i="1"/>
  <c r="G73" i="1"/>
  <c r="E74" i="1"/>
  <c r="C75" i="1"/>
  <c r="K75" i="1"/>
  <c r="I76" i="1"/>
  <c r="G77" i="1"/>
  <c r="E78" i="1"/>
  <c r="C79" i="1"/>
  <c r="K79" i="1"/>
  <c r="I80" i="1"/>
  <c r="G81" i="1"/>
  <c r="E82" i="1"/>
  <c r="C83" i="1"/>
  <c r="K83" i="1"/>
  <c r="I84" i="1"/>
  <c r="G85" i="1"/>
  <c r="E86" i="1"/>
  <c r="C87" i="1"/>
  <c r="K87" i="1"/>
  <c r="I88" i="1"/>
  <c r="G89" i="1"/>
  <c r="E90" i="1"/>
  <c r="C91" i="1"/>
  <c r="K91" i="1"/>
  <c r="I92" i="1"/>
  <c r="G93" i="1"/>
  <c r="E94" i="1"/>
  <c r="C95" i="1"/>
  <c r="K95" i="1"/>
  <c r="I96" i="1"/>
  <c r="G97" i="1"/>
  <c r="E98" i="1"/>
  <c r="C99" i="1"/>
  <c r="K99" i="1"/>
  <c r="I100" i="1"/>
  <c r="G101" i="1"/>
  <c r="E102" i="1"/>
  <c r="C103" i="1"/>
  <c r="C2" i="1"/>
  <c r="D3" i="1"/>
  <c r="D4" i="1"/>
  <c r="E5" i="1"/>
  <c r="F6" i="1"/>
  <c r="F7" i="1"/>
  <c r="G8" i="1"/>
  <c r="H9" i="1"/>
  <c r="H10" i="1"/>
  <c r="I11" i="1"/>
  <c r="J12" i="1"/>
  <c r="J13" i="1"/>
  <c r="K14" i="1"/>
  <c r="B16" i="1"/>
  <c r="B17" i="1"/>
  <c r="C18" i="1"/>
  <c r="D19" i="1"/>
  <c r="C20" i="1"/>
  <c r="B21" i="1"/>
  <c r="K21" i="1"/>
  <c r="J22" i="1"/>
  <c r="I23" i="1"/>
  <c r="H24" i="1"/>
  <c r="H25" i="1"/>
  <c r="G26" i="1"/>
  <c r="F27" i="1"/>
  <c r="E28" i="1"/>
  <c r="D29" i="1"/>
  <c r="C30" i="1"/>
  <c r="B31" i="1"/>
  <c r="B32" i="1"/>
  <c r="K32" i="1"/>
  <c r="J33" i="1"/>
  <c r="I34" i="1"/>
  <c r="H35" i="1"/>
  <c r="G36" i="1"/>
  <c r="F37" i="1"/>
  <c r="F38" i="1"/>
  <c r="E39" i="1"/>
  <c r="D40" i="1"/>
  <c r="C41" i="1"/>
  <c r="B42" i="1"/>
  <c r="K42" i="1"/>
  <c r="J43" i="1"/>
  <c r="J44" i="1"/>
  <c r="I45" i="1"/>
  <c r="H46" i="1"/>
  <c r="G47" i="1"/>
  <c r="F48" i="1"/>
  <c r="E49" i="1"/>
  <c r="D50" i="1"/>
  <c r="D51" i="1"/>
  <c r="C52" i="1"/>
  <c r="B53" i="1"/>
  <c r="K53" i="1"/>
  <c r="J54" i="1"/>
  <c r="I55" i="1"/>
  <c r="H56" i="1"/>
  <c r="H57" i="1"/>
  <c r="G58" i="1"/>
  <c r="F59" i="1"/>
  <c r="E60" i="1"/>
  <c r="D61" i="1"/>
  <c r="C62" i="1"/>
  <c r="B63" i="1"/>
  <c r="B64" i="1"/>
  <c r="K64" i="1"/>
  <c r="J65" i="1"/>
  <c r="I66" i="1"/>
  <c r="H67" i="1"/>
  <c r="G68" i="1"/>
  <c r="F69" i="1"/>
  <c r="F70" i="1"/>
  <c r="E71" i="1"/>
  <c r="D72" i="1"/>
  <c r="C73" i="1"/>
  <c r="B74" i="1"/>
  <c r="K74" i="1"/>
  <c r="J75" i="1"/>
  <c r="J76" i="1"/>
  <c r="I77" i="1"/>
  <c r="H78" i="1"/>
  <c r="G79" i="1"/>
  <c r="F80" i="1"/>
  <c r="E81" i="1"/>
  <c r="D82" i="1"/>
  <c r="D83" i="1"/>
  <c r="C84" i="1"/>
  <c r="B85" i="1"/>
  <c r="K85" i="1"/>
  <c r="J86" i="1"/>
  <c r="I87" i="1"/>
  <c r="H88" i="1"/>
  <c r="H89" i="1"/>
  <c r="G90" i="1"/>
  <c r="F91" i="1"/>
  <c r="E92" i="1"/>
  <c r="D93" i="1"/>
  <c r="C94" i="1"/>
  <c r="B95" i="1"/>
  <c r="B96" i="1"/>
  <c r="K96" i="1"/>
  <c r="J97" i="1"/>
  <c r="I98" i="1"/>
  <c r="H99" i="1"/>
  <c r="G100" i="1"/>
  <c r="F101" i="1"/>
  <c r="F102" i="1"/>
  <c r="E103" i="1"/>
  <c r="C104" i="1"/>
  <c r="K104" i="1"/>
  <c r="I105" i="1"/>
  <c r="G106" i="1"/>
  <c r="E107" i="1"/>
  <c r="C108" i="1"/>
  <c r="K108" i="1"/>
  <c r="I109" i="1"/>
  <c r="G110" i="1"/>
  <c r="E111" i="1"/>
  <c r="C112" i="1"/>
  <c r="K112" i="1"/>
  <c r="I113" i="1"/>
  <c r="G114" i="1"/>
  <c r="E115" i="1"/>
  <c r="C116" i="1"/>
  <c r="K116" i="1"/>
  <c r="I117" i="1"/>
  <c r="D2" i="1"/>
  <c r="E3" i="1"/>
  <c r="E4" i="1"/>
  <c r="F5" i="1"/>
  <c r="G6" i="1"/>
  <c r="G7" i="1"/>
  <c r="H8" i="1"/>
  <c r="I9" i="1"/>
  <c r="I10" i="1"/>
  <c r="J11" i="1"/>
  <c r="K12" i="1"/>
  <c r="K13" i="1"/>
  <c r="B15" i="1"/>
  <c r="C16" i="1"/>
  <c r="C17" i="1"/>
  <c r="D18" i="1"/>
  <c r="E19" i="1"/>
  <c r="D20" i="1"/>
  <c r="C21" i="1"/>
  <c r="B22" i="1"/>
  <c r="K22" i="1"/>
  <c r="J23" i="1"/>
  <c r="J24" i="1"/>
  <c r="I25" i="1"/>
  <c r="H26" i="1"/>
  <c r="G27" i="1"/>
  <c r="F28" i="1"/>
  <c r="E29" i="1"/>
  <c r="D30" i="1"/>
  <c r="D31" i="1"/>
  <c r="C32" i="1"/>
  <c r="B33" i="1"/>
  <c r="K33" i="1"/>
  <c r="J34" i="1"/>
  <c r="I35" i="1"/>
  <c r="H36" i="1"/>
  <c r="H37" i="1"/>
  <c r="G38" i="1"/>
  <c r="F39" i="1"/>
  <c r="E40" i="1"/>
  <c r="D41" i="1"/>
  <c r="C42" i="1"/>
  <c r="B43" i="1"/>
  <c r="B44" i="1"/>
  <c r="K44" i="1"/>
  <c r="J45" i="1"/>
  <c r="I46" i="1"/>
  <c r="H47" i="1"/>
  <c r="G48" i="1"/>
  <c r="F49" i="1"/>
  <c r="F50" i="1"/>
  <c r="E51" i="1"/>
  <c r="D52" i="1"/>
  <c r="C53" i="1"/>
  <c r="B54" i="1"/>
  <c r="K54" i="1"/>
  <c r="J55" i="1"/>
  <c r="J56" i="1"/>
  <c r="I57" i="1"/>
  <c r="H58" i="1"/>
  <c r="G59" i="1"/>
  <c r="F60" i="1"/>
  <c r="E61" i="1"/>
  <c r="D62" i="1"/>
  <c r="D63" i="1"/>
  <c r="C64" i="1"/>
  <c r="B65" i="1"/>
  <c r="K65" i="1"/>
  <c r="J66" i="1"/>
  <c r="I67" i="1"/>
  <c r="H68" i="1"/>
  <c r="H69" i="1"/>
  <c r="G70" i="1"/>
  <c r="F71" i="1"/>
  <c r="E72" i="1"/>
  <c r="D73" i="1"/>
  <c r="C74" i="1"/>
  <c r="B75" i="1"/>
  <c r="B76" i="1"/>
  <c r="K76" i="1"/>
  <c r="J77" i="1"/>
  <c r="I78" i="1"/>
  <c r="H79" i="1"/>
  <c r="G80" i="1"/>
  <c r="F81" i="1"/>
  <c r="F82" i="1"/>
  <c r="E83" i="1"/>
  <c r="D84" i="1"/>
  <c r="C85" i="1"/>
  <c r="B86" i="1"/>
  <c r="K86" i="1"/>
  <c r="J87" i="1"/>
  <c r="J88" i="1"/>
  <c r="I89" i="1"/>
  <c r="H90" i="1"/>
  <c r="G91" i="1"/>
  <c r="F92" i="1"/>
  <c r="E93" i="1"/>
  <c r="D94" i="1"/>
  <c r="D95" i="1"/>
  <c r="C96" i="1"/>
  <c r="B97" i="1"/>
  <c r="K97" i="1"/>
  <c r="J98" i="1"/>
  <c r="I99" i="1"/>
  <c r="H100" i="1"/>
  <c r="H101" i="1"/>
  <c r="G102" i="1"/>
  <c r="F103" i="1"/>
  <c r="D104" i="1"/>
  <c r="B105" i="1"/>
  <c r="J105" i="1"/>
  <c r="H106" i="1"/>
  <c r="F107" i="1"/>
  <c r="D108" i="1"/>
  <c r="B109" i="1"/>
  <c r="J109" i="1"/>
  <c r="H110" i="1"/>
  <c r="F111" i="1"/>
  <c r="D112" i="1"/>
  <c r="B113" i="1"/>
  <c r="J113" i="1"/>
  <c r="H114" i="1"/>
  <c r="F115" i="1"/>
  <c r="D116" i="1"/>
  <c r="B117" i="1"/>
  <c r="J117" i="1"/>
  <c r="F2" i="1"/>
  <c r="I3" i="1"/>
  <c r="B5" i="1"/>
  <c r="H6" i="1"/>
  <c r="B8" i="1"/>
  <c r="E9" i="1"/>
  <c r="K10" i="1"/>
  <c r="D12" i="1"/>
  <c r="H13" i="1"/>
  <c r="D15" i="1"/>
  <c r="G16" i="1"/>
  <c r="J17" i="1"/>
  <c r="F19" i="1"/>
  <c r="G20" i="1"/>
  <c r="I21" i="1"/>
  <c r="B23" i="1"/>
  <c r="D24" i="1"/>
  <c r="E25" i="1"/>
  <c r="I26" i="1"/>
  <c r="J27" i="1"/>
  <c r="B29" i="1"/>
  <c r="F30" i="1"/>
  <c r="G31" i="1"/>
  <c r="H32" i="1"/>
  <c r="B34" i="1"/>
  <c r="D35" i="1"/>
  <c r="E36" i="1"/>
  <c r="I37" i="1"/>
  <c r="J38" i="1"/>
  <c r="B40" i="1"/>
  <c r="E41" i="1"/>
  <c r="G42" i="1"/>
  <c r="H43" i="1"/>
  <c r="B45" i="1"/>
  <c r="C46" i="1"/>
  <c r="E47" i="1"/>
  <c r="H48" i="1"/>
  <c r="J49" i="1"/>
  <c r="K50" i="1"/>
  <c r="E52" i="1"/>
  <c r="F53" i="1"/>
  <c r="H54" i="1"/>
  <c r="B56" i="1"/>
  <c r="C57" i="1"/>
  <c r="D58" i="1"/>
  <c r="H59" i="1"/>
  <c r="J60" i="1"/>
  <c r="K61" i="1"/>
  <c r="E63" i="1"/>
  <c r="F64" i="1"/>
  <c r="H65" i="1"/>
  <c r="K66" i="1"/>
  <c r="C68" i="1"/>
  <c r="D69" i="1"/>
  <c r="H70" i="1"/>
  <c r="I71" i="1"/>
  <c r="K72" i="1"/>
  <c r="D74" i="1"/>
  <c r="F75" i="1"/>
  <c r="G76" i="1"/>
  <c r="K77" i="1"/>
  <c r="B79" i="1"/>
  <c r="D80" i="1"/>
  <c r="H81" i="1"/>
  <c r="I82" i="1"/>
  <c r="J83" i="1"/>
  <c r="D85" i="1"/>
  <c r="F86" i="1"/>
  <c r="G87" i="1"/>
  <c r="K88" i="1"/>
  <c r="B90" i="1"/>
  <c r="D91" i="1"/>
  <c r="G92" i="1"/>
  <c r="I93" i="1"/>
  <c r="J94" i="1"/>
  <c r="D96" i="1"/>
  <c r="E97" i="1"/>
  <c r="G98" i="1"/>
  <c r="J99" i="1"/>
  <c r="B101" i="1"/>
  <c r="C102" i="1"/>
  <c r="G103" i="1"/>
  <c r="G104" i="1"/>
  <c r="G105" i="1"/>
  <c r="I106" i="1"/>
  <c r="I107" i="1"/>
  <c r="I108" i="1"/>
  <c r="K109" i="1"/>
  <c r="K110" i="1"/>
  <c r="K111" i="1"/>
  <c r="C113" i="1"/>
  <c r="C114" i="1"/>
  <c r="C115" i="1"/>
  <c r="E116" i="1"/>
  <c r="E117" i="1"/>
  <c r="E118" i="1"/>
  <c r="C119" i="1"/>
  <c r="K119" i="1"/>
  <c r="I120" i="1"/>
  <c r="G121" i="1"/>
  <c r="E122" i="1"/>
  <c r="C123" i="1"/>
  <c r="K123" i="1"/>
  <c r="I124" i="1"/>
  <c r="G125" i="1"/>
  <c r="E126" i="1"/>
  <c r="C127" i="1"/>
  <c r="K127" i="1"/>
  <c r="I128" i="1"/>
  <c r="G129" i="1"/>
  <c r="E130" i="1"/>
  <c r="C131" i="1"/>
  <c r="K131" i="1"/>
  <c r="I132" i="1"/>
  <c r="G133" i="1"/>
  <c r="E134" i="1"/>
  <c r="C135" i="1"/>
  <c r="K135" i="1"/>
  <c r="I136" i="1"/>
  <c r="G137" i="1"/>
  <c r="E138" i="1"/>
  <c r="C139" i="1"/>
  <c r="K139" i="1"/>
  <c r="I140" i="1"/>
  <c r="G141" i="1"/>
  <c r="E142" i="1"/>
  <c r="C143" i="1"/>
  <c r="G2" i="1"/>
  <c r="J3" i="1"/>
  <c r="C5" i="1"/>
  <c r="I6" i="1"/>
  <c r="C8" i="1"/>
  <c r="F9" i="1"/>
  <c r="B11" i="1"/>
  <c r="E12" i="1"/>
  <c r="I13" i="1"/>
  <c r="E15" i="1"/>
  <c r="H16" i="1"/>
  <c r="K17" i="1"/>
  <c r="G19" i="1"/>
  <c r="H20" i="1"/>
  <c r="J21" i="1"/>
  <c r="D23" i="1"/>
  <c r="E24" i="1"/>
  <c r="F25" i="1"/>
  <c r="J26" i="1"/>
  <c r="B28" i="1"/>
  <c r="C29" i="1"/>
  <c r="G30" i="1"/>
  <c r="H31" i="1"/>
  <c r="J32" i="1"/>
  <c r="C34" i="1"/>
  <c r="E35" i="1"/>
  <c r="F36" i="1"/>
  <c r="J37" i="1"/>
  <c r="K38" i="1"/>
  <c r="C40" i="1"/>
  <c r="F41" i="1"/>
  <c r="H42" i="1"/>
  <c r="I43" i="1"/>
  <c r="C45" i="1"/>
  <c r="D46" i="1"/>
  <c r="F47" i="1"/>
  <c r="J48" i="1"/>
  <c r="K49" i="1"/>
  <c r="B51" i="1"/>
  <c r="F52" i="1"/>
  <c r="H53" i="1"/>
  <c r="I54" i="1"/>
  <c r="C56" i="1"/>
  <c r="D57" i="1"/>
  <c r="F58" i="1"/>
  <c r="I59" i="1"/>
  <c r="K60" i="1"/>
  <c r="B62" i="1"/>
  <c r="F63" i="1"/>
  <c r="G64" i="1"/>
  <c r="I65" i="1"/>
  <c r="B67" i="1"/>
  <c r="D68" i="1"/>
  <c r="E69" i="1"/>
  <c r="I70" i="1"/>
  <c r="J71" i="1"/>
  <c r="B73" i="1"/>
  <c r="F74" i="1"/>
  <c r="G75" i="1"/>
  <c r="H76" i="1"/>
  <c r="B78" i="1"/>
  <c r="D79" i="1"/>
  <c r="E80" i="1"/>
  <c r="I81" i="1"/>
  <c r="J82" i="1"/>
  <c r="B84" i="1"/>
  <c r="E85" i="1"/>
  <c r="G86" i="1"/>
  <c r="H87" i="1"/>
  <c r="B89" i="1"/>
  <c r="C90" i="1"/>
  <c r="E91" i="1"/>
  <c r="H92" i="1"/>
  <c r="J93" i="1"/>
  <c r="K94" i="1"/>
  <c r="E96" i="1"/>
  <c r="F97" i="1"/>
  <c r="H98" i="1"/>
  <c r="B100" i="1"/>
  <c r="C101" i="1"/>
  <c r="D102" i="1"/>
  <c r="H103" i="1"/>
  <c r="H104" i="1"/>
  <c r="H105" i="1"/>
  <c r="J106" i="1"/>
  <c r="J107" i="1"/>
  <c r="J108" i="1"/>
  <c r="B110" i="1"/>
  <c r="B111" i="1"/>
  <c r="B112" i="1"/>
  <c r="D113" i="1"/>
  <c r="D114" i="1"/>
  <c r="D115" i="1"/>
  <c r="F116" i="1"/>
  <c r="F117" i="1"/>
  <c r="F118" i="1"/>
  <c r="D119" i="1"/>
  <c r="B120" i="1"/>
  <c r="J120" i="1"/>
  <c r="H121" i="1"/>
  <c r="F122" i="1"/>
  <c r="D123" i="1"/>
  <c r="B124" i="1"/>
  <c r="J124" i="1"/>
  <c r="H125" i="1"/>
  <c r="F126" i="1"/>
  <c r="D127" i="1"/>
  <c r="B128" i="1"/>
  <c r="J128" i="1"/>
  <c r="H129" i="1"/>
  <c r="F130" i="1"/>
  <c r="D131" i="1"/>
  <c r="B132" i="1"/>
  <c r="J132" i="1"/>
  <c r="H133" i="1"/>
  <c r="F134" i="1"/>
  <c r="D135" i="1"/>
  <c r="B136" i="1"/>
  <c r="J136" i="1"/>
  <c r="H137" i="1"/>
  <c r="F138" i="1"/>
  <c r="D139" i="1"/>
  <c r="B140" i="1"/>
  <c r="J140" i="1"/>
  <c r="H141" i="1"/>
  <c r="F142" i="1"/>
  <c r="D143" i="1"/>
  <c r="B144" i="1"/>
  <c r="J144" i="1"/>
  <c r="H145" i="1"/>
  <c r="F146" i="1"/>
  <c r="D147" i="1"/>
  <c r="B148" i="1"/>
  <c r="J148" i="1"/>
  <c r="H2" i="1"/>
  <c r="G4" i="1"/>
  <c r="C6" i="1"/>
  <c r="D8" i="1"/>
  <c r="C10" i="1"/>
  <c r="B12" i="1"/>
  <c r="C14" i="1"/>
  <c r="I15" i="1"/>
  <c r="H17" i="1"/>
  <c r="H19" i="1"/>
  <c r="D21" i="1"/>
  <c r="H22" i="1"/>
  <c r="F24" i="1"/>
  <c r="B26" i="1"/>
  <c r="H27" i="1"/>
  <c r="F29" i="1"/>
  <c r="J30" i="1"/>
  <c r="F32" i="1"/>
  <c r="D34" i="1"/>
  <c r="J35" i="1"/>
  <c r="D37" i="1"/>
  <c r="B39" i="1"/>
  <c r="H40" i="1"/>
  <c r="D42" i="1"/>
  <c r="C44" i="1"/>
  <c r="F45" i="1"/>
  <c r="B47" i="1"/>
  <c r="K48" i="1"/>
  <c r="G50" i="1"/>
  <c r="J51" i="1"/>
  <c r="I53" i="1"/>
  <c r="E55" i="1"/>
  <c r="K56" i="1"/>
  <c r="I58" i="1"/>
  <c r="C60" i="1"/>
  <c r="I61" i="1"/>
  <c r="G63" i="1"/>
  <c r="C65" i="1"/>
  <c r="G66" i="1"/>
  <c r="E68" i="1"/>
  <c r="K69" i="1"/>
  <c r="G71" i="1"/>
  <c r="E73" i="1"/>
  <c r="I74" i="1"/>
  <c r="E76" i="1"/>
  <c r="C78" i="1"/>
  <c r="I79" i="1"/>
  <c r="C81" i="1"/>
  <c r="K82" i="1"/>
  <c r="G84" i="1"/>
  <c r="C86" i="1"/>
  <c r="B88" i="1"/>
  <c r="E89" i="1"/>
  <c r="K90" i="1"/>
  <c r="J92" i="1"/>
  <c r="F94" i="1"/>
  <c r="I95" i="1"/>
  <c r="H97" i="1"/>
  <c r="D99" i="1"/>
  <c r="J100" i="1"/>
  <c r="H102" i="1"/>
  <c r="K103" i="1"/>
  <c r="E105" i="1"/>
  <c r="K106" i="1"/>
  <c r="E108" i="1"/>
  <c r="G109" i="1"/>
  <c r="C111" i="1"/>
  <c r="G112" i="1"/>
  <c r="K113" i="1"/>
  <c r="G115" i="1"/>
  <c r="I116" i="1"/>
  <c r="C118" i="1"/>
  <c r="E119" i="1"/>
  <c r="E120" i="1"/>
  <c r="E121" i="1"/>
  <c r="G122" i="1"/>
  <c r="G123" i="1"/>
  <c r="G124" i="1"/>
  <c r="I125" i="1"/>
  <c r="I126" i="1"/>
  <c r="I127" i="1"/>
  <c r="K128" i="1"/>
  <c r="K129" i="1"/>
  <c r="K130" i="1"/>
  <c r="C132" i="1"/>
  <c r="C133" i="1"/>
  <c r="C134" i="1"/>
  <c r="E135" i="1"/>
  <c r="E136" i="1"/>
  <c r="E137" i="1"/>
  <c r="G138" i="1"/>
  <c r="G139" i="1"/>
  <c r="G140" i="1"/>
  <c r="I141" i="1"/>
  <c r="I142" i="1"/>
  <c r="I143" i="1"/>
  <c r="H144" i="1"/>
  <c r="G145" i="1"/>
  <c r="G146" i="1"/>
  <c r="F147" i="1"/>
  <c r="E148" i="1"/>
  <c r="D149" i="1"/>
  <c r="B150" i="1"/>
  <c r="J150" i="1"/>
  <c r="H151" i="1"/>
  <c r="F152" i="1"/>
  <c r="D153" i="1"/>
  <c r="B154" i="1"/>
  <c r="J154" i="1"/>
  <c r="H155" i="1"/>
  <c r="F156" i="1"/>
  <c r="D157" i="1"/>
  <c r="B158" i="1"/>
  <c r="J158" i="1"/>
  <c r="H159" i="1"/>
  <c r="F160" i="1"/>
  <c r="D161" i="1"/>
  <c r="B162" i="1"/>
  <c r="J162" i="1"/>
  <c r="H163" i="1"/>
  <c r="F164" i="1"/>
  <c r="D165" i="1"/>
  <c r="B166" i="1"/>
  <c r="J166" i="1"/>
  <c r="H167" i="1"/>
  <c r="F168" i="1"/>
  <c r="D169" i="1"/>
  <c r="B170" i="1"/>
  <c r="J170" i="1"/>
  <c r="H171" i="1"/>
  <c r="F172" i="1"/>
  <c r="D173" i="1"/>
  <c r="B174" i="1"/>
  <c r="J174" i="1"/>
  <c r="H175" i="1"/>
  <c r="F176" i="1"/>
  <c r="D177" i="1"/>
  <c r="B178" i="1"/>
  <c r="J178" i="1"/>
  <c r="H179" i="1"/>
  <c r="F180" i="1"/>
  <c r="D181" i="1"/>
  <c r="B182" i="1"/>
  <c r="J182" i="1"/>
  <c r="H183" i="1"/>
  <c r="F184" i="1"/>
  <c r="D185" i="1"/>
  <c r="B186" i="1"/>
  <c r="J186" i="1"/>
  <c r="H187" i="1"/>
  <c r="F188" i="1"/>
  <c r="D189" i="1"/>
  <c r="B190" i="1"/>
  <c r="J190" i="1"/>
  <c r="H191" i="1"/>
  <c r="F192" i="1"/>
  <c r="D193" i="1"/>
  <c r="B194" i="1"/>
  <c r="J194" i="1"/>
  <c r="H195" i="1"/>
  <c r="F196" i="1"/>
  <c r="D197" i="1"/>
  <c r="B198" i="1"/>
  <c r="J198" i="1"/>
  <c r="H199" i="1"/>
  <c r="F200" i="1"/>
  <c r="D201" i="1"/>
  <c r="B202" i="1"/>
  <c r="J202" i="1"/>
  <c r="H203" i="1"/>
  <c r="F204" i="1"/>
  <c r="D205" i="1"/>
  <c r="B206" i="1"/>
  <c r="J206" i="1"/>
  <c r="H207" i="1"/>
  <c r="F208" i="1"/>
  <c r="D209" i="1"/>
  <c r="B210" i="1"/>
  <c r="J210" i="1"/>
  <c r="H211" i="1"/>
  <c r="F212" i="1"/>
  <c r="D213" i="1"/>
  <c r="B214" i="1"/>
  <c r="J214" i="1"/>
  <c r="H215" i="1"/>
  <c r="F216" i="1"/>
  <c r="D217" i="1"/>
  <c r="B218" i="1"/>
  <c r="J218" i="1"/>
  <c r="H219" i="1"/>
  <c r="F220" i="1"/>
  <c r="D221" i="1"/>
  <c r="B222" i="1"/>
  <c r="J222" i="1"/>
  <c r="H223" i="1"/>
  <c r="F224" i="1"/>
  <c r="D225" i="1"/>
  <c r="B226" i="1"/>
  <c r="J226" i="1"/>
  <c r="H227" i="1"/>
  <c r="F228" i="1"/>
  <c r="D229" i="1"/>
  <c r="B230" i="1"/>
  <c r="J230" i="1"/>
  <c r="H231" i="1"/>
  <c r="F232" i="1"/>
  <c r="K230" i="1"/>
  <c r="G232" i="1"/>
  <c r="J4" i="1"/>
  <c r="K6" i="1"/>
  <c r="F10" i="1"/>
  <c r="F14" i="1"/>
  <c r="F18" i="1"/>
  <c r="F21" i="1"/>
  <c r="K24" i="1"/>
  <c r="C28" i="1"/>
  <c r="E31" i="1"/>
  <c r="G34" i="1"/>
  <c r="K37" i="1"/>
  <c r="K40" i="1"/>
  <c r="E44" i="1"/>
  <c r="I47" i="1"/>
  <c r="I50" i="1"/>
  <c r="C54" i="1"/>
  <c r="E57" i="1"/>
  <c r="K58" i="1"/>
  <c r="F62" i="1"/>
  <c r="E65" i="1"/>
  <c r="J68" i="1"/>
  <c r="B72" i="1"/>
  <c r="D75" i="1"/>
  <c r="F78" i="1"/>
  <c r="J81" i="1"/>
  <c r="J84" i="1"/>
  <c r="D88" i="1"/>
  <c r="H91" i="1"/>
  <c r="H94" i="1"/>
  <c r="B98" i="1"/>
  <c r="D101" i="1"/>
  <c r="E104" i="1"/>
  <c r="C107" i="1"/>
  <c r="C110" i="1"/>
  <c r="I112" i="1"/>
  <c r="I115" i="1"/>
  <c r="G118" i="1"/>
  <c r="G120" i="1"/>
  <c r="I122" i="1"/>
  <c r="K124" i="1"/>
  <c r="K126" i="1"/>
  <c r="C129" i="1"/>
  <c r="C130" i="1"/>
  <c r="E132" i="1"/>
  <c r="G134" i="1"/>
  <c r="G136" i="1"/>
  <c r="I138" i="1"/>
  <c r="I2" i="1"/>
  <c r="H4" i="1"/>
  <c r="D6" i="1"/>
  <c r="E8" i="1"/>
  <c r="D10" i="1"/>
  <c r="C12" i="1"/>
  <c r="D14" i="1"/>
  <c r="J15" i="1"/>
  <c r="I17" i="1"/>
  <c r="I19" i="1"/>
  <c r="E21" i="1"/>
  <c r="I22" i="1"/>
  <c r="G24" i="1"/>
  <c r="C26" i="1"/>
  <c r="I27" i="1"/>
  <c r="H29" i="1"/>
  <c r="K30" i="1"/>
  <c r="G32" i="1"/>
  <c r="F34" i="1"/>
  <c r="B36" i="1"/>
  <c r="E37" i="1"/>
  <c r="D39" i="1"/>
  <c r="J40" i="1"/>
  <c r="F42" i="1"/>
  <c r="D44" i="1"/>
  <c r="H45" i="1"/>
  <c r="D47" i="1"/>
  <c r="B49" i="1"/>
  <c r="H50" i="1"/>
  <c r="B52" i="1"/>
  <c r="J53" i="1"/>
  <c r="F55" i="1"/>
  <c r="B57" i="1"/>
  <c r="J58" i="1"/>
  <c r="D60" i="1"/>
  <c r="J61" i="1"/>
  <c r="H63" i="1"/>
  <c r="D65" i="1"/>
  <c r="H66" i="1"/>
  <c r="F68" i="1"/>
  <c r="B70" i="1"/>
  <c r="H71" i="1"/>
  <c r="F73" i="1"/>
  <c r="J74" i="1"/>
  <c r="F76" i="1"/>
  <c r="D78" i="1"/>
  <c r="J79" i="1"/>
  <c r="D81" i="1"/>
  <c r="B83" i="1"/>
  <c r="H84" i="1"/>
  <c r="D86" i="1"/>
  <c r="C88" i="1"/>
  <c r="F89" i="1"/>
  <c r="B91" i="1"/>
  <c r="K92" i="1"/>
  <c r="G94" i="1"/>
  <c r="J95" i="1"/>
  <c r="I97" i="1"/>
  <c r="E99" i="1"/>
  <c r="K100" i="1"/>
  <c r="I102" i="1"/>
  <c r="B104" i="1"/>
  <c r="F105" i="1"/>
  <c r="B107" i="1"/>
  <c r="F108" i="1"/>
  <c r="H109" i="1"/>
  <c r="D111" i="1"/>
  <c r="H112" i="1"/>
  <c r="B114" i="1"/>
  <c r="H115" i="1"/>
  <c r="J116" i="1"/>
  <c r="D118" i="1"/>
  <c r="F119" i="1"/>
  <c r="F120" i="1"/>
  <c r="F121" i="1"/>
  <c r="H122" i="1"/>
  <c r="H123" i="1"/>
  <c r="H124" i="1"/>
  <c r="J125" i="1"/>
  <c r="J126" i="1"/>
  <c r="J127" i="1"/>
  <c r="B129" i="1"/>
  <c r="B130" i="1"/>
  <c r="B131" i="1"/>
  <c r="D132" i="1"/>
  <c r="D133" i="1"/>
  <c r="D134" i="1"/>
  <c r="F135" i="1"/>
  <c r="F136" i="1"/>
  <c r="F137" i="1"/>
  <c r="H138" i="1"/>
  <c r="H139" i="1"/>
  <c r="H140" i="1"/>
  <c r="J141" i="1"/>
  <c r="J142" i="1"/>
  <c r="J143" i="1"/>
  <c r="I144" i="1"/>
  <c r="I145" i="1"/>
  <c r="H146" i="1"/>
  <c r="G147" i="1"/>
  <c r="F148" i="1"/>
  <c r="E149" i="1"/>
  <c r="C150" i="1"/>
  <c r="K150" i="1"/>
  <c r="I151" i="1"/>
  <c r="G152" i="1"/>
  <c r="E153" i="1"/>
  <c r="C154" i="1"/>
  <c r="K154" i="1"/>
  <c r="I155" i="1"/>
  <c r="G156" i="1"/>
  <c r="E157" i="1"/>
  <c r="C158" i="1"/>
  <c r="K158" i="1"/>
  <c r="I159" i="1"/>
  <c r="G160" i="1"/>
  <c r="E161" i="1"/>
  <c r="C162" i="1"/>
  <c r="K162" i="1"/>
  <c r="I163" i="1"/>
  <c r="G164" i="1"/>
  <c r="E165" i="1"/>
  <c r="C166" i="1"/>
  <c r="K166" i="1"/>
  <c r="I167" i="1"/>
  <c r="G168" i="1"/>
  <c r="E169" i="1"/>
  <c r="C170" i="1"/>
  <c r="K170" i="1"/>
  <c r="I171" i="1"/>
  <c r="G172" i="1"/>
  <c r="E173" i="1"/>
  <c r="C174" i="1"/>
  <c r="K174" i="1"/>
  <c r="I175" i="1"/>
  <c r="G176" i="1"/>
  <c r="E177" i="1"/>
  <c r="C178" i="1"/>
  <c r="K178" i="1"/>
  <c r="I179" i="1"/>
  <c r="G180" i="1"/>
  <c r="E181" i="1"/>
  <c r="C182" i="1"/>
  <c r="K182" i="1"/>
  <c r="I183" i="1"/>
  <c r="G184" i="1"/>
  <c r="E185" i="1"/>
  <c r="C186" i="1"/>
  <c r="K186" i="1"/>
  <c r="I187" i="1"/>
  <c r="G188" i="1"/>
  <c r="E189" i="1"/>
  <c r="C190" i="1"/>
  <c r="K190" i="1"/>
  <c r="I191" i="1"/>
  <c r="G192" i="1"/>
  <c r="E193" i="1"/>
  <c r="C194" i="1"/>
  <c r="K194" i="1"/>
  <c r="I195" i="1"/>
  <c r="G196" i="1"/>
  <c r="E197" i="1"/>
  <c r="C198" i="1"/>
  <c r="K198" i="1"/>
  <c r="I199" i="1"/>
  <c r="G200" i="1"/>
  <c r="E201" i="1"/>
  <c r="C202" i="1"/>
  <c r="K202" i="1"/>
  <c r="I203" i="1"/>
  <c r="G204" i="1"/>
  <c r="E205" i="1"/>
  <c r="C206" i="1"/>
  <c r="K206" i="1"/>
  <c r="I207" i="1"/>
  <c r="G208" i="1"/>
  <c r="E209" i="1"/>
  <c r="C210" i="1"/>
  <c r="K210" i="1"/>
  <c r="I211" i="1"/>
  <c r="G212" i="1"/>
  <c r="E213" i="1"/>
  <c r="C214" i="1"/>
  <c r="K214" i="1"/>
  <c r="I215" i="1"/>
  <c r="G216" i="1"/>
  <c r="E217" i="1"/>
  <c r="C218" i="1"/>
  <c r="K218" i="1"/>
  <c r="I219" i="1"/>
  <c r="G220" i="1"/>
  <c r="E221" i="1"/>
  <c r="C222" i="1"/>
  <c r="K222" i="1"/>
  <c r="I223" i="1"/>
  <c r="G224" i="1"/>
  <c r="E225" i="1"/>
  <c r="C226" i="1"/>
  <c r="K226" i="1"/>
  <c r="I227" i="1"/>
  <c r="G228" i="1"/>
  <c r="E229" i="1"/>
  <c r="C230" i="1"/>
  <c r="I231" i="1"/>
  <c r="K2" i="1"/>
  <c r="J8" i="1"/>
  <c r="G12" i="1"/>
  <c r="D16" i="1"/>
  <c r="J19" i="1"/>
  <c r="E23" i="1"/>
  <c r="D26" i="1"/>
  <c r="I29" i="1"/>
  <c r="C33" i="1"/>
  <c r="C36" i="1"/>
  <c r="G39" i="1"/>
  <c r="I42" i="1"/>
  <c r="K45" i="1"/>
  <c r="C49" i="1"/>
  <c r="G52" i="1"/>
  <c r="G55" i="1"/>
  <c r="G60" i="1"/>
  <c r="I63" i="1"/>
  <c r="D67" i="1"/>
  <c r="C70" i="1"/>
  <c r="H73" i="1"/>
  <c r="B77" i="1"/>
  <c r="B80" i="1"/>
  <c r="F83" i="1"/>
  <c r="H86" i="1"/>
  <c r="J89" i="1"/>
  <c r="B93" i="1"/>
  <c r="F96" i="1"/>
  <c r="F99" i="1"/>
  <c r="J102" i="1"/>
  <c r="K105" i="1"/>
  <c r="G108" i="1"/>
  <c r="G111" i="1"/>
  <c r="E114" i="1"/>
  <c r="C117" i="1"/>
  <c r="G119" i="1"/>
  <c r="I121" i="1"/>
  <c r="I123" i="1"/>
  <c r="K125" i="1"/>
  <c r="C128" i="1"/>
  <c r="E131" i="1"/>
  <c r="E133" i="1"/>
  <c r="G135" i="1"/>
  <c r="I137" i="1"/>
  <c r="I139" i="1"/>
  <c r="B3" i="1"/>
  <c r="K4" i="1"/>
  <c r="B7" i="1"/>
  <c r="K8" i="1"/>
  <c r="G10" i="1"/>
  <c r="H12" i="1"/>
  <c r="G14" i="1"/>
  <c r="E16" i="1"/>
  <c r="G18" i="1"/>
  <c r="B20" i="1"/>
  <c r="H21" i="1"/>
  <c r="F23" i="1"/>
  <c r="B25" i="1"/>
  <c r="F26" i="1"/>
  <c r="D28" i="1"/>
  <c r="J29" i="1"/>
  <c r="F31" i="1"/>
  <c r="D33" i="1"/>
  <c r="H34" i="1"/>
  <c r="D36" i="1"/>
  <c r="B38" i="1"/>
  <c r="H39" i="1"/>
  <c r="B41" i="1"/>
  <c r="J42" i="1"/>
  <c r="F44" i="1"/>
  <c r="B46" i="1"/>
  <c r="J47" i="1"/>
  <c r="D49" i="1"/>
  <c r="J50" i="1"/>
  <c r="H52" i="1"/>
  <c r="D54" i="1"/>
  <c r="H55" i="1"/>
  <c r="F57" i="1"/>
  <c r="B59" i="1"/>
  <c r="H60" i="1"/>
  <c r="G62" i="1"/>
  <c r="J63" i="1"/>
  <c r="F65" i="1"/>
  <c r="E67" i="1"/>
  <c r="K68" i="1"/>
  <c r="D70" i="1"/>
  <c r="C72" i="1"/>
  <c r="I73" i="1"/>
  <c r="E75" i="1"/>
  <c r="C77" i="1"/>
  <c r="G78" i="1"/>
  <c r="C80" i="1"/>
  <c r="K81" i="1"/>
  <c r="G83" i="1"/>
  <c r="K84" i="1"/>
  <c r="I86" i="1"/>
  <c r="E88" i="1"/>
  <c r="K89" i="1"/>
  <c r="I91" i="1"/>
  <c r="C93" i="1"/>
  <c r="I94" i="1"/>
  <c r="G96" i="1"/>
  <c r="C98" i="1"/>
  <c r="G99" i="1"/>
  <c r="E101" i="1"/>
  <c r="K102" i="1"/>
  <c r="F104" i="1"/>
  <c r="B106" i="1"/>
  <c r="D107" i="1"/>
  <c r="H108" i="1"/>
  <c r="D110" i="1"/>
  <c r="H111" i="1"/>
  <c r="J112" i="1"/>
  <c r="F114" i="1"/>
  <c r="J115" i="1"/>
  <c r="D117" i="1"/>
  <c r="H118" i="1"/>
  <c r="H119" i="1"/>
  <c r="H120" i="1"/>
  <c r="J121" i="1"/>
  <c r="J122" i="1"/>
  <c r="J123" i="1"/>
  <c r="B125" i="1"/>
  <c r="B126" i="1"/>
  <c r="B127" i="1"/>
  <c r="D128" i="1"/>
  <c r="D129" i="1"/>
  <c r="D130" i="1"/>
  <c r="F131" i="1"/>
  <c r="F132" i="1"/>
  <c r="F133" i="1"/>
  <c r="H134" i="1"/>
  <c r="H135" i="1"/>
  <c r="H136" i="1"/>
  <c r="J137" i="1"/>
  <c r="J138" i="1"/>
  <c r="J139" i="1"/>
  <c r="B141" i="1"/>
  <c r="B142" i="1"/>
  <c r="B143" i="1"/>
  <c r="C144" i="1"/>
  <c r="B145" i="1"/>
  <c r="K145" i="1"/>
  <c r="J146" i="1"/>
  <c r="I147" i="1"/>
  <c r="H148" i="1"/>
  <c r="G149" i="1"/>
  <c r="E150" i="1"/>
  <c r="C151" i="1"/>
  <c r="K151" i="1"/>
  <c r="I152" i="1"/>
  <c r="G153" i="1"/>
  <c r="E154" i="1"/>
  <c r="C155" i="1"/>
  <c r="K155" i="1"/>
  <c r="I156" i="1"/>
  <c r="G157" i="1"/>
  <c r="E158" i="1"/>
  <c r="C159" i="1"/>
  <c r="K159" i="1"/>
  <c r="I160" i="1"/>
  <c r="G161" i="1"/>
  <c r="E162" i="1"/>
  <c r="C163" i="1"/>
  <c r="K163" i="1"/>
  <c r="I164" i="1"/>
  <c r="G165" i="1"/>
  <c r="E166" i="1"/>
  <c r="C167" i="1"/>
  <c r="K167" i="1"/>
  <c r="I168" i="1"/>
  <c r="G169" i="1"/>
  <c r="E170" i="1"/>
  <c r="C171" i="1"/>
  <c r="K171" i="1"/>
  <c r="I172" i="1"/>
  <c r="G173" i="1"/>
  <c r="E174" i="1"/>
  <c r="C175" i="1"/>
  <c r="K175" i="1"/>
  <c r="I176" i="1"/>
  <c r="G177" i="1"/>
  <c r="E178" i="1"/>
  <c r="C179" i="1"/>
  <c r="K179" i="1"/>
  <c r="F3" i="1"/>
  <c r="D7" i="1"/>
  <c r="D11" i="1"/>
  <c r="H14" i="1"/>
  <c r="H18" i="1"/>
  <c r="C22" i="1"/>
  <c r="C25" i="1"/>
  <c r="G28" i="1"/>
  <c r="I31" i="1"/>
  <c r="K34" i="1"/>
  <c r="C38" i="1"/>
  <c r="H41" i="1"/>
  <c r="G44" i="1"/>
  <c r="B48" i="1"/>
  <c r="F51" i="1"/>
  <c r="F54" i="1"/>
  <c r="J57" i="1"/>
  <c r="B61" i="1"/>
  <c r="D64" i="1"/>
  <c r="F67" i="1"/>
  <c r="J70" i="1"/>
  <c r="J73" i="1"/>
  <c r="D77" i="1"/>
  <c r="H80" i="1"/>
  <c r="H83" i="1"/>
  <c r="B87" i="1"/>
  <c r="D90" i="1"/>
  <c r="F93" i="1"/>
  <c r="H96" i="1"/>
  <c r="C100" i="1"/>
  <c r="B103" i="1"/>
  <c r="C106" i="1"/>
  <c r="C109" i="1"/>
  <c r="I111" i="1"/>
  <c r="I114" i="1"/>
  <c r="G117" i="1"/>
  <c r="I119" i="1"/>
  <c r="K121" i="1"/>
  <c r="C124" i="1"/>
  <c r="C126" i="1"/>
  <c r="E128" i="1"/>
  <c r="G130" i="1"/>
  <c r="G132" i="1"/>
  <c r="I134" i="1"/>
  <c r="K136" i="1"/>
  <c r="K138" i="1"/>
  <c r="K140" i="1"/>
  <c r="G142" i="1"/>
  <c r="D144" i="1"/>
  <c r="F145" i="1"/>
  <c r="B147" i="1"/>
  <c r="G148" i="1"/>
  <c r="J149" i="1"/>
  <c r="D151" i="1"/>
  <c r="E152" i="1"/>
  <c r="I153" i="1"/>
  <c r="B155" i="1"/>
  <c r="D156" i="1"/>
  <c r="H157" i="1"/>
  <c r="I158" i="1"/>
  <c r="C160" i="1"/>
  <c r="F161" i="1"/>
  <c r="H162" i="1"/>
  <c r="B164" i="1"/>
  <c r="C165" i="1"/>
  <c r="G166" i="1"/>
  <c r="J167" i="1"/>
  <c r="B169" i="1"/>
  <c r="F170" i="1"/>
  <c r="G171" i="1"/>
  <c r="K172" i="1"/>
  <c r="D174" i="1"/>
  <c r="F175" i="1"/>
  <c r="J176" i="1"/>
  <c r="K177" i="1"/>
  <c r="E179" i="1"/>
  <c r="H180" i="1"/>
  <c r="H181" i="1"/>
  <c r="H182" i="1"/>
  <c r="J183" i="1"/>
  <c r="J184" i="1"/>
  <c r="J185" i="1"/>
  <c r="B187" i="1"/>
  <c r="B188" i="1"/>
  <c r="B189" i="1"/>
  <c r="D190" i="1"/>
  <c r="D191" i="1"/>
  <c r="D192" i="1"/>
  <c r="F193" i="1"/>
  <c r="F194" i="1"/>
  <c r="F195" i="1"/>
  <c r="H197" i="1"/>
  <c r="H198" i="1"/>
  <c r="J199" i="1"/>
  <c r="J200" i="1"/>
  <c r="J201" i="1"/>
  <c r="B203" i="1"/>
  <c r="B205" i="1"/>
  <c r="G3" i="1"/>
  <c r="E7" i="1"/>
  <c r="E11" i="1"/>
  <c r="I14" i="1"/>
  <c r="I18" i="1"/>
  <c r="D22" i="1"/>
  <c r="D25" i="1"/>
  <c r="H28" i="1"/>
  <c r="J31" i="1"/>
  <c r="B35" i="1"/>
  <c r="D38" i="1"/>
  <c r="I41" i="1"/>
  <c r="H44" i="1"/>
  <c r="C48" i="1"/>
  <c r="G51" i="1"/>
  <c r="G54" i="1"/>
  <c r="K57" i="1"/>
  <c r="C61" i="1"/>
  <c r="E64" i="1"/>
  <c r="G67" i="1"/>
  <c r="K70" i="1"/>
  <c r="K73" i="1"/>
  <c r="E77" i="1"/>
  <c r="J80" i="1"/>
  <c r="I83" i="1"/>
  <c r="D87" i="1"/>
  <c r="F90" i="1"/>
  <c r="H93" i="1"/>
  <c r="J96" i="1"/>
  <c r="D100" i="1"/>
  <c r="D103" i="1"/>
  <c r="D106" i="1"/>
  <c r="D109" i="1"/>
  <c r="J111" i="1"/>
  <c r="J114" i="1"/>
  <c r="H117" i="1"/>
  <c r="J119" i="1"/>
  <c r="B122" i="1"/>
  <c r="D124" i="1"/>
  <c r="D126" i="1"/>
  <c r="F128" i="1"/>
  <c r="H130" i="1"/>
  <c r="H132" i="1"/>
  <c r="J134" i="1"/>
  <c r="B137" i="1"/>
  <c r="B139" i="1"/>
  <c r="C141" i="1"/>
  <c r="H142" i="1"/>
  <c r="E144" i="1"/>
  <c r="J145" i="1"/>
  <c r="C147" i="1"/>
  <c r="I148" i="1"/>
  <c r="K149" i="1"/>
  <c r="E151" i="1"/>
  <c r="H152" i="1"/>
  <c r="J153" i="1"/>
  <c r="D155" i="1"/>
  <c r="E156" i="1"/>
  <c r="I157" i="1"/>
  <c r="B159" i="1"/>
  <c r="D160" i="1"/>
  <c r="H161" i="1"/>
  <c r="I162" i="1"/>
  <c r="C164" i="1"/>
  <c r="F165" i="1"/>
  <c r="H166" i="1"/>
  <c r="B168" i="1"/>
  <c r="C169" i="1"/>
  <c r="G170" i="1"/>
  <c r="J171" i="1"/>
  <c r="B173" i="1"/>
  <c r="F174" i="1"/>
  <c r="G175" i="1"/>
  <c r="K176" i="1"/>
  <c r="D178" i="1"/>
  <c r="F179" i="1"/>
  <c r="I180" i="1"/>
  <c r="I181" i="1"/>
  <c r="I182" i="1"/>
  <c r="K183" i="1"/>
  <c r="K184" i="1"/>
  <c r="K185" i="1"/>
  <c r="C187" i="1"/>
  <c r="C188" i="1"/>
  <c r="C189" i="1"/>
  <c r="E190" i="1"/>
  <c r="E191" i="1"/>
  <c r="E192" i="1"/>
  <c r="G193" i="1"/>
  <c r="G194" i="1"/>
  <c r="G195" i="1"/>
  <c r="I196" i="1"/>
  <c r="I197" i="1"/>
  <c r="I198" i="1"/>
  <c r="K199" i="1"/>
  <c r="K200" i="1"/>
  <c r="K201" i="1"/>
  <c r="C203" i="1"/>
  <c r="C204" i="1"/>
  <c r="C205" i="1"/>
  <c r="E206" i="1"/>
  <c r="E207" i="1"/>
  <c r="E208" i="1"/>
  <c r="G209" i="1"/>
  <c r="G210" i="1"/>
  <c r="G211" i="1"/>
  <c r="I212" i="1"/>
  <c r="I213" i="1"/>
  <c r="I214" i="1"/>
  <c r="K215" i="1"/>
  <c r="K216" i="1"/>
  <c r="K217" i="1"/>
  <c r="C219" i="1"/>
  <c r="C220" i="1"/>
  <c r="C221" i="1"/>
  <c r="E222" i="1"/>
  <c r="E223" i="1"/>
  <c r="E224" i="1"/>
  <c r="G225" i="1"/>
  <c r="G226" i="1"/>
  <c r="K5" i="1"/>
  <c r="K9" i="1"/>
  <c r="F13" i="1"/>
  <c r="F17" i="1"/>
  <c r="K20" i="1"/>
  <c r="C24" i="1"/>
  <c r="E27" i="1"/>
  <c r="I30" i="1"/>
  <c r="I33" i="1"/>
  <c r="C37" i="1"/>
  <c r="G40" i="1"/>
  <c r="G43" i="1"/>
  <c r="K46" i="1"/>
  <c r="C50" i="1"/>
  <c r="E53" i="1"/>
  <c r="G56" i="1"/>
  <c r="B60" i="1"/>
  <c r="K62" i="1"/>
  <c r="F66" i="1"/>
  <c r="J69" i="1"/>
  <c r="J72" i="1"/>
  <c r="D76" i="1"/>
  <c r="F79" i="1"/>
  <c r="H82" i="1"/>
  <c r="J85" i="1"/>
  <c r="D89" i="1"/>
  <c r="D92" i="1"/>
  <c r="H95" i="1"/>
  <c r="B99" i="1"/>
  <c r="B102" i="1"/>
  <c r="D105" i="1"/>
  <c r="B108" i="1"/>
  <c r="J110" i="1"/>
  <c r="H113" i="1"/>
  <c r="H116" i="1"/>
  <c r="B119" i="1"/>
  <c r="D121" i="1"/>
  <c r="F123" i="1"/>
  <c r="F125" i="1"/>
  <c r="H127" i="1"/>
  <c r="J129" i="1"/>
  <c r="J131" i="1"/>
  <c r="B134" i="1"/>
  <c r="D136" i="1"/>
  <c r="D138" i="1"/>
  <c r="F140" i="1"/>
  <c r="D142" i="1"/>
  <c r="K143" i="1"/>
  <c r="E145" i="1"/>
  <c r="K146" i="1"/>
  <c r="D148" i="1"/>
  <c r="I149" i="1"/>
  <c r="B151" i="1"/>
  <c r="D152" i="1"/>
  <c r="H153" i="1"/>
  <c r="I154" i="1"/>
  <c r="C156" i="1"/>
  <c r="F157" i="1"/>
  <c r="H158" i="1"/>
  <c r="B160" i="1"/>
  <c r="C161" i="1"/>
  <c r="G162" i="1"/>
  <c r="J163" i="1"/>
  <c r="B165" i="1"/>
  <c r="F166" i="1"/>
  <c r="G167" i="1"/>
  <c r="K168" i="1"/>
  <c r="D170" i="1"/>
  <c r="F171" i="1"/>
  <c r="J172" i="1"/>
  <c r="K173" i="1"/>
  <c r="E175" i="1"/>
  <c r="H176" i="1"/>
  <c r="J177" i="1"/>
  <c r="D179" i="1"/>
  <c r="E180" i="1"/>
  <c r="G181" i="1"/>
  <c r="G182" i="1"/>
  <c r="G183" i="1"/>
  <c r="I184" i="1"/>
  <c r="I185" i="1"/>
  <c r="I186" i="1"/>
  <c r="K187" i="1"/>
  <c r="K188" i="1"/>
  <c r="K189" i="1"/>
  <c r="C191" i="1"/>
  <c r="C192" i="1"/>
  <c r="C193" i="1"/>
  <c r="E194" i="1"/>
  <c r="E195" i="1"/>
  <c r="E196" i="1"/>
  <c r="G197" i="1"/>
  <c r="G198" i="1"/>
  <c r="G199" i="1"/>
  <c r="I200" i="1"/>
  <c r="I201" i="1"/>
  <c r="I202" i="1"/>
  <c r="K203" i="1"/>
  <c r="K204" i="1"/>
  <c r="K205" i="1"/>
  <c r="C207" i="1"/>
  <c r="C208" i="1"/>
  <c r="C209" i="1"/>
  <c r="E210" i="1"/>
  <c r="E211" i="1"/>
  <c r="E212" i="1"/>
  <c r="G213" i="1"/>
  <c r="G214" i="1"/>
  <c r="G215" i="1"/>
  <c r="I216" i="1"/>
  <c r="I217" i="1"/>
  <c r="I218" i="1"/>
  <c r="K219" i="1"/>
  <c r="K220" i="1"/>
  <c r="K221" i="1"/>
  <c r="C223" i="1"/>
  <c r="C224" i="1"/>
  <c r="C225" i="1"/>
  <c r="E226" i="1"/>
  <c r="E227" i="1"/>
  <c r="E228" i="1"/>
  <c r="G229" i="1"/>
  <c r="G230" i="1"/>
  <c r="G231" i="1"/>
  <c r="I232" i="1"/>
  <c r="H196" i="1"/>
  <c r="B204" i="1"/>
  <c r="B4" i="1"/>
  <c r="C9" i="1"/>
  <c r="G15" i="1"/>
  <c r="J20" i="1"/>
  <c r="K26" i="1"/>
  <c r="D32" i="1"/>
  <c r="K36" i="1"/>
  <c r="K41" i="1"/>
  <c r="J46" i="1"/>
  <c r="J52" i="1"/>
  <c r="B58" i="1"/>
  <c r="I62" i="1"/>
  <c r="B68" i="1"/>
  <c r="H72" i="1"/>
  <c r="J78" i="1"/>
  <c r="E84" i="1"/>
  <c r="G88" i="1"/>
  <c r="B94" i="1"/>
  <c r="K98" i="1"/>
  <c r="I104" i="1"/>
  <c r="E109" i="1"/>
  <c r="F113" i="1"/>
  <c r="B118" i="1"/>
  <c r="C121" i="1"/>
  <c r="C125" i="1"/>
  <c r="G128" i="1"/>
  <c r="H131" i="1"/>
  <c r="B135" i="1"/>
  <c r="C138" i="1"/>
  <c r="F141" i="1"/>
  <c r="F144" i="1"/>
  <c r="E146" i="1"/>
  <c r="B149" i="1"/>
  <c r="I150" i="1"/>
  <c r="B153" i="1"/>
  <c r="E155" i="1"/>
  <c r="B157" i="1"/>
  <c r="E159" i="1"/>
  <c r="B161" i="1"/>
  <c r="E163" i="1"/>
  <c r="H165" i="1"/>
  <c r="E167" i="1"/>
  <c r="H169" i="1"/>
  <c r="E171" i="1"/>
  <c r="H173" i="1"/>
  <c r="J175" i="1"/>
  <c r="H177" i="1"/>
  <c r="F181" i="1"/>
  <c r="D183" i="1"/>
  <c r="B185" i="1"/>
  <c r="G186" i="1"/>
  <c r="J189" i="1"/>
  <c r="H193" i="1"/>
  <c r="F198" i="1"/>
  <c r="G203" i="1"/>
  <c r="D208" i="1"/>
  <c r="C211" i="1"/>
  <c r="K213" i="1"/>
  <c r="E218" i="1"/>
  <c r="G222" i="1"/>
  <c r="B228" i="1"/>
  <c r="J231" i="1"/>
  <c r="H230" i="1"/>
  <c r="F11" i="1"/>
  <c r="G22" i="1"/>
  <c r="D27" i="1"/>
  <c r="E33" i="1"/>
  <c r="H38" i="1"/>
  <c r="E43" i="1"/>
  <c r="E48" i="1"/>
  <c r="D53" i="1"/>
  <c r="D59" i="1"/>
  <c r="H64" i="1"/>
  <c r="E79" i="1"/>
  <c r="I90" i="1"/>
  <c r="F100" i="1"/>
  <c r="K114" i="1"/>
  <c r="E125" i="1"/>
  <c r="F139" i="1"/>
  <c r="E147" i="1"/>
  <c r="F153" i="1"/>
  <c r="G159" i="1"/>
  <c r="J165" i="1"/>
  <c r="C172" i="1"/>
  <c r="F178" i="1"/>
  <c r="F185" i="1"/>
  <c r="G190" i="1"/>
  <c r="C197" i="1"/>
  <c r="F202" i="1"/>
  <c r="I208" i="1"/>
  <c r="K212" i="1"/>
  <c r="C217" i="1"/>
  <c r="G221" i="1"/>
  <c r="I225" i="1"/>
  <c r="H229" i="1"/>
  <c r="G11" i="1"/>
  <c r="B55" i="1"/>
  <c r="I69" i="1"/>
  <c r="H85" i="1"/>
  <c r="I101" i="1"/>
  <c r="B115" i="1"/>
  <c r="F129" i="1"/>
  <c r="C140" i="1"/>
  <c r="H147" i="1"/>
  <c r="J151" i="1"/>
  <c r="K157" i="1"/>
  <c r="D164" i="1"/>
  <c r="K169" i="1"/>
  <c r="G178" i="1"/>
  <c r="B184" i="1"/>
  <c r="J188" i="1"/>
  <c r="H192" i="1"/>
  <c r="F197" i="1"/>
  <c r="G202" i="1"/>
  <c r="F207" i="1"/>
  <c r="J211" i="1"/>
  <c r="F217" i="1"/>
  <c r="B223" i="1"/>
  <c r="D227" i="1"/>
  <c r="B231" i="1"/>
  <c r="B13" i="1"/>
  <c r="I49" i="1"/>
  <c r="B66" i="1"/>
  <c r="I85" i="1"/>
  <c r="J101" i="1"/>
  <c r="K115" i="1"/>
  <c r="H126" i="1"/>
  <c r="C137" i="1"/>
  <c r="D145" i="1"/>
  <c r="B152" i="1"/>
  <c r="D158" i="1"/>
  <c r="E164" i="1"/>
  <c r="E172" i="1"/>
  <c r="H178" i="1"/>
  <c r="H185" i="1"/>
  <c r="I190" i="1"/>
  <c r="J197" i="1"/>
  <c r="H204" i="1"/>
  <c r="K208" i="1"/>
  <c r="C213" i="1"/>
  <c r="G217" i="1"/>
  <c r="I221" i="1"/>
  <c r="K225" i="1"/>
  <c r="C231" i="1"/>
  <c r="C13" i="1"/>
  <c r="B50" i="1"/>
  <c r="C66" i="1"/>
  <c r="B82" i="1"/>
  <c r="D97" i="1"/>
  <c r="D120" i="1"/>
  <c r="I130" i="1"/>
  <c r="E140" i="1"/>
  <c r="K147" i="1"/>
  <c r="F154" i="1"/>
  <c r="H160" i="1"/>
  <c r="I166" i="1"/>
  <c r="H172" i="1"/>
  <c r="I178" i="1"/>
  <c r="D184" i="1"/>
  <c r="G189" i="1"/>
  <c r="H194" i="1"/>
  <c r="F201" i="1"/>
  <c r="J207" i="1"/>
  <c r="F213" i="1"/>
  <c r="D219" i="1"/>
  <c r="J224" i="1"/>
  <c r="J228" i="1"/>
  <c r="E232" i="1"/>
  <c r="E20" i="1"/>
  <c r="E56" i="1"/>
  <c r="F77" i="1"/>
  <c r="F87" i="1"/>
  <c r="I103" i="1"/>
  <c r="G116" i="1"/>
  <c r="F127" i="1"/>
  <c r="K137" i="1"/>
  <c r="C146" i="1"/>
  <c r="J152" i="1"/>
  <c r="J156" i="1"/>
  <c r="B163" i="1"/>
  <c r="J168" i="1"/>
  <c r="B171" i="1"/>
  <c r="C177" i="1"/>
  <c r="B183" i="1"/>
  <c r="E186" i="1"/>
  <c r="F191" i="1"/>
  <c r="K192" i="1"/>
  <c r="D198" i="1"/>
  <c r="B200" i="1"/>
  <c r="E203" i="1"/>
  <c r="C4" i="1"/>
  <c r="J9" i="1"/>
  <c r="J16" i="1"/>
  <c r="F22" i="1"/>
  <c r="B27" i="1"/>
  <c r="E32" i="1"/>
  <c r="B37" i="1"/>
  <c r="D43" i="1"/>
  <c r="D48" i="1"/>
  <c r="K52" i="1"/>
  <c r="C58" i="1"/>
  <c r="J62" i="1"/>
  <c r="B69" i="1"/>
  <c r="G74" i="1"/>
  <c r="K78" i="1"/>
  <c r="F84" i="1"/>
  <c r="C89" i="1"/>
  <c r="E95" i="1"/>
  <c r="E100" i="1"/>
  <c r="J104" i="1"/>
  <c r="F109" i="1"/>
  <c r="G113" i="1"/>
  <c r="I118" i="1"/>
  <c r="C122" i="1"/>
  <c r="D125" i="1"/>
  <c r="H128" i="1"/>
  <c r="I131" i="1"/>
  <c r="I135" i="1"/>
  <c r="E139" i="1"/>
  <c r="K141" i="1"/>
  <c r="G144" i="1"/>
  <c r="I146" i="1"/>
  <c r="C149" i="1"/>
  <c r="F151" i="1"/>
  <c r="C153" i="1"/>
  <c r="F155" i="1"/>
  <c r="C157" i="1"/>
  <c r="F159" i="1"/>
  <c r="I161" i="1"/>
  <c r="F163" i="1"/>
  <c r="I165" i="1"/>
  <c r="F167" i="1"/>
  <c r="I169" i="1"/>
  <c r="B172" i="1"/>
  <c r="I173" i="1"/>
  <c r="B176" i="1"/>
  <c r="I177" i="1"/>
  <c r="B180" i="1"/>
  <c r="J181" i="1"/>
  <c r="E183" i="1"/>
  <c r="C185" i="1"/>
  <c r="H186" i="1"/>
  <c r="H188" i="1"/>
  <c r="F190" i="1"/>
  <c r="K191" i="1"/>
  <c r="I193" i="1"/>
  <c r="D195" i="1"/>
  <c r="B197" i="1"/>
  <c r="B199" i="1"/>
  <c r="E200" i="1"/>
  <c r="E202" i="1"/>
  <c r="J203" i="1"/>
  <c r="H205" i="1"/>
  <c r="B207" i="1"/>
  <c r="H208" i="1"/>
  <c r="J209" i="1"/>
  <c r="D211" i="1"/>
  <c r="J212" i="1"/>
  <c r="D214" i="1"/>
  <c r="F215" i="1"/>
  <c r="B217" i="1"/>
  <c r="F218" i="1"/>
  <c r="J219" i="1"/>
  <c r="F221" i="1"/>
  <c r="H222" i="1"/>
  <c r="B224" i="1"/>
  <c r="H225" i="1"/>
  <c r="C228" i="1"/>
  <c r="K231" i="1"/>
  <c r="K16" i="1"/>
  <c r="C69" i="1"/>
  <c r="F85" i="1"/>
  <c r="C105" i="1"/>
  <c r="J118" i="1"/>
  <c r="E129" i="1"/>
  <c r="J135" i="1"/>
  <c r="K144" i="1"/>
  <c r="G151" i="1"/>
  <c r="J157" i="1"/>
  <c r="J161" i="1"/>
  <c r="C168" i="1"/>
  <c r="J173" i="1"/>
  <c r="C180" i="1"/>
  <c r="K181" i="1"/>
  <c r="D187" i="1"/>
  <c r="B192" i="1"/>
  <c r="J195" i="1"/>
  <c r="H200" i="1"/>
  <c r="I205" i="1"/>
  <c r="K209" i="1"/>
  <c r="E214" i="1"/>
  <c r="B220" i="1"/>
  <c r="D224" i="1"/>
  <c r="D228" i="1"/>
  <c r="B232" i="1"/>
  <c r="E17" i="1"/>
  <c r="H49" i="1"/>
  <c r="J64" i="1"/>
  <c r="K80" i="1"/>
  <c r="G95" i="1"/>
  <c r="K118" i="1"/>
  <c r="G126" i="1"/>
  <c r="C136" i="1"/>
  <c r="C145" i="1"/>
  <c r="K153" i="1"/>
  <c r="J159" i="1"/>
  <c r="K165" i="1"/>
  <c r="D172" i="1"/>
  <c r="D176" i="1"/>
  <c r="D182" i="1"/>
  <c r="E187" i="1"/>
  <c r="K193" i="1"/>
  <c r="B201" i="1"/>
  <c r="J205" i="1"/>
  <c r="D210" i="1"/>
  <c r="B216" i="1"/>
  <c r="D220" i="1"/>
  <c r="H224" i="1"/>
  <c r="H228" i="1"/>
  <c r="C232" i="1"/>
  <c r="K18" i="1"/>
  <c r="D45" i="1"/>
  <c r="J59" i="1"/>
  <c r="I75" i="1"/>
  <c r="J91" i="1"/>
  <c r="F106" i="1"/>
  <c r="C120" i="1"/>
  <c r="I129" i="1"/>
  <c r="D140" i="1"/>
  <c r="J147" i="1"/>
  <c r="D154" i="1"/>
  <c r="E160" i="1"/>
  <c r="D166" i="1"/>
  <c r="H170" i="1"/>
  <c r="E176" i="1"/>
  <c r="C184" i="1"/>
  <c r="F189" i="1"/>
  <c r="B196" i="1"/>
  <c r="C201" i="1"/>
  <c r="D206" i="1"/>
  <c r="F210" i="1"/>
  <c r="H214" i="1"/>
  <c r="B219" i="1"/>
  <c r="D223" i="1"/>
  <c r="F227" i="1"/>
  <c r="J229" i="1"/>
  <c r="D232" i="1"/>
  <c r="B19" i="1"/>
  <c r="D56" i="1"/>
  <c r="C76" i="1"/>
  <c r="B92" i="1"/>
  <c r="G107" i="1"/>
  <c r="E112" i="1"/>
  <c r="E123" i="1"/>
  <c r="J133" i="1"/>
  <c r="F143" i="1"/>
  <c r="F150" i="1"/>
  <c r="H156" i="1"/>
  <c r="F162" i="1"/>
  <c r="H168" i="1"/>
  <c r="I174" i="1"/>
  <c r="K180" i="1"/>
  <c r="D186" i="1"/>
  <c r="B191" i="1"/>
  <c r="C196" i="1"/>
  <c r="F199" i="1"/>
  <c r="I204" i="1"/>
  <c r="H210" i="1"/>
  <c r="B215" i="1"/>
  <c r="H217" i="1"/>
  <c r="J221" i="1"/>
  <c r="D226" i="1"/>
  <c r="K229" i="1"/>
  <c r="J7" i="1"/>
  <c r="J25" i="1"/>
  <c r="B30" i="1"/>
  <c r="F40" i="1"/>
  <c r="F46" i="1"/>
  <c r="H61" i="1"/>
  <c r="F72" i="1"/>
  <c r="C92" i="1"/>
  <c r="H107" i="1"/>
  <c r="F112" i="1"/>
  <c r="E124" i="1"/>
  <c r="K133" i="1"/>
  <c r="G143" i="1"/>
  <c r="G150" i="1"/>
  <c r="G158" i="1"/>
  <c r="J164" i="1"/>
  <c r="C173" i="1"/>
  <c r="B181" i="1"/>
  <c r="J187" i="1"/>
  <c r="I194" i="1"/>
  <c r="G201" i="1"/>
  <c r="G206" i="1"/>
  <c r="F209" i="1"/>
  <c r="C212" i="1"/>
  <c r="C215" i="1"/>
  <c r="E216" i="1"/>
  <c r="E219" i="1"/>
  <c r="D222" i="1"/>
  <c r="K224" i="1"/>
  <c r="K228" i="1"/>
  <c r="H232" i="1"/>
  <c r="B9" i="1"/>
  <c r="F15" i="1"/>
  <c r="F20" i="1"/>
  <c r="K25" i="1"/>
  <c r="H30" i="1"/>
  <c r="J36" i="1"/>
  <c r="J41" i="1"/>
  <c r="G46" i="1"/>
  <c r="I51" i="1"/>
  <c r="F56" i="1"/>
  <c r="H62" i="1"/>
  <c r="J67" i="1"/>
  <c r="G72" i="1"/>
  <c r="H77" i="1"/>
  <c r="G82" i="1"/>
  <c r="F88" i="1"/>
  <c r="K93" i="1"/>
  <c r="F98" i="1"/>
  <c r="J103" i="1"/>
  <c r="K107" i="1"/>
  <c r="E113" i="1"/>
  <c r="K117" i="1"/>
  <c r="B121" i="1"/>
  <c r="F124" i="1"/>
  <c r="G127" i="1"/>
  <c r="G131" i="1"/>
  <c r="K134" i="1"/>
  <c r="B138" i="1"/>
  <c r="E141" i="1"/>
  <c r="H143" i="1"/>
  <c r="D146" i="1"/>
  <c r="K148" i="1"/>
  <c r="H150" i="1"/>
  <c r="K152" i="1"/>
  <c r="H154" i="1"/>
  <c r="K156" i="1"/>
  <c r="D159" i="1"/>
  <c r="K160" i="1"/>
  <c r="D163" i="1"/>
  <c r="K164" i="1"/>
  <c r="D167" i="1"/>
  <c r="F169" i="1"/>
  <c r="D171" i="1"/>
  <c r="F173" i="1"/>
  <c r="D175" i="1"/>
  <c r="F177" i="1"/>
  <c r="G179" i="1"/>
  <c r="C181" i="1"/>
  <c r="C183" i="1"/>
  <c r="H184" i="1"/>
  <c r="F186" i="1"/>
  <c r="D188" i="1"/>
  <c r="I189" i="1"/>
  <c r="G191" i="1"/>
  <c r="B193" i="1"/>
  <c r="B195" i="1"/>
  <c r="J196" i="1"/>
  <c r="E198" i="1"/>
  <c r="C200" i="1"/>
  <c r="H201" i="1"/>
  <c r="F203" i="1"/>
  <c r="F205" i="1"/>
  <c r="H206" i="1"/>
  <c r="B208" i="1"/>
  <c r="H209" i="1"/>
  <c r="B211" i="1"/>
  <c r="D212" i="1"/>
  <c r="J213" i="1"/>
  <c r="D215" i="1"/>
  <c r="H216" i="1"/>
  <c r="D218" i="1"/>
  <c r="F219" i="1"/>
  <c r="J220" i="1"/>
  <c r="F222" i="1"/>
  <c r="J223" i="1"/>
  <c r="B225" i="1"/>
  <c r="H226" i="1"/>
  <c r="K227" i="1"/>
  <c r="B229" i="1"/>
  <c r="E230" i="1"/>
  <c r="F231" i="1"/>
  <c r="J232" i="1"/>
  <c r="J179" i="1"/>
  <c r="E188" i="1"/>
  <c r="J191" i="1"/>
  <c r="C195" i="1"/>
  <c r="K196" i="1"/>
  <c r="D200" i="1"/>
  <c r="D202" i="1"/>
  <c r="G205" i="1"/>
  <c r="I206" i="1"/>
  <c r="I209" i="1"/>
  <c r="H212" i="1"/>
  <c r="E215" i="1"/>
  <c r="J216" i="1"/>
  <c r="G219" i="1"/>
  <c r="B221" i="1"/>
  <c r="K223" i="1"/>
  <c r="F225" i="1"/>
  <c r="I226" i="1"/>
  <c r="C229" i="1"/>
  <c r="F230" i="1"/>
  <c r="K232" i="1"/>
  <c r="B227" i="1"/>
  <c r="F229" i="1"/>
  <c r="H5" i="1"/>
  <c r="H74" i="1"/>
  <c r="F95" i="1"/>
  <c r="E110" i="1"/>
  <c r="D122" i="1"/>
  <c r="K132" i="1"/>
  <c r="C142" i="1"/>
  <c r="F149" i="1"/>
  <c r="G155" i="1"/>
  <c r="G163" i="1"/>
  <c r="J169" i="1"/>
  <c r="C176" i="1"/>
  <c r="F183" i="1"/>
  <c r="I188" i="1"/>
  <c r="J193" i="1"/>
  <c r="C199" i="1"/>
  <c r="D204" i="1"/>
  <c r="D207" i="1"/>
  <c r="F211" i="1"/>
  <c r="J215" i="1"/>
  <c r="G218" i="1"/>
  <c r="I222" i="1"/>
  <c r="C227" i="1"/>
  <c r="I230" i="1"/>
  <c r="I5" i="1"/>
  <c r="G23" i="1"/>
  <c r="J28" i="1"/>
  <c r="F33" i="1"/>
  <c r="I38" i="1"/>
  <c r="F43" i="1"/>
  <c r="E59" i="1"/>
  <c r="H75" i="1"/>
  <c r="J90" i="1"/>
  <c r="E106" i="1"/>
  <c r="F110" i="1"/>
  <c r="K122" i="1"/>
  <c r="B133" i="1"/>
  <c r="K142" i="1"/>
  <c r="H149" i="1"/>
  <c r="J155" i="1"/>
  <c r="K161" i="1"/>
  <c r="D168" i="1"/>
  <c r="G174" i="1"/>
  <c r="D180" i="1"/>
  <c r="G185" i="1"/>
  <c r="H190" i="1"/>
  <c r="K195" i="1"/>
  <c r="D199" i="1"/>
  <c r="E204" i="1"/>
  <c r="J208" i="1"/>
  <c r="B213" i="1"/>
  <c r="F214" i="1"/>
  <c r="H218" i="1"/>
  <c r="H221" i="1"/>
  <c r="J225" i="1"/>
  <c r="I229" i="1"/>
  <c r="J5" i="1"/>
  <c r="H23" i="1"/>
  <c r="K28" i="1"/>
  <c r="H33" i="1"/>
  <c r="I39" i="1"/>
  <c r="D55" i="1"/>
  <c r="B71" i="1"/>
  <c r="B81" i="1"/>
  <c r="C97" i="1"/>
  <c r="I110" i="1"/>
  <c r="B123" i="1"/>
  <c r="I133" i="1"/>
  <c r="E143" i="1"/>
  <c r="D150" i="1"/>
  <c r="B156" i="1"/>
  <c r="D162" i="1"/>
  <c r="E168" i="1"/>
  <c r="H174" i="1"/>
  <c r="J180" i="1"/>
  <c r="E182" i="1"/>
  <c r="F187" i="1"/>
  <c r="I192" i="1"/>
  <c r="D194" i="1"/>
  <c r="E199" i="1"/>
  <c r="H202" i="1"/>
  <c r="G207" i="1"/>
  <c r="K211" i="1"/>
  <c r="C216" i="1"/>
  <c r="E220" i="1"/>
  <c r="I224" i="1"/>
  <c r="I228" i="1"/>
  <c r="I7" i="1"/>
  <c r="B24" i="1"/>
  <c r="K29" i="1"/>
  <c r="F35" i="1"/>
  <c r="J39" i="1"/>
  <c r="E45" i="1"/>
  <c r="F61" i="1"/>
  <c r="D71" i="1"/>
  <c r="E87" i="1"/>
  <c r="K101" i="1"/>
  <c r="B116" i="1"/>
  <c r="E127" i="1"/>
  <c r="D137" i="1"/>
  <c r="B146" i="1"/>
  <c r="C152" i="1"/>
  <c r="F158" i="1"/>
  <c r="H164" i="1"/>
  <c r="I170" i="1"/>
  <c r="B177" i="1"/>
  <c r="F182" i="1"/>
  <c r="G187" i="1"/>
  <c r="J192" i="1"/>
  <c r="K197" i="1"/>
  <c r="D203" i="1"/>
  <c r="F206" i="1"/>
  <c r="B209" i="1"/>
  <c r="B212" i="1"/>
  <c r="D216" i="1"/>
  <c r="H220" i="1"/>
  <c r="F223" i="1"/>
  <c r="G227" i="1"/>
  <c r="D231" i="1"/>
  <c r="E13" i="1"/>
  <c r="G35" i="1"/>
  <c r="H51" i="1"/>
  <c r="D66" i="1"/>
  <c r="C82" i="1"/>
  <c r="D98" i="1"/>
  <c r="K120" i="1"/>
  <c r="J130" i="1"/>
  <c r="D141" i="1"/>
  <c r="C148" i="1"/>
  <c r="G154" i="1"/>
  <c r="J160" i="1"/>
  <c r="B167" i="1"/>
  <c r="B175" i="1"/>
  <c r="B179" i="1"/>
  <c r="E184" i="1"/>
  <c r="H189" i="1"/>
  <c r="D196" i="1"/>
  <c r="J204" i="1"/>
  <c r="K207" i="1"/>
  <c r="I210" i="1"/>
  <c r="H213" i="1"/>
  <c r="J217" i="1"/>
  <c r="I220" i="1"/>
  <c r="G223" i="1"/>
  <c r="F226" i="1"/>
  <c r="J227" i="1"/>
  <c r="D230" i="1"/>
  <c r="E231" i="1"/>
  <c r="Y98" i="5" l="1"/>
  <c r="L96" i="6"/>
  <c r="Y234" i="5"/>
  <c r="L232" i="6"/>
  <c r="Y298" i="5"/>
  <c r="L296" i="6"/>
  <c r="Y86" i="5"/>
  <c r="L84" i="6"/>
  <c r="Y139" i="5"/>
  <c r="L137" i="6"/>
  <c r="Y203" i="5"/>
  <c r="L201" i="6"/>
  <c r="Y267" i="5"/>
  <c r="L265" i="6"/>
  <c r="Y331" i="5"/>
  <c r="L329" i="6"/>
  <c r="Y38" i="5"/>
  <c r="L36" i="6"/>
  <c r="Y150" i="5"/>
  <c r="L148" i="6"/>
  <c r="Y214" i="5"/>
  <c r="L212" i="6"/>
  <c r="Y278" i="5"/>
  <c r="L276" i="6"/>
  <c r="Y148" i="5"/>
  <c r="L146" i="6"/>
  <c r="Y388" i="5"/>
  <c r="L386" i="6"/>
  <c r="Y189" i="5"/>
  <c r="L187" i="6"/>
  <c r="Y253" i="5"/>
  <c r="L251" i="6"/>
  <c r="Y23" i="5"/>
  <c r="L21" i="6"/>
  <c r="D311" i="5"/>
  <c r="J309" i="6"/>
  <c r="D295" i="5"/>
  <c r="J293" i="6"/>
  <c r="D255" i="5"/>
  <c r="J253" i="6"/>
  <c r="D6" i="5"/>
  <c r="J4" i="6"/>
  <c r="D38" i="5"/>
  <c r="J36" i="6"/>
  <c r="D47" i="5"/>
  <c r="J45" i="6"/>
  <c r="D64" i="5"/>
  <c r="J62" i="6"/>
  <c r="D10" i="5"/>
  <c r="J8" i="6"/>
  <c r="D11" i="5"/>
  <c r="J9" i="6"/>
  <c r="D37" i="5"/>
  <c r="J35" i="6"/>
  <c r="D100" i="5"/>
  <c r="J98" i="6"/>
  <c r="D148" i="5"/>
  <c r="J146" i="6"/>
  <c r="D212" i="5"/>
  <c r="J210" i="6"/>
  <c r="D276" i="5"/>
  <c r="J274" i="6"/>
  <c r="D340" i="5"/>
  <c r="J338" i="6"/>
  <c r="D404" i="5"/>
  <c r="J402" i="6"/>
  <c r="D126" i="5"/>
  <c r="J124" i="6"/>
  <c r="D190" i="5"/>
  <c r="J188" i="6"/>
  <c r="D254" i="5"/>
  <c r="J252" i="6"/>
  <c r="D318" i="5"/>
  <c r="J316" i="6"/>
  <c r="D382" i="5"/>
  <c r="J380" i="6"/>
  <c r="D127" i="5"/>
  <c r="J125" i="6"/>
  <c r="D359" i="5"/>
  <c r="J357" i="6"/>
  <c r="D151" i="5"/>
  <c r="J149" i="6"/>
  <c r="D83" i="5"/>
  <c r="J81" i="6"/>
  <c r="D147" i="5"/>
  <c r="J145" i="6"/>
  <c r="D211" i="5"/>
  <c r="J209" i="6"/>
  <c r="D275" i="5"/>
  <c r="J273" i="6"/>
  <c r="D339" i="5"/>
  <c r="J337" i="6"/>
  <c r="D403" i="5"/>
  <c r="J401" i="6"/>
  <c r="D117" i="5"/>
  <c r="J115" i="6"/>
  <c r="D181" i="5"/>
  <c r="J179" i="6"/>
  <c r="D245" i="5"/>
  <c r="J243" i="6"/>
  <c r="D309" i="5"/>
  <c r="J307" i="6"/>
  <c r="D373" i="5"/>
  <c r="J371" i="6"/>
  <c r="D112" i="5"/>
  <c r="J110" i="6"/>
  <c r="D98" i="5"/>
  <c r="J96" i="6"/>
  <c r="D162" i="5"/>
  <c r="J160" i="6"/>
  <c r="D226" i="5"/>
  <c r="J224" i="6"/>
  <c r="D298" i="5"/>
  <c r="J296" i="6"/>
  <c r="D370" i="5"/>
  <c r="J368" i="6"/>
  <c r="D105" i="5"/>
  <c r="J103" i="6"/>
  <c r="D169" i="5"/>
  <c r="J167" i="6"/>
  <c r="D233" i="5"/>
  <c r="J231" i="6"/>
  <c r="D297" i="5"/>
  <c r="J295" i="6"/>
  <c r="D361" i="5"/>
  <c r="J359" i="6"/>
  <c r="D160" i="5"/>
  <c r="J158" i="6"/>
  <c r="D224" i="5"/>
  <c r="J222" i="6"/>
  <c r="D288" i="5"/>
  <c r="J286" i="6"/>
  <c r="D352" i="5"/>
  <c r="J350" i="6"/>
  <c r="D290" i="5"/>
  <c r="J288" i="6"/>
  <c r="Y70" i="5"/>
  <c r="L68" i="6"/>
  <c r="Y178" i="5"/>
  <c r="L176" i="6"/>
  <c r="Y211" i="5"/>
  <c r="L209" i="6"/>
  <c r="Y46" i="5"/>
  <c r="L44" i="6"/>
  <c r="Y396" i="5"/>
  <c r="L394" i="6"/>
  <c r="Y197" i="5"/>
  <c r="L195" i="6"/>
  <c r="Y261" i="5"/>
  <c r="L259" i="6"/>
  <c r="Y325" i="5"/>
  <c r="L323" i="6"/>
  <c r="Y389" i="5"/>
  <c r="L387" i="6"/>
  <c r="Y31" i="5"/>
  <c r="L29" i="6"/>
  <c r="Y25" i="5"/>
  <c r="L23" i="6"/>
  <c r="D247" i="5"/>
  <c r="J245" i="6"/>
  <c r="D332" i="5"/>
  <c r="J330" i="6"/>
  <c r="D29" i="5"/>
  <c r="J27" i="6"/>
  <c r="D71" i="5"/>
  <c r="J69" i="6"/>
  <c r="D46" i="5"/>
  <c r="J44" i="6"/>
  <c r="D55" i="5"/>
  <c r="J53" i="6"/>
  <c r="D9" i="5"/>
  <c r="J7" i="6"/>
  <c r="D18" i="5"/>
  <c r="J16" i="6"/>
  <c r="D19" i="5"/>
  <c r="J17" i="6"/>
  <c r="D45" i="5"/>
  <c r="J43" i="6"/>
  <c r="D76" i="5"/>
  <c r="J74" i="6"/>
  <c r="D156" i="5"/>
  <c r="J154" i="6"/>
  <c r="D220" i="5"/>
  <c r="J218" i="6"/>
  <c r="D284" i="5"/>
  <c r="J282" i="6"/>
  <c r="D348" i="5"/>
  <c r="J346" i="6"/>
  <c r="D412" i="5"/>
  <c r="J410" i="6"/>
  <c r="D134" i="5"/>
  <c r="J132" i="6"/>
  <c r="D198" i="5"/>
  <c r="J196" i="6"/>
  <c r="D262" i="5"/>
  <c r="J260" i="6"/>
  <c r="D326" i="5"/>
  <c r="J324" i="6"/>
  <c r="D390" i="5"/>
  <c r="J388" i="6"/>
  <c r="D143" i="5"/>
  <c r="J141" i="6"/>
  <c r="D375" i="5"/>
  <c r="J373" i="6"/>
  <c r="D167" i="5"/>
  <c r="J165" i="6"/>
  <c r="D91" i="5"/>
  <c r="J89" i="6"/>
  <c r="D155" i="5"/>
  <c r="J153" i="6"/>
  <c r="D219" i="5"/>
  <c r="J217" i="6"/>
  <c r="D283" i="5"/>
  <c r="J281" i="6"/>
  <c r="D347" i="5"/>
  <c r="J345" i="6"/>
  <c r="D411" i="5"/>
  <c r="J409" i="6"/>
  <c r="D125" i="5"/>
  <c r="J123" i="6"/>
  <c r="D189" i="5"/>
  <c r="J187" i="6"/>
  <c r="D253" i="5"/>
  <c r="J251" i="6"/>
  <c r="D317" i="5"/>
  <c r="J315" i="6"/>
  <c r="D381" i="5"/>
  <c r="J379" i="6"/>
  <c r="D120" i="5"/>
  <c r="J118" i="6"/>
  <c r="D106" i="5"/>
  <c r="J104" i="6"/>
  <c r="D170" i="5"/>
  <c r="J168" i="6"/>
  <c r="D234" i="5"/>
  <c r="J232" i="6"/>
  <c r="D306" i="5"/>
  <c r="J304" i="6"/>
  <c r="D378" i="5"/>
  <c r="J376" i="6"/>
  <c r="D113" i="5"/>
  <c r="J111" i="6"/>
  <c r="D177" i="5"/>
  <c r="J175" i="6"/>
  <c r="D241" i="5"/>
  <c r="J239" i="6"/>
  <c r="D305" i="5"/>
  <c r="J303" i="6"/>
  <c r="D369" i="5"/>
  <c r="J367" i="6"/>
  <c r="D168" i="5"/>
  <c r="J166" i="6"/>
  <c r="D296" i="5"/>
  <c r="J294" i="6"/>
  <c r="D360" i="5"/>
  <c r="J358" i="6"/>
  <c r="Y314" i="5"/>
  <c r="L312" i="6"/>
  <c r="Y378" i="5"/>
  <c r="L376" i="6"/>
  <c r="Y91" i="5"/>
  <c r="L89" i="6"/>
  <c r="Y155" i="5"/>
  <c r="L153" i="6"/>
  <c r="Y219" i="5"/>
  <c r="L217" i="6"/>
  <c r="Y283" i="5"/>
  <c r="L281" i="6"/>
  <c r="Y347" i="5"/>
  <c r="L345" i="6"/>
  <c r="Y166" i="5"/>
  <c r="L164" i="6"/>
  <c r="Y230" i="5"/>
  <c r="L228" i="6"/>
  <c r="Y294" i="5"/>
  <c r="L292" i="6"/>
  <c r="Y172" i="5"/>
  <c r="L170" i="6"/>
  <c r="Y324" i="5"/>
  <c r="L322" i="6"/>
  <c r="Y141" i="5"/>
  <c r="L139" i="6"/>
  <c r="Y205" i="5"/>
  <c r="L203" i="6"/>
  <c r="Y269" i="5"/>
  <c r="L267" i="6"/>
  <c r="Y333" i="5"/>
  <c r="L331" i="6"/>
  <c r="Y397" i="5"/>
  <c r="L395" i="6"/>
  <c r="Y39" i="5"/>
  <c r="L37" i="6"/>
  <c r="Y9" i="5"/>
  <c r="L7" i="6"/>
  <c r="D271" i="5"/>
  <c r="J269" i="6"/>
  <c r="D279" i="5"/>
  <c r="J277" i="6"/>
  <c r="D28" i="5"/>
  <c r="J26" i="6"/>
  <c r="D63" i="5"/>
  <c r="J61" i="6"/>
  <c r="D54" i="5"/>
  <c r="J52" i="6"/>
  <c r="D16" i="5"/>
  <c r="J14" i="6"/>
  <c r="D25" i="5"/>
  <c r="J23" i="6"/>
  <c r="D26" i="5"/>
  <c r="J24" i="6"/>
  <c r="D27" i="5"/>
  <c r="J25" i="6"/>
  <c r="D53" i="5"/>
  <c r="J51" i="6"/>
  <c r="D84" i="5"/>
  <c r="J82" i="6"/>
  <c r="D164" i="5"/>
  <c r="J162" i="6"/>
  <c r="D228" i="5"/>
  <c r="J226" i="6"/>
  <c r="D292" i="5"/>
  <c r="J290" i="6"/>
  <c r="D356" i="5"/>
  <c r="J354" i="6"/>
  <c r="D78" i="5"/>
  <c r="J76" i="6"/>
  <c r="D142" i="5"/>
  <c r="J140" i="6"/>
  <c r="D206" i="5"/>
  <c r="J204" i="6"/>
  <c r="D270" i="5"/>
  <c r="J268" i="6"/>
  <c r="D334" i="5"/>
  <c r="J332" i="6"/>
  <c r="D398" i="5"/>
  <c r="J396" i="6"/>
  <c r="D159" i="5"/>
  <c r="J157" i="6"/>
  <c r="D391" i="5"/>
  <c r="J389" i="6"/>
  <c r="D191" i="5"/>
  <c r="J189" i="6"/>
  <c r="D327" i="5"/>
  <c r="J325" i="6"/>
  <c r="D99" i="5"/>
  <c r="J97" i="6"/>
  <c r="D163" i="5"/>
  <c r="J161" i="6"/>
  <c r="D227" i="5"/>
  <c r="J225" i="6"/>
  <c r="D291" i="5"/>
  <c r="J289" i="6"/>
  <c r="D355" i="5"/>
  <c r="J353" i="6"/>
  <c r="D4" i="5"/>
  <c r="J2" i="6"/>
  <c r="D133" i="5"/>
  <c r="J131" i="6"/>
  <c r="D197" i="5"/>
  <c r="J195" i="6"/>
  <c r="D261" i="5"/>
  <c r="J259" i="6"/>
  <c r="D325" i="5"/>
  <c r="J323" i="6"/>
  <c r="D389" i="5"/>
  <c r="J387" i="6"/>
  <c r="D128" i="5"/>
  <c r="J126" i="6"/>
  <c r="D114" i="5"/>
  <c r="J112" i="6"/>
  <c r="D178" i="5"/>
  <c r="J176" i="6"/>
  <c r="D242" i="5"/>
  <c r="J240" i="6"/>
  <c r="D314" i="5"/>
  <c r="J312" i="6"/>
  <c r="D394" i="5"/>
  <c r="J392" i="6"/>
  <c r="D121" i="5"/>
  <c r="J119" i="6"/>
  <c r="D185" i="5"/>
  <c r="J183" i="6"/>
  <c r="D249" i="5"/>
  <c r="J247" i="6"/>
  <c r="D313" i="5"/>
  <c r="J311" i="6"/>
  <c r="D377" i="5"/>
  <c r="J375" i="6"/>
  <c r="D176" i="5"/>
  <c r="J174" i="6"/>
  <c r="D240" i="5"/>
  <c r="J238" i="6"/>
  <c r="D304" i="5"/>
  <c r="J302" i="6"/>
  <c r="D368" i="5"/>
  <c r="J366" i="6"/>
  <c r="D386" i="5"/>
  <c r="J384" i="6"/>
  <c r="Y226" i="5"/>
  <c r="L224" i="6"/>
  <c r="Y50" i="5"/>
  <c r="L48" i="6"/>
  <c r="Y186" i="5"/>
  <c r="L184" i="6"/>
  <c r="Y130" i="5"/>
  <c r="L128" i="6"/>
  <c r="Y258" i="5"/>
  <c r="L256" i="6"/>
  <c r="Y386" i="5"/>
  <c r="L384" i="6"/>
  <c r="Y163" i="5"/>
  <c r="L161" i="6"/>
  <c r="Y291" i="5"/>
  <c r="L289" i="6"/>
  <c r="Y78" i="5"/>
  <c r="L76" i="6"/>
  <c r="Y54" i="5"/>
  <c r="L52" i="6"/>
  <c r="Y188" i="5"/>
  <c r="L186" i="6"/>
  <c r="Y260" i="5"/>
  <c r="L258" i="6"/>
  <c r="Y149" i="5"/>
  <c r="L147" i="6"/>
  <c r="Y213" i="5"/>
  <c r="L211" i="6"/>
  <c r="Y341" i="5"/>
  <c r="L339" i="6"/>
  <c r="Y47" i="5"/>
  <c r="L45" i="6"/>
  <c r="Y340" i="5"/>
  <c r="L338" i="6"/>
  <c r="D94" i="5"/>
  <c r="J92" i="6"/>
  <c r="D303" i="5"/>
  <c r="J301" i="6"/>
  <c r="D5" i="5"/>
  <c r="J3" i="6"/>
  <c r="D23" i="5"/>
  <c r="J21" i="6"/>
  <c r="D62" i="5"/>
  <c r="J60" i="6"/>
  <c r="D24" i="5"/>
  <c r="J22" i="6"/>
  <c r="D33" i="5"/>
  <c r="J31" i="6"/>
  <c r="D34" i="5"/>
  <c r="J32" i="6"/>
  <c r="D35" i="5"/>
  <c r="J33" i="6"/>
  <c r="D61" i="5"/>
  <c r="J59" i="6"/>
  <c r="D108" i="5"/>
  <c r="J106" i="6"/>
  <c r="D172" i="5"/>
  <c r="J170" i="6"/>
  <c r="D236" i="5"/>
  <c r="J234" i="6"/>
  <c r="D300" i="5"/>
  <c r="J298" i="6"/>
  <c r="D364" i="5"/>
  <c r="J362" i="6"/>
  <c r="D86" i="5"/>
  <c r="J84" i="6"/>
  <c r="D150" i="5"/>
  <c r="J148" i="6"/>
  <c r="D214" i="5"/>
  <c r="J212" i="6"/>
  <c r="D278" i="5"/>
  <c r="J276" i="6"/>
  <c r="D342" i="5"/>
  <c r="J340" i="6"/>
  <c r="D406" i="5"/>
  <c r="J404" i="6"/>
  <c r="D175" i="5"/>
  <c r="J173" i="6"/>
  <c r="D407" i="5"/>
  <c r="J405" i="6"/>
  <c r="D207" i="5"/>
  <c r="J205" i="6"/>
  <c r="D351" i="5"/>
  <c r="J349" i="6"/>
  <c r="D107" i="5"/>
  <c r="J105" i="6"/>
  <c r="D171" i="5"/>
  <c r="J169" i="6"/>
  <c r="D235" i="5"/>
  <c r="J233" i="6"/>
  <c r="D299" i="5"/>
  <c r="J297" i="6"/>
  <c r="D363" i="5"/>
  <c r="J361" i="6"/>
  <c r="D141" i="5"/>
  <c r="J139" i="6"/>
  <c r="D205" i="5"/>
  <c r="J203" i="6"/>
  <c r="D269" i="5"/>
  <c r="J267" i="6"/>
  <c r="D333" i="5"/>
  <c r="J331" i="6"/>
  <c r="D136" i="5"/>
  <c r="J134" i="6"/>
  <c r="D122" i="5"/>
  <c r="J120" i="6"/>
  <c r="D186" i="5"/>
  <c r="J184" i="6"/>
  <c r="D250" i="5"/>
  <c r="J248" i="6"/>
  <c r="D322" i="5"/>
  <c r="J320" i="6"/>
  <c r="D410" i="5"/>
  <c r="J408" i="6"/>
  <c r="D129" i="5"/>
  <c r="J127" i="6"/>
  <c r="D193" i="5"/>
  <c r="J191" i="6"/>
  <c r="D257" i="5"/>
  <c r="J255" i="6"/>
  <c r="D385" i="5"/>
  <c r="J383" i="6"/>
  <c r="D184" i="5"/>
  <c r="J182" i="6"/>
  <c r="D248" i="5"/>
  <c r="J246" i="6"/>
  <c r="D312" i="5"/>
  <c r="J310" i="6"/>
  <c r="D376" i="5"/>
  <c r="J374" i="6"/>
  <c r="Y290" i="5"/>
  <c r="L288" i="6"/>
  <c r="Y122" i="5"/>
  <c r="L120" i="6"/>
  <c r="Y194" i="5"/>
  <c r="L192" i="6"/>
  <c r="Y322" i="5"/>
  <c r="L320" i="6"/>
  <c r="Y99" i="5"/>
  <c r="L97" i="6"/>
  <c r="Y355" i="5"/>
  <c r="L353" i="6"/>
  <c r="Y102" i="5"/>
  <c r="L100" i="6"/>
  <c r="Y100" i="5"/>
  <c r="L98" i="6"/>
  <c r="Y74" i="5"/>
  <c r="L72" i="6"/>
  <c r="Y202" i="5"/>
  <c r="L200" i="6"/>
  <c r="Y330" i="5"/>
  <c r="L328" i="6"/>
  <c r="Y107" i="5"/>
  <c r="L105" i="6"/>
  <c r="Y299" i="5"/>
  <c r="L297" i="6"/>
  <c r="Y363" i="5"/>
  <c r="L361" i="6"/>
  <c r="Y180" i="5"/>
  <c r="L178" i="6"/>
  <c r="Y108" i="5"/>
  <c r="L106" i="6"/>
  <c r="Y268" i="5"/>
  <c r="L266" i="6"/>
  <c r="Y356" i="5"/>
  <c r="L354" i="6"/>
  <c r="Y93" i="5"/>
  <c r="L91" i="6"/>
  <c r="Y157" i="5"/>
  <c r="L155" i="6"/>
  <c r="Y221" i="5"/>
  <c r="L219" i="6"/>
  <c r="Y349" i="5"/>
  <c r="L347" i="6"/>
  <c r="Y413" i="5"/>
  <c r="L411" i="6"/>
  <c r="Y55" i="5"/>
  <c r="L53" i="6"/>
  <c r="D73" i="5"/>
  <c r="J71" i="6"/>
  <c r="D89" i="5"/>
  <c r="J87" i="6"/>
  <c r="D239" i="5"/>
  <c r="J237" i="6"/>
  <c r="D7" i="5"/>
  <c r="J5" i="6"/>
  <c r="D70" i="5"/>
  <c r="J68" i="6"/>
  <c r="D32" i="5"/>
  <c r="J30" i="6"/>
  <c r="D41" i="5"/>
  <c r="J39" i="6"/>
  <c r="D42" i="5"/>
  <c r="J40" i="6"/>
  <c r="D43" i="5"/>
  <c r="J41" i="6"/>
  <c r="D44" i="5"/>
  <c r="J42" i="6"/>
  <c r="D69" i="5"/>
  <c r="J67" i="6"/>
  <c r="D116" i="5"/>
  <c r="J114" i="6"/>
  <c r="D180" i="5"/>
  <c r="J178" i="6"/>
  <c r="D244" i="5"/>
  <c r="J242" i="6"/>
  <c r="D308" i="5"/>
  <c r="J306" i="6"/>
  <c r="D372" i="5"/>
  <c r="J370" i="6"/>
  <c r="D158" i="5"/>
  <c r="J156" i="6"/>
  <c r="D222" i="5"/>
  <c r="J220" i="6"/>
  <c r="D286" i="5"/>
  <c r="J284" i="6"/>
  <c r="D350" i="5"/>
  <c r="J348" i="6"/>
  <c r="D414" i="5"/>
  <c r="J412" i="6"/>
  <c r="D183" i="5"/>
  <c r="J181" i="6"/>
  <c r="D79" i="5"/>
  <c r="J77" i="6"/>
  <c r="D223" i="5"/>
  <c r="J221" i="6"/>
  <c r="D367" i="5"/>
  <c r="J365" i="6"/>
  <c r="D115" i="5"/>
  <c r="J113" i="6"/>
  <c r="D179" i="5"/>
  <c r="J177" i="6"/>
  <c r="D243" i="5"/>
  <c r="J241" i="6"/>
  <c r="D307" i="5"/>
  <c r="J305" i="6"/>
  <c r="D371" i="5"/>
  <c r="J369" i="6"/>
  <c r="D149" i="5"/>
  <c r="J147" i="6"/>
  <c r="D213" i="5"/>
  <c r="J211" i="6"/>
  <c r="D277" i="5"/>
  <c r="J275" i="6"/>
  <c r="D341" i="5"/>
  <c r="J339" i="6"/>
  <c r="D405" i="5"/>
  <c r="J403" i="6"/>
  <c r="D144" i="5"/>
  <c r="J142" i="6"/>
  <c r="D130" i="5"/>
  <c r="J128" i="6"/>
  <c r="D194" i="5"/>
  <c r="J192" i="6"/>
  <c r="D258" i="5"/>
  <c r="J256" i="6"/>
  <c r="D330" i="5"/>
  <c r="J328" i="6"/>
  <c r="D408" i="5"/>
  <c r="J406" i="6"/>
  <c r="D137" i="5"/>
  <c r="J135" i="6"/>
  <c r="D329" i="5"/>
  <c r="J327" i="6"/>
  <c r="D393" i="5"/>
  <c r="J391" i="6"/>
  <c r="D192" i="5"/>
  <c r="J190" i="6"/>
  <c r="D256" i="5"/>
  <c r="J254" i="6"/>
  <c r="Y354" i="5"/>
  <c r="L352" i="6"/>
  <c r="Y58" i="5"/>
  <c r="L56" i="6"/>
  <c r="Y274" i="5"/>
  <c r="L272" i="6"/>
  <c r="Y338" i="5"/>
  <c r="L336" i="6"/>
  <c r="Y402" i="5"/>
  <c r="L400" i="6"/>
  <c r="Y115" i="5"/>
  <c r="L113" i="6"/>
  <c r="Y307" i="5"/>
  <c r="L305" i="6"/>
  <c r="Y371" i="5"/>
  <c r="L369" i="6"/>
  <c r="Y254" i="5"/>
  <c r="L252" i="6"/>
  <c r="Y318" i="5"/>
  <c r="L316" i="6"/>
  <c r="Y116" i="5"/>
  <c r="L114" i="6"/>
  <c r="Y204" i="5"/>
  <c r="L202" i="6"/>
  <c r="Y276" i="5"/>
  <c r="L274" i="6"/>
  <c r="Y364" i="5"/>
  <c r="L362" i="6"/>
  <c r="Y101" i="5"/>
  <c r="L99" i="6"/>
  <c r="Y293" i="5"/>
  <c r="L291" i="6"/>
  <c r="Y357" i="5"/>
  <c r="L355" i="6"/>
  <c r="Y164" i="5"/>
  <c r="L162" i="6"/>
  <c r="Y63" i="5"/>
  <c r="L61" i="6"/>
  <c r="D287" i="5"/>
  <c r="J285" i="6"/>
  <c r="D20" i="5"/>
  <c r="J18" i="6"/>
  <c r="D36" i="5"/>
  <c r="J34" i="6"/>
  <c r="D21" i="5"/>
  <c r="J19" i="6"/>
  <c r="D14" i="5"/>
  <c r="J12" i="6"/>
  <c r="D15" i="5"/>
  <c r="J13" i="6"/>
  <c r="D40" i="5"/>
  <c r="J38" i="6"/>
  <c r="D49" i="5"/>
  <c r="J47" i="6"/>
  <c r="D50" i="5"/>
  <c r="J48" i="6"/>
  <c r="D51" i="5"/>
  <c r="J49" i="6"/>
  <c r="D52" i="5"/>
  <c r="J50" i="6"/>
  <c r="D88" i="5"/>
  <c r="J86" i="6"/>
  <c r="D124" i="5"/>
  <c r="J122" i="6"/>
  <c r="D188" i="5"/>
  <c r="J186" i="6"/>
  <c r="D252" i="5"/>
  <c r="J250" i="6"/>
  <c r="D316" i="5"/>
  <c r="J314" i="6"/>
  <c r="D380" i="5"/>
  <c r="J378" i="6"/>
  <c r="D102" i="5"/>
  <c r="J100" i="6"/>
  <c r="D166" i="5"/>
  <c r="J164" i="6"/>
  <c r="D230" i="5"/>
  <c r="J228" i="6"/>
  <c r="D294" i="5"/>
  <c r="J292" i="6"/>
  <c r="D358" i="5"/>
  <c r="J356" i="6"/>
  <c r="D87" i="5"/>
  <c r="J85" i="6"/>
  <c r="D199" i="5"/>
  <c r="J197" i="6"/>
  <c r="D319" i="5"/>
  <c r="J317" i="6"/>
  <c r="D103" i="5"/>
  <c r="J101" i="6"/>
  <c r="D383" i="5"/>
  <c r="J381" i="6"/>
  <c r="D123" i="5"/>
  <c r="J121" i="6"/>
  <c r="D187" i="5"/>
  <c r="J185" i="6"/>
  <c r="D251" i="5"/>
  <c r="J249" i="6"/>
  <c r="D315" i="5"/>
  <c r="J313" i="6"/>
  <c r="D379" i="5"/>
  <c r="J377" i="6"/>
  <c r="D93" i="5"/>
  <c r="J91" i="6"/>
  <c r="D157" i="5"/>
  <c r="J155" i="6"/>
  <c r="D221" i="5"/>
  <c r="J219" i="6"/>
  <c r="D285" i="5"/>
  <c r="J283" i="6"/>
  <c r="D349" i="5"/>
  <c r="J347" i="6"/>
  <c r="D413" i="5"/>
  <c r="J411" i="6"/>
  <c r="D152" i="5"/>
  <c r="J150" i="6"/>
  <c r="D138" i="5"/>
  <c r="J136" i="6"/>
  <c r="D202" i="5"/>
  <c r="J200" i="6"/>
  <c r="D266" i="5"/>
  <c r="J264" i="6"/>
  <c r="D338" i="5"/>
  <c r="J336" i="6"/>
  <c r="D145" i="5"/>
  <c r="J143" i="6"/>
  <c r="D209" i="5"/>
  <c r="J207" i="6"/>
  <c r="D273" i="5"/>
  <c r="J271" i="6"/>
  <c r="D200" i="5"/>
  <c r="J198" i="6"/>
  <c r="D264" i="5"/>
  <c r="J262" i="6"/>
  <c r="Y18" i="5"/>
  <c r="L16" i="6"/>
  <c r="Y162" i="5"/>
  <c r="L160" i="6"/>
  <c r="Y154" i="5"/>
  <c r="L152" i="6"/>
  <c r="Y218" i="5"/>
  <c r="L216" i="6"/>
  <c r="Y282" i="5"/>
  <c r="L280" i="6"/>
  <c r="Y346" i="5"/>
  <c r="L344" i="6"/>
  <c r="Y123" i="5"/>
  <c r="L121" i="6"/>
  <c r="Y187" i="5"/>
  <c r="L185" i="6"/>
  <c r="Y251" i="5"/>
  <c r="L249" i="6"/>
  <c r="Y315" i="5"/>
  <c r="L313" i="6"/>
  <c r="Y379" i="5"/>
  <c r="L377" i="6"/>
  <c r="Y124" i="5"/>
  <c r="L122" i="6"/>
  <c r="Y284" i="5"/>
  <c r="L282" i="6"/>
  <c r="Y372" i="5"/>
  <c r="L370" i="6"/>
  <c r="Y109" i="5"/>
  <c r="L107" i="6"/>
  <c r="Y173" i="5"/>
  <c r="L171" i="6"/>
  <c r="Y237" i="5"/>
  <c r="L235" i="6"/>
  <c r="Y301" i="5"/>
  <c r="L299" i="6"/>
  <c r="Y365" i="5"/>
  <c r="L363" i="6"/>
  <c r="Y7" i="5"/>
  <c r="L5" i="6"/>
  <c r="D140" i="5"/>
  <c r="J138" i="6"/>
  <c r="D8" i="5"/>
  <c r="J6" i="6"/>
  <c r="D263" i="5"/>
  <c r="J261" i="6"/>
  <c r="D22" i="5"/>
  <c r="J20" i="6"/>
  <c r="D31" i="5"/>
  <c r="J29" i="6"/>
  <c r="D48" i="5"/>
  <c r="J46" i="6"/>
  <c r="D57" i="5"/>
  <c r="J55" i="6"/>
  <c r="D58" i="5"/>
  <c r="J56" i="6"/>
  <c r="D59" i="5"/>
  <c r="J57" i="6"/>
  <c r="D60" i="5"/>
  <c r="J58" i="6"/>
  <c r="D92" i="5"/>
  <c r="J90" i="6"/>
  <c r="D132" i="5"/>
  <c r="J130" i="6"/>
  <c r="D196" i="5"/>
  <c r="J194" i="6"/>
  <c r="D260" i="5"/>
  <c r="J258" i="6"/>
  <c r="D324" i="5"/>
  <c r="J322" i="6"/>
  <c r="D388" i="5"/>
  <c r="J386" i="6"/>
  <c r="D110" i="5"/>
  <c r="J108" i="6"/>
  <c r="D174" i="5"/>
  <c r="J172" i="6"/>
  <c r="D238" i="5"/>
  <c r="J236" i="6"/>
  <c r="D302" i="5"/>
  <c r="J300" i="6"/>
  <c r="D366" i="5"/>
  <c r="J364" i="6"/>
  <c r="D95" i="5"/>
  <c r="J93" i="6"/>
  <c r="D215" i="5"/>
  <c r="J213" i="6"/>
  <c r="D335" i="5"/>
  <c r="J333" i="6"/>
  <c r="D119" i="5"/>
  <c r="J117" i="6"/>
  <c r="D399" i="5"/>
  <c r="J397" i="6"/>
  <c r="D131" i="5"/>
  <c r="J129" i="6"/>
  <c r="D195" i="5"/>
  <c r="J193" i="6"/>
  <c r="D259" i="5"/>
  <c r="J257" i="6"/>
  <c r="D323" i="5"/>
  <c r="J321" i="6"/>
  <c r="D387" i="5"/>
  <c r="J385" i="6"/>
  <c r="D101" i="5"/>
  <c r="J99" i="6"/>
  <c r="D165" i="5"/>
  <c r="J163" i="6"/>
  <c r="D229" i="5"/>
  <c r="J227" i="6"/>
  <c r="D293" i="5"/>
  <c r="J291" i="6"/>
  <c r="D357" i="5"/>
  <c r="J355" i="6"/>
  <c r="D80" i="5"/>
  <c r="J78" i="6"/>
  <c r="D82" i="5"/>
  <c r="J80" i="6"/>
  <c r="D146" i="5"/>
  <c r="J144" i="6"/>
  <c r="D210" i="5"/>
  <c r="J208" i="6"/>
  <c r="D274" i="5"/>
  <c r="J272" i="6"/>
  <c r="D346" i="5"/>
  <c r="J344" i="6"/>
  <c r="D153" i="5"/>
  <c r="J151" i="6"/>
  <c r="D217" i="5"/>
  <c r="J215" i="6"/>
  <c r="D281" i="5"/>
  <c r="J279" i="6"/>
  <c r="D345" i="5"/>
  <c r="J343" i="6"/>
  <c r="D409" i="5"/>
  <c r="J407" i="6"/>
  <c r="D208" i="5"/>
  <c r="J206" i="6"/>
  <c r="D272" i="5"/>
  <c r="J270" i="6"/>
  <c r="D336" i="5"/>
  <c r="J334" i="6"/>
  <c r="D400" i="5"/>
  <c r="J398" i="6"/>
  <c r="Y418" i="5"/>
  <c r="L416" i="6"/>
  <c r="Y131" i="5"/>
  <c r="L129" i="6"/>
  <c r="Y195" i="5"/>
  <c r="L193" i="6"/>
  <c r="Y259" i="5"/>
  <c r="L257" i="6"/>
  <c r="Y132" i="5"/>
  <c r="L130" i="6"/>
  <c r="Y220" i="5"/>
  <c r="L218" i="6"/>
  <c r="Y380" i="5"/>
  <c r="L378" i="6"/>
  <c r="Y117" i="5"/>
  <c r="L115" i="6"/>
  <c r="Y181" i="5"/>
  <c r="L179" i="6"/>
  <c r="Y245" i="5"/>
  <c r="L243" i="6"/>
  <c r="Y309" i="5"/>
  <c r="L307" i="6"/>
  <c r="Y15" i="5"/>
  <c r="L13" i="6"/>
  <c r="Y79" i="5"/>
  <c r="L77" i="6"/>
  <c r="Y232" i="5"/>
  <c r="L230" i="6"/>
  <c r="D12" i="5"/>
  <c r="J10" i="6"/>
  <c r="D17" i="5"/>
  <c r="J15" i="6"/>
  <c r="D13" i="5"/>
  <c r="J11" i="6"/>
  <c r="D30" i="5"/>
  <c r="J28" i="6"/>
  <c r="D39" i="5"/>
  <c r="J37" i="6"/>
  <c r="D56" i="5"/>
  <c r="J54" i="6"/>
  <c r="D65" i="5"/>
  <c r="J63" i="6"/>
  <c r="D66" i="5"/>
  <c r="J64" i="6"/>
  <c r="D67" i="5"/>
  <c r="J65" i="6"/>
  <c r="D68" i="5"/>
  <c r="J66" i="6"/>
  <c r="D96" i="5"/>
  <c r="J94" i="6"/>
  <c r="Y140" i="5"/>
  <c r="L138" i="6"/>
  <c r="D204" i="5"/>
  <c r="J202" i="6"/>
  <c r="D268" i="5"/>
  <c r="J266" i="6"/>
  <c r="Y332" i="5"/>
  <c r="L330" i="6"/>
  <c r="D396" i="5"/>
  <c r="J394" i="6"/>
  <c r="D118" i="5"/>
  <c r="J116" i="6"/>
  <c r="D182" i="5"/>
  <c r="J180" i="6"/>
  <c r="D246" i="5"/>
  <c r="J244" i="6"/>
  <c r="D310" i="5"/>
  <c r="J308" i="6"/>
  <c r="D374" i="5"/>
  <c r="J372" i="6"/>
  <c r="D111" i="5"/>
  <c r="J109" i="6"/>
  <c r="D231" i="5"/>
  <c r="J229" i="6"/>
  <c r="D343" i="5"/>
  <c r="J341" i="6"/>
  <c r="D135" i="5"/>
  <c r="J133" i="6"/>
  <c r="D415" i="5"/>
  <c r="J413" i="6"/>
  <c r="D139" i="5"/>
  <c r="J137" i="6"/>
  <c r="D203" i="5"/>
  <c r="J201" i="6"/>
  <c r="D267" i="5"/>
  <c r="J265" i="6"/>
  <c r="D331" i="5"/>
  <c r="J329" i="6"/>
  <c r="D395" i="5"/>
  <c r="J393" i="6"/>
  <c r="D109" i="5"/>
  <c r="J107" i="6"/>
  <c r="D173" i="5"/>
  <c r="J171" i="6"/>
  <c r="D237" i="5"/>
  <c r="J235" i="6"/>
  <c r="D365" i="5"/>
  <c r="J363" i="6"/>
  <c r="D104" i="5"/>
  <c r="J102" i="6"/>
  <c r="D90" i="5"/>
  <c r="J88" i="6"/>
  <c r="D154" i="5"/>
  <c r="J152" i="6"/>
  <c r="D218" i="5"/>
  <c r="J216" i="6"/>
  <c r="D282" i="5"/>
  <c r="J280" i="6"/>
  <c r="D97" i="5"/>
  <c r="J95" i="6"/>
  <c r="D161" i="5"/>
  <c r="J159" i="6"/>
  <c r="D225" i="5"/>
  <c r="J223" i="6"/>
  <c r="D289" i="5"/>
  <c r="J287" i="6"/>
  <c r="D353" i="5"/>
  <c r="J351" i="6"/>
  <c r="D417" i="5"/>
  <c r="J415" i="6"/>
  <c r="D280" i="5"/>
  <c r="J278" i="6"/>
  <c r="D416" i="5"/>
  <c r="J414" i="6"/>
  <c r="D301" i="5"/>
  <c r="D354" i="5"/>
  <c r="D216" i="5"/>
  <c r="D344" i="5"/>
  <c r="D81" i="5"/>
  <c r="D337" i="5"/>
  <c r="D401" i="5"/>
  <c r="D392" i="5"/>
  <c r="D328" i="5"/>
  <c r="D74" i="5"/>
  <c r="D77" i="5"/>
  <c r="D397" i="5"/>
  <c r="D321" i="5"/>
  <c r="D402" i="5"/>
  <c r="D72" i="5"/>
  <c r="D232" i="5"/>
  <c r="D362" i="5"/>
  <c r="D85" i="5"/>
  <c r="D201" i="5"/>
  <c r="D265" i="5"/>
  <c r="D320" i="5"/>
  <c r="D384" i="5"/>
  <c r="D418" i="5"/>
  <c r="L1" i="5"/>
  <c r="U1" i="5"/>
  <c r="W1" i="5"/>
  <c r="X1" i="5"/>
  <c r="T1" i="5"/>
  <c r="G1" i="5"/>
  <c r="S1" i="5"/>
  <c r="R1" i="5"/>
  <c r="V1" i="5"/>
  <c r="J1" i="5"/>
  <c r="F1" i="5"/>
  <c r="H1" i="5"/>
  <c r="K1" i="5"/>
  <c r="I1" i="5"/>
  <c r="E1" i="5"/>
  <c r="D75" i="5"/>
  <c r="Y125" i="5"/>
  <c r="Y199" i="5"/>
  <c r="Y95" i="5"/>
  <c r="Y304" i="5"/>
  <c r="Y408" i="5"/>
  <c r="Y313" i="5"/>
  <c r="Y249" i="5"/>
  <c r="Y352" i="5"/>
  <c r="Y153" i="5"/>
  <c r="Y209" i="5"/>
  <c r="Y385" i="5"/>
  <c r="Y381" i="5"/>
  <c r="Y353" i="5"/>
  <c r="Y119" i="5"/>
  <c r="Y159" i="5"/>
  <c r="Y215" i="5"/>
  <c r="Y399" i="5"/>
  <c r="Y182" i="5"/>
  <c r="Y342" i="5"/>
  <c r="Y216" i="5"/>
  <c r="Y233" i="5"/>
  <c r="Y410" i="5"/>
  <c r="Y414" i="5"/>
  <c r="Y97" i="5"/>
  <c r="Y337" i="5"/>
  <c r="Y138" i="5"/>
  <c r="Y104" i="5"/>
  <c r="Y168" i="5"/>
  <c r="Y362" i="5"/>
  <c r="Y248" i="5"/>
  <c r="Y160" i="5"/>
  <c r="Y184" i="5"/>
  <c r="Y382" i="5"/>
  <c r="Y247" i="5"/>
  <c r="Y231" i="5"/>
  <c r="Y252" i="5"/>
  <c r="Y300" i="5"/>
  <c r="Y412" i="5"/>
  <c r="Y235" i="5"/>
  <c r="Y411" i="5"/>
  <c r="Y96" i="5"/>
  <c r="Y208" i="5"/>
  <c r="Y185" i="5"/>
  <c r="Y417" i="5"/>
  <c r="Y384" i="5"/>
  <c r="Y343" i="5"/>
  <c r="Y270" i="5"/>
  <c r="Y146" i="5"/>
  <c r="Y246" i="5"/>
  <c r="Y297" i="5"/>
  <c r="Y176" i="5"/>
  <c r="Y366" i="5"/>
  <c r="Y94" i="5"/>
  <c r="Y198" i="5"/>
  <c r="Y263" i="5"/>
  <c r="Y266" i="5"/>
  <c r="Y256" i="5"/>
  <c r="Y280" i="5"/>
  <c r="Y312" i="5"/>
  <c r="Y416" i="5"/>
  <c r="Y361" i="5"/>
  <c r="Y329" i="5"/>
  <c r="Y217" i="5"/>
  <c r="Y277" i="5"/>
  <c r="Y127" i="5"/>
  <c r="Y175" i="5"/>
  <c r="Y223" i="5"/>
  <c r="Y292" i="5"/>
  <c r="Y348" i="5"/>
  <c r="Y190" i="5"/>
  <c r="Y224" i="5"/>
  <c r="Y241" i="5"/>
  <c r="Y394" i="5"/>
  <c r="Y142" i="5"/>
  <c r="Y112" i="5"/>
  <c r="Y295" i="5"/>
  <c r="Y255" i="5"/>
  <c r="Y121" i="5"/>
  <c r="Y161" i="5"/>
  <c r="Y390" i="5"/>
  <c r="Y406" i="5"/>
  <c r="Y359" i="5"/>
  <c r="Y126" i="5"/>
  <c r="Y177" i="5"/>
  <c r="Y228" i="5"/>
  <c r="Y308" i="5"/>
  <c r="Y393" i="5"/>
  <c r="Y169" i="5"/>
  <c r="Y401" i="5"/>
  <c r="Y323" i="5"/>
  <c r="Y387" i="5"/>
  <c r="Y128" i="5"/>
  <c r="Y328" i="5"/>
  <c r="Y360" i="5"/>
  <c r="Y271" i="5"/>
  <c r="Y303" i="5"/>
  <c r="Y305" i="5"/>
  <c r="Y206" i="5"/>
  <c r="Y351" i="5"/>
  <c r="Y238" i="5"/>
  <c r="Y105" i="5"/>
  <c r="Y134" i="5"/>
  <c r="Y286" i="5"/>
  <c r="Y369" i="5"/>
  <c r="Y320" i="5"/>
  <c r="Y288" i="5"/>
  <c r="Y392" i="5"/>
  <c r="Y242" i="5"/>
  <c r="Y196" i="5"/>
  <c r="Y336" i="5"/>
  <c r="Y368" i="5"/>
  <c r="Y137" i="5"/>
  <c r="Y193" i="5"/>
  <c r="Y345" i="5"/>
  <c r="Y285" i="5"/>
  <c r="Y317" i="5"/>
  <c r="Y143" i="5"/>
  <c r="Y239" i="5"/>
  <c r="Y367" i="5"/>
  <c r="Y118" i="5"/>
  <c r="Y129" i="5"/>
  <c r="Y113" i="5"/>
  <c r="Y222" i="5"/>
  <c r="Y120" i="5"/>
  <c r="Y192" i="5"/>
  <c r="Y264" i="5"/>
  <c r="Y103" i="5"/>
  <c r="Y147" i="5"/>
  <c r="Y170" i="5"/>
  <c r="Y326" i="5"/>
  <c r="Y327" i="5"/>
  <c r="Y135" i="5"/>
  <c r="Y407" i="5"/>
  <c r="Y90" i="5"/>
  <c r="Y250" i="5"/>
  <c r="Y236" i="5"/>
  <c r="Y409" i="5"/>
  <c r="Y171" i="5"/>
  <c r="Y395" i="5"/>
  <c r="Y136" i="5"/>
  <c r="Y183" i="5"/>
  <c r="Y311" i="5"/>
  <c r="Y316" i="5"/>
  <c r="Y334" i="5"/>
  <c r="Y92" i="5"/>
  <c r="Y310" i="5"/>
  <c r="Y306" i="5"/>
  <c r="Y273" i="5"/>
  <c r="Y88" i="5"/>
  <c r="Y265" i="5"/>
  <c r="Y279" i="5"/>
  <c r="Y133" i="5"/>
  <c r="Y191" i="5"/>
  <c r="Y243" i="5"/>
  <c r="Y158" i="5"/>
  <c r="Y210" i="5"/>
  <c r="Y240" i="5"/>
  <c r="Y296" i="5"/>
  <c r="Y400" i="5"/>
  <c r="Y281" i="5"/>
  <c r="Y145" i="5"/>
  <c r="Y201" i="5"/>
  <c r="Y377" i="5"/>
  <c r="Y229" i="5"/>
  <c r="Y373" i="5"/>
  <c r="Y405" i="5"/>
  <c r="Y111" i="5"/>
  <c r="Y151" i="5"/>
  <c r="Y207" i="5"/>
  <c r="Y375" i="5"/>
  <c r="Y89" i="5"/>
  <c r="Y225" i="5"/>
  <c r="Y165" i="5"/>
  <c r="Y374" i="5"/>
  <c r="Y321" i="5"/>
  <c r="Y257" i="5"/>
  <c r="Y370" i="5"/>
  <c r="Y174" i="5"/>
  <c r="Y152" i="5"/>
  <c r="Y200" i="5"/>
  <c r="Y287" i="5"/>
  <c r="Y358" i="5"/>
  <c r="Y335" i="5"/>
  <c r="Y87" i="5"/>
  <c r="Y275" i="5"/>
  <c r="Y262" i="5"/>
  <c r="Y350" i="5"/>
  <c r="Y391" i="5"/>
  <c r="Y167" i="5"/>
  <c r="Y415" i="5"/>
  <c r="Y106" i="5"/>
  <c r="Y156" i="5"/>
  <c r="Y212" i="5"/>
  <c r="Y244" i="5"/>
  <c r="Y404" i="5"/>
  <c r="Y272" i="5"/>
  <c r="Y179" i="5"/>
  <c r="Y227" i="5"/>
  <c r="Y339" i="5"/>
  <c r="Y403" i="5"/>
  <c r="Y144" i="5"/>
  <c r="Y344" i="5"/>
  <c r="Y376" i="5"/>
  <c r="Y319" i="5"/>
  <c r="Y110" i="5"/>
  <c r="Y114" i="5"/>
  <c r="Y289" i="5"/>
  <c r="Y302" i="5"/>
  <c r="Y398" i="5"/>
  <c r="Y383" i="5"/>
  <c r="Y40" i="5"/>
  <c r="Y36" i="5"/>
  <c r="Y24" i="5"/>
  <c r="Y29" i="5"/>
  <c r="Y43" i="5"/>
  <c r="Y52" i="5"/>
  <c r="Y64" i="5"/>
  <c r="Y33" i="5"/>
  <c r="Y48" i="5"/>
  <c r="Y42" i="5"/>
  <c r="Y56" i="5"/>
  <c r="Y69" i="5"/>
  <c r="Y80" i="5"/>
  <c r="Y84" i="5"/>
  <c r="Y60" i="5"/>
  <c r="Y61" i="5"/>
  <c r="Y49" i="5"/>
  <c r="Y28" i="5"/>
  <c r="Y53" i="5"/>
  <c r="Y44" i="5"/>
  <c r="Y72" i="5"/>
  <c r="Y75" i="5"/>
  <c r="Y21" i="5"/>
  <c r="Y67" i="5"/>
  <c r="Y76" i="5"/>
  <c r="Y81" i="5"/>
  <c r="Y4" i="5"/>
  <c r="Y6" i="5"/>
  <c r="Y62" i="5"/>
  <c r="Y83" i="5"/>
  <c r="Y10" i="5"/>
  <c r="Y68" i="5"/>
  <c r="Y85" i="5"/>
  <c r="Y17" i="5"/>
  <c r="Y82" i="5"/>
  <c r="Y11" i="5"/>
  <c r="Y71" i="5"/>
  <c r="Y12" i="5"/>
  <c r="Y59" i="5"/>
  <c r="Y27" i="5"/>
  <c r="Y5" i="5"/>
  <c r="Y65" i="5"/>
  <c r="Y37" i="5"/>
  <c r="Y20" i="5"/>
  <c r="Y16" i="5"/>
  <c r="Y35" i="5"/>
  <c r="Y30" i="5"/>
  <c r="Y51" i="5"/>
  <c r="Y14" i="5"/>
  <c r="Y45" i="5"/>
  <c r="Y19" i="5"/>
  <c r="Y66" i="5"/>
  <c r="Y32" i="5"/>
  <c r="Y8" i="5"/>
  <c r="Y41" i="5"/>
  <c r="Y26" i="5"/>
  <c r="Y13" i="5"/>
  <c r="Y73" i="5"/>
  <c r="Y77" i="5"/>
  <c r="Y34" i="5"/>
  <c r="Y22" i="5"/>
  <c r="Y57" i="5"/>
  <c r="N1" i="5"/>
  <c r="P1" i="5"/>
  <c r="W2" i="3"/>
  <c r="M78" i="3"/>
  <c r="D78" i="3" s="1"/>
  <c r="M47" i="3"/>
  <c r="D47" i="3" s="1"/>
  <c r="M56" i="3"/>
  <c r="D56" i="3" s="1"/>
  <c r="M31" i="3"/>
  <c r="D31" i="3" s="1"/>
  <c r="M35" i="3"/>
  <c r="D35" i="3" s="1"/>
  <c r="M58" i="3"/>
  <c r="D58" i="3" s="1"/>
  <c r="M13" i="3"/>
  <c r="D13" i="3" s="1"/>
  <c r="M9" i="3"/>
  <c r="D9" i="3" s="1"/>
  <c r="M66" i="3"/>
  <c r="D66" i="3" s="1"/>
  <c r="M4" i="3"/>
  <c r="D4" i="3" s="1"/>
  <c r="M6" i="3"/>
  <c r="D6" i="3" s="1"/>
  <c r="M57" i="3"/>
  <c r="D57" i="3" s="1"/>
  <c r="M3" i="3"/>
  <c r="D3" i="3" s="1"/>
  <c r="M68" i="3"/>
  <c r="D68" i="3" s="1"/>
  <c r="M11" i="3"/>
  <c r="D11" i="3" s="1"/>
  <c r="M32" i="3"/>
  <c r="D32" i="3" s="1"/>
  <c r="M83" i="3"/>
  <c r="D83" i="3" s="1"/>
  <c r="M65" i="3"/>
  <c r="D65" i="3" s="1"/>
  <c r="M49" i="3"/>
  <c r="D49" i="3" s="1"/>
  <c r="M20" i="3"/>
  <c r="D20" i="3" s="1"/>
  <c r="M80" i="3"/>
  <c r="D80" i="3" s="1"/>
  <c r="M73" i="3"/>
  <c r="D73" i="3" s="1"/>
  <c r="M43" i="3"/>
  <c r="D43" i="3" s="1"/>
  <c r="M5" i="3"/>
  <c r="D5" i="3" s="1"/>
  <c r="M15" i="3"/>
  <c r="D15" i="3" s="1"/>
  <c r="M36" i="3"/>
  <c r="D36" i="3" s="1"/>
  <c r="M74" i="3"/>
  <c r="D74" i="3" s="1"/>
  <c r="M8" i="3"/>
  <c r="D8" i="3" s="1"/>
  <c r="M29" i="3"/>
  <c r="D29" i="3" s="1"/>
  <c r="M7" i="3"/>
  <c r="D7" i="3" s="1"/>
  <c r="M44" i="3"/>
  <c r="D44" i="3" s="1"/>
  <c r="M82" i="3"/>
  <c r="D82" i="3" s="1"/>
  <c r="M23" i="3"/>
  <c r="D23" i="3" s="1"/>
  <c r="M48" i="3"/>
  <c r="D48" i="3" s="1"/>
  <c r="M53" i="3"/>
  <c r="D53" i="3" s="1"/>
  <c r="M30" i="3"/>
  <c r="D30" i="3" s="1"/>
  <c r="M26" i="3"/>
  <c r="D26" i="3" s="1"/>
  <c r="M17" i="3"/>
  <c r="D17" i="3" s="1"/>
  <c r="M28" i="3"/>
  <c r="D28" i="3" s="1"/>
  <c r="M85" i="3"/>
  <c r="D85" i="3" s="1"/>
  <c r="M22" i="3"/>
  <c r="D22" i="3" s="1"/>
  <c r="M42" i="3"/>
  <c r="D42" i="3" s="1"/>
  <c r="M60" i="3"/>
  <c r="D60" i="3" s="1"/>
  <c r="M79" i="3"/>
  <c r="D79" i="3" s="1"/>
  <c r="M72" i="3"/>
  <c r="D72" i="3" s="1"/>
  <c r="M12" i="3"/>
  <c r="D12" i="3" s="1"/>
  <c r="M64" i="3"/>
  <c r="D64" i="3" s="1"/>
  <c r="M76" i="3"/>
  <c r="D76" i="3" s="1"/>
  <c r="M40" i="3"/>
  <c r="D40" i="3" s="1"/>
  <c r="M41" i="3"/>
  <c r="D41" i="3" s="1"/>
  <c r="M84" i="3"/>
  <c r="D84" i="3" s="1"/>
  <c r="M16" i="3"/>
  <c r="D16" i="3" s="1"/>
  <c r="M71" i="3"/>
  <c r="D71" i="3" s="1"/>
  <c r="M46" i="3"/>
  <c r="D46" i="3" s="1"/>
  <c r="M62" i="3"/>
  <c r="D62" i="3" s="1"/>
  <c r="M10" i="3"/>
  <c r="D10" i="3" s="1"/>
  <c r="M25" i="3"/>
  <c r="D25" i="3" s="1"/>
  <c r="M34" i="3"/>
  <c r="D34" i="3" s="1"/>
  <c r="M33" i="3"/>
  <c r="D33" i="3" s="1"/>
  <c r="M55" i="3"/>
  <c r="D55" i="3" s="1"/>
  <c r="M69" i="3"/>
  <c r="D69" i="3" s="1"/>
  <c r="M39" i="3"/>
  <c r="D39" i="3" s="1"/>
  <c r="M52" i="3"/>
  <c r="D52" i="3" s="1"/>
  <c r="M70" i="3"/>
  <c r="D70" i="3" s="1"/>
  <c r="M63" i="3"/>
  <c r="D63" i="3" s="1"/>
  <c r="M81" i="3"/>
  <c r="D81" i="3" s="1"/>
  <c r="M37" i="3"/>
  <c r="D37" i="3" s="1"/>
  <c r="M38" i="3"/>
  <c r="D38" i="3" s="1"/>
  <c r="M59" i="3"/>
  <c r="D59" i="3" s="1"/>
  <c r="M77" i="3"/>
  <c r="D77" i="3" s="1"/>
  <c r="M21" i="3"/>
  <c r="D21" i="3" s="1"/>
  <c r="M61" i="3"/>
  <c r="D61" i="3" s="1"/>
  <c r="M45" i="3"/>
  <c r="D45" i="3" s="1"/>
  <c r="M50" i="3"/>
  <c r="D50" i="3" s="1"/>
  <c r="M27" i="3"/>
  <c r="D27" i="3" s="1"/>
  <c r="M51" i="3"/>
  <c r="D51" i="3" s="1"/>
  <c r="M75" i="3"/>
  <c r="D75" i="3" s="1"/>
  <c r="M54" i="3"/>
  <c r="D54" i="3" s="1"/>
  <c r="M24" i="3"/>
  <c r="D24" i="3" s="1"/>
  <c r="M18" i="3"/>
  <c r="D18" i="3" s="1"/>
  <c r="M67" i="3"/>
  <c r="D67" i="3" s="1"/>
  <c r="M14" i="3"/>
  <c r="D14" i="3" s="1"/>
  <c r="M19" i="3"/>
  <c r="D19" i="3" s="1"/>
  <c r="D3" i="5" l="1"/>
  <c r="Y3" i="5"/>
  <c r="D2" i="3"/>
  <c r="M1" i="3"/>
  <c r="O1" i="3"/>
</calcChain>
</file>

<file path=xl/sharedStrings.xml><?xml version="1.0" encoding="utf-8"?>
<sst xmlns="http://schemas.openxmlformats.org/spreadsheetml/2006/main" count="2832" uniqueCount="275">
  <si>
    <t>Ticker</t>
  </si>
  <si>
    <t>Exer Px</t>
  </si>
  <si>
    <t>Curr Px</t>
  </si>
  <si>
    <t>Exer Dt</t>
  </si>
  <si>
    <t>P/C</t>
  </si>
  <si>
    <t>Time</t>
  </si>
  <si>
    <t>Pct Chg on Day</t>
  </si>
  <si>
    <t>Chg on Day</t>
  </si>
  <si>
    <t>Volume</t>
  </si>
  <si>
    <t>Bid</t>
  </si>
  <si>
    <t>Ask</t>
  </si>
  <si>
    <t>25090 HK Equity</t>
  </si>
  <si>
    <t>11062 HK Equity</t>
  </si>
  <si>
    <t>12276 HK Equity</t>
  </si>
  <si>
    <t>14950 HK Equity</t>
  </si>
  <si>
    <t>20513 HK Equity</t>
  </si>
  <si>
    <t>23383 HK Equity</t>
  </si>
  <si>
    <t>23517 HK Equity</t>
  </si>
  <si>
    <t>23535 HK Equity</t>
  </si>
  <si>
    <t>23975 HK Equity</t>
  </si>
  <si>
    <t>24107 HK Equity</t>
  </si>
  <si>
    <t>24137 HK Equity</t>
  </si>
  <si>
    <t>24376 HK Equity</t>
  </si>
  <si>
    <t>24425 HK Equity</t>
  </si>
  <si>
    <t>24684 HK Equity</t>
  </si>
  <si>
    <t>24830 HK Equity</t>
  </si>
  <si>
    <t>25447 HK Equity</t>
  </si>
  <si>
    <t>25548 HK Equity</t>
  </si>
  <si>
    <t>25599 HK Equity</t>
  </si>
  <si>
    <t>25625 HK Equity</t>
  </si>
  <si>
    <t>25660 HK Equity</t>
  </si>
  <si>
    <t>25698 HK Equity</t>
  </si>
  <si>
    <t>25722 HK Equity</t>
  </si>
  <si>
    <t>25919 HK Equity</t>
  </si>
  <si>
    <t>25946 HK Equity</t>
  </si>
  <si>
    <t>25984 HK Equity</t>
  </si>
  <si>
    <t>25994 HK Equity</t>
  </si>
  <si>
    <t>26052 HK Equity</t>
  </si>
  <si>
    <t>26092 HK Equity</t>
  </si>
  <si>
    <t>26143 HK Equity</t>
  </si>
  <si>
    <t>26190 HK Equity</t>
  </si>
  <si>
    <t>26225 HK Equity</t>
  </si>
  <si>
    <t>26488 HK Equity</t>
  </si>
  <si>
    <t>26668 HK Equity</t>
  </si>
  <si>
    <t>26704 HK Equity</t>
  </si>
  <si>
    <t>26712 HK Equity</t>
  </si>
  <si>
    <t>26747 HK Equity</t>
  </si>
  <si>
    <t>26764 HK Equity</t>
  </si>
  <si>
    <t>26788 HK Equity</t>
  </si>
  <si>
    <t>26849 HK Equity</t>
  </si>
  <si>
    <t>26921 HK Equity</t>
  </si>
  <si>
    <t>26939 HK Equity</t>
  </si>
  <si>
    <t>26987 HK Equity</t>
  </si>
  <si>
    <t>27157 HK Equity</t>
  </si>
  <si>
    <t>27177 HK Equity</t>
  </si>
  <si>
    <t>27286 HK Equity</t>
  </si>
  <si>
    <t>27360 HK Equity</t>
  </si>
  <si>
    <t>27438 HK Equity</t>
  </si>
  <si>
    <t>27465 HK Equity</t>
  </si>
  <si>
    <t>27594 HK Equity</t>
  </si>
  <si>
    <t>27608 HK Equity</t>
  </si>
  <si>
    <t>27666 HK Equity</t>
  </si>
  <si>
    <t>27828 HK Equity</t>
  </si>
  <si>
    <t>27894 HK Equity</t>
  </si>
  <si>
    <t>23970 HK Equity</t>
  </si>
  <si>
    <t>24451 HK Equity</t>
  </si>
  <si>
    <t>22799 HK Equity</t>
  </si>
  <si>
    <t>11069 HK Equity</t>
  </si>
  <si>
    <t>18856 HK Equity</t>
  </si>
  <si>
    <t>19187 HK Equity</t>
  </si>
  <si>
    <t>20411 HK Equity</t>
  </si>
  <si>
    <t>20537 HK Equity</t>
  </si>
  <si>
    <t>20588 HK Equity</t>
  </si>
  <si>
    <t>21009 HK Equity</t>
  </si>
  <si>
    <t>21875 HK Equity</t>
  </si>
  <si>
    <t>22822 HK Equity</t>
  </si>
  <si>
    <t>23287 HK Equity</t>
  </si>
  <si>
    <t>23522 HK Equity</t>
  </si>
  <si>
    <t>23538 HK Equity</t>
  </si>
  <si>
    <t>24108 HK Equity</t>
  </si>
  <si>
    <t>24166 HK Equity</t>
  </si>
  <si>
    <t>24262 HK Equity</t>
  </si>
  <si>
    <t>24315 HK Equity</t>
  </si>
  <si>
    <t>24427 HK Equity</t>
  </si>
  <si>
    <t>24688 HK Equity</t>
  </si>
  <si>
    <t>24831 HK Equity</t>
  </si>
  <si>
    <t>25195 HK Equity</t>
  </si>
  <si>
    <t>25270 HK Equity</t>
  </si>
  <si>
    <t>25326 HK Equity</t>
  </si>
  <si>
    <t>25376 HK Equity</t>
  </si>
  <si>
    <t>25473 HK Equity</t>
  </si>
  <si>
    <t>25579 HK Equity</t>
  </si>
  <si>
    <t>25600 HK Equity</t>
  </si>
  <si>
    <t>25662 HK Equity</t>
  </si>
  <si>
    <t>25679 HK Equity</t>
  </si>
  <si>
    <t>25712 HK Equity</t>
  </si>
  <si>
    <t>25787 HK Equity</t>
  </si>
  <si>
    <t>25898 HK Equity</t>
  </si>
  <si>
    <t>25909 HK Equity</t>
  </si>
  <si>
    <t>25915 HK Equity</t>
  </si>
  <si>
    <t>25959 HK Equity</t>
  </si>
  <si>
    <t>26121 HK Equity</t>
  </si>
  <si>
    <t>26147 HK Equity</t>
  </si>
  <si>
    <t>26191 HK Equity</t>
  </si>
  <si>
    <t>26319 HK Equity</t>
  </si>
  <si>
    <t>26390 HK Equity</t>
  </si>
  <si>
    <t>26399 HK Equity</t>
  </si>
  <si>
    <t>26444 HK Equity</t>
  </si>
  <si>
    <t>26511 HK Equity</t>
  </si>
  <si>
    <t>26540 HK Equity</t>
  </si>
  <si>
    <t>26583 HK Equity</t>
  </si>
  <si>
    <t>26748 HK Equity</t>
  </si>
  <si>
    <t>26756 HK Equity</t>
  </si>
  <si>
    <t>26874 HK Equity</t>
  </si>
  <si>
    <t>26896 HK Equity</t>
  </si>
  <si>
    <t>27077 HK Equity</t>
  </si>
  <si>
    <t>27111 HK Equity</t>
  </si>
  <si>
    <t>27321 HK Equity</t>
  </si>
  <si>
    <t>27356 HK Equity</t>
  </si>
  <si>
    <t>27382 HK Equity</t>
  </si>
  <si>
    <t>27394 HK Equity</t>
  </si>
  <si>
    <t>27596 HK Equity</t>
  </si>
  <si>
    <t>27821 HK Equity</t>
  </si>
  <si>
    <t>27914 HK Equity</t>
  </si>
  <si>
    <t>28080 HK Equity</t>
  </si>
  <si>
    <t>28129 HK Equity</t>
  </si>
  <si>
    <t>28167 HK Equity</t>
  </si>
  <si>
    <t>25489 HK Equity</t>
  </si>
  <si>
    <t>26014 HK Equity</t>
  </si>
  <si>
    <t>11153 HK Equity</t>
  </si>
  <si>
    <t>11321 HK Equity</t>
  </si>
  <si>
    <t>20546 HK Equity</t>
  </si>
  <si>
    <t>21028 HK Equity</t>
  </si>
  <si>
    <t>21729 HK Equity</t>
  </si>
  <si>
    <t>21852 HK Equity</t>
  </si>
  <si>
    <t>22156 HK Equity</t>
  </si>
  <si>
    <t>22313 HK Equity</t>
  </si>
  <si>
    <t>22353 HK Equity</t>
  </si>
  <si>
    <t>22990 HK Equity</t>
  </si>
  <si>
    <t>22997 HK Equity</t>
  </si>
  <si>
    <t>23055 HK Equity</t>
  </si>
  <si>
    <t>23523 HK Equity</t>
  </si>
  <si>
    <t>23683 HK Equity</t>
  </si>
  <si>
    <t>23841 HK Equity</t>
  </si>
  <si>
    <t>24167 HK Equity</t>
  </si>
  <si>
    <t>24429 HK Equity</t>
  </si>
  <si>
    <t>24691 HK Equity</t>
  </si>
  <si>
    <t>24821 HK Equity</t>
  </si>
  <si>
    <t>25146 HK Equity</t>
  </si>
  <si>
    <t>25236 HK Equity</t>
  </si>
  <si>
    <t>25272 HK Equity</t>
  </si>
  <si>
    <t>25306 HK Equity</t>
  </si>
  <si>
    <t>25357 HK Equity</t>
  </si>
  <si>
    <t>25377 HK Equity</t>
  </si>
  <si>
    <t>25457 HK Equity</t>
  </si>
  <si>
    <t>25479 HK Equity</t>
  </si>
  <si>
    <t>25618 HK Equity</t>
  </si>
  <si>
    <t>25713 HK Equity</t>
  </si>
  <si>
    <t>25803 HK Equity</t>
  </si>
  <si>
    <t>25901 HK Equity</t>
  </si>
  <si>
    <t>25910 HK Equity</t>
  </si>
  <si>
    <t>25916 HK Equity</t>
  </si>
  <si>
    <t>25948 HK Equity</t>
  </si>
  <si>
    <t>25960 HK Equity</t>
  </si>
  <si>
    <t>25986 HK Equity</t>
  </si>
  <si>
    <t>26036 HK Equity</t>
  </si>
  <si>
    <t>26201 HK Equity</t>
  </si>
  <si>
    <t>26206 HK Equity</t>
  </si>
  <si>
    <t>26320 HK Equity</t>
  </si>
  <si>
    <t>26362 HK Equity</t>
  </si>
  <si>
    <t>26485 HK Equity</t>
  </si>
  <si>
    <t>26532 HK Equity</t>
  </si>
  <si>
    <t>26559 HK Equity</t>
  </si>
  <si>
    <t>26585 HK Equity</t>
  </si>
  <si>
    <t>26753 HK Equity</t>
  </si>
  <si>
    <t>27112 HK Equity</t>
  </si>
  <si>
    <t>27188 HK Equity</t>
  </si>
  <si>
    <t>27280 HK Equity</t>
  </si>
  <si>
    <t>27284 HK Equity</t>
  </si>
  <si>
    <t>27422 HK Equity</t>
  </si>
  <si>
    <t>27562 HK Equity</t>
  </si>
  <si>
    <t>27891 HK Equity</t>
  </si>
  <si>
    <t>28081 HK Equity</t>
  </si>
  <si>
    <t>28131 HK Equity</t>
  </si>
  <si>
    <t>24452 HK Equity</t>
  </si>
  <si>
    <t>29179 HK Equity</t>
  </si>
  <si>
    <t>11158 HK Equity</t>
  </si>
  <si>
    <t>18766 HK Equity</t>
  </si>
  <si>
    <t>20431 HK Equity</t>
  </si>
  <si>
    <t>22235 HK Equity</t>
  </si>
  <si>
    <t>22320 HK Equity</t>
  </si>
  <si>
    <t>22947 HK Equity</t>
  </si>
  <si>
    <t>22993 HK Equity</t>
  </si>
  <si>
    <t>23524 HK Equity</t>
  </si>
  <si>
    <t>23885 HK Equity</t>
  </si>
  <si>
    <t>24106 HK Equity</t>
  </si>
  <si>
    <t>24374 HK Equity</t>
  </si>
  <si>
    <t>24663 HK Equity</t>
  </si>
  <si>
    <t>24680 HK Equity</t>
  </si>
  <si>
    <t>24712 HK Equity</t>
  </si>
  <si>
    <t>24825 HK Equity</t>
  </si>
  <si>
    <t>24984 HK Equity</t>
  </si>
  <si>
    <t>25483 HK Equity</t>
  </si>
  <si>
    <t>25561 HK Equity</t>
  </si>
  <si>
    <t>25686 HK Equity</t>
  </si>
  <si>
    <t>25720 HK Equity</t>
  </si>
  <si>
    <t>25804 HK Equity</t>
  </si>
  <si>
    <t>25808 HK Equity</t>
  </si>
  <si>
    <t>25902 HK Equity</t>
  </si>
  <si>
    <t>25917 HK Equity</t>
  </si>
  <si>
    <t>25949 HK Equity</t>
  </si>
  <si>
    <t>25969 HK Equity</t>
  </si>
  <si>
    <t>26020 HK Equity</t>
  </si>
  <si>
    <t>26037 HK Equity</t>
  </si>
  <si>
    <t>26064 HK Equity</t>
  </si>
  <si>
    <t>26106 HK Equity</t>
  </si>
  <si>
    <t>26142 HK Equity</t>
  </si>
  <si>
    <t>26155 HK Equity</t>
  </si>
  <si>
    <t>26329 HK Equity</t>
  </si>
  <si>
    <t>26487 HK Equity</t>
  </si>
  <si>
    <t>26491 HK Equity</t>
  </si>
  <si>
    <t>26589 HK Equity</t>
  </si>
  <si>
    <t>26667 HK Equity</t>
  </si>
  <si>
    <t>26703 HK Equity</t>
  </si>
  <si>
    <t>26717 HK Equity</t>
  </si>
  <si>
    <t>26915 HK Equity</t>
  </si>
  <si>
    <t>27129 HK Equity</t>
  </si>
  <si>
    <t>27153 HK Equity</t>
  </si>
  <si>
    <t>27351 HK Equity</t>
  </si>
  <si>
    <t>27359 HK Equity</t>
  </si>
  <si>
    <t>27459 HK Equity</t>
  </si>
  <si>
    <t>27559 HK Equity</t>
  </si>
  <si>
    <t>27564 HK Equity</t>
  </si>
  <si>
    <t>27592 HK Equity</t>
  </si>
  <si>
    <t>27760 HK Equity</t>
  </si>
  <si>
    <t>27827 HK Equity</t>
  </si>
  <si>
    <t>27893 HK Equity</t>
  </si>
  <si>
    <t>28025 HK Equity</t>
  </si>
  <si>
    <t>28120 HK Equity</t>
  </si>
  <si>
    <t>28172 HK Equity</t>
  </si>
  <si>
    <t>28374 HK Equity</t>
  </si>
  <si>
    <t>28393 HK Equity</t>
  </si>
  <si>
    <t>Grand Total</t>
  </si>
  <si>
    <t>28/10/2016</t>
  </si>
  <si>
    <t>28/7/2016</t>
  </si>
  <si>
    <t>29/6/2016</t>
  </si>
  <si>
    <t>29/9/2016</t>
  </si>
  <si>
    <t>30/5/2016</t>
  </si>
  <si>
    <t>30/8/2016</t>
  </si>
  <si>
    <t>Sum of Curr Px</t>
  </si>
  <si>
    <t>Call</t>
  </si>
  <si>
    <t>Put</t>
  </si>
  <si>
    <t>Exercise Price</t>
  </si>
  <si>
    <t>No of date</t>
  </si>
  <si>
    <t>#N/A N/A</t>
  </si>
  <si>
    <t>27/5/2016</t>
  </si>
  <si>
    <t>Put no</t>
  </si>
  <si>
    <t>Call no</t>
  </si>
  <si>
    <t>Put Exercise Date</t>
  </si>
  <si>
    <t>Call Exercise Date</t>
  </si>
  <si>
    <t>Call 1</t>
  </si>
  <si>
    <t>Call 2</t>
  </si>
  <si>
    <t>Call 3</t>
  </si>
  <si>
    <t>Call 4</t>
  </si>
  <si>
    <t>Call 5</t>
  </si>
  <si>
    <t>Call 6</t>
  </si>
  <si>
    <t>Call 7</t>
  </si>
  <si>
    <t>Put 1</t>
  </si>
  <si>
    <t>Put 2</t>
  </si>
  <si>
    <t>Put 3</t>
  </si>
  <si>
    <t>Put 4</t>
  </si>
  <si>
    <t>Put 5</t>
  </si>
  <si>
    <t>Put 6</t>
  </si>
  <si>
    <t>Put 7</t>
  </si>
  <si>
    <t>Put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</si>
</sst>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43" fontId="0" fillId="33" borderId="0" xfId="1" applyFont="1" applyFill="1"/>
    <xf numFmtId="43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Call</v>
        <stp/>
        <stp>##V3_BDPV12</stp>
        <stp xml:space="preserve">14950 HK Equity     </stp>
        <stp>WRT_PUT_OR_CALL</stp>
        <stp>[XLSpdmV8.xls]XLSpdmV8!R5C5</stp>
        <tr r="E5" s="1"/>
      </tp>
      <tp>
        <v>0</v>
        <stp/>
        <stp>##V3_BDPV12</stp>
        <stp xml:space="preserve">14950 HK Equity     </stp>
        <stp>RT_PX_CHG_NET_1D</stp>
        <stp>[XLSpdmV8.xls]XLSpdmV8!R5C8</stp>
        <tr r="H5" s="1"/>
      </tp>
      <tp>
        <v>-1.7999999999999999E-2</v>
        <stp/>
        <stp>##V3_BDPV12</stp>
        <stp xml:space="preserve">23535 HK Equity     </stp>
        <stp>RT_PX_CHG_NET_1D</stp>
        <stp>[XLSpdmV8.xls]XLSpdmV8!R9C8</stp>
        <tr r="H9" s="1"/>
      </tp>
      <tp>
        <v>-9.0909099999999992</v>
        <stp/>
        <stp>##V3_BDPV12</stp>
        <stp xml:space="preserve">23535 HK Equity     </stp>
        <stp>RT_PX_CHG_PCT_1D</stp>
        <stp>[XLSpdmV8.xls]XLSpdmV8!R9C7</stp>
        <tr r="G9" s="1"/>
      </tp>
      <tp>
        <v>0</v>
        <stp/>
        <stp>##V3_BDPV12</stp>
        <stp xml:space="preserve">14950 HK Equity     </stp>
        <stp>RT_PX_CHG_PCT_1D</stp>
        <stp>[XLSpdmV8.xls]XLSpdmV8!R5C7</stp>
        <tr r="G5" s="1"/>
      </tp>
      <tp t="s">
        <v>Call</v>
        <stp/>
        <stp>##V3_BDPV12</stp>
        <stp xml:space="preserve">11062 HK Equity     </stp>
        <stp>WRT_PUT_OR_CALL</stp>
        <stp>[XLSpdmV8.xls]XLSpdmV8!R3C5</stp>
        <tr r="E3" s="1"/>
      </tp>
      <tp>
        <v>0</v>
        <stp/>
        <stp>##V3_BDPV12</stp>
        <stp xml:space="preserve">23517 HK Equity     </stp>
        <stp>RT_PX_CHG_NET_1D</stp>
        <stp>[XLSpdmV8.xls]XLSpdmV8!R8C8</stp>
        <tr r="H8" s="1"/>
      </tp>
      <tp>
        <v>0</v>
        <stp/>
        <stp>##V3_BDPV12</stp>
        <stp xml:space="preserve">23517 HK Equity     </stp>
        <stp>RT_PX_CHG_PCT_1D</stp>
        <stp>[XLSpdmV8.xls]XLSpdmV8!R8C7</stp>
        <tr r="G8" s="1"/>
      </tp>
      <tp t="s">
        <v>Call</v>
        <stp/>
        <stp>##V3_BDPV12</stp>
        <stp xml:space="preserve">23383 HK Equity     </stp>
        <stp>WRT_PUT_OR_CALL</stp>
        <stp>[XLSpdmV8.xls]XLSpdmV8!R7C5</stp>
        <tr r="E7" s="1"/>
      </tp>
      <tp t="s">
        <v>Call</v>
        <stp/>
        <stp>##V3_BDPV12</stp>
        <stp xml:space="preserve">25090 HK Equity     </stp>
        <stp>WRT_PUT_OR_CALL</stp>
        <stp>[XLSpdmV8.xls]XLSpdmV8!R2C5</stp>
        <tr r="E2" s="1"/>
      </tp>
      <tp t="s">
        <v>Call</v>
        <stp/>
        <stp>##V3_BDPV12</stp>
        <stp xml:space="preserve">20513 HK Equity     </stp>
        <stp>WRT_PUT_OR_CALL</stp>
        <stp>[XLSpdmV8.xls]XLSpdmV8!R6C5</stp>
        <tr r="E6" s="1"/>
      </tp>
      <tp t="s">
        <v>Call</v>
        <stp/>
        <stp>##V3_BDPV12</stp>
        <stp xml:space="preserve">12276 HK Equity     </stp>
        <stp>WRT_PUT_OR_CALL</stp>
        <stp>[XLSpdmV8.xls]XLSpdmV8!R4C5</stp>
        <tr r="E4" s="1"/>
      </tp>
      <tp>
        <v>4.0000000000000001E-3</v>
        <stp/>
        <stp>##V3_BDPV12</stp>
        <stp xml:space="preserve">12276 HK Equity     </stp>
        <stp>RT_PX_CHG_NET_1D</stp>
        <stp>[XLSpdmV8.xls]XLSpdmV8!R4C8</stp>
        <tr r="H4" s="1"/>
      </tp>
      <tp>
        <v>30.769199</v>
        <stp/>
        <stp>##V3_BDPV12</stp>
        <stp xml:space="preserve">12276 HK Equity     </stp>
        <stp>RT_PX_CHG_PCT_1D</stp>
        <stp>[XLSpdmV8.xls]XLSpdmV8!R4C7</stp>
        <tr r="G4" s="1"/>
      </tp>
      <tp t="s">
        <v>Call</v>
        <stp/>
        <stp>##V3_BDPV12</stp>
        <stp xml:space="preserve">23517 HK Equity     </stp>
        <stp>WRT_PUT_OR_CALL</stp>
        <stp>[XLSpdmV8.xls]XLSpdmV8!R8C5</stp>
        <tr r="E8" s="1"/>
      </tp>
      <tp>
        <v>0</v>
        <stp/>
        <stp>##V3_BDPV12</stp>
        <stp xml:space="preserve">23383 HK Equity     </stp>
        <stp>RT_PX_CHG_NET_1D</stp>
        <stp>[XLSpdmV8.xls]XLSpdmV8!R7C8</stp>
        <tr r="H7" s="1"/>
      </tp>
      <tp>
        <v>0</v>
        <stp/>
        <stp>##V3_BDPV12</stp>
        <stp xml:space="preserve">23383 HK Equity     </stp>
        <stp>RT_PX_CHG_PCT_1D</stp>
        <stp>[XLSpdmV8.xls]XLSpdmV8!R7C7</stp>
        <tr r="G7" s="1"/>
      </tp>
      <tp t="s">
        <v>Put</v>
        <stp/>
        <stp>##V3_BDPV12</stp>
        <stp xml:space="preserve">23535 HK Equity     </stp>
        <stp>WRT_PUT_OR_CALL</stp>
        <stp>[XLSpdmV8.xls]XLSpdmV8!R9C5</stp>
        <tr r="E9" s="1"/>
      </tp>
      <tp>
        <v>0</v>
        <stp/>
        <stp>##V3_BDPV12</stp>
        <stp xml:space="preserve">25090 HK Equity     </stp>
        <stp>RT_PX_CHG_NET_1D</stp>
        <stp>[XLSpdmV8.xls]XLSpdmV8!R2C8</stp>
        <tr r="H2" s="1"/>
      </tp>
      <tp>
        <v>0</v>
        <stp/>
        <stp>##V3_BDPV12</stp>
        <stp xml:space="preserve">25090 HK Equity     </stp>
        <stp>RT_PX_CHG_PCT_1D</stp>
        <stp>[XLSpdmV8.xls]XLSpdmV8!R2C7</stp>
        <tr r="G2" s="1"/>
      </tp>
      <tp>
        <v>0</v>
        <stp/>
        <stp>##V3_BDPV12</stp>
        <stp xml:space="preserve">11062 HK Equity     </stp>
        <stp>RT_PX_CHG_NET_1D</stp>
        <stp>[XLSpdmV8.xls]XLSpdmV8!R3C8</stp>
        <tr r="H3" s="1"/>
      </tp>
      <tp>
        <v>0</v>
        <stp/>
        <stp>##V3_BDPV12</stp>
        <stp xml:space="preserve">20513 HK Equity     </stp>
        <stp>RT_PX_CHG_NET_1D</stp>
        <stp>[XLSpdmV8.xls]XLSpdmV8!R6C8</stp>
        <tr r="H6" s="1"/>
      </tp>
      <tp>
        <v>0</v>
        <stp/>
        <stp>##V3_BDPV12</stp>
        <stp xml:space="preserve">20513 HK Equity     </stp>
        <stp>RT_PX_CHG_PCT_1D</stp>
        <stp>[XLSpdmV8.xls]XLSpdmV8!R6C7</stp>
        <tr r="G6" s="1"/>
      </tp>
      <tp>
        <v>0</v>
        <stp/>
        <stp>##V3_BDPV12</stp>
        <stp xml:space="preserve">11062 HK Equity     </stp>
        <stp>RT_PX_CHG_PCT_1D</stp>
        <stp>[XLSpdmV8.xls]XLSpdmV8!R3C7</stp>
        <tr r="G3" s="1"/>
      </tp>
      <tp t="s">
        <v>27/5/2016</v>
        <stp/>
        <stp>##V3_BDPV12</stp>
        <stp xml:space="preserve">28167 HK Equity     </stp>
        <stp>TIME</stp>
        <stp>[XLSpdmV8.xls]XLSpdmV8!R117C6</stp>
        <tr r="F117" s="1"/>
      </tp>
      <tp t="s">
        <v>27/5/2016</v>
        <stp/>
        <stp>##V3_BDPV12</stp>
        <stp xml:space="preserve">25808 HK Equity     </stp>
        <stp>TIME</stp>
        <stp>[XLSpdmV8.xls]XLSpdmV8!R198C6</stp>
        <tr r="F198" s="1"/>
      </tp>
      <tp t="s">
        <v>27/5/2016</v>
        <stp/>
        <stp>##V3_BDPV12</stp>
        <stp xml:space="preserve">25483 HK Equity     </stp>
        <stp>TIME</stp>
        <stp>[XLSpdmV8.xls]XLSpdmV8!R193C6</stp>
        <tr r="F193" s="1"/>
      </tp>
      <tp t="s">
        <v>27/5/2016</v>
        <stp/>
        <stp>##V3_BDPV12</stp>
        <stp xml:space="preserve">24106 HK Equity     </stp>
        <stp>TIME</stp>
        <stp>[XLSpdmV8.xls]XLSpdmV8!R186C6</stp>
        <tr r="F186" s="1"/>
      </tp>
      <tp t="s">
        <v>27/5/2016</v>
        <stp/>
        <stp>##V3_BDPV12</stp>
        <stp xml:space="preserve">27914 HK Equity     </stp>
        <stp>TIME</stp>
        <stp>[XLSpdmV8.xls]XLSpdmV8!R114C6</stp>
        <tr r="F114" s="1"/>
      </tp>
      <tp t="s">
        <v>27/5/2016</v>
        <stp/>
        <stp>##V3_BDPV12</stp>
        <stp xml:space="preserve">26874 HK Equity     </stp>
        <stp>TIME</stp>
        <stp>[XLSpdmV8.xls]XLSpdmV8!R104C6</stp>
        <tr r="F104" s="1"/>
      </tp>
      <tp t="s">
        <v>27/5/2016</v>
        <stp/>
        <stp>##V3_BDPV12</stp>
        <stp xml:space="preserve">26106 HK Equity     </stp>
        <stp>TIME</stp>
        <stp>[XLSpdmV8.xls]XLSpdmV8!R206C6</stp>
        <tr r="F206" s="1"/>
      </tp>
      <tp t="s">
        <v>#N/A N/A</v>
        <stp/>
        <stp>##V3_BDPV12</stp>
        <stp xml:space="preserve">26329 HK Equity     </stp>
        <stp>TIME</stp>
        <stp>[XLSpdmV8.xls]XLSpdmV8!R209C6</stp>
        <tr r="F209" s="1"/>
      </tp>
      <tp t="s">
        <v>27/5/2016</v>
        <stp/>
        <stp>##V3_BDPV12</stp>
        <stp xml:space="preserve">26036 HK Equity     </stp>
        <stp>TIME</stp>
        <stp>[XLSpdmV8.xls]XLSpdmV8!R156C6</stp>
        <tr r="F156" s="1"/>
      </tp>
      <tp t="s">
        <v>27/5/2016</v>
        <stp/>
        <stp>##V3_BDPV12</stp>
        <stp xml:space="preserve">26491 HK Equity     </stp>
        <stp>TIME</stp>
        <stp>[XLSpdmV8.xls]XLSpdmV8!R211C6</stp>
        <tr r="F211" s="1"/>
      </tp>
      <tp t="s">
        <v>27/5/2016</v>
        <stp/>
        <stp>##V3_BDPV12</stp>
        <stp xml:space="preserve">26540 HK Equity     </stp>
        <stp>TIME</stp>
        <stp>[XLSpdmV8.xls]XLSpdmV8!R100C6</stp>
        <tr r="F100" s="1"/>
      </tp>
      <tp t="s">
        <v>27/5/2016</v>
        <stp/>
        <stp>##V3_BDPV12</stp>
        <stp xml:space="preserve">26532 HK Equity     </stp>
        <stp>TIME</stp>
        <stp>[XLSpdmV8.xls]XLSpdmV8!R162C6</stp>
        <tr r="F162" s="1"/>
      </tp>
      <tp t="s">
        <v>27/5/2016</v>
        <stp/>
        <stp>##V3_BDPV12</stp>
        <stp xml:space="preserve">11153 HK Equity     </stp>
        <stp>TIME</stp>
        <stp>[XLSpdmV8.xls]XLSpdmV8!R120C6</stp>
        <tr r="F120" s="1"/>
      </tp>
      <tp t="s">
        <v>27/5/2016</v>
        <stp/>
        <stp>##V3_BDPV12</stp>
        <stp xml:space="preserve">23885 HK Equity     </stp>
        <stp>TIME</stp>
        <stp>[XLSpdmV8.xls]XLSpdmV8!R185C6</stp>
        <tr r="F185" s="1"/>
      </tp>
      <tp t="s">
        <v>#N/A N/A</v>
        <stp/>
        <stp>##V3_BDPV12</stp>
        <stp xml:space="preserve">23683 HK Equity     </stp>
        <stp>TIME</stp>
        <stp>[XLSpdmV8.xls]XLSpdmV8!R133C6</stp>
        <tr r="F133" s="1"/>
      </tp>
      <tp t="s">
        <v>27/5/2016</v>
        <stp/>
        <stp>##V3_BDPV12</stp>
        <stp xml:space="preserve">23524 HK Equity     </stp>
        <stp>TIME</stp>
        <stp>[XLSpdmV8.xls]XLSpdmV8!R184C6</stp>
        <tr r="F184" s="1"/>
      </tp>
      <tp t="s">
        <v>27/5/2016</v>
        <stp/>
        <stp>##V3_BDPV12</stp>
        <stp xml:space="preserve">22993 HK Equity     </stp>
        <stp>TIME</stp>
        <stp>[XLSpdmV8.xls]XLSpdmV8!R183C6</stp>
        <tr r="F183" s="1"/>
      </tp>
      <tp t="s">
        <v>27/5/2016</v>
        <stp/>
        <stp>##V3_BDPV12</stp>
        <stp xml:space="preserve">22156 HK Equity     </stp>
        <stp>TIME</stp>
        <stp>[XLSpdmV8.xls]XLSpdmV8!R126C6</stp>
        <tr r="F126" s="1"/>
      </tp>
      <tp t="s">
        <v>#N/A N/A</v>
        <stp/>
        <stp>##V3_BDPV12</stp>
        <stp xml:space="preserve">28393 HK Equity     </stp>
        <stp>TIME</stp>
        <stp>[XLSpdmV8.xls]XLSpdmV8!R232C6</stp>
        <tr r="F232" s="1"/>
      </tp>
      <tp t="s">
        <v>27/5/2016</v>
        <stp/>
        <stp>##V3_BDPV12</stp>
        <stp xml:space="preserve">25910 HK Equity     </stp>
        <stp>TIME</stp>
        <stp>[XLSpdmV8.xls]XLSpdmV8!R151C6</stp>
        <tr r="F151" s="1"/>
      </tp>
      <tp t="s">
        <v>27/5/2016</v>
        <stp/>
        <stp>##V3_BDPV12</stp>
        <stp xml:space="preserve">25901 HK Equity     </stp>
        <stp>TIME</stp>
        <stp>[XLSpdmV8.xls]XLSpdmV8!R150C6</stp>
        <tr r="F150" s="1"/>
      </tp>
      <tp t="s">
        <v>27/5/2016</v>
        <stp/>
        <stp>##V3_BDPV12</stp>
        <stp xml:space="preserve">25489 HK Equity     </stp>
        <stp>TIME</stp>
        <stp>[XLSpdmV8.xls]XLSpdmV8!R118C6</stp>
        <tr r="F118" s="1"/>
      </tp>
      <tp t="s">
        <v>27/5/2016</v>
        <stp/>
        <stp>##V3_BDPV12</stp>
        <stp xml:space="preserve">27827 HK Equity     </stp>
        <stp>TIME</stp>
        <stp>[XLSpdmV8.xls]XLSpdmV8!R226C6</stp>
        <tr r="F226" s="1"/>
      </tp>
      <tp t="s">
        <v>27/5/2016</v>
        <stp/>
        <stp>##V3_BDPV12</stp>
        <stp xml:space="preserve">27077 HK Equity     </stp>
        <stp>TIME</stp>
        <stp>[XLSpdmV8.xls]XLSpdmV8!R106C6</stp>
        <tr r="F106" s="1"/>
      </tp>
      <tp t="s">
        <v>27/5/2016</v>
        <stp/>
        <stp>##V3_BDPV12</stp>
        <stp xml:space="preserve">26064 HK Equity     </stp>
        <stp>TIME</stp>
        <stp>[XLSpdmV8.xls]XLSpdmV8!R205C6</stp>
        <tr r="F205" s="1"/>
      </tp>
      <tp t="s">
        <v>27/5/2016</v>
        <stp/>
        <stp>##V3_BDPV12</stp>
        <stp xml:space="preserve">26585 HK Equity     </stp>
        <stp>TIME</stp>
        <stp>[XLSpdmV8.xls]XLSpdmV8!R164C6</stp>
        <tr r="F164" s="1"/>
      </tp>
      <tp t="s">
        <v>27/5/2016</v>
        <stp/>
        <stp>##V3_BDPV12</stp>
        <stp xml:space="preserve">23523 HK Equity     </stp>
        <stp>TIME</stp>
        <stp>[XLSpdmV8.xls]XLSpdmV8!R132C6</stp>
        <tr r="F132" s="1"/>
      </tp>
      <tp t="s">
        <v>27/5/2016</v>
        <stp/>
        <stp>##V3_BDPV12</stp>
        <stp xml:space="preserve">22320 HK Equity     </stp>
        <stp>TIME</stp>
        <stp>[XLSpdmV8.xls]XLSpdmV8!R181C6</stp>
        <tr r="F181" s="1"/>
      </tp>
      <tp t="s">
        <v>#N/A N/A</v>
        <stp/>
        <stp>##V3_BDPV12</stp>
        <stp xml:space="preserve">28172 HK Equity     </stp>
        <stp>TIME</stp>
        <stp>[XLSpdmV8.xls]XLSpdmV8!R230C6</stp>
        <tr r="F230" s="1"/>
      </tp>
      <tp t="s">
        <v>#N/A N/A</v>
        <stp/>
        <stp>##V3_BDPV12</stp>
        <stp xml:space="preserve">28081 HK Equity     </stp>
        <stp>TIME</stp>
        <stp>[XLSpdmV8.xls]XLSpdmV8!R173C6</stp>
        <tr r="F173" s="1"/>
      </tp>
      <tp t="s">
        <v>27/5/2016</v>
        <stp/>
        <stp>##V3_BDPV12</stp>
        <stp xml:space="preserve">25457 HK Equity     </stp>
        <stp>TIME</stp>
        <stp>[XLSpdmV8.xls]XLSpdmV8!R145C6</stp>
        <tr r="F145" s="1"/>
      </tp>
      <tp t="s">
        <v>27/5/2016</v>
        <stp/>
        <stp>##V3_BDPV12</stp>
        <stp xml:space="preserve">24167 HK Equity     </stp>
        <stp>TIME</stp>
        <stp>[XLSpdmV8.xls]XLSpdmV8!R135C6</stp>
        <tr r="F135" s="1"/>
      </tp>
      <tp t="s">
        <v>27/5/2016</v>
        <stp/>
        <stp>##V3_BDPV12</stp>
        <stp xml:space="preserve">24712 HK Equity     </stp>
        <stp>TIME</stp>
        <stp>[XLSpdmV8.xls]XLSpdmV8!R190C6</stp>
        <tr r="F190" s="1"/>
      </tp>
      <tp t="s">
        <v>27/5/2016</v>
        <stp/>
        <stp>##V3_BDPV12</stp>
        <stp xml:space="preserve">27821 HK Equity     </stp>
        <stp>TIME</stp>
        <stp>[XLSpdmV8.xls]XLSpdmV8!R113C6</stp>
        <tr r="F113" s="1"/>
      </tp>
      <tp t="s">
        <v>27/5/2016</v>
        <stp/>
        <stp>##V3_BDPV12</stp>
        <stp xml:space="preserve">27382 HK Equity     </stp>
        <stp>TIME</stp>
        <stp>[XLSpdmV8.xls]XLSpdmV8!R110C6</stp>
        <tr r="F110" s="1"/>
      </tp>
      <tp t="s">
        <v>27/5/2016</v>
        <stp/>
        <stp>##V3_BDPV12</stp>
        <stp xml:space="preserve">27422 HK Equity     </stp>
        <stp>TIME</stp>
        <stp>[XLSpdmV8.xls]XLSpdmV8!R170C6</stp>
        <tr r="F170" s="1"/>
      </tp>
      <tp t="s">
        <v>27/5/2016</v>
        <stp/>
        <stp>##V3_BDPV12</stp>
        <stp xml:space="preserve">26362 HK Equity     </stp>
        <stp>TIME</stp>
        <stp>[XLSpdmV8.xls]XLSpdmV8!R160C6</stp>
        <tr r="F160" s="1"/>
      </tp>
      <tp t="s">
        <v>27/5/2016</v>
        <stp/>
        <stp>##V3_BDPV12</stp>
        <stp xml:space="preserve">26583 HK Equity     </stp>
        <stp>TIME</stp>
        <stp>[XLSpdmV8.xls]XLSpdmV8!R101C6</stp>
        <tr r="F101" s="1"/>
      </tp>
      <tp t="s">
        <v>27/5/2016</v>
        <stp/>
        <stp>##V3_BDPV12</stp>
        <stp xml:space="preserve">26717 HK Equity     </stp>
        <stp>TIME</stp>
        <stp>[XLSpdmV8.xls]XLSpdmV8!R215C6</stp>
        <tr r="F215" s="1"/>
      </tp>
      <tp t="s">
        <v>27/5/2016</v>
        <stp/>
        <stp>##V3_BDPV12</stp>
        <stp xml:space="preserve">25986 HK Equity     </stp>
        <stp>TIME</stp>
        <stp>[XLSpdmV8.xls]XLSpdmV8!R155C6</stp>
        <tr r="F155" s="1"/>
      </tp>
      <tp t="s">
        <v>27/5/2016</v>
        <stp/>
        <stp>##V3_BDPV12</stp>
        <stp xml:space="preserve">25804 HK Equity     </stp>
        <stp>TIME</stp>
        <stp>[XLSpdmV8.xls]XLSpdmV8!R197C6</stp>
        <tr r="F197" s="1"/>
      </tp>
      <tp t="s">
        <v>27/5/2016</v>
        <stp/>
        <stp>##V3_BDPV12</stp>
        <stp xml:space="preserve">25377 HK Equity     </stp>
        <stp>TIME</stp>
        <stp>[XLSpdmV8.xls]XLSpdmV8!R144C6</stp>
        <tr r="F144" s="1"/>
      </tp>
      <tp t="s">
        <v>27/5/2016</v>
        <stp/>
        <stp>##V3_BDPV12</stp>
        <stp xml:space="preserve">25272 HK Equity     </stp>
        <stp>TIME</stp>
        <stp>[XLSpdmV8.xls]XLSpdmV8!R141C6</stp>
        <tr r="F141" s="1"/>
      </tp>
      <tp t="s">
        <v>27/5/2016</v>
        <stp/>
        <stp>##V3_BDPV12</stp>
        <stp xml:space="preserve">25686 HK Equity     </stp>
        <stp>TIME</stp>
        <stp>[XLSpdmV8.xls]XLSpdmV8!R195C6</stp>
        <tr r="F195" s="1"/>
      </tp>
      <tp t="s">
        <v>27/5/2016</v>
        <stp/>
        <stp>##V3_BDPV12</stp>
        <stp xml:space="preserve">24374 HK Equity     </stp>
        <stp>TIME</stp>
        <stp>[XLSpdmV8.xls]XLSpdmV8!R187C6</stp>
        <tr r="F187" s="1"/>
      </tp>
      <tp t="s">
        <v>27/5/2016</v>
        <stp/>
        <stp>##V3_BDPV12</stp>
        <stp xml:space="preserve">27891 HK Equity     </stp>
        <stp>TIME</stp>
        <stp>[XLSpdmV8.xls]XLSpdmV8!R172C6</stp>
        <tr r="F172" s="1"/>
      </tp>
      <tp t="s">
        <v>27/5/2016</v>
        <stp/>
        <stp>##V3_BDPV12</stp>
        <stp xml:space="preserve">27562 HK Equity     </stp>
        <stp>TIME</stp>
        <stp>[XLSpdmV8.xls]XLSpdmV8!R171C6</stp>
        <tr r="F171" s="1"/>
      </tp>
      <tp t="s">
        <v>27/5/2016</v>
        <stp/>
        <stp>##V3_BDPV12</stp>
        <stp xml:space="preserve">26915 HK Equity     </stp>
        <stp>TIME</stp>
        <stp>[XLSpdmV8.xls]XLSpdmV8!R216C6</stp>
        <tr r="F216" s="1"/>
      </tp>
      <tp t="s">
        <v>27/5/2016</v>
        <stp/>
        <stp>##V3_BDPV12</stp>
        <stp xml:space="preserve">26896 HK Equity     </stp>
        <stp>TIME</stp>
        <stp>[XLSpdmV8.xls]XLSpdmV8!R105C6</stp>
        <tr r="F105" s="1"/>
      </tp>
      <tp t="s">
        <v>27/5/2016</v>
        <stp/>
        <stp>##V3_BDPV12</stp>
        <stp xml:space="preserve">26020 HK Equity     </stp>
        <stp>TIME</stp>
        <stp>[XLSpdmV8.xls]XLSpdmV8!R203C6</stp>
        <tr r="F203" s="1"/>
      </tp>
      <tp t="s">
        <v>27/5/2016</v>
        <stp/>
        <stp>##V3_BDPV12</stp>
        <stp xml:space="preserve">26037 HK Equity     </stp>
        <stp>TIME</stp>
        <stp>[XLSpdmV8.xls]XLSpdmV8!R204C6</stp>
        <tr r="F204" s="1"/>
      </tp>
      <tp t="s">
        <v>27/5/2016</v>
        <stp/>
        <stp>##V3_BDPV12</stp>
        <stp xml:space="preserve">11321 HK Equity     </stp>
        <stp>TIME</stp>
        <stp>[XLSpdmV8.xls]XLSpdmV8!R121C6</stp>
        <tr r="F121" s="1"/>
      </tp>
      <tp t="s">
        <v>27/5/2016</v>
        <stp/>
        <stp>##V3_BDPV12</stp>
        <stp xml:space="preserve">25960 HK Equity     </stp>
        <stp>TIME</stp>
        <stp>[XLSpdmV8.xls]XLSpdmV8!R154C6</stp>
        <tr r="F154" s="1"/>
      </tp>
      <tp t="s">
        <v>27/5/2016</v>
        <stp/>
        <stp>##V3_BDPV12</stp>
        <stp xml:space="preserve">25916 HK Equity     </stp>
        <stp>TIME</stp>
        <stp>[XLSpdmV8.xls]XLSpdmV8!R152C6</stp>
        <tr r="F152" s="1"/>
      </tp>
      <tp t="s">
        <v>27/5/2016</v>
        <stp/>
        <stp>##V3_BDPV12</stp>
        <stp xml:space="preserve">25357 HK Equity     </stp>
        <stp>TIME</stp>
        <stp>[XLSpdmV8.xls]XLSpdmV8!R143C6</stp>
        <tr r="F143" s="1"/>
      </tp>
      <tp t="s">
        <v>27/5/2016</v>
        <stp/>
        <stp>##V3_BDPV12</stp>
        <stp xml:space="preserve">25306 HK Equity     </stp>
        <stp>TIME</stp>
        <stp>[XLSpdmV8.xls]XLSpdmV8!R142C6</stp>
        <tr r="F142" s="1"/>
      </tp>
      <tp t="s">
        <v>#N/A N/A</v>
        <stp/>
        <stp>##V3_BDPV12</stp>
        <stp xml:space="preserve">24825 HK Equity     </stp>
        <stp>TIME</stp>
        <stp>[XLSpdmV8.xls]XLSpdmV8!R191C6</stp>
        <tr r="F191" s="1"/>
      </tp>
      <tp t="s">
        <v>27/5/2016</v>
        <stp/>
        <stp>##V3_BDPV12</stp>
        <stp xml:space="preserve">27893 HK Equity     </stp>
        <stp>TIME</stp>
        <stp>[XLSpdmV8.xls]XLSpdmV8!R227C6</stp>
        <tr r="F227" s="1"/>
      </tp>
      <tp t="s">
        <v>27/5/2016</v>
        <stp/>
        <stp>##V3_BDPV12</stp>
        <stp xml:space="preserve">27112 HK Equity     </stp>
        <stp>TIME</stp>
        <stp>[XLSpdmV8.xls]XLSpdmV8!R166C6</stp>
        <tr r="F166" s="1"/>
      </tp>
      <tp t="s">
        <v>27/5/2016</v>
        <stp/>
        <stp>##V3_BDPV12</stp>
        <stp xml:space="preserve">27596 HK Equity     </stp>
        <stp>TIME</stp>
        <stp>[XLSpdmV8.xls]XLSpdmV8!R112C6</stp>
        <tr r="F112" s="1"/>
      </tp>
      <tp t="s">
        <v>#N/A N/A</v>
        <stp/>
        <stp>##V3_BDPV12</stp>
        <stp xml:space="preserve">26667 HK Equity     </stp>
        <stp>TIME</stp>
        <stp>[XLSpdmV8.xls]XLSpdmV8!R213C6</stp>
        <tr r="F213" s="1"/>
      </tp>
      <tp t="s">
        <v>27/5/2016</v>
        <stp/>
        <stp>##V3_BDPV12</stp>
        <stp xml:space="preserve">26485 HK Equity     </stp>
        <stp>TIME</stp>
        <stp>[XLSpdmV8.xls]XLSpdmV8!R161C6</stp>
        <tr r="F161" s="1"/>
      </tp>
      <tp t="s">
        <v>27/5/2016</v>
        <stp/>
        <stp>##V3_BDPV12</stp>
        <stp xml:space="preserve">20546 HK Equity     </stp>
        <stp>TIME</stp>
        <stp>[XLSpdmV8.xls]XLSpdmV8!R122C6</stp>
        <tr r="F122" s="1"/>
      </tp>
      <tp t="s">
        <v>27/5/2016</v>
        <stp/>
        <stp>##V3_BDPV12</stp>
        <stp xml:space="preserve">23055 HK Equity     </stp>
        <stp>TIME</stp>
        <stp>[XLSpdmV8.xls]XLSpdmV8!R131C6</stp>
        <tr r="F131" s="1"/>
      </tp>
      <tp t="s">
        <v>27/5/2016</v>
        <stp/>
        <stp>##V3_BDPV12</stp>
        <stp xml:space="preserve">22313 HK Equity     </stp>
        <stp>TIME</stp>
        <stp>[XLSpdmV8.xls]XLSpdmV8!R127C6</stp>
        <tr r="F127" s="1"/>
      </tp>
      <tp t="s">
        <v>#N/A N/A</v>
        <stp/>
        <stp>##V3_BDPV12</stp>
        <stp xml:space="preserve">28131 HK Equity     </stp>
        <stp>TIME</stp>
        <stp>[XLSpdmV8.xls]XLSpdmV8!R174C6</stp>
        <tr r="F174" s="1"/>
      </tp>
      <tp t="s">
        <v>#N/A N/A</v>
        <stp/>
        <stp>##V3_BDPV12</stp>
        <stp xml:space="preserve">28374 HK Equity     </stp>
        <stp>TIME</stp>
        <stp>[XLSpdmV8.xls]XLSpdmV8!R231C6</stp>
        <tr r="F231" s="1"/>
      </tp>
      <tp t="s">
        <v>27/5/2016</v>
        <stp/>
        <stp>##V3_BDPV12</stp>
        <stp xml:space="preserve">28080 HK Equity     </stp>
        <stp>TIME</stp>
        <stp>[XLSpdmV8.xls]XLSpdmV8!R115C6</stp>
        <tr r="F115" s="1"/>
      </tp>
      <tp t="s">
        <v>27/5/2016</v>
        <stp/>
        <stp>##V3_BDPV12</stp>
        <stp xml:space="preserve">25561 HK Equity     </stp>
        <stp>TIME</stp>
        <stp>[XLSpdmV8.xls]XLSpdmV8!R194C6</stp>
        <tr r="F194" s="1"/>
      </tp>
      <tp t="s">
        <v>27/5/2016</v>
        <stp/>
        <stp>##V3_BDPV12</stp>
        <stp xml:space="preserve">27394 HK Equity     </stp>
        <stp>TIME</stp>
        <stp>[XLSpdmV8.xls]XLSpdmV8!R111C6</stp>
        <tr r="F111" s="1"/>
      </tp>
      <tp t="s">
        <v>27/5/2016</v>
        <stp/>
        <stp>##V3_BDPV12</stp>
        <stp xml:space="preserve">27760 HK Equity     </stp>
        <stp>TIME</stp>
        <stp>[XLSpdmV8.xls]XLSpdmV8!R225C6</stp>
        <tr r="F225" s="1"/>
      </tp>
      <tp t="s">
        <v>27/5/2016</v>
        <stp/>
        <stp>##V3_BDPV12</stp>
        <stp xml:space="preserve">26142 HK Equity     </stp>
        <stp>TIME</stp>
        <stp>[XLSpdmV8.xls]XLSpdmV8!R207C6</stp>
        <tr r="F207" s="1"/>
      </tp>
      <tp t="s">
        <v>27/5/2016</v>
        <stp/>
        <stp>##V3_BDPV12</stp>
        <stp xml:space="preserve">26756 HK Equity     </stp>
        <stp>TIME</stp>
        <stp>[XLSpdmV8.xls]XLSpdmV8!R103C6</stp>
        <tr r="F103" s="1"/>
      </tp>
      <tp t="s">
        <v>27/5/2016</v>
        <stp/>
        <stp>##V3_BDPV12</stp>
        <stp xml:space="preserve">23841 HK Equity     </stp>
        <stp>TIME</stp>
        <stp>[XLSpdmV8.xls]XLSpdmV8!R134C6</stp>
        <tr r="F134" s="1"/>
      </tp>
      <tp t="s">
        <v>27/5/2016</v>
        <stp/>
        <stp>##V3_BDPV12</stp>
        <stp xml:space="preserve">22947 HK Equity     </stp>
        <stp>TIME</stp>
        <stp>[XLSpdmV8.xls]XLSpdmV8!R182C6</stp>
        <tr r="F182" s="1"/>
      </tp>
      <tp t="s">
        <v>27/5/2016</v>
        <stp/>
        <stp>##V3_BDPV12</stp>
        <stp xml:space="preserve">22235 HK Equity     </stp>
        <stp>TIME</stp>
        <stp>[XLSpdmV8.xls]XLSpdmV8!R180C6</stp>
        <tr r="F180" s="1"/>
      </tp>
      <tp t="s">
        <v>27/5/2016</v>
        <stp/>
        <stp>##V3_BDPV12</stp>
        <stp xml:space="preserve">25236 HK Equity     </stp>
        <stp>TIME</stp>
        <stp>[XLSpdmV8.xls]XLSpdmV8!R140C6</stp>
        <tr r="F140" s="1"/>
      </tp>
      <tp t="s">
        <v>27/5/2016</v>
        <stp/>
        <stp>##V3_BDPV12</stp>
        <stp xml:space="preserve">25720 HK Equity     </stp>
        <stp>TIME</stp>
        <stp>[XLSpdmV8.xls]XLSpdmV8!R196C6</stp>
        <tr r="F196" s="1"/>
      </tp>
      <tp t="s">
        <v>27/5/2016</v>
        <stp/>
        <stp>##V3_BDPV12</stp>
        <stp xml:space="preserve">24984 HK Equity     </stp>
        <stp>TIME</stp>
        <stp>[XLSpdmV8.xls]XLSpdmV8!R192C6</stp>
        <tr r="F192" s="1"/>
      </tp>
      <tp t="s">
        <v>27/5/2016</v>
        <stp/>
        <stp>##V3_BDPV12</stp>
        <stp xml:space="preserve">24691 HK Equity     </stp>
        <stp>TIME</stp>
        <stp>[XLSpdmV8.xls]XLSpdmV8!R137C6</stp>
        <tr r="F137" s="1"/>
      </tp>
      <tp t="s">
        <v>27/5/2016</v>
        <stp/>
        <stp>##V3_BDPV12</stp>
        <stp xml:space="preserve">27111 HK Equity     </stp>
        <stp>TIME</stp>
        <stp>[XLSpdmV8.xls]XLSpdmV8!R107C6</stp>
        <tr r="F107" s="1"/>
      </tp>
      <tp t="s">
        <v>#N/A N/A</v>
        <stp/>
        <stp>##V3_BDPV12</stp>
        <stp xml:space="preserve">27592 HK Equity     </stp>
        <stp>TIME</stp>
        <stp>[XLSpdmV8.xls]XLSpdmV8!R224C6</stp>
        <tr r="F224" s="1"/>
      </tp>
      <tp t="s">
        <v>27/5/2016</v>
        <stp/>
        <stp>##V3_BDPV12</stp>
        <stp xml:space="preserve">26201 HK Equity     </stp>
        <stp>TIME</stp>
        <stp>[XLSpdmV8.xls]XLSpdmV8!R157C6</stp>
        <tr r="F157" s="1"/>
      </tp>
      <tp t="s">
        <v>27/5/2016</v>
        <stp/>
        <stp>##V3_BDPV12</stp>
        <stp xml:space="preserve">26753 HK Equity     </stp>
        <stp>TIME</stp>
        <stp>[XLSpdmV8.xls]XLSpdmV8!R165C6</stp>
        <tr r="F165" s="1"/>
      </tp>
      <tp t="s">
        <v>27/5/2016</v>
        <stp/>
        <stp>##V3_BDPV12</stp>
        <stp xml:space="preserve">25917 HK Equity     </stp>
        <stp>TIME</stp>
        <stp>[XLSpdmV8.xls]XLSpdmV8!R200C6</stp>
        <tr r="F200" s="1"/>
      </tp>
      <tp t="s">
        <v>27/5/2016</v>
        <stp/>
        <stp>##V3_BDPV12</stp>
        <stp xml:space="preserve">24452 HK Equity     </stp>
        <stp>TIME</stp>
        <stp>[XLSpdmV8.xls]XLSpdmV8!R175C6</stp>
        <tr r="F175" s="1"/>
      </tp>
      <tp t="s">
        <v>27/5/2016</v>
        <stp/>
        <stp>##V3_BDPV12</stp>
        <stp xml:space="preserve">27564 HK Equity     </stp>
        <stp>TIME</stp>
        <stp>[XLSpdmV8.xls]XLSpdmV8!R223C6</stp>
        <tr r="F223" s="1"/>
      </tp>
      <tp t="s">
        <v>27/5/2016</v>
        <stp/>
        <stp>##V3_BDPV12</stp>
        <stp xml:space="preserve">26487 HK Equity     </stp>
        <stp>TIME</stp>
        <stp>[XLSpdmV8.xls]XLSpdmV8!R210C6</stp>
        <tr r="F210" s="1"/>
      </tp>
      <tp t="s">
        <v>27/5/2016</v>
        <stp/>
        <stp>##V3_BDPV12</stp>
        <stp xml:space="preserve">26703 HK Equity     </stp>
        <stp>TIME</stp>
        <stp>[XLSpdmV8.xls]XLSpdmV8!R214C6</stp>
        <tr r="F214" s="1"/>
      </tp>
      <tp t="s">
        <v>27/5/2016</v>
        <stp/>
        <stp>##V3_BDPV12</stp>
        <stp xml:space="preserve">21852 HK Equity     </stp>
        <stp>TIME</stp>
        <stp>[XLSpdmV8.xls]XLSpdmV8!R125C6</stp>
        <tr r="F125" s="1"/>
      </tp>
      <tp t="s">
        <v>27/5/2016</v>
        <stp/>
        <stp>##V3_BDPV12</stp>
        <stp xml:space="preserve">22997 HK Equity     </stp>
        <stp>TIME</stp>
        <stp>[XLSpdmV8.xls]XLSpdmV8!R130C6</stp>
        <tr r="F130" s="1"/>
      </tp>
      <tp t="s">
        <v>27/5/2016</v>
        <stp/>
        <stp>##V3_BDPV12</stp>
        <stp xml:space="preserve">25949 HK Equity     </stp>
        <stp>TIME</stp>
        <stp>[XLSpdmV8.xls]XLSpdmV8!R201C6</stp>
        <tr r="F201" s="1"/>
      </tp>
      <tp t="s">
        <v>27/5/2016</v>
        <stp/>
        <stp>##V3_BDPV12</stp>
        <stp xml:space="preserve">27280 HK Equity     </stp>
        <stp>TIME</stp>
        <stp>[XLSpdmV8.xls]XLSpdmV8!R168C6</stp>
        <tr r="F168" s="1"/>
      </tp>
      <tp t="s">
        <v>#N/A N/A</v>
        <stp/>
        <stp>##V3_BDPV12</stp>
        <stp xml:space="preserve">27351 HK Equity     </stp>
        <stp>TIME</stp>
        <stp>[XLSpdmV8.xls]XLSpdmV8!R219C6</stp>
        <tr r="F219" s="1"/>
      </tp>
      <tp t="s">
        <v>27/5/2016</v>
        <stp/>
        <stp>##V3_BDPV12</stp>
        <stp xml:space="preserve">27459 HK Equity     </stp>
        <stp>TIME</stp>
        <stp>[XLSpdmV8.xls]XLSpdmV8!R221C6</stp>
        <tr r="F221" s="1"/>
      </tp>
      <tp t="s">
        <v>27/5/2016</v>
        <stp/>
        <stp>##V3_BDPV12</stp>
        <stp xml:space="preserve">20431 HK Equity     </stp>
        <stp>TIME</stp>
        <stp>[XLSpdmV8.xls]XLSpdmV8!R179C6</stp>
        <tr r="F179" s="1"/>
      </tp>
      <tp t="s">
        <v>#N/A N/A</v>
        <stp/>
        <stp>##V3_BDPV12</stp>
        <stp xml:space="preserve">28120 HK Equity     </stp>
        <stp>TIME</stp>
        <stp>[XLSpdmV8.xls]XLSpdmV8!R229C6</stp>
        <tr r="F229" s="1"/>
      </tp>
      <tp t="s">
        <v>#N/A N/A</v>
        <stp/>
        <stp>##V3_BDPV12</stp>
        <stp xml:space="preserve">24821 HK Equity     </stp>
        <stp>TIME</stp>
        <stp>[XLSpdmV8.xls]XLSpdmV8!R138C6</stp>
        <tr r="F138" s="1"/>
      </tp>
      <tp t="s">
        <v>27/5/2016</v>
        <stp/>
        <stp>##V3_BDPV12</stp>
        <stp xml:space="preserve">24680 HK Equity     </stp>
        <stp>TIME</stp>
        <stp>[XLSpdmV8.xls]XLSpdmV8!R189C6</stp>
        <tr r="F189" s="1"/>
      </tp>
      <tp t="s">
        <v>27/5/2016</v>
        <stp/>
        <stp>##V3_BDPV12</stp>
        <stp xml:space="preserve">27321 HK Equity     </stp>
        <stp>TIME</stp>
        <stp>[XLSpdmV8.xls]XLSpdmV8!R108C6</stp>
        <tr r="F108" s="1"/>
      </tp>
      <tp t="s">
        <v>27/5/2016</v>
        <stp/>
        <stp>##V3_BDPV12</stp>
        <stp xml:space="preserve">27359 HK Equity     </stp>
        <stp>TIME</stp>
        <stp>[XLSpdmV8.xls]XLSpdmV8!R220C6</stp>
        <tr r="F220" s="1"/>
      </tp>
      <tp t="s">
        <v>27/5/2016</v>
        <stp/>
        <stp>##V3_BDPV12</stp>
        <stp xml:space="preserve">26320 HK Equity     </stp>
        <stp>TIME</stp>
        <stp>[XLSpdmV8.xls]XLSpdmV8!R159C6</stp>
        <tr r="F159" s="1"/>
      </tp>
      <tp t="s">
        <v>27/5/2016</v>
        <stp/>
        <stp>##V3_BDPV12</stp>
        <stp xml:space="preserve">22990 HK Equity     </stp>
        <stp>TIME</stp>
        <stp>[XLSpdmV8.xls]XLSpdmV8!R129C6</stp>
        <tr r="F129" s="1"/>
      </tp>
      <tp t="s">
        <v>27/5/2016</v>
        <stp/>
        <stp>##V3_BDPV12</stp>
        <stp xml:space="preserve">25803 HK Equity     </stp>
        <stp>TIME</stp>
        <stp>[XLSpdmV8.xls]XLSpdmV8!R149C6</stp>
        <tr r="F149" s="1"/>
      </tp>
      <tp t="s">
        <v>27/5/2016</v>
        <stp/>
        <stp>##V3_BDPV12</stp>
        <stp xml:space="preserve">26748 HK Equity     </stp>
        <stp>TIME</stp>
        <stp>[XLSpdmV8.xls]XLSpdmV8!R102C6</stp>
        <tr r="F102" s="1"/>
      </tp>
      <tp t="s">
        <v>27/5/2016</v>
        <stp/>
        <stp>##V3_BDPV12</stp>
        <stp xml:space="preserve">26559 HK Equity     </stp>
        <stp>TIME</stp>
        <stp>[XLSpdmV8.xls]XLSpdmV8!R163C6</stp>
        <tr r="F163" s="1"/>
      </tp>
      <tp t="s">
        <v>27/5/2016</v>
        <stp/>
        <stp>##V3_BDPV12</stp>
        <stp xml:space="preserve">25969 HK Equity     </stp>
        <stp>TIME</stp>
        <stp>[XLSpdmV8.xls]XLSpdmV8!R202C6</stp>
        <tr r="F202" s="1"/>
      </tp>
      <tp t="s">
        <v>27/5/2016</v>
        <stp/>
        <stp>##V3_BDPV12</stp>
        <stp xml:space="preserve">25948 HK Equity     </stp>
        <stp>TIME</stp>
        <stp>[XLSpdmV8.xls]XLSpdmV8!R153C6</stp>
        <tr r="F153" s="1"/>
      </tp>
      <tp t="s">
        <v>27/5/2016</v>
        <stp/>
        <stp>##V3_BDPV12</stp>
        <stp xml:space="preserve">25902 HK Equity     </stp>
        <stp>TIME</stp>
        <stp>[XLSpdmV8.xls]XLSpdmV8!R199C6</stp>
        <tr r="F199" s="1"/>
      </tp>
      <tp t="s">
        <v>27/5/2016</v>
        <stp/>
        <stp>##V3_BDPV12</stp>
        <stp xml:space="preserve">25713 HK Equity     </stp>
        <stp>TIME</stp>
        <stp>[XLSpdmV8.xls]XLSpdmV8!R148C6</stp>
        <tr r="F148" s="1"/>
      </tp>
      <tp t="s">
        <v>27/5/2016</v>
        <stp/>
        <stp>##V3_BDPV12</stp>
        <stp xml:space="preserve">24663 HK Equity     </stp>
        <stp>TIME</stp>
        <stp>[XLSpdmV8.xls]XLSpdmV8!R188C6</stp>
        <tr r="F188" s="1"/>
      </tp>
      <tp t="s">
        <v>27/5/2016</v>
        <stp/>
        <stp>##V3_BDPV12</stp>
        <stp xml:space="preserve">27153 HK Equity     </stp>
        <stp>TIME</stp>
        <stp>[XLSpdmV8.xls]XLSpdmV8!R218C6</stp>
        <tr r="F218" s="1"/>
      </tp>
      <tp t="s">
        <v>27/5/2016</v>
        <stp/>
        <stp>##V3_BDPV12</stp>
        <stp xml:space="preserve">27559 HK Equity     </stp>
        <stp>TIME</stp>
        <stp>[XLSpdmV8.xls]XLSpdmV8!R222C6</stp>
        <tr r="F222" s="1"/>
      </tp>
      <tp t="s">
        <v>27/5/2016</v>
        <stp/>
        <stp>##V3_BDPV12</stp>
        <stp xml:space="preserve">26589 HK Equity     </stp>
        <stp>TIME</stp>
        <stp>[XLSpdmV8.xls]XLSpdmV8!R212C6</stp>
        <tr r="F212" s="1"/>
      </tp>
      <tp t="s">
        <v>27/5/2016</v>
        <stp/>
        <stp>##V3_BDPV12</stp>
        <stp xml:space="preserve">21028 HK Equity     </stp>
        <stp>TIME</stp>
        <stp>[XLSpdmV8.xls]XLSpdmV8!R123C6</stp>
        <tr r="F123" s="1"/>
      </tp>
      <tp t="s">
        <v>27/5/2016</v>
        <stp/>
        <stp>##V3_BDPV12</stp>
        <stp xml:space="preserve">22353 HK Equity     </stp>
        <stp>TIME</stp>
        <stp>[XLSpdmV8.xls]XLSpdmV8!R128C6</stp>
        <tr r="F128" s="1"/>
      </tp>
      <tp t="s">
        <v>27/5/2016</v>
        <stp/>
        <stp>##V3_BDPV12</stp>
        <stp xml:space="preserve">11158 HK Equity     </stp>
        <stp>TIME</stp>
        <stp>[XLSpdmV8.xls]XLSpdmV8!R177C6</stp>
        <tr r="F177" s="1"/>
      </tp>
      <tp t="s">
        <v>27/5/2016</v>
        <stp/>
        <stp>##V3_BDPV12</stp>
        <stp xml:space="preserve">28025 HK Equity     </stp>
        <stp>TIME</stp>
        <stp>[XLSpdmV8.xls]XLSpdmV8!R228C6</stp>
        <tr r="F228" s="1"/>
      </tp>
      <tp t="s">
        <v>27/5/2016</v>
        <stp/>
        <stp>##V3_BDPV12</stp>
        <stp xml:space="preserve">18766 HK Equity     </stp>
        <stp>TIME</stp>
        <stp>[XLSpdmV8.xls]XLSpdmV8!R178C6</stp>
        <tr r="F178" s="1"/>
      </tp>
      <tp t="s">
        <v>27/5/2016</v>
        <stp/>
        <stp>##V3_BDPV12</stp>
        <stp xml:space="preserve">27284 HK Equity     </stp>
        <stp>TIME</stp>
        <stp>[XLSpdmV8.xls]XLSpdmV8!R169C6</stp>
        <tr r="F169" s="1"/>
      </tp>
      <tp t="s">
        <v>27/5/2016</v>
        <stp/>
        <stp>##V3_BDPV12</stp>
        <stp xml:space="preserve">26155 HK Equity     </stp>
        <stp>TIME</stp>
        <stp>[XLSpdmV8.xls]XLSpdmV8!R208C6</stp>
        <tr r="F208" s="1"/>
      </tp>
      <tp t="s">
        <v>27/5/2016</v>
        <stp/>
        <stp>##V3_BDPV12</stp>
        <stp xml:space="preserve">26014 HK Equity     </stp>
        <stp>TIME</stp>
        <stp>[XLSpdmV8.xls]XLSpdmV8!R119C6</stp>
        <tr r="F119" s="1"/>
      </tp>
      <tp t="s">
        <v>27/5/2016</v>
        <stp/>
        <stp>##V3_BDPV12</stp>
        <stp xml:space="preserve">21729 HK Equity     </stp>
        <stp>TIME</stp>
        <stp>[XLSpdmV8.xls]XLSpdmV8!R124C6</stp>
        <tr r="F124" s="1"/>
      </tp>
      <tp t="s">
        <v>27/5/2016</v>
        <stp/>
        <stp>##V3_BDPV12</stp>
        <stp xml:space="preserve">27129 HK Equity     </stp>
        <stp>TIME</stp>
        <stp>[XLSpdmV8.xls]XLSpdmV8!R217C6</stp>
        <tr r="F217" s="1"/>
      </tp>
      <tp t="s">
        <v>27/5/2016</v>
        <stp/>
        <stp>##V3_BDPV12</stp>
        <stp xml:space="preserve">26206 HK Equity     </stp>
        <stp>TIME</stp>
        <stp>[XLSpdmV8.xls]XLSpdmV8!R158C6</stp>
        <tr r="F158" s="1"/>
      </tp>
      <tp t="s">
        <v>27/5/2016</v>
        <stp/>
        <stp>##V3_BDPV12</stp>
        <stp xml:space="preserve">29179 HK Equity     </stp>
        <stp>TIME</stp>
        <stp>[XLSpdmV8.xls]XLSpdmV8!R176C6</stp>
        <tr r="F176" s="1"/>
      </tp>
      <tp t="s">
        <v>27/5/2016</v>
        <stp/>
        <stp>##V3_BDPV12</stp>
        <stp xml:space="preserve">28129 HK Equity     </stp>
        <stp>TIME</stp>
        <stp>[XLSpdmV8.xls]XLSpdmV8!R116C6</stp>
        <tr r="F116" s="1"/>
      </tp>
      <tp t="s">
        <v>27/5/2016</v>
        <stp/>
        <stp>##V3_BDPV12</stp>
        <stp xml:space="preserve">25146 HK Equity     </stp>
        <stp>TIME</stp>
        <stp>[XLSpdmV8.xls]XLSpdmV8!R139C6</stp>
        <tr r="F139" s="1"/>
      </tp>
      <tp t="s">
        <v>27/5/2016</v>
        <stp/>
        <stp>##V3_BDPV12</stp>
        <stp xml:space="preserve">25618 HK Equity     </stp>
        <stp>TIME</stp>
        <stp>[XLSpdmV8.xls]XLSpdmV8!R147C6</stp>
        <tr r="F147" s="1"/>
      </tp>
      <tp t="s">
        <v>27/5/2016</v>
        <stp/>
        <stp>##V3_BDPV12</stp>
        <stp xml:space="preserve">25479 HK Equity     </stp>
        <stp>TIME</stp>
        <stp>[XLSpdmV8.xls]XLSpdmV8!R146C6</stp>
        <tr r="F146" s="1"/>
      </tp>
      <tp t="s">
        <v>27/5/2016</v>
        <stp/>
        <stp>##V3_BDPV12</stp>
        <stp xml:space="preserve">24429 HK Equity     </stp>
        <stp>TIME</stp>
        <stp>[XLSpdmV8.xls]XLSpdmV8!R136C6</stp>
        <tr r="F136" s="1"/>
      </tp>
      <tp t="s">
        <v>27/5/2016</v>
        <stp/>
        <stp>##V3_BDPV12</stp>
        <stp xml:space="preserve">27356 HK Equity     </stp>
        <stp>TIME</stp>
        <stp>[XLSpdmV8.xls]XLSpdmV8!R109C6</stp>
        <tr r="F109" s="1"/>
      </tp>
      <tp t="s">
        <v>27/5/2016</v>
        <stp/>
        <stp>##V3_BDPV12</stp>
        <stp xml:space="preserve">27188 HK Equity     </stp>
        <stp>TIME</stp>
        <stp>[XLSpdmV8.xls]XLSpdmV8!R167C6</stp>
        <tr r="F167" s="1"/>
      </tp>
      <tp>
        <v>40140000</v>
        <stp/>
        <stp>##V3_BDPV12</stp>
        <stp xml:space="preserve">27827 HK Equity     </stp>
        <stp>VOLUME</stp>
        <stp>[XLSpdmV8.xls]XLSpdmV8!R226C9</stp>
        <tr r="I226" s="1"/>
      </tp>
      <tp>
        <v>0</v>
        <stp/>
        <stp>##V3_BDPV12</stp>
        <stp xml:space="preserve">24663 HK Equity     </stp>
        <stp>VOLUME</stp>
        <stp>[XLSpdmV8.xls]XLSpdmV8!R188C9</stp>
        <tr r="I188" s="1"/>
      </tp>
    </main>
    <main first="bloomberg.rtd">
      <tp t="s">
        <v>30/8/2016</v>
        <stp/>
        <stp>##V3_BDPV12</stp>
        <stp xml:space="preserve">26092 HK Equity     </stp>
        <stp>WRT_EXER_DT</stp>
        <stp>[XLSpdmV8.xls]XLSpdmV8!R29C4</stp>
        <tr r="D29" s="1"/>
      </tp>
      <tp t="s">
        <v>28/7/2016</v>
        <stp/>
        <stp>##V3_BDPV12</stp>
        <stp xml:space="preserve">25915 HK Equity     </stp>
        <stp>WRT_EXER_DT</stp>
        <stp>[XLSpdmV8.xls]XLSpdmV8!R90C4</stp>
        <tr r="D90" s="1"/>
      </tp>
      <tp t="s">
        <v>30/5/2016</v>
        <stp/>
        <stp>##V3_BDPV12</stp>
        <stp xml:space="preserve">23975 HK Equity     </stp>
        <stp>WRT_EXER_DT</stp>
        <stp>[XLSpdmV8.xls]XLSpdmV8!R10C4</stp>
        <tr r="D10" s="1"/>
      </tp>
      <tp>
        <v>910000</v>
        <stp/>
        <stp>##V3_BDPV12</stp>
        <stp xml:space="preserve">25804 HK Equity     </stp>
        <stp>VOLUME</stp>
        <stp>[XLSpdmV8.xls]XLSpdmV8!R197C9</stp>
        <tr r="I197" s="1"/>
      </tp>
      <tp>
        <v>3200000</v>
        <stp/>
        <stp>##V3_BDPV12</stp>
        <stp xml:space="preserve">25713 HK Equity     </stp>
        <stp>VOLUME</stp>
        <stp>[XLSpdmV8.xls]XLSpdmV8!R148C9</stp>
        <tr r="I148" s="1"/>
      </tp>
      <tp>
        <v>670000</v>
        <stp/>
        <stp>##V3_BDPV12</stp>
        <stp xml:space="preserve">26915 HK Equity     </stp>
        <stp>VOLUME</stp>
        <stp>[XLSpdmV8.xls]XLSpdmV8!R216C9</stp>
        <tr r="I216" s="1"/>
      </tp>
      <tp>
        <v>0</v>
        <stp/>
        <stp>##V3_BDPV12</stp>
        <stp xml:space="preserve">11062 HK Equity     </stp>
        <stp>VOLUME</stp>
        <stp>[XLSpdmV8.xls]XLSpdmV8!R3C9</stp>
        <tr r="I3" s="1"/>
      </tp>
      <tp>
        <v>0</v>
        <stp/>
        <stp>##V3_BDPV12</stp>
        <stp xml:space="preserve">18766 HK Equity     </stp>
        <stp>VOLUME</stp>
        <stp>[XLSpdmV8.xls]XLSpdmV8!R178C9</stp>
        <tr r="I178" s="1"/>
      </tp>
      <tp>
        <v>0</v>
        <stp/>
        <stp>##V3_BDPV12</stp>
        <stp xml:space="preserve">25090 HK Equity     </stp>
        <stp>VOLUME</stp>
        <stp>[XLSpdmV8.xls]XLSpdmV8!R2C9</stp>
        <tr r="I2" s="1"/>
      </tp>
      <tp>
        <v>4800000</v>
        <stp/>
        <stp>##V3_BDPV12</stp>
        <stp xml:space="preserve">24680 HK Equity     </stp>
        <stp>VOLUME</stp>
        <stp>[XLSpdmV8.xls]XLSpdmV8!R189C9</stp>
        <tr r="I189" s="1"/>
      </tp>
      <tp>
        <v>27940000</v>
        <stp/>
        <stp>##V3_BDPV12</stp>
        <stp xml:space="preserve">27893 HK Equity     </stp>
        <stp>VOLUME</stp>
        <stp>[XLSpdmV8.xls]XLSpdmV8!R227C9</stp>
        <tr r="I227" s="1"/>
      </tp>
      <tp t="s">
        <v>28/7/2016</v>
        <stp/>
        <stp>##V3_BDPV12</stp>
        <stp xml:space="preserve">26921 HK Equity     </stp>
        <stp>WRT_EXER_DT</stp>
        <stp>[XLSpdmV8.xls]XLSpdmV8!R41C4</stp>
        <tr r="D41" s="1"/>
      </tp>
      <tp t="s">
        <v>29/9/2016</v>
        <stp/>
        <stp>##V3_BDPV12</stp>
        <stp xml:space="preserve">26849 HK Equity     </stp>
        <stp>WRT_EXER_DT</stp>
        <stp>[XLSpdmV8.xls]XLSpdmV8!R40C4</stp>
        <tr r="D40" s="1"/>
      </tp>
      <tp t="s">
        <v>30/8/2016</v>
        <stp/>
        <stp>##V3_BDPV12</stp>
        <stp xml:space="preserve">26052 HK Equity     </stp>
        <stp>WRT_EXER_DT</stp>
        <stp>[XLSpdmV8.xls]XLSpdmV8!R28C4</stp>
        <tr r="D28" s="1"/>
      </tp>
      <tp t="s">
        <v>30/8/2016</v>
        <stp/>
        <stp>##V3_BDPV12</stp>
        <stp xml:space="preserve">25959 HK Equity     </stp>
        <stp>WRT_EXER_DT</stp>
        <stp>[XLSpdmV8.xls]XLSpdmV8!R91C4</stp>
        <tr r="D91" s="1"/>
      </tp>
      <tp t="s">
        <v>30/5/2016</v>
        <stp/>
        <stp>##V3_BDPV12</stp>
        <stp xml:space="preserve">11069 HK Equity     </stp>
        <stp>WRT_EXER_DT</stp>
        <stp>[XLSpdmV8.xls]XLSpdmV8!R58C4</stp>
        <tr r="D58" s="1"/>
      </tp>
      <tp>
        <v>12630000</v>
        <stp/>
        <stp>##V3_BDPV12</stp>
        <stp xml:space="preserve">12276 HK Equity     </stp>
        <stp>VOLUME</stp>
        <stp>[XLSpdmV8.xls]XLSpdmV8!R4C9</stp>
        <tr r="I4" s="1"/>
      </tp>
      <tp>
        <v>69960000</v>
        <stp/>
        <stp>##V3_BDPV12</stp>
        <stp xml:space="preserve">26874 HK Equity     </stp>
        <stp>VOLUME</stp>
        <stp>[XLSpdmV8.xls]XLSpdmV8!R104C9</stp>
        <tr r="I104" s="1"/>
      </tp>
      <tp>
        <v>0</v>
        <stp/>
        <stp>##V3_BDPV12</stp>
        <stp xml:space="preserve">23841 HK Equity     </stp>
        <stp>VOLUME</stp>
        <stp>[XLSpdmV8.xls]XLSpdmV8!R134C9</stp>
        <tr r="I134" s="1"/>
      </tp>
      <tp>
        <v>1260000</v>
        <stp/>
        <stp>##V3_BDPV12</stp>
        <stp xml:space="preserve">25489 HK Equity     </stp>
        <stp>VOLUME</stp>
        <stp>[XLSpdmV8.xls]XLSpdmV8!R118C9</stp>
        <tr r="I118" s="1"/>
      </tp>
      <tp>
        <v>0</v>
        <stp/>
        <stp>##V3_BDPV12</stp>
        <stp xml:space="preserve">25986 HK Equity     </stp>
        <stp>VOLUME</stp>
        <stp>[XLSpdmV8.xls]XLSpdmV8!R155C9</stp>
        <tr r="I155" s="1"/>
      </tp>
      <tp t="s">
        <v>30/8/2016</v>
        <stp/>
        <stp>##V3_BDPV12</stp>
        <stp xml:space="preserve">27828 HK Equity     </stp>
        <stp>WRT_EXER_DT</stp>
        <stp>[XLSpdmV8.xls]XLSpdmV8!R53C4</stp>
        <tr r="D53" s="1"/>
      </tp>
      <tp t="s">
        <v>28/7/2016</v>
        <stp/>
        <stp>##V3_BDPV12</stp>
        <stp xml:space="preserve">26939 HK Equity     </stp>
        <stp>WRT_EXER_DT</stp>
        <stp>[XLSpdmV8.xls]XLSpdmV8!R42C4</stp>
        <tr r="D42" s="1"/>
      </tp>
      <tp>
        <v>0</v>
        <stp/>
        <stp>##V3_BDPV12</stp>
        <stp xml:space="preserve">20431 HK Equity     </stp>
        <stp>VOLUME</stp>
        <stp>[XLSpdmV8.xls]XLSpdmV8!R179C9</stp>
        <tr r="I179" s="1"/>
      </tp>
      <tp>
        <v>1264480000</v>
        <stp/>
        <stp>##V3_BDPV12</stp>
        <stp xml:space="preserve">27914 HK Equity     </stp>
        <stp>VOLUME</stp>
        <stp>[XLSpdmV8.xls]XLSpdmV8!R114C9</stp>
        <tr r="I114" s="1"/>
      </tp>
      <tp>
        <v>35500000</v>
        <stp/>
        <stp>##V3_BDPV12</stp>
        <stp xml:space="preserve">25960 HK Equity     </stp>
        <stp>VOLUME</stp>
        <stp>[XLSpdmV8.xls]XLSpdmV8!R154C9</stp>
        <tr r="I154" s="1"/>
      </tp>
      <tp>
        <v>0</v>
        <stp/>
        <stp>##V3_BDPV12</stp>
        <stp xml:space="preserve">21852 HK Equity     </stp>
        <stp>VOLUME</stp>
        <stp>[XLSpdmV8.xls]XLSpdmV8!R125C9</stp>
        <tr r="I125" s="1"/>
      </tp>
      <tp>
        <v>560000</v>
        <stp/>
        <stp>##V3_BDPV12</stp>
        <stp xml:space="preserve">23885 HK Equity     </stp>
        <stp>VOLUME</stp>
        <stp>[XLSpdmV8.xls]XLSpdmV8!R185C9</stp>
        <tr r="I185" s="1"/>
      </tp>
      <tp>
        <v>28490000</v>
        <stp/>
        <stp>##V3_BDPV12</stp>
        <stp xml:space="preserve">26896 HK Equity     </stp>
        <stp>VOLUME</stp>
        <stp>[XLSpdmV8.xls]XLSpdmV8!R105C9</stp>
        <tr r="I105" s="1"/>
      </tp>
      <tp t="s">
        <v>30/8/2016</v>
        <stp/>
        <stp>##V3_BDPV12</stp>
        <stp xml:space="preserve">26987 HK Equity     </stp>
        <stp>WRT_EXER_DT</stp>
        <stp>[XLSpdmV8.xls]XLSpdmV8!R43C4</stp>
        <tr r="D43" s="1"/>
      </tp>
      <tp t="s">
        <v>28/7/2016</v>
        <stp/>
        <stp>##V3_BDPV12</stp>
        <stp xml:space="preserve">25326 HK Equity     </stp>
        <stp>WRT_EXER_DT</stp>
        <stp>[XLSpdmV8.xls]XLSpdmV8!R79C4</stp>
        <tr r="D79" s="1"/>
      </tp>
      <tp t="s">
        <v>28/7/2016</v>
        <stp/>
        <stp>##V3_BDPV12</stp>
        <stp xml:space="preserve">25270 HK Equity     </stp>
        <stp>WRT_EXER_DT</stp>
        <stp>[XLSpdmV8.xls]XLSpdmV8!R78C4</stp>
        <tr r="D78" s="1"/>
      </tp>
      <tp t="s">
        <v>#N/A N/A</v>
        <stp/>
        <stp>##V3_BDPV12</stp>
        <stp xml:space="preserve">26329 HK Equity     </stp>
        <stp>VOLUME</stp>
        <stp>[XLSpdmV8.xls]XLSpdmV8!R209C9</stp>
        <tr r="I209" s="1"/>
      </tp>
      <tp>
        <v>1040000</v>
        <stp/>
        <stp>##V3_BDPV12</stp>
        <stp xml:space="preserve">26320 HK Equity     </stp>
        <stp>VOLUME</stp>
        <stp>[XLSpdmV8.xls]XLSpdmV8!R159C9</stp>
        <tr r="I159" s="1"/>
      </tp>
      <tp>
        <v>91610000</v>
        <stp/>
        <stp>##V3_BDPV12</stp>
        <stp xml:space="preserve">26206 HK Equity     </stp>
        <stp>VOLUME</stp>
        <stp>[XLSpdmV8.xls]XLSpdmV8!R158C9</stp>
        <tr r="I158" s="1"/>
      </tp>
      <tp>
        <v>0</v>
        <stp/>
        <stp>##V3_BDPV12</stp>
        <stp xml:space="preserve">25948 HK Equity     </stp>
        <stp>VOLUME</stp>
        <stp>[XLSpdmV8.xls]XLSpdmV8!R153C9</stp>
        <tr r="I153" s="1"/>
      </tp>
      <tp t="s">
        <v>#N/A N/A</v>
        <stp/>
        <stp>##V3_BDPV12</stp>
        <stp xml:space="preserve">27351 HK Equity     </stp>
        <stp>VOLUME</stp>
        <stp>[XLSpdmV8.xls]XLSpdmV8!R219C9</stp>
        <tr r="I219" s="1"/>
      </tp>
      <tp>
        <v>20000</v>
        <stp/>
        <stp>##V3_BDPV12</stp>
        <stp xml:space="preserve">27356 HK Equity     </stp>
        <stp>VOLUME</stp>
        <stp>[XLSpdmV8.xls]XLSpdmV8!R109C9</stp>
        <tr r="I109" s="1"/>
      </tp>
      <tp>
        <v>180000</v>
        <stp/>
        <stp>##V3_BDPV12</stp>
        <stp xml:space="preserve">27280 HK Equity     </stp>
        <stp>VOLUME</stp>
        <stp>[XLSpdmV8.xls]XLSpdmV8!R168C9</stp>
        <tr r="I168" s="1"/>
      </tp>
      <tp>
        <v>0</v>
        <stp/>
        <stp>##V3_BDPV12</stp>
        <stp xml:space="preserve">22993 HK Equity     </stp>
        <stp>VOLUME</stp>
        <stp>[XLSpdmV8.xls]XLSpdmV8!R183C9</stp>
        <tr r="I183" s="1"/>
      </tp>
      <tp>
        <v>0</v>
        <stp/>
        <stp>##V3_BDPV12</stp>
        <stp xml:space="preserve">27891 HK Equity     </stp>
        <stp>VOLUME</stp>
        <stp>[XLSpdmV8.xls]XLSpdmV8!R172C9</stp>
        <tr r="I172" s="1"/>
      </tp>
      <tp t="s">
        <v>28/7/2016</v>
        <stp/>
        <stp>##V3_BDPV12</stp>
        <stp xml:space="preserve">25919 HK Equity     </stp>
        <stp>WRT_EXER_DT</stp>
        <stp>[XLSpdmV8.xls]XLSpdmV8!R24C4</stp>
        <tr r="D24" s="1"/>
      </tp>
      <tp t="s">
        <v>30/8/2016</v>
        <stp/>
        <stp>##V3_BDPV12</stp>
        <stp xml:space="preserve">23522 HK Equity     </stp>
        <stp>WRT_EXER_DT</stp>
        <stp>[XLSpdmV8.xls]XLSpdmV8!R68C4</stp>
        <tr r="D68" s="1"/>
      </tp>
      <tp t="s">
        <v>29/9/2016</v>
        <stp/>
        <stp>##V3_BDPV12</stp>
        <stp xml:space="preserve">25548 HK Equity     </stp>
        <stp>WRT_EXER_DT</stp>
        <stp>[XLSpdmV8.xls]XLSpdmV8!R18C4</stp>
        <tr r="D18" s="1"/>
      </tp>
      <tp t="s">
        <v>28/10/2016</v>
        <stp/>
        <stp>##V3_BDPV12</stp>
        <stp xml:space="preserve">27465 HK Equity     </stp>
        <stp>WRT_EXER_DT</stp>
        <stp>[XLSpdmV8.xls]XLSpdmV8!R49C4</stp>
        <tr r="D49" s="1"/>
      </tp>
      <tp t="s">
        <v>30/5/2016</v>
        <stp/>
        <stp>##V3_BDPV12</stp>
        <stp xml:space="preserve">21875 HK Equity     </stp>
        <stp>WRT_EXER_DT</stp>
        <stp>[XLSpdmV8.xls]XLSpdmV8!R65C4</stp>
        <tr r="D65" s="1"/>
      </tp>
      <tp>
        <v>0</v>
        <stp/>
        <stp>##V3_BDPV12</stp>
        <stp xml:space="preserve">27321 HK Equity     </stp>
        <stp>VOLUME</stp>
        <stp>[XLSpdmV8.xls]XLSpdmV8!R108C9</stp>
        <tr r="I108" s="1"/>
      </tp>
      <tp>
        <v>0</v>
        <stp/>
        <stp>##V3_BDPV12</stp>
        <stp xml:space="preserve">27821 HK Equity     </stp>
        <stp>VOLUME</stp>
        <stp>[XLSpdmV8.xls]XLSpdmV8!R113C9</stp>
        <tr r="I113" s="1"/>
      </tp>
      <tp>
        <v>0</v>
        <stp/>
        <stp>##V3_BDPV12</stp>
        <stp xml:space="preserve">25916 HK Equity     </stp>
        <stp>VOLUME</stp>
        <stp>[XLSpdmV8.xls]XLSpdmV8!R152C9</stp>
        <tr r="I152" s="1"/>
      </tp>
      <tp>
        <v>100000</v>
        <stp/>
        <stp>##V3_BDPV12</stp>
        <stp xml:space="preserve">25969 HK Equity     </stp>
        <stp>VOLUME</stp>
        <stp>[XLSpdmV8.xls]XLSpdmV8!R202C9</stp>
        <tr r="I202" s="1"/>
      </tp>
      <tp>
        <v>0</v>
        <stp/>
        <stp>##V3_BDPV12</stp>
        <stp xml:space="preserve">22947 HK Equity     </stp>
        <stp>VOLUME</stp>
        <stp>[XLSpdmV8.xls]XLSpdmV8!R182C9</stp>
        <tr r="I182" s="1"/>
      </tp>
      <tp>
        <v>0</v>
        <stp/>
        <stp>##V3_BDPV12</stp>
        <stp xml:space="preserve">14950 HK Equity     </stp>
        <stp>VOLUME</stp>
        <stp>[XLSpdmV8.xls]XLSpdmV8!R5C9</stp>
        <tr r="I5" s="1"/>
      </tp>
      <tp>
        <v>0</v>
        <stp/>
        <stp>##V3_BDPV12</stp>
        <stp xml:space="preserve">22353 HK Equity     </stp>
        <stp>VOLUME</stp>
        <stp>[XLSpdmV8.xls]XLSpdmV8!R128C9</stp>
        <tr r="I128" s="1"/>
      </tp>
      <tp>
        <v>3308320000</v>
        <stp/>
        <stp>##V3_BDPV12</stp>
        <stp xml:space="preserve">27284 HK Equity     </stp>
        <stp>VOLUME</stp>
        <stp>[XLSpdmV8.xls]XLSpdmV8!R169C9</stp>
        <tr r="I169" s="1"/>
      </tp>
      <tp>
        <v>19560000</v>
        <stp/>
        <stp>##V3_BDPV12</stp>
        <stp xml:space="preserve">24984 HK Equity     </stp>
        <stp>VOLUME</stp>
        <stp>[XLSpdmV8.xls]XLSpdmV8!R192C9</stp>
        <tr r="I192" s="1"/>
      </tp>
      <tp t="s">
        <v>28/10/2016</v>
        <stp/>
        <stp>##V3_BDPV12</stp>
        <stp xml:space="preserve">27894 HK Equity     </stp>
        <stp>WRT_EXER_DT</stp>
        <stp>[XLSpdmV8.xls]XLSpdmV8!R54C4</stp>
        <tr r="D54" s="1"/>
      </tp>
      <tp t="s">
        <v>29/6/2016</v>
        <stp/>
        <stp>##V3_BDPV12</stp>
        <stp xml:space="preserve">25599 HK Equity     </stp>
        <stp>WRT_EXER_DT</stp>
        <stp>[XLSpdmV8.xls]XLSpdmV8!R19C4</stp>
        <tr r="D19" s="1"/>
      </tp>
      <tp t="s">
        <v>29/9/2016</v>
        <stp/>
        <stp>##V3_BDPV12</stp>
        <stp xml:space="preserve">26511 HK Equity     </stp>
        <stp>WRT_EXER_DT</stp>
        <stp>[XLSpdmV8.xls]XLSpdmV8!R99C4</stp>
        <tr r="D99" s="1"/>
      </tp>
      <tp t="s">
        <v>29/9/2016</v>
        <stp/>
        <stp>##V3_BDPV12</stp>
        <stp xml:space="preserve">23538 HK Equity     </stp>
        <stp>WRT_EXER_DT</stp>
        <stp>[XLSpdmV8.xls]XLSpdmV8!R69C4</stp>
        <tr r="D69" s="1"/>
      </tp>
      <tp t="s">
        <v>28/10/2016</v>
        <stp/>
        <stp>##V3_BDPV12</stp>
        <stp xml:space="preserve">27438 HK Equity     </stp>
        <stp>WRT_EXER_DT</stp>
        <stp>[XLSpdmV8.xls]XLSpdmV8!R48C4</stp>
        <tr r="D48" s="1"/>
      </tp>
      <tp t="s">
        <v>29/9/2016</v>
        <stp/>
        <stp>##V3_BDPV12</stp>
        <stp xml:space="preserve">26444 HK Equity     </stp>
        <stp>WRT_EXER_DT</stp>
        <stp>[XLSpdmV8.xls]XLSpdmV8!R98C4</stp>
        <tr r="D98" s="1"/>
      </tp>
      <tp t="s">
        <v>30/8/2016</v>
        <stp/>
        <stp>##V3_BDPV12</stp>
        <stp xml:space="preserve">25946 HK Equity     </stp>
        <stp>WRT_EXER_DT</stp>
        <stp>[XLSpdmV8.xls]XLSpdmV8!R25C4</stp>
        <tr r="D25" s="1"/>
      </tp>
      <tp t="s">
        <v>29/6/2016</v>
        <stp/>
        <stp>##V3_BDPV12</stp>
        <stp xml:space="preserve">23970 HK Equity     </stp>
        <stp>WRT_EXER_DT</stp>
        <stp>[XLSpdmV8.xls]XLSpdmV8!R55C4</stp>
        <tr r="D55" s="1"/>
      </tp>
      <tp t="s">
        <v>#N/A N/A</v>
        <stp/>
        <stp>##V3_BDPV12</stp>
        <stp xml:space="preserve">28120 HK Equity     </stp>
        <stp>VOLUME</stp>
        <stp>[XLSpdmV8.xls]XLSpdmV8!R229C9</stp>
        <tr r="I229" s="1"/>
      </tp>
      <tp>
        <v>61840000</v>
        <stp/>
        <stp>##V3_BDPV12</stp>
        <stp xml:space="preserve">28025 HK Equity     </stp>
        <stp>VOLUME</stp>
        <stp>[XLSpdmV8.xls]XLSpdmV8!R228C9</stp>
        <tr r="I228" s="1"/>
      </tp>
      <tp>
        <v>0</v>
        <stp/>
        <stp>##V3_BDPV12</stp>
        <stp xml:space="preserve">20513 HK Equity     </stp>
        <stp>VOLUME</stp>
        <stp>[XLSpdmV8.xls]XLSpdmV8!R6C9</stp>
        <tr r="I6" s="1"/>
      </tp>
      <tp>
        <v>40340000</v>
        <stp/>
        <stp>##V3_BDPV12</stp>
        <stp xml:space="preserve">25910 HK Equity     </stp>
        <stp>VOLUME</stp>
        <stp>[XLSpdmV8.xls]XLSpdmV8!R151C9</stp>
        <tr r="I151" s="1"/>
      </tp>
      <tp>
        <v>290090000</v>
        <stp/>
        <stp>##V3_BDPV12</stp>
        <stp xml:space="preserve">25949 HK Equity     </stp>
        <stp>VOLUME</stp>
        <stp>[XLSpdmV8.xls]XLSpdmV8!R201C9</stp>
        <tr r="I201" s="1"/>
      </tp>
      <tp>
        <v>400000</v>
        <stp/>
        <stp>##V3_BDPV12</stp>
        <stp xml:space="preserve">25146 HK Equity     </stp>
        <stp>VOLUME</stp>
        <stp>[XLSpdmV8.xls]XLSpdmV8!R139C9</stp>
        <tr r="I139" s="1"/>
      </tp>
      <tp t="s">
        <v>29/9/2016</v>
        <stp/>
        <stp>##V3_BDPV12</stp>
        <stp xml:space="preserve">25984 HK Equity     </stp>
        <stp>WRT_EXER_DT</stp>
        <stp>[XLSpdmV8.xls]XLSpdmV8!R26C4</stp>
        <tr r="D26" s="1"/>
      </tp>
      <tp t="s">
        <v>29/6/2016</v>
        <stp/>
        <stp>##V3_BDPV12</stp>
        <stp xml:space="preserve">26764 HK Equity     </stp>
        <stp>WRT_EXER_DT</stp>
        <stp>[XLSpdmV8.xls]XLSpdmV8!R38C4</stp>
        <tr r="D38" s="1"/>
      </tp>
      <tp t="s">
        <v>#N/A N/A</v>
        <stp/>
        <stp>##V3_BDPV12</stp>
        <stp xml:space="preserve">24825 HK Equity     </stp>
        <stp>VOLUME</stp>
        <stp>[XLSpdmV8.xls]XLSpdmV8!R191C9</stp>
        <tr r="I191" s="1"/>
      </tp>
      <tp>
        <v>0</v>
        <stp/>
        <stp>##V3_BDPV12</stp>
        <stp xml:space="preserve">23383 HK Equity     </stp>
        <stp>VOLUME</stp>
        <stp>[XLSpdmV8.xls]XLSpdmV8!R7C9</stp>
        <tr r="I7" s="1"/>
      </tp>
      <tp>
        <v>0</v>
        <stp/>
        <stp>##V3_BDPV12</stp>
        <stp xml:space="preserve">25901 HK Equity     </stp>
        <stp>VOLUME</stp>
        <stp>[XLSpdmV8.xls]XLSpdmV8!R150C9</stp>
        <tr r="I150" s="1"/>
      </tp>
      <tp>
        <v>2350000</v>
        <stp/>
        <stp>##V3_BDPV12</stp>
        <stp xml:space="preserve">25917 HK Equity     </stp>
        <stp>VOLUME</stp>
        <stp>[XLSpdmV8.xls]XLSpdmV8!R200C9</stp>
        <tr r="I200" s="1"/>
      </tp>
      <tp>
        <v>18950000</v>
        <stp/>
        <stp>##V3_BDPV12</stp>
        <stp xml:space="preserve">26014 HK Equity     </stp>
        <stp>VOLUME</stp>
        <stp>[XLSpdmV8.xls]XLSpdmV8!R119C9</stp>
        <tr r="I119" s="1"/>
      </tp>
      <tp>
        <v>1370000</v>
        <stp/>
        <stp>##V3_BDPV12</stp>
        <stp xml:space="preserve">27153 HK Equity     </stp>
        <stp>VOLUME</stp>
        <stp>[XLSpdmV8.xls]XLSpdmV8!R218C9</stp>
        <tr r="I218" s="1"/>
      </tp>
      <tp>
        <v>7510000</v>
        <stp/>
        <stp>##V3_BDPV12</stp>
        <stp xml:space="preserve">26155 HK Equity     </stp>
        <stp>VOLUME</stp>
        <stp>[XLSpdmV8.xls]XLSpdmV8!R208C9</stp>
        <tr r="I208" s="1"/>
      </tp>
      <tp>
        <v>5800000</v>
        <stp/>
        <stp>##V3_BDPV12</stp>
        <stp xml:space="preserve">22997 HK Equity     </stp>
        <stp>VOLUME</stp>
        <stp>[XLSpdmV8.xls]XLSpdmV8!R130C9</stp>
        <tr r="I130" s="1"/>
      </tp>
      <tp t="s">
        <v>29/9/2016</v>
        <stp/>
        <stp>##V3_BDPV12</stp>
        <stp xml:space="preserve">26788 HK Equity     </stp>
        <stp>WRT_EXER_DT</stp>
        <stp>[XLSpdmV8.xls]XLSpdmV8!R39C4</stp>
        <tr r="D39" s="1"/>
      </tp>
      <tp t="s">
        <v>30/8/2016</v>
        <stp/>
        <stp>##V3_BDPV12</stp>
        <stp xml:space="preserve">25994 HK Equity     </stp>
        <stp>WRT_EXER_DT</stp>
        <stp>[XLSpdmV8.xls]XLSpdmV8!R27C4</stp>
        <tr r="D27" s="1"/>
      </tp>
      <tp t="s">
        <v>29/6/2016</v>
        <stp/>
        <stp>##V3_BDPV12</stp>
        <stp xml:space="preserve">22822 HK Equity     </stp>
        <stp>WRT_EXER_DT</stp>
        <stp>[XLSpdmV8.xls]XLSpdmV8!R66C4</stp>
        <tr r="D66" s="1"/>
      </tp>
      <tp t="s">
        <v>29/6/2016</v>
        <stp/>
        <stp>##V3_BDPV12</stp>
        <stp xml:space="preserve">24831 HK Equity     </stp>
        <stp>WRT_EXER_DT</stp>
        <stp>[XLSpdmV8.xls]XLSpdmV8!R76C4</stp>
        <tr r="D76" s="1"/>
      </tp>
      <tp t="s">
        <v>29/9/2016</v>
        <stp/>
        <stp>##V3_BDPV12</stp>
        <stp xml:space="preserve">24830 HK Equity     </stp>
        <stp>WRT_EXER_DT</stp>
        <stp>[XLSpdmV8.xls]XLSpdmV8!R16C4</stp>
        <tr r="D16" s="1"/>
      </tp>
      <tp>
        <v>62180000</v>
        <stp/>
        <stp>##V3_BDPV12</stp>
        <stp xml:space="preserve">27129 HK Equity     </stp>
        <stp>VOLUME</stp>
        <stp>[XLSpdmV8.xls]XLSpdmV8!R217C9</stp>
        <tr r="I217" s="1"/>
      </tp>
      <tp>
        <v>250000</v>
        <stp/>
        <stp>##V3_BDPV12</stp>
        <stp xml:space="preserve">26036 HK Equity     </stp>
        <stp>VOLUME</stp>
        <stp>[XLSpdmV8.xls]XLSpdmV8!R156C9</stp>
        <tr r="I156" s="1"/>
      </tp>
      <tp>
        <v>32190000</v>
        <stp/>
        <stp>##V3_BDPV12</stp>
        <stp xml:space="preserve">27111 HK Equity     </stp>
        <stp>VOLUME</stp>
        <stp>[XLSpdmV8.xls]XLSpdmV8!R107C9</stp>
        <tr r="I107" s="1"/>
      </tp>
      <tp>
        <v>0</v>
        <stp/>
        <stp>##V3_BDPV12</stp>
        <stp xml:space="preserve">27564 HK Equity     </stp>
        <stp>VOLUME</stp>
        <stp>[XLSpdmV8.xls]XLSpdmV8!R223C9</stp>
        <tr r="I223" s="1"/>
      </tp>
      <tp>
        <v>0</v>
        <stp/>
        <stp>##V3_BDPV12</stp>
        <stp xml:space="preserve">28167 HK Equity     </stp>
        <stp>VOLUME</stp>
        <stp>[XLSpdmV8.xls]XLSpdmV8!R117C9</stp>
        <tr r="I117" s="1"/>
      </tp>
      <tp>
        <v>1458070000</v>
        <stp/>
        <stp>##V3_BDPV12</stp>
        <stp xml:space="preserve">27077 HK Equity     </stp>
        <stp>VOLUME</stp>
        <stp>[XLSpdmV8.xls]XLSpdmV8!R106C9</stp>
        <tr r="I106" s="1"/>
      </tp>
      <tp>
        <v>490000</v>
        <stp/>
        <stp>##V3_BDPV12</stp>
        <stp xml:space="preserve">26142 HK Equity     </stp>
        <stp>VOLUME</stp>
        <stp>[XLSpdmV8.xls]XLSpdmV8!R207C9</stp>
        <tr r="I207" s="1"/>
      </tp>
      <tp>
        <v>25840000</v>
        <stp/>
        <stp>##V3_BDPV12</stp>
        <stp xml:space="preserve">11158 HK Equity     </stp>
        <stp>VOLUME</stp>
        <stp>[XLSpdmV8.xls]XLSpdmV8!R177C9</stp>
        <tr r="I177" s="1"/>
      </tp>
      <tp>
        <v>446760000</v>
        <stp/>
        <stp>##V3_BDPV12</stp>
        <stp xml:space="preserve">26559 HK Equity     </stp>
        <stp>VOLUME</stp>
        <stp>[XLSpdmV8.xls]XLSpdmV8!R163C9</stp>
        <tr r="I163" s="1"/>
      </tp>
      <tp>
        <v>90000</v>
        <stp/>
        <stp>##V3_BDPV12</stp>
        <stp xml:space="preserve">27188 HK Equity     </stp>
        <stp>VOLUME</stp>
        <stp>[XLSpdmV8.xls]XLSpdmV8!R167C9</stp>
        <tr r="I167" s="1"/>
      </tp>
      <tp t="s">
        <v>30/5/2016</v>
        <stp/>
        <stp>##V3_BDPV12</stp>
        <stp xml:space="preserve">19187 HK Equity     </stp>
        <stp>WRT_EXER_DT</stp>
        <stp>[XLSpdmV8.xls]XLSpdmV8!R60C4</stp>
        <tr r="D60" s="1"/>
      </tp>
      <tp t="s">
        <v>29/9/2016</v>
        <stp/>
        <stp>##V3_BDPV12</stp>
        <stp xml:space="preserve">24108 HK Equity     </stp>
        <stp>WRT_EXER_DT</stp>
        <stp>[XLSpdmV8.xls]XLSpdmV8!R70C4</stp>
        <tr r="D70" s="1"/>
      </tp>
      <tp t="s">
        <v>28/7/2016</v>
        <stp/>
        <stp>##V3_BDPV12</stp>
        <stp xml:space="preserve">26712 HK Equity     </stp>
        <stp>WRT_EXER_DT</stp>
        <stp>[XLSpdmV8.xls]XLSpdmV8!R36C4</stp>
        <tr r="D36" s="1"/>
      </tp>
      <tp t="s">
        <v>28/7/2016</v>
        <stp/>
        <stp>##V3_BDPV12</stp>
        <stp xml:space="preserve">25712 HK Equity     </stp>
        <stp>WRT_EXER_DT</stp>
        <stp>[XLSpdmV8.xls]XLSpdmV8!R86C4</stp>
        <tr r="D86" s="1"/>
      </tp>
      <tp t="s">
        <v>30/5/2016</v>
        <stp/>
        <stp>##V3_BDPV12</stp>
        <stp xml:space="preserve">26143 HK Equity     </stp>
        <stp>WRT_EXER_DT</stp>
        <stp>[XLSpdmV8.xls]XLSpdmV8!R30C4</stp>
        <tr r="D30" s="1"/>
      </tp>
      <tp t="s">
        <v>29/6/2016</v>
        <stp/>
        <stp>##V3_BDPV12</stp>
        <stp xml:space="preserve">18856 HK Equity     </stp>
        <stp>WRT_EXER_DT</stp>
        <stp>[XLSpdmV8.xls]XLSpdmV8!R59C4</stp>
        <tr r="D59" s="1"/>
      </tp>
      <tp>
        <v>7200000</v>
        <stp/>
        <stp>##V3_BDPV12</stp>
        <stp xml:space="preserve">28129 HK Equity     </stp>
        <stp>VOLUME</stp>
        <stp>[XLSpdmV8.xls]XLSpdmV8!R116C9</stp>
        <tr r="I116" s="1"/>
      </tp>
      <tp>
        <v>0</v>
        <stp/>
        <stp>##V3_BDPV12</stp>
        <stp xml:space="preserve">23523 HK Equity     </stp>
        <stp>VOLUME</stp>
        <stp>[XLSpdmV8.xls]XLSpdmV8!R132C9</stp>
        <tr r="I132" s="1"/>
      </tp>
      <tp>
        <v>0</v>
        <stp/>
        <stp>##V3_BDPV12</stp>
        <stp xml:space="preserve">26532 HK Equity     </stp>
        <stp>VOLUME</stp>
        <stp>[XLSpdmV8.xls]XLSpdmV8!R162C9</stp>
        <tr r="I162" s="1"/>
      </tp>
      <tp>
        <v>0</v>
        <stp/>
        <stp>##V3_BDPV12</stp>
        <stp xml:space="preserve">24106 HK Equity     </stp>
        <stp>VOLUME</stp>
        <stp>[XLSpdmV8.xls]XLSpdmV8!R186C9</stp>
        <tr r="I186" s="1"/>
      </tp>
      <tp>
        <v>0</v>
        <stp/>
        <stp>##V3_BDPV12</stp>
        <stp xml:space="preserve">26106 HK Equity     </stp>
        <stp>VOLUME</stp>
        <stp>[XLSpdmV8.xls]XLSpdmV8!R206C9</stp>
        <tr r="I206" s="1"/>
      </tp>
      <tp>
        <v>104230000</v>
        <stp/>
        <stp>##V3_BDPV12</stp>
        <stp xml:space="preserve">27112 HK Equity     </stp>
        <stp>VOLUME</stp>
        <stp>[XLSpdmV8.xls]XLSpdmV8!R166C9</stp>
        <tr r="I166" s="1"/>
      </tp>
      <tp>
        <v>0</v>
        <stp/>
        <stp>##V3_BDPV12</stp>
        <stp xml:space="preserve">24712 HK Equity     </stp>
        <stp>VOLUME</stp>
        <stp>[XLSpdmV8.xls]XLSpdmV8!R190C9</stp>
        <tr r="I190" s="1"/>
      </tp>
      <tp>
        <v>0</v>
        <stp/>
        <stp>##V3_BDPV12</stp>
        <stp xml:space="preserve">29179 HK Equity     </stp>
        <stp>VOLUME</stp>
        <stp>[XLSpdmV8.xls]XLSpdmV8!R176C9</stp>
        <tr r="I176" s="1"/>
      </tp>
      <tp>
        <v>10970000</v>
        <stp/>
        <stp>##V3_BDPV12</stp>
        <stp xml:space="preserve">25377 HK Equity     </stp>
        <stp>VOLUME</stp>
        <stp>[XLSpdmV8.xls]XLSpdmV8!R144C9</stp>
        <tr r="I144" s="1"/>
      </tp>
      <tp>
        <v>600000</v>
        <stp/>
        <stp>##V3_BDPV12</stp>
        <stp xml:space="preserve">20546 HK Equity     </stp>
        <stp>VOLUME</stp>
        <stp>[XLSpdmV8.xls]XLSpdmV8!R122C9</stp>
        <tr r="I122" s="1"/>
      </tp>
      <tp>
        <v>146220000</v>
        <stp/>
        <stp>##V3_BDPV12</stp>
        <stp xml:space="preserve">27559 HK Equity     </stp>
        <stp>VOLUME</stp>
        <stp>[XLSpdmV8.xls]XLSpdmV8!R222C9</stp>
        <tr r="I222" s="1"/>
      </tp>
      <tp>
        <v>0</v>
        <stp/>
        <stp>##V3_BDPV12</stp>
        <stp xml:space="preserve">22156 HK Equity     </stp>
        <stp>VOLUME</stp>
        <stp>[XLSpdmV8.xls]XLSpdmV8!R126C9</stp>
        <tr r="I126" s="1"/>
      </tp>
      <tp>
        <v>1040000</v>
        <stp/>
        <stp>##V3_BDPV12</stp>
        <stp xml:space="preserve">26589 HK Equity     </stp>
        <stp>VOLUME</stp>
        <stp>[XLSpdmV8.xls]XLSpdmV8!R212C9</stp>
        <tr r="I212" s="1"/>
      </tp>
      <tp>
        <v>2010000</v>
        <stp/>
        <stp>##V3_BDPV12</stp>
        <stp xml:space="preserve">25483 HK Equity     </stp>
        <stp>VOLUME</stp>
        <stp>[XLSpdmV8.xls]XLSpdmV8!R193C9</stp>
        <tr r="I193" s="1"/>
      </tp>
      <tp>
        <v>0</v>
        <stp/>
        <stp>##V3_BDPV12</stp>
        <stp xml:space="preserve">27596 HK Equity     </stp>
        <stp>VOLUME</stp>
        <stp>[XLSpdmV8.xls]XLSpdmV8!R112C9</stp>
        <tr r="I112" s="1"/>
      </tp>
      <tp t="s">
        <v>30/8/2016</v>
        <stp/>
        <stp>##V3_BDPV12</stp>
        <stp xml:space="preserve">25787 HK Equity     </stp>
        <stp>WRT_EXER_DT</stp>
        <stp>[XLSpdmV8.xls]XLSpdmV8!R87C4</stp>
        <tr r="D87" s="1"/>
      </tp>
      <tp t="s">
        <v>30/5/2016</v>
        <stp/>
        <stp>##V3_BDPV12</stp>
        <stp xml:space="preserve">26190 HK Equity     </stp>
        <stp>WRT_EXER_DT</stp>
        <stp>[XLSpdmV8.xls]XLSpdmV8!R31C4</stp>
        <tr r="D31" s="1"/>
      </tp>
      <tp t="s">
        <v>28/7/2016</v>
        <stp/>
        <stp>##V3_BDPV12</stp>
        <stp xml:space="preserve">22799 HK Equity     </stp>
        <stp>WRT_EXER_DT</stp>
        <stp>[XLSpdmV8.xls]XLSpdmV8!R57C4</stp>
        <tr r="D57" s="1"/>
      </tp>
      <tp t="s">
        <v>28/7/2016</v>
        <stp/>
        <stp>##V3_BDPV12</stp>
        <stp xml:space="preserve">25898 HK Equity     </stp>
        <stp>WRT_EXER_DT</stp>
        <stp>[XLSpdmV8.xls]XLSpdmV8!R88C4</stp>
        <tr r="D88" s="1"/>
      </tp>
      <tp t="s">
        <v>30/8/2016</v>
        <stp/>
        <stp>##V3_BDPV12</stp>
        <stp xml:space="preserve">24107 HK Equity     </stp>
        <stp>WRT_EXER_DT</stp>
        <stp>[XLSpdmV8.xls]XLSpdmV8!R11C4</stp>
        <tr r="D11" s="1"/>
      </tp>
      <tp t="s">
        <v>28/7/2016</v>
        <stp/>
        <stp>##V3_BDPV12</stp>
        <stp xml:space="preserve">25909 HK Equity     </stp>
        <stp>WRT_EXER_DT</stp>
        <stp>[XLSpdmV8.xls]XLSpdmV8!R89C4</stp>
        <tr r="D89" s="1"/>
      </tp>
      <tp t="s">
        <v>29/6/2016</v>
        <stp/>
        <stp>##V3_BDPV12</stp>
        <stp xml:space="preserve">24315 HK Equity     </stp>
        <stp>WRT_EXER_DT</stp>
        <stp>[XLSpdmV8.xls]XLSpdmV8!R73C4</stp>
        <tr r="D73" s="1"/>
      </tp>
      <tp t="s">
        <v>29/6/2016</v>
        <stp/>
        <stp>##V3_BDPV12</stp>
        <stp xml:space="preserve">24425 HK Equity     </stp>
        <stp>WRT_EXER_DT</stp>
        <stp>[XLSpdmV8.xls]XLSpdmV8!R14C4</stp>
        <tr r="D14" s="1"/>
      </tp>
      <tp t="s">
        <v>28/7/2016</v>
        <stp/>
        <stp>##V3_BDPV12</stp>
        <stp xml:space="preserve">26225 HK Equity     </stp>
        <stp>WRT_EXER_DT</stp>
        <stp>[XLSpdmV8.xls]XLSpdmV8!R32C4</stp>
        <tr r="D32" s="1"/>
      </tp>
      <tp t="s">
        <v>28/7/2016</v>
        <stp/>
        <stp>##V3_BDPV12</stp>
        <stp xml:space="preserve">24427 HK Equity     </stp>
        <stp>WRT_EXER_DT</stp>
        <stp>[XLSpdmV8.xls]XLSpdmV8!R74C4</stp>
        <tr r="D74" s="1"/>
      </tp>
      <tp t="s">
        <v>30/8/2016</v>
        <stp/>
        <stp>##V3_BDPV12</stp>
        <stp xml:space="preserve">26747 HK Equity     </stp>
        <stp>WRT_EXER_DT</stp>
        <stp>[XLSpdmV8.xls]XLSpdmV8!R37C4</stp>
        <tr r="D37" s="1"/>
      </tp>
      <tp t="s">
        <v>29/6/2016</v>
        <stp/>
        <stp>##V3_BDPV12</stp>
        <stp xml:space="preserve">24262 HK Equity     </stp>
        <stp>WRT_EXER_DT</stp>
        <stp>[XLSpdmV8.xls]XLSpdmV8!R72C4</stp>
        <tr r="D72" s="1"/>
      </tp>
      <tp t="s">
        <v>29/6/2016</v>
        <stp/>
        <stp>##V3_BDPV12</stp>
        <stp xml:space="preserve">24166 HK Equity     </stp>
        <stp>WRT_EXER_DT</stp>
        <stp>[XLSpdmV8.xls]XLSpdmV8!R71C4</stp>
        <tr r="D71" s="1"/>
      </tp>
      <tp t="s">
        <v>29/6/2016</v>
        <stp/>
        <stp>##V3_BDPV12</stp>
        <stp xml:space="preserve">24376 HK Equity     </stp>
        <stp>WRT_EXER_DT</stp>
        <stp>[XLSpdmV8.xls]XLSpdmV8!R13C4</stp>
        <tr r="D13" s="1"/>
      </tp>
      <tp>
        <v>0</v>
        <stp/>
        <stp>##V3_BDPV12</stp>
        <stp xml:space="preserve">27422 HK Equity     </stp>
        <stp>VOLUME</stp>
        <stp>[XLSpdmV8.xls]XLSpdmV8!R170C9</stp>
        <tr r="I170" s="1"/>
      </tp>
      <tp>
        <v>220000</v>
        <stp/>
        <stp>##V3_BDPV12</stp>
        <stp xml:space="preserve">26037 HK Equity     </stp>
        <stp>VOLUME</stp>
        <stp>[XLSpdmV8.xls]XLSpdmV8!R204C9</stp>
        <tr r="I204" s="1"/>
      </tp>
      <tp>
        <v>0</v>
        <stp/>
        <stp>##V3_BDPV12</stp>
        <stp xml:space="preserve">22313 HK Equity     </stp>
        <stp>VOLUME</stp>
        <stp>[XLSpdmV8.xls]XLSpdmV8!R127C9</stp>
        <tr r="I127" s="1"/>
      </tp>
      <tp>
        <v>0</v>
        <stp/>
        <stp>##V3_BDPV12</stp>
        <stp xml:space="preserve">27562 HK Equity     </stp>
        <stp>VOLUME</stp>
        <stp>[XLSpdmV8.xls]XLSpdmV8!R171C9</stp>
        <tr r="I171" s="1"/>
      </tp>
      <tp>
        <v>10000</v>
        <stp/>
        <stp>##V3_BDPV12</stp>
        <stp xml:space="preserve">24167 HK Equity     </stp>
        <stp>VOLUME</stp>
        <stp>[XLSpdmV8.xls]XLSpdmV8!R135C9</stp>
        <tr r="I135" s="1"/>
      </tp>
      <tp>
        <v>0</v>
        <stp/>
        <stp>##V3_BDPV12</stp>
        <stp xml:space="preserve">24374 HK Equity     </stp>
        <stp>VOLUME</stp>
        <stp>[XLSpdmV8.xls]XLSpdmV8!R187C9</stp>
        <tr r="I187" s="1"/>
      </tp>
      <tp>
        <v>66680000</v>
        <stp/>
        <stp>##V3_BDPV12</stp>
        <stp xml:space="preserve">26756 HK Equity     </stp>
        <stp>VOLUME</stp>
        <stp>[XLSpdmV8.xls]XLSpdmV8!R103C9</stp>
        <tr r="I103" s="1"/>
      </tp>
      <tp>
        <v>80000</v>
        <stp/>
        <stp>##V3_BDPV12</stp>
        <stp xml:space="preserve">26583 HK Equity     </stp>
        <stp>VOLUME</stp>
        <stp>[XLSpdmV8.xls]XLSpdmV8!R101C9</stp>
        <tr r="I101" s="1"/>
      </tp>
      <tp>
        <v>0</v>
        <stp/>
        <stp>##V3_BDPV12</stp>
        <stp xml:space="preserve">26487 HK Equity     </stp>
        <stp>VOLUME</stp>
        <stp>[XLSpdmV8.xls]XLSpdmV8!R210C9</stp>
        <tr r="I210" s="1"/>
      </tp>
      <tp t="s">
        <v>29/6/2016</v>
        <stp/>
        <stp>##V3_BDPV12</stp>
        <stp xml:space="preserve">24684 HK Equity     </stp>
        <stp>WRT_EXER_DT</stp>
        <stp>[XLSpdmV8.xls]XLSpdmV8!R15C4</stp>
        <tr r="D15" s="1"/>
      </tp>
      <tp t="s">
        <v>29/6/2016</v>
        <stp/>
        <stp>##V3_BDPV12</stp>
        <stp xml:space="preserve">24688 HK Equity     </stp>
        <stp>WRT_EXER_DT</stp>
        <stp>[XLSpdmV8.xls]XLSpdmV8!R75C4</stp>
        <tr r="D75" s="1"/>
      </tp>
      <tp t="s">
        <v>29/9/2016</v>
        <stp/>
        <stp>##V3_BDPV12</stp>
        <stp xml:space="preserve">26121 HK Equity     </stp>
        <stp>WRT_EXER_DT</stp>
        <stp>[XLSpdmV8.xls]XLSpdmV8!R92C4</stp>
        <tr r="D92" s="1"/>
      </tp>
      <tp t="s">
        <v>30/5/2016</v>
        <stp/>
        <stp>##V3_BDPV12</stp>
        <stp xml:space="preserve">24137 HK Equity     </stp>
        <stp>WRT_EXER_DT</stp>
        <stp>[XLSpdmV8.xls]XLSpdmV8!R12C4</stp>
        <tr r="D12" s="1"/>
      </tp>
      <tp t="s">
        <v>28/7/2016</v>
        <stp/>
        <stp>##V3_BDPV12</stp>
        <stp xml:space="preserve">25447 HK Equity     </stp>
        <stp>WRT_EXER_DT</stp>
        <stp>[XLSpdmV8.xls]XLSpdmV8!R17C4</stp>
        <tr r="D17" s="1"/>
      </tp>
      <tp t="s">
        <v>30/5/2016</v>
        <stp/>
        <stp>##V3_BDPV12</stp>
        <stp xml:space="preserve">25376 HK Equity     </stp>
        <stp>WRT_EXER_DT</stp>
        <stp>[XLSpdmV8.xls]XLSpdmV8!R80C4</stp>
        <tr r="D80" s="1"/>
      </tp>
      <tp t="s">
        <v>30/8/2016</v>
        <stp/>
        <stp>##V3_BDPV12</stp>
        <stp xml:space="preserve">25679 HK Equity     </stp>
        <stp>WRT_EXER_DT</stp>
        <stp>[XLSpdmV8.xls]XLSpdmV8!R85C4</stp>
        <tr r="D85" s="1"/>
      </tp>
      <tp t="s">
        <v>#N/A N/A</v>
        <stp/>
        <stp>##V3_BDPV12</stp>
        <stp xml:space="preserve">28131 HK Equity     </stp>
        <stp>VOLUME</stp>
        <stp>[XLSpdmV8.xls]XLSpdmV8!R174C9</stp>
        <tr r="I174" s="1"/>
      </tp>
      <tp>
        <v>0</v>
        <stp/>
        <stp>##V3_BDPV12</stp>
        <stp xml:space="preserve">26201 HK Equity     </stp>
        <stp>VOLUME</stp>
        <stp>[XLSpdmV8.xls]XLSpdmV8!R157C9</stp>
        <tr r="I157" s="1"/>
      </tp>
      <tp>
        <v>0</v>
        <stp/>
        <stp>##V3_BDPV12</stp>
        <stp xml:space="preserve">26064 HK Equity     </stp>
        <stp>VOLUME</stp>
        <stp>[XLSpdmV8.xls]XLSpdmV8!R205C9</stp>
        <tr r="I205" s="1"/>
      </tp>
      <tp t="s">
        <v>#N/A N/A</v>
        <stp/>
        <stp>##V3_BDPV12</stp>
        <stp xml:space="preserve">26667 HK Equity     </stp>
        <stp>VOLUME</stp>
        <stp>[XLSpdmV8.xls]XLSpdmV8!R213C9</stp>
        <tr r="I213" s="1"/>
      </tp>
      <tp>
        <v>6260000</v>
        <stp/>
        <stp>##V3_BDPV12</stp>
        <stp xml:space="preserve">26748 HK Equity     </stp>
        <stp>VOLUME</stp>
        <stp>[XLSpdmV8.xls]XLSpdmV8!R102C9</stp>
        <tr r="I102" s="1"/>
      </tp>
      <tp>
        <v>0</v>
        <stp/>
        <stp>##V3_BDPV12</stp>
        <stp xml:space="preserve">26540 HK Equity     </stp>
        <stp>VOLUME</stp>
        <stp>[XLSpdmV8.xls]XLSpdmV8!R100C9</stp>
        <tr r="I100" s="1"/>
      </tp>
      <tp>
        <v>459420000</v>
        <stp/>
        <stp>##V3_BDPV12</stp>
        <stp xml:space="preserve">27459 HK Equity     </stp>
        <stp>VOLUME</stp>
        <stp>[XLSpdmV8.xls]XLSpdmV8!R221C9</stp>
        <tr r="I221" s="1"/>
      </tp>
      <tp t="s">
        <v>#N/A N/A</v>
        <stp/>
        <stp>##V3_BDPV12</stp>
        <stp xml:space="preserve">23683 HK Equity     </stp>
        <stp>VOLUME</stp>
        <stp>[XLSpdmV8.xls]XLSpdmV8!R133C9</stp>
        <tr r="I133" s="1"/>
      </tp>
      <tp>
        <v>0</v>
        <stp/>
        <stp>##V3_BDPV12</stp>
        <stp xml:space="preserve">28080 HK Equity     </stp>
        <stp>VOLUME</stp>
        <stp>[XLSpdmV8.xls]XLSpdmV8!R115C9</stp>
        <tr r="I115" s="1"/>
      </tp>
      <tp>
        <v>14730000</v>
        <stp/>
        <stp>##V3_BDPV12</stp>
        <stp xml:space="preserve">26485 HK Equity     </stp>
        <stp>VOLUME</stp>
        <stp>[XLSpdmV8.xls]XLSpdmV8!R161C9</stp>
        <tr r="I161" s="1"/>
      </tp>
      <tp>
        <v>17770000</v>
        <stp/>
        <stp>##V3_BDPV12</stp>
        <stp xml:space="preserve">26491 HK Equity     </stp>
        <stp>VOLUME</stp>
        <stp>[XLSpdmV8.xls]XLSpdmV8!R211C9</stp>
        <tr r="I211" s="1"/>
      </tp>
      <tp t="s">
        <v>28/7/2016</v>
        <stp/>
        <stp>##V3_BDPV12</stp>
        <stp xml:space="preserve">26704 HK Equity     </stp>
        <stp>WRT_EXER_DT</stp>
        <stp>[XLSpdmV8.xls]XLSpdmV8!R35C4</stp>
        <tr r="D35" s="1"/>
      </tp>
      <tp t="s">
        <v>28/7/2016</v>
        <stp/>
        <stp>##V3_BDPV12</stp>
        <stp xml:space="preserve">26147 HK Equity     </stp>
        <stp>WRT_EXER_DT</stp>
        <stp>[XLSpdmV8.xls]XLSpdmV8!R93C4</stp>
        <tr r="D93" s="1"/>
      </tp>
      <tp t="s">
        <v>29/6/2016</v>
        <stp/>
        <stp>##V3_BDPV12</stp>
        <stp xml:space="preserve">24451 HK Equity     </stp>
        <stp>WRT_EXER_DT</stp>
        <stp>[XLSpdmV8.xls]XLSpdmV8!R56C4</stp>
        <tr r="D56" s="1"/>
      </tp>
      <tp t="s">
        <v>28/7/2016</v>
        <stp/>
        <stp>##V3_BDPV12</stp>
        <stp xml:space="preserve">25662 HK Equity     </stp>
        <stp>WRT_EXER_DT</stp>
        <stp>[XLSpdmV8.xls]XLSpdmV8!R84C4</stp>
        <tr r="D84" s="1"/>
      </tp>
      <tp t="s">
        <v>29/9/2016</v>
        <stp/>
        <stp>##V3_BDPV12</stp>
        <stp xml:space="preserve">26668 HK Equity     </stp>
        <stp>WRT_EXER_DT</stp>
        <stp>[XLSpdmV8.xls]XLSpdmV8!R34C4</stp>
        <tr r="D34" s="1"/>
      </tp>
      <tp>
        <v>0</v>
        <stp/>
        <stp>##V3_BDPV12</stp>
        <stp xml:space="preserve">24429 HK Equity     </stp>
        <stp>VOLUME</stp>
        <stp>[XLSpdmV8.xls]XLSpdmV8!R136C9</stp>
        <tr r="I136" s="1"/>
      </tp>
      <tp>
        <v>0</v>
        <stp/>
        <stp>##V3_BDPV12</stp>
        <stp xml:space="preserve">11321 HK Equity     </stp>
        <stp>VOLUME</stp>
        <stp>[XLSpdmV8.xls]XLSpdmV8!R121C9</stp>
        <tr r="I121" s="1"/>
      </tp>
      <tp>
        <v>0</v>
        <stp/>
        <stp>##V3_BDPV12</stp>
        <stp xml:space="preserve">22320 HK Equity     </stp>
        <stp>VOLUME</stp>
        <stp>[XLSpdmV8.xls]XLSpdmV8!R181C9</stp>
        <tr r="I181" s="1"/>
      </tp>
      <tp>
        <v>14600000</v>
        <stp/>
        <stp>##V3_BDPV12</stp>
        <stp xml:space="preserve">25236 HK Equity     </stp>
        <stp>VOLUME</stp>
        <stp>[XLSpdmV8.xls]XLSpdmV8!R140C9</stp>
        <tr r="I140" s="1"/>
      </tp>
      <tp>
        <v>0</v>
        <stp/>
        <stp>##V3_BDPV12</stp>
        <stp xml:space="preserve">22235 HK Equity     </stp>
        <stp>VOLUME</stp>
        <stp>[XLSpdmV8.xls]XLSpdmV8!R180C9</stp>
        <tr r="I180" s="1"/>
      </tp>
      <tp>
        <v>0</v>
        <stp/>
        <stp>##V3_BDPV12</stp>
        <stp xml:space="preserve">23517 HK Equity     </stp>
        <stp>VOLUME</stp>
        <stp>[XLSpdmV8.xls]XLSpdmV8!R8C9</stp>
        <tr r="I8" s="1"/>
      </tp>
      <tp>
        <v>600000</v>
        <stp/>
        <stp>##V3_BDPV12</stp>
        <stp xml:space="preserve">26717 HK Equity     </stp>
        <stp>VOLUME</stp>
        <stp>[XLSpdmV8.xls]XLSpdmV8!R215C9</stp>
        <tr r="I215" s="1"/>
      </tp>
      <tp>
        <v>4500000</v>
        <stp/>
        <stp>##V3_BDPV12</stp>
        <stp xml:space="preserve">27760 HK Equity     </stp>
        <stp>VOLUME</stp>
        <stp>[XLSpdmV8.xls]XLSpdmV8!R225C9</stp>
        <tr r="I225" s="1"/>
      </tp>
      <tp>
        <v>4040000</v>
        <stp/>
        <stp>##V3_BDPV12</stp>
        <stp xml:space="preserve">25479 HK Equity     </stp>
        <stp>VOLUME</stp>
        <stp>[XLSpdmV8.xls]XLSpdmV8!R146C9</stp>
        <tr r="I146" s="1"/>
      </tp>
      <tp t="s">
        <v>#N/A N/A</v>
        <stp/>
        <stp>##V3_BDPV12</stp>
        <stp xml:space="preserve">28374 HK Equity     </stp>
        <stp>VOLUME</stp>
        <stp>[XLSpdmV8.xls]XLSpdmV8!R231C9</stp>
        <tr r="I231" s="1"/>
      </tp>
      <tp>
        <v>1490000</v>
        <stp/>
        <stp>##V3_BDPV12</stp>
        <stp xml:space="preserve">26753 HK Equity     </stp>
        <stp>VOLUME</stp>
        <stp>[XLSpdmV8.xls]XLSpdmV8!R165C9</stp>
        <tr r="I165" s="1"/>
      </tp>
      <tp>
        <v>100000</v>
        <stp/>
        <stp>##V3_BDPV12</stp>
        <stp xml:space="preserve">27394 HK Equity     </stp>
        <stp>VOLUME</stp>
        <stp>[XLSpdmV8.xls]XLSpdmV8!R111C9</stp>
        <tr r="I111" s="1"/>
      </tp>
      <tp t="s">
        <v>30/5/2016</v>
        <stp/>
        <stp>##V3_BDPV12</stp>
        <stp xml:space="preserve">23287 HK Equity     </stp>
        <stp>WRT_EXER_DT</stp>
        <stp>[XLSpdmV8.xls]XLSpdmV8!R67C4</stp>
        <tr r="D67" s="1"/>
      </tp>
      <tp t="s">
        <v>30/5/2016</v>
        <stp/>
        <stp>##V3_BDPV12</stp>
        <stp xml:space="preserve">26191 HK Equity     </stp>
        <stp>WRT_EXER_DT</stp>
        <stp>[XLSpdmV8.xls]XLSpdmV8!R94C4</stp>
        <tr r="D94" s="1"/>
      </tp>
      <tp t="s">
        <v>28/10/2016</v>
        <stp/>
        <stp>##V3_BDPV12</stp>
        <stp xml:space="preserve">26390 HK Equity     </stp>
        <stp>WRT_EXER_DT</stp>
        <stp>[XLSpdmV8.xls]XLSpdmV8!R96C4</stp>
        <tr r="D96" s="1"/>
      </tp>
      <tp t="s">
        <v>28/7/2016</v>
        <stp/>
        <stp>##V3_BDPV12</stp>
        <stp xml:space="preserve">27594 HK Equity     </stp>
        <stp>WRT_EXER_DT</stp>
        <stp>[XLSpdmV8.xls]XLSpdmV8!R50C4</stp>
        <tr r="D50" s="1"/>
      </tp>
      <tp t="s">
        <v>30/8/2016</v>
        <stp/>
        <stp>##V3_BDPV12</stp>
        <stp xml:space="preserve">25600 HK Equity     </stp>
        <stp>WRT_EXER_DT</stp>
        <stp>[XLSpdmV8.xls]XLSpdmV8!R83C4</stp>
        <tr r="D83" s="1"/>
      </tp>
      <tp t="s">
        <v>30/5/2016</v>
        <stp/>
        <stp>##V3_BDPV12</stp>
        <stp xml:space="preserve">20411 HK Equity     </stp>
        <stp>WRT_EXER_DT</stp>
        <stp>[XLSpdmV8.xls]XLSpdmV8!R61C4</stp>
        <tr r="D61" s="1"/>
      </tp>
      <tp t="s">
        <v>28/10/2016</v>
        <stp/>
        <stp>##V3_BDPV12</stp>
        <stp xml:space="preserve">27157 HK Equity     </stp>
        <stp>WRT_EXER_DT</stp>
        <stp>[XLSpdmV8.xls]XLSpdmV8!R44C4</stp>
        <tr r="D44" s="1"/>
      </tp>
      <tp t="s">
        <v>29/6/2016</v>
        <stp/>
        <stp>##V3_BDPV12</stp>
        <stp xml:space="preserve">25473 HK Equity     </stp>
        <stp>WRT_EXER_DT</stp>
        <stp>[XLSpdmV8.xls]XLSpdmV8!R81C4</stp>
        <tr r="D81" s="1"/>
      </tp>
      <tp>
        <v>0</v>
        <stp/>
        <stp>##V3_BDPV12</stp>
        <stp xml:space="preserve">21729 HK Equity     </stp>
        <stp>VOLUME</stp>
        <stp>[XLSpdmV8.xls]XLSpdmV8!R124C9</stp>
        <tr r="I124" s="1"/>
      </tp>
      <tp>
        <v>0</v>
        <stp/>
        <stp>##V3_BDPV12</stp>
        <stp xml:space="preserve">21028 HK Equity     </stp>
        <stp>VOLUME</stp>
        <stp>[XLSpdmV8.xls]XLSpdmV8!R123C9</stp>
        <tr r="I123" s="1"/>
      </tp>
      <tp>
        <v>0</v>
        <stp/>
        <stp>##V3_BDPV12</stp>
        <stp xml:space="preserve">26020 HK Equity     </stp>
        <stp>VOLUME</stp>
        <stp>[XLSpdmV8.xls]XLSpdmV8!R203C9</stp>
        <tr r="I203" s="1"/>
      </tp>
      <tp>
        <v>677720000</v>
        <stp/>
        <stp>##V3_BDPV12</stp>
        <stp xml:space="preserve">26703 HK Equity     </stp>
        <stp>VOLUME</stp>
        <stp>[XLSpdmV8.xls]XLSpdmV8!R214C9</stp>
        <tr r="I214" s="1"/>
      </tp>
      <tp>
        <v>300000</v>
        <stp/>
        <stp>##V3_BDPV12</stp>
        <stp xml:space="preserve">26362 HK Equity     </stp>
        <stp>VOLUME</stp>
        <stp>[XLSpdmV8.xls]XLSpdmV8!R160C9</stp>
        <tr r="I160" s="1"/>
      </tp>
      <tp>
        <v>2260000</v>
        <stp/>
        <stp>##V3_BDPV12</stp>
        <stp xml:space="preserve">25272 HK Equity     </stp>
        <stp>VOLUME</stp>
        <stp>[XLSpdmV8.xls]XLSpdmV8!R141C9</stp>
        <tr r="I141" s="1"/>
      </tp>
      <tp>
        <v>0</v>
        <stp/>
        <stp>##V3_BDPV12</stp>
        <stp xml:space="preserve">27359 HK Equity     </stp>
        <stp>VOLUME</stp>
        <stp>[XLSpdmV8.xls]XLSpdmV8!R220C9</stp>
        <tr r="I220" s="1"/>
      </tp>
      <tp>
        <v>7200000</v>
        <stp/>
        <stp>##V3_BDPV12</stp>
        <stp xml:space="preserve">27382 HK Equity     </stp>
        <stp>VOLUME</stp>
        <stp>[XLSpdmV8.xls]XLSpdmV8!R110C9</stp>
        <tr r="I110" s="1"/>
      </tp>
      <tp t="s">
        <v>#N/A N/A</v>
        <stp/>
        <stp>##V3_BDPV12</stp>
        <stp xml:space="preserve">28081 HK Equity     </stp>
        <stp>VOLUME</stp>
        <stp>[XLSpdmV8.xls]XLSpdmV8!R173C9</stp>
        <tr r="I173" s="1"/>
      </tp>
      <tp>
        <v>0</v>
        <stp/>
        <stp>##V3_BDPV12</stp>
        <stp xml:space="preserve">25686 HK Equity     </stp>
        <stp>VOLUME</stp>
        <stp>[XLSpdmV8.xls]XLSpdmV8!R195C9</stp>
        <tr r="I195" s="1"/>
      </tp>
      <tp t="s">
        <v>30/8/2016</v>
        <stp/>
        <stp>##V3_BDPV12</stp>
        <stp xml:space="preserve">27286 HK Equity     </stp>
        <stp>WRT_EXER_DT</stp>
        <stp>[XLSpdmV8.xls]XLSpdmV8!R46C4</stp>
        <tr r="D46" s="1"/>
      </tp>
      <tp t="s">
        <v>29/9/2016</v>
        <stp/>
        <stp>##V3_BDPV12</stp>
        <stp xml:space="preserve">26399 HK Equity     </stp>
        <stp>WRT_EXER_DT</stp>
        <stp>[XLSpdmV8.xls]XLSpdmV8!R97C4</stp>
        <tr r="D97" s="1"/>
      </tp>
      <tp t="s">
        <v>30/8/2016</v>
        <stp/>
        <stp>##V3_BDPV12</stp>
        <stp xml:space="preserve">25698 HK Equity     </stp>
        <stp>WRT_EXER_DT</stp>
        <stp>[XLSpdmV8.xls]XLSpdmV8!R22C4</stp>
        <tr r="D22" s="1"/>
      </tp>
      <tp t="s">
        <v>29/6/2016</v>
        <stp/>
        <stp>##V3_BDPV12</stp>
        <stp xml:space="preserve">21009 HK Equity     </stp>
        <stp>WRT_EXER_DT</stp>
        <stp>[XLSpdmV8.xls]XLSpdmV8!R64C4</stp>
        <tr r="D64" s="1"/>
      </tp>
      <tp t="s">
        <v>29/6/2016</v>
        <stp/>
        <stp>##V3_BDPV12</stp>
        <stp xml:space="preserve">25722 HK Equity     </stp>
        <stp>WRT_EXER_DT</stp>
        <stp>[XLSpdmV8.xls]XLSpdmV8!R23C4</stp>
        <tr r="D23" s="1"/>
      </tp>
      <tp t="s">
        <v>28/10/2016</v>
        <stp/>
        <stp>##V3_BDPV12</stp>
        <stp xml:space="preserve">27360 HK Equity     </stp>
        <stp>WRT_EXER_DT</stp>
        <stp>[XLSpdmV8.xls]XLSpdmV8!R47C4</stp>
        <tr r="D47" s="1"/>
      </tp>
      <tp t="s">
        <v>30/8/2016</v>
        <stp/>
        <stp>##V3_BDPV12</stp>
        <stp xml:space="preserve">27666 HK Equity     </stp>
        <stp>WRT_EXER_DT</stp>
        <stp>[XLSpdmV8.xls]XLSpdmV8!R52C4</stp>
        <tr r="D52" s="1"/>
      </tp>
      <tp t="s">
        <v>28/10/2016</v>
        <stp/>
        <stp>##V3_BDPV12</stp>
        <stp xml:space="preserve">27177 HK Equity     </stp>
        <stp>WRT_EXER_DT</stp>
        <stp>[XLSpdmV8.xls]XLSpdmV8!R45C4</stp>
        <tr r="D45" s="1"/>
      </tp>
      <tp t="s">
        <v>#N/A N/A</v>
        <stp/>
        <stp>##V3_BDPV12</stp>
        <stp xml:space="preserve">24821 HK Equity     </stp>
        <stp>VOLUME</stp>
        <stp>[XLSpdmV8.xls]XLSpdmV8!R138C9</stp>
        <tr r="I138" s="1"/>
      </tp>
      <tp>
        <v>24440000</v>
        <stp/>
        <stp>##V3_BDPV12</stp>
        <stp xml:space="preserve">25808 HK Equity     </stp>
        <stp>VOLUME</stp>
        <stp>[XLSpdmV8.xls]XLSpdmV8!R198C9</stp>
        <tr r="I198" s="1"/>
      </tp>
      <tp>
        <v>60000</v>
        <stp/>
        <stp>##V3_BDPV12</stp>
        <stp xml:space="preserve">25902 HK Equity     </stp>
        <stp>VOLUME</stp>
        <stp>[XLSpdmV8.xls]XLSpdmV8!R199C9</stp>
        <tr r="I199" s="1"/>
      </tp>
      <tp>
        <v>910000</v>
        <stp/>
        <stp>##V3_BDPV12</stp>
        <stp xml:space="preserve">25357 HK Equity     </stp>
        <stp>VOLUME</stp>
        <stp>[XLSpdmV8.xls]XLSpdmV8!R143C9</stp>
        <tr r="I143" s="1"/>
      </tp>
      <tp>
        <v>330000</v>
        <stp/>
        <stp>##V3_BDPV12</stp>
        <stp xml:space="preserve">22990 HK Equity     </stp>
        <stp>VOLUME</stp>
        <stp>[XLSpdmV8.xls]XLSpdmV8!R129C9</stp>
        <tr r="I129" s="1"/>
      </tp>
      <tp t="s">
        <v>29/9/2016</v>
        <stp/>
        <stp>##V3_BDPV12</stp>
        <stp xml:space="preserve">26488 HK Equity     </stp>
        <stp>WRT_EXER_DT</stp>
        <stp>[XLSpdmV8.xls]XLSpdmV8!R33C4</stp>
        <tr r="D33" s="1"/>
      </tp>
      <tp t="s">
        <v>28/7/2016</v>
        <stp/>
        <stp>##V3_BDPV12</stp>
        <stp xml:space="preserve">27608 HK Equity     </stp>
        <stp>WRT_EXER_DT</stp>
        <stp>[XLSpdmV8.xls]XLSpdmV8!R51C4</stp>
        <tr r="D51" s="1"/>
      </tp>
      <tp t="s">
        <v>30/5/2016</v>
        <stp/>
        <stp>##V3_BDPV12</stp>
        <stp xml:space="preserve">20537 HK Equity     </stp>
        <stp>WRT_EXER_DT</stp>
        <stp>[XLSpdmV8.xls]XLSpdmV8!R62C4</stp>
        <tr r="D62" s="1"/>
      </tp>
      <tp t="s">
        <v>28/7/2016</v>
        <stp/>
        <stp>##V3_BDPV12</stp>
        <stp xml:space="preserve">25660 HK Equity     </stp>
        <stp>WRT_EXER_DT</stp>
        <stp>[XLSpdmV8.xls]XLSpdmV8!R21C4</stp>
        <tr r="D21" s="1"/>
      </tp>
      <tp t="s">
        <v>29/9/2016</v>
        <stp/>
        <stp>##V3_BDPV12</stp>
        <stp xml:space="preserve">25579 HK Equity     </stp>
        <stp>WRT_EXER_DT</stp>
        <stp>[XLSpdmV8.xls]XLSpdmV8!R82C4</stp>
        <tr r="D82" s="1"/>
      </tp>
      <tp>
        <v>0</v>
        <stp/>
        <stp>##V3_BDPV12</stp>
        <stp xml:space="preserve">25720 HK Equity     </stp>
        <stp>VOLUME</stp>
        <stp>[XLSpdmV8.xls]XLSpdmV8!R196C9</stp>
        <tr r="I196" s="1"/>
      </tp>
      <tp>
        <v>0</v>
        <stp/>
        <stp>##V3_BDPV12</stp>
        <stp xml:space="preserve">23524 HK Equity     </stp>
        <stp>VOLUME</stp>
        <stp>[XLSpdmV8.xls]XLSpdmV8!R184C9</stp>
        <tr r="I184" s="1"/>
      </tp>
      <tp>
        <v>380000</v>
        <stp/>
        <stp>##V3_BDPV12</stp>
        <stp xml:space="preserve">23535 HK Equity     </stp>
        <stp>VOLUME</stp>
        <stp>[XLSpdmV8.xls]XLSpdmV8!R9C9</stp>
        <tr r="I9" s="1"/>
      </tp>
      <tp>
        <v>5320000</v>
        <stp/>
        <stp>##V3_BDPV12</stp>
        <stp xml:space="preserve">25803 HK Equity     </stp>
        <stp>VOLUME</stp>
        <stp>[XLSpdmV8.xls]XLSpdmV8!R149C9</stp>
        <tr r="I149" s="1"/>
      </tp>
      <tp>
        <v>1147010000</v>
        <stp/>
        <stp>##V3_BDPV12</stp>
        <stp xml:space="preserve">25306 HK Equity     </stp>
        <stp>VOLUME</stp>
        <stp>[XLSpdmV8.xls]XLSpdmV8!R142C9</stp>
        <tr r="I142" s="1"/>
      </tp>
      <tp>
        <v>790000</v>
        <stp/>
        <stp>##V3_BDPV12</stp>
        <stp xml:space="preserve">25618 HK Equity     </stp>
        <stp>VOLUME</stp>
        <stp>[XLSpdmV8.xls]XLSpdmV8!R147C9</stp>
        <tr r="I147" s="1"/>
      </tp>
      <tp>
        <v>0</v>
        <stp/>
        <stp>##V3_BDPV12</stp>
        <stp xml:space="preserve">25561 HK Equity     </stp>
        <stp>VOLUME</stp>
        <stp>[XLSpdmV8.xls]XLSpdmV8!R194C9</stp>
        <tr r="I194" s="1"/>
      </tp>
      <tp t="s">
        <v>#N/A N/A</v>
        <stp/>
        <stp>##V3_BDPV12</stp>
        <stp xml:space="preserve">28172 HK Equity     </stp>
        <stp>VOLUME</stp>
        <stp>[XLSpdmV8.xls]XLSpdmV8!R230C9</stp>
        <tr r="I230" s="1"/>
      </tp>
      <tp>
        <v>1680000</v>
        <stp/>
        <stp>##V3_BDPV12</stp>
        <stp xml:space="preserve">24452 HK Equity     </stp>
        <stp>VOLUME</stp>
        <stp>[XLSpdmV8.xls]XLSpdmV8!R175C9</stp>
        <tr r="I175" s="1"/>
      </tp>
      <tp>
        <v>3880000</v>
        <stp/>
        <stp>##V3_BDPV12</stp>
        <stp xml:space="preserve">11153 HK Equity     </stp>
        <stp>VOLUME</stp>
        <stp>[XLSpdmV8.xls]XLSpdmV8!R120C9</stp>
        <tr r="I120" s="1"/>
      </tp>
      <tp>
        <v>11260000</v>
        <stp/>
        <stp>##V3_BDPV12</stp>
        <stp xml:space="preserve">25457 HK Equity     </stp>
        <stp>VOLUME</stp>
        <stp>[XLSpdmV8.xls]XLSpdmV8!R145C9</stp>
        <tr r="I145" s="1"/>
      </tp>
      <tp>
        <v>0</v>
        <stp/>
        <stp>##V3_BDPV12</stp>
        <stp xml:space="preserve">23055 HK Equity     </stp>
        <stp>VOLUME</stp>
        <stp>[XLSpdmV8.xls]XLSpdmV8!R131C9</stp>
        <tr r="I131" s="1"/>
      </tp>
      <tp>
        <v>3170000</v>
        <stp/>
        <stp>##V3_BDPV12</stp>
        <stp xml:space="preserve">26585 HK Equity     </stp>
        <stp>VOLUME</stp>
        <stp>[XLSpdmV8.xls]XLSpdmV8!R164C9</stp>
        <tr r="I164" s="1"/>
      </tp>
      <tp t="s">
        <v>#N/A N/A</v>
        <stp/>
        <stp>##V3_BDPV12</stp>
        <stp xml:space="preserve">27592 HK Equity     </stp>
        <stp>VOLUME</stp>
        <stp>[XLSpdmV8.xls]XLSpdmV8!R224C9</stp>
        <tr r="I224" s="1"/>
      </tp>
      <tp>
        <v>4300000</v>
        <stp/>
        <stp>##V3_BDPV12</stp>
        <stp xml:space="preserve">24691 HK Equity     </stp>
        <stp>VOLUME</stp>
        <stp>[XLSpdmV8.xls]XLSpdmV8!R137C9</stp>
        <tr r="I137" s="1"/>
      </tp>
      <tp t="s">
        <v>#N/A N/A</v>
        <stp/>
        <stp>##V3_BDPV12</stp>
        <stp xml:space="preserve">28393 HK Equity     </stp>
        <stp>VOLUME</stp>
        <stp>[XLSpdmV8.xls]XLSpdmV8!R232C9</stp>
        <tr r="I232" s="1"/>
      </tp>
      <tp t="s">
        <v>29/6/2016</v>
        <stp/>
        <stp>##V3_BDPV12</stp>
        <stp xml:space="preserve">20588 HK Equity     </stp>
        <stp>WRT_EXER_DT</stp>
        <stp>[XLSpdmV8.xls]XLSpdmV8!R63C4</stp>
        <tr r="D63" s="1"/>
      </tp>
      <tp t="s">
        <v>29/6/2016</v>
        <stp/>
        <stp>##V3_BDPV12</stp>
        <stp xml:space="preserve">25195 HK Equity     </stp>
        <stp>WRT_EXER_DT</stp>
        <stp>[XLSpdmV8.xls]XLSpdmV8!R77C4</stp>
        <tr r="D77" s="1"/>
      </tp>
      <tp t="s">
        <v>30/8/2016</v>
        <stp/>
        <stp>##V3_BDPV12</stp>
        <stp xml:space="preserve">26319 HK Equity     </stp>
        <stp>WRT_EXER_DT</stp>
        <stp>[XLSpdmV8.xls]XLSpdmV8!R95C4</stp>
        <tr r="D95" s="1"/>
      </tp>
      <tp t="s">
        <v>29/9/2016</v>
        <stp/>
        <stp>##V3_BDPV12</stp>
        <stp xml:space="preserve">25625 HK Equity     </stp>
        <stp>WRT_EXER_DT</stp>
        <stp>[XLSpdmV8.xls]XLSpdmV8!R20C4</stp>
        <tr r="D20" s="1"/>
      </tp>
      <tp>
        <v>0.17399999999999999</v>
        <stp/>
        <stp>##V3_BDPV12</stp>
        <stp xml:space="preserve">23538 HK Equity     </stp>
        <stp>LAST_PRICE</stp>
        <stp>[XLSpdmV8.xls]XLSpdmV8!R69C3</stp>
        <tr r="C69" s="1"/>
      </tp>
      <tp>
        <v>18400</v>
        <stp/>
        <stp>##V3_BDPV12</stp>
        <stp xml:space="preserve">25548 HK Equity     </stp>
        <stp>WRT_EXER_PX</stp>
        <stp>[XLSpdmV8.xls]XLSpdmV8!R18C2</stp>
        <tr r="B18" s="1"/>
      </tp>
      <tp>
        <v>21400</v>
        <stp/>
        <stp>##V3_BDPV12</stp>
        <stp xml:space="preserve">27465 HK Equity     </stp>
        <stp>WRT_EXER_PX</stp>
        <stp>[XLSpdmV8.xls]XLSpdmV8!R49C2</stp>
        <tr r="B49" s="1"/>
      </tp>
      <tp>
        <v>24400</v>
        <stp/>
        <stp>##V3_BDPV12</stp>
        <stp xml:space="preserve">21875 HK Equity     </stp>
        <stp>WRT_EXER_PX</stp>
        <stp>[XLSpdmV8.xls]XLSpdmV8!R65C2</stp>
        <tr r="B65" s="1"/>
      </tp>
      <tp>
        <v>19000</v>
        <stp/>
        <stp>##V3_BDPV12</stp>
        <stp xml:space="preserve">25919 HK Equity     </stp>
        <stp>WRT_EXER_PX</stp>
        <stp>[XLSpdmV8.xls]XLSpdmV8!R24C2</stp>
        <tr r="B24" s="1"/>
      </tp>
      <tp>
        <v>22600</v>
        <stp/>
        <stp>##V3_BDPV12</stp>
        <stp xml:space="preserve">23522 HK Equity     </stp>
        <stp>WRT_EXER_PX</stp>
        <stp>[XLSpdmV8.xls]XLSpdmV8!R68C2</stp>
        <tr r="B68" s="1"/>
      </tp>
      <tp>
        <v>17200</v>
        <stp/>
        <stp>##V3_BDPV12</stp>
        <stp xml:space="preserve">26037 HK Equity     </stp>
        <stp>WRT_EXER_PX</stp>
        <stp>[XLSpdmV8.xls]XLSpdmV8!R204C2</stp>
        <tr r="B204" s="1"/>
      </tp>
      <tp t="s">
        <v>30/8/2016</v>
        <stp/>
        <stp>##V3_BDPV12</stp>
        <stp xml:space="preserve">27596 HK Equity     </stp>
        <stp>WRT_EXER_DT</stp>
        <stp>[XLSpdmV8.xls]XLSpdmV8!R112C4</stp>
        <tr r="D112" s="1"/>
      </tp>
      <tp>
        <v>20800</v>
        <stp/>
        <stp>##V3_BDPV12</stp>
        <stp xml:space="preserve">26915 HK Equity     </stp>
        <stp>WRT_EXER_PX</stp>
        <stp>[XLSpdmV8.xls]XLSpdmV8!R216C2</stp>
        <tr r="B216" s="1"/>
      </tp>
      <tp>
        <v>19600</v>
        <stp/>
        <stp>##V3_BDPV12</stp>
        <stp xml:space="preserve">25804 HK Equity     </stp>
        <stp>WRT_EXER_PX</stp>
        <stp>[XLSpdmV8.xls]XLSpdmV8!R197C2</stp>
        <tr r="B197" s="1"/>
      </tp>
      <tp t="s">
        <v>30/5/2016</v>
        <stp/>
        <stp>##V3_BDPV12</stp>
        <stp xml:space="preserve">23683 HK Equity     </stp>
        <stp>WRT_EXER_DT</stp>
        <stp>[XLSpdmV8.xls]XLSpdmV8!R133C4</stp>
        <tr r="D133" s="1"/>
      </tp>
      <tp t="s">
        <v>29/9/2016</v>
        <stp/>
        <stp>##V3_BDPV12</stp>
        <stp xml:space="preserve">25483 HK Equity     </stp>
        <stp>WRT_EXER_DT</stp>
        <stp>[XLSpdmV8.xls]XLSpdmV8!R193C4</stp>
        <tr r="D193" s="1"/>
      </tp>
      <tp t="s">
        <v>28/10/2016</v>
        <stp/>
        <stp>##V3_BDPV12</stp>
        <stp xml:space="preserve">28393 HK Equity     </stp>
        <stp>WRT_EXER_DT</stp>
        <stp>[XLSpdmV8.xls]XLSpdmV8!R232C4</stp>
        <tr r="D232" s="1"/>
      </tp>
      <tp>
        <v>18308</v>
        <stp/>
        <stp>##V3_BDPV12</stp>
        <stp xml:space="preserve">27112 HK Equity     </stp>
        <stp>WRT_EXER_PX</stp>
        <stp>[XLSpdmV8.xls]XLSpdmV8!R166C2</stp>
        <tr r="B166" s="1"/>
      </tp>
      <tp>
        <v>20298</v>
        <stp/>
        <stp>##V3_BDPV12</stp>
        <stp xml:space="preserve">27562 HK Equity     </stp>
        <stp>WRT_EXER_PX</stp>
        <stp>[XLSpdmV8.xls]XLSpdmV8!R171C2</stp>
        <tr r="B171" s="1"/>
      </tp>
      <tp>
        <v>18800</v>
        <stp/>
        <stp>##V3_BDPV12</stp>
        <stp xml:space="preserve">28172 HK Equity     </stp>
        <stp>WRT_EXER_PX</stp>
        <stp>[XLSpdmV8.xls]XLSpdmV8!R230C2</stp>
        <tr r="B230" s="1"/>
      </tp>
      <tp>
        <v>18708</v>
        <stp/>
        <stp>##V3_BDPV12</stp>
        <stp xml:space="preserve">26201 HK Equity     </stp>
        <stp>WRT_EXER_PX</stp>
        <stp>[XLSpdmV8.xls]XLSpdmV8!R157C2</stp>
        <tr r="B157" s="1"/>
      </tp>
      <tp t="s">
        <v>29/9/2016</v>
        <stp/>
        <stp>##V3_BDPV12</stp>
        <stp xml:space="preserve">27891 HK Equity     </stp>
        <stp>WRT_EXER_DT</stp>
        <stp>[XLSpdmV8.xls]XLSpdmV8!R172C4</stp>
        <tr r="D172" s="1"/>
      </tp>
      <tp t="s">
        <v>29/9/2016</v>
        <stp/>
        <stp>##V3_BDPV12</stp>
        <stp xml:space="preserve">28081 HK Equity     </stp>
        <stp>WRT_EXER_DT</stp>
        <stp>[XLSpdmV8.xls]XLSpdmV8!R173C4</stp>
        <tr r="D173" s="1"/>
      </tp>
      <tp>
        <v>18800</v>
        <stp/>
        <stp>##V3_BDPV12</stp>
        <stp xml:space="preserve">28131 HK Equity     </stp>
        <stp>WRT_EXER_PX</stp>
        <stp>[XLSpdmV8.xls]XLSpdmV8!R174C2</stp>
        <tr r="B174" s="1"/>
      </tp>
      <tp t="s">
        <v>30/8/2016</v>
        <stp/>
        <stp>##V3_BDPV12</stp>
        <stp xml:space="preserve">26320 HK Equity     </stp>
        <stp>WRT_EXER_DT</stp>
        <stp>[XLSpdmV8.xls]XLSpdmV8!R159C4</stp>
        <tr r="D159" s="1"/>
      </tp>
      <tp t="s">
        <v>30/8/2016</v>
        <stp/>
        <stp>##V3_BDPV12</stp>
        <stp xml:space="preserve">28120 HK Equity     </stp>
        <stp>WRT_EXER_DT</stp>
        <stp>[XLSpdmV8.xls]XLSpdmV8!R229C4</stp>
        <tr r="D229" s="1"/>
      </tp>
      <tp>
        <v>22108</v>
        <stp/>
        <stp>##V3_BDPV12</stp>
        <stp xml:space="preserve">27559 HK Equity     </stp>
        <stp>WRT_EXER_PX</stp>
        <stp>[XLSpdmV8.xls]XLSpdmV8!R222C2</stp>
        <tr r="B222" s="1"/>
      </tp>
      <tp t="s">
        <v>29/9/2016</v>
        <stp/>
        <stp>##V3_BDPV12</stp>
        <stp xml:space="preserve">26329 HK Equity     </stp>
        <stp>WRT_EXER_DT</stp>
        <stp>[XLSpdmV8.xls]XLSpdmV8!R209C4</stp>
        <tr r="D209" s="1"/>
      </tp>
      <tp>
        <v>18400</v>
        <stp/>
        <stp>##V3_BDPV12</stp>
        <stp xml:space="preserve">25948 HK Equity     </stp>
        <stp>WRT_EXER_PX</stp>
        <stp>[XLSpdmV8.xls]XLSpdmV8!R153C2</stp>
        <tr r="B153" s="1"/>
      </tp>
      <tp>
        <v>1.7000000000000001E-2</v>
        <stp/>
        <stp>##V3_BDPV12</stp>
        <stp xml:space="preserve">23522 HK Equity     </stp>
        <stp>LAST_PRICE</stp>
        <stp>[XLSpdmV8.xls]XLSpdmV8!R68C3</stp>
        <tr r="C68" s="1"/>
      </tp>
      <tp>
        <v>17800</v>
        <stp/>
        <stp>##V3_BDPV12</stp>
        <stp xml:space="preserve">25946 HK Equity     </stp>
        <stp>WRT_EXER_PX</stp>
        <stp>[XLSpdmV8.xls]XLSpdmV8!R25C2</stp>
        <tr r="B25" s="1"/>
      </tp>
      <tp>
        <v>17000</v>
        <stp/>
        <stp>##V3_BDPV12</stp>
        <stp xml:space="preserve">26444 HK Equity     </stp>
        <stp>WRT_EXER_PX</stp>
        <stp>[XLSpdmV8.xls]XLSpdmV8!R98C2</stp>
        <tr r="B98" s="1"/>
      </tp>
      <tp>
        <v>25288</v>
        <stp/>
        <stp>##V3_BDPV12</stp>
        <stp xml:space="preserve">23970 HK Equity     </stp>
        <stp>WRT_EXER_PX</stp>
        <stp>[XLSpdmV8.xls]XLSpdmV8!R55C2</stp>
        <tr r="B55" s="1"/>
      </tp>
      <tp>
        <v>19200</v>
        <stp/>
        <stp>##V3_BDPV12</stp>
        <stp xml:space="preserve">26511 HK Equity     </stp>
        <stp>WRT_EXER_PX</stp>
        <stp>[XLSpdmV8.xls]XLSpdmV8!R99C2</stp>
        <tr r="B99" s="1"/>
      </tp>
      <tp>
        <v>20600</v>
        <stp/>
        <stp>##V3_BDPV12</stp>
        <stp xml:space="preserve">23538 HK Equity     </stp>
        <stp>WRT_EXER_PX</stp>
        <stp>[XLSpdmV8.xls]XLSpdmV8!R69C2</stp>
        <tr r="B69" s="1"/>
      </tp>
      <tp>
        <v>21800</v>
        <stp/>
        <stp>##V3_BDPV12</stp>
        <stp xml:space="preserve">27438 HK Equity     </stp>
        <stp>WRT_EXER_PX</stp>
        <stp>[XLSpdmV8.xls]XLSpdmV8!R48C2</stp>
        <tr r="B48" s="1"/>
      </tp>
      <tp>
        <v>21900</v>
        <stp/>
        <stp>##V3_BDPV12</stp>
        <stp xml:space="preserve">27894 HK Equity     </stp>
        <stp>WRT_EXER_PX</stp>
        <stp>[XLSpdmV8.xls]XLSpdmV8!R54C2</stp>
        <tr r="B54" s="1"/>
      </tp>
      <tp>
        <v>20000</v>
        <stp/>
        <stp>##V3_BDPV12</stp>
        <stp xml:space="preserve">25599 HK Equity     </stp>
        <stp>WRT_EXER_PX</stp>
        <stp>[XLSpdmV8.xls]XLSpdmV8!R19C2</stp>
        <tr r="B19" s="1"/>
      </tp>
      <tp>
        <v>20488</v>
        <stp/>
        <stp>##V3_BDPV12</stp>
        <stp xml:space="preserve">25357 HK Equity     </stp>
        <stp>WRT_EXER_PX</stp>
        <stp>[XLSpdmV8.xls]XLSpdmV8!R143C2</stp>
        <tr r="B143" s="1"/>
      </tp>
      <tp>
        <v>23800</v>
        <stp/>
        <stp>##V3_BDPV12</stp>
        <stp xml:space="preserve">22947 HK Equity     </stp>
        <stp>WRT_EXER_PX</stp>
        <stp>[XLSpdmV8.xls]XLSpdmV8!R182C2</stp>
        <tr r="B182" s="1"/>
      </tp>
      <tp>
        <v>21400</v>
        <stp/>
        <stp>##V3_BDPV12</stp>
        <stp xml:space="preserve">26756 HK Equity     </stp>
        <stp>WRT_EXER_PX</stp>
        <stp>[XLSpdmV8.xls]XLSpdmV8!R103C2</stp>
        <tr r="B103" s="1"/>
      </tp>
      <tp>
        <v>22000</v>
        <stp/>
        <stp>##V3_BDPV12</stp>
        <stp xml:space="preserve">24106 HK Equity     </stp>
        <stp>WRT_EXER_PX</stp>
        <stp>[XLSpdmV8.xls]XLSpdmV8!R186C2</stp>
        <tr r="B186" s="1"/>
      </tp>
      <tp>
        <v>17000</v>
        <stp/>
        <stp>##V3_BDPV12</stp>
        <stp xml:space="preserve">26106 HK Equity     </stp>
        <stp>WRT_EXER_PX</stp>
        <stp>[XLSpdmV8.xls]XLSpdmV8!R206C2</stp>
        <tr r="B206" s="1"/>
      </tp>
      <tp>
        <v>22200</v>
        <stp/>
        <stp>##V3_BDPV12</stp>
        <stp xml:space="preserve">20546 HK Equity     </stp>
        <stp>WRT_EXER_PX</stp>
        <stp>[XLSpdmV8.xls]XLSpdmV8!R122C2</stp>
        <tr r="B122" s="1"/>
      </tp>
      <tp t="s">
        <v>28/10/2016</v>
        <stp/>
        <stp>##V3_BDPV12</stp>
        <stp xml:space="preserve">28025 HK Equity     </stp>
        <stp>WRT_EXER_DT</stp>
        <stp>[XLSpdmV8.xls]XLSpdmV8!R228C4</stp>
        <tr r="D228" s="1"/>
      </tp>
      <tp t="s">
        <v>28/7/2016</v>
        <stp/>
        <stp>##V3_BDPV12</stp>
        <stp xml:space="preserve">24984 HK Equity     </stp>
        <stp>WRT_EXER_DT</stp>
        <stp>[XLSpdmV8.xls]XLSpdmV8!R192C4</stp>
        <tr r="D192" s="1"/>
      </tp>
      <tp>
        <v>21600</v>
        <stp/>
        <stp>##V3_BDPV12</stp>
        <stp xml:space="preserve">23524 HK Equity     </stp>
        <stp>WRT_EXER_PX</stp>
        <stp>[XLSpdmV8.xls]XLSpdmV8!R184C2</stp>
        <tr r="B184" s="1"/>
      </tp>
      <tp>
        <v>19800</v>
        <stp/>
        <stp>##V3_BDPV12</stp>
        <stp xml:space="preserve">28374 HK Equity     </stp>
        <stp>WRT_EXER_PX</stp>
        <stp>[XLSpdmV8.xls]XLSpdmV8!R231C2</stp>
        <tr r="B231" s="1"/>
      </tp>
      <tp t="s">
        <v>30/5/2016</v>
        <stp/>
        <stp>##V3_BDPV12</stp>
        <stp xml:space="preserve">22993 HK Equity     </stp>
        <stp>WRT_EXER_DT</stp>
        <stp>[XLSpdmV8.xls]XLSpdmV8!R183C4</stp>
        <tr r="D183" s="1"/>
      </tp>
      <tp>
        <v>23200</v>
        <stp/>
        <stp>##V3_BDPV12</stp>
        <stp xml:space="preserve">22313 HK Equity     </stp>
        <stp>WRT_EXER_PX</stp>
        <stp>[XLSpdmV8.xls]XLSpdmV8!R127C2</stp>
        <tr r="B127" s="1"/>
      </tp>
      <tp>
        <v>18400</v>
        <stp/>
        <stp>##V3_BDPV12</stp>
        <stp xml:space="preserve">26362 HK Equity     </stp>
        <stp>WRT_EXER_PX</stp>
        <stp>[XLSpdmV8.xls]XLSpdmV8!R160C2</stp>
        <tr r="B160" s="1"/>
      </tp>
      <tp>
        <v>19800</v>
        <stp/>
        <stp>##V3_BDPV12</stp>
        <stp xml:space="preserve">25272 HK Equity     </stp>
        <stp>WRT_EXER_PX</stp>
        <stp>[XLSpdmV8.xls]XLSpdmV8!R141C2</stp>
        <tr r="B141" s="1"/>
      </tp>
      <tp t="s">
        <v>30/5/2016</v>
        <stp/>
        <stp>##V3_BDPV12</stp>
        <stp xml:space="preserve">20431 HK Equity     </stp>
        <stp>WRT_EXER_DT</stp>
        <stp>[XLSpdmV8.xls]XLSpdmV8!R179C4</stp>
        <tr r="D179" s="1"/>
      </tp>
      <tp>
        <v>18888</v>
        <stp/>
        <stp>##V3_BDPV12</stp>
        <stp xml:space="preserve">27111 HK Equity     </stp>
        <stp>WRT_EXER_PX</stp>
        <stp>[XLSpdmV8.xls]XLSpdmV8!R107C2</stp>
        <tr r="B107" s="1"/>
      </tp>
      <tp t="s">
        <v>29/9/2016</v>
        <stp/>
        <stp>##V3_BDPV12</stp>
        <stp xml:space="preserve">24821 HK Equity     </stp>
        <stp>WRT_EXER_DT</stp>
        <stp>[XLSpdmV8.xls]XLSpdmV8!R138C4</stp>
        <tr r="D138" s="1"/>
      </tp>
      <tp t="s">
        <v>28/10/2016</v>
        <stp/>
        <stp>##V3_BDPV12</stp>
        <stp xml:space="preserve">27321 HK Equity     </stp>
        <stp>WRT_EXER_DT</stp>
        <stp>[XLSpdmV8.xls]XLSpdmV8!R108C4</stp>
        <tr r="D108" s="1"/>
      </tp>
      <tp>
        <v>20298</v>
        <stp/>
        <stp>##V3_BDPV12</stp>
        <stp xml:space="preserve">26559 HK Equity     </stp>
        <stp>WRT_EXER_PX</stp>
        <stp>[XLSpdmV8.xls]XLSpdmV8!R163C2</stp>
        <tr r="B163" s="1"/>
      </tp>
      <tp t="s">
        <v>29/9/2016</v>
        <stp/>
        <stp>##V3_BDPV12</stp>
        <stp xml:space="preserve">26589 HK Equity     </stp>
        <stp>WRT_EXER_DT</stp>
        <stp>[XLSpdmV8.xls]XLSpdmV8!R212C4</stp>
        <tr r="D212" s="1"/>
      </tp>
      <tp>
        <v>22100</v>
        <stp/>
        <stp>##V3_BDPV12</stp>
        <stp xml:space="preserve">21729 HK Equity     </stp>
        <stp>WRT_EXER_PX</stp>
        <stp>[XLSpdmV8.xls]XLSpdmV8!R124C2</stp>
        <tr r="B124" s="1"/>
      </tp>
      <tp>
        <v>21000</v>
        <stp/>
        <stp>##V3_BDPV12</stp>
        <stp xml:space="preserve">26748 HK Equity     </stp>
        <stp>WRT_EXER_PX</stp>
        <stp>[XLSpdmV8.xls]XLSpdmV8!R102C2</stp>
        <tr r="B102" s="1"/>
      </tp>
      <tp>
        <v>20000</v>
        <stp/>
        <stp>##V3_BDPV12</stp>
        <stp xml:space="preserve">25618 HK Equity     </stp>
        <stp>WRT_EXER_PX</stp>
        <stp>[XLSpdmV8.xls]XLSpdmV8!R147C2</stp>
        <tr r="B147" s="1"/>
      </tp>
      <tp>
        <v>19000</v>
        <stp/>
        <stp>##V3_BDPV12</stp>
        <stp xml:space="preserve">26764 HK Equity     </stp>
        <stp>WRT_EXER_PX</stp>
        <stp>[XLSpdmV8.xls]XLSpdmV8!R38C2</stp>
        <tr r="B38" s="1"/>
      </tp>
      <tp>
        <v>19000</v>
        <stp/>
        <stp>##V3_BDPV12</stp>
        <stp xml:space="preserve">25984 HK Equity     </stp>
        <stp>WRT_EXER_PX</stp>
        <stp>[XLSpdmV8.xls]XLSpdmV8!R26C2</stp>
        <tr r="B26" s="1"/>
      </tp>
      <tp t="s">
        <v>29/6/2016</v>
        <stp/>
        <stp>##V3_BDPV12</stp>
        <stp xml:space="preserve">22997 HK Equity     </stp>
        <stp>WRT_EXER_DT</stp>
        <stp>[XLSpdmV8.xls]XLSpdmV8!R130C4</stp>
        <tr r="D130" s="1"/>
      </tp>
      <tp>
        <v>19200</v>
        <stp/>
        <stp>##V3_BDPV12</stp>
        <stp xml:space="preserve">26667 HK Equity     </stp>
        <stp>WRT_EXER_PX</stp>
        <stp>[XLSpdmV8.xls]XLSpdmV8!R213C2</stp>
        <tr r="B213" s="1"/>
      </tp>
      <tp>
        <v>17600</v>
        <stp/>
        <stp>##V3_BDPV12</stp>
        <stp xml:space="preserve">26036 HK Equity     </stp>
        <stp>WRT_EXER_PX</stp>
        <stp>[XLSpdmV8.xls]XLSpdmV8!R156C2</stp>
        <tr r="B156" s="1"/>
      </tp>
      <tp t="s">
        <v>29/9/2016</v>
        <stp/>
        <stp>##V3_BDPV12</stp>
        <stp xml:space="preserve">26485 HK Equity     </stp>
        <stp>WRT_EXER_DT</stp>
        <stp>[XLSpdmV8.xls]XLSpdmV8!R161C4</stp>
        <tr r="D161" s="1"/>
      </tp>
      <tp>
        <v>20600</v>
        <stp/>
        <stp>##V3_BDPV12</stp>
        <stp xml:space="preserve">27914 HK Equity     </stp>
        <stp>WRT_EXER_PX</stp>
        <stp>[XLSpdmV8.xls]XLSpdmV8!R114C2</stp>
        <tr r="B114" s="1"/>
      </tp>
      <tp>
        <v>21400</v>
        <stp/>
        <stp>##V3_BDPV12</stp>
        <stp xml:space="preserve">27564 HK Equity     </stp>
        <stp>WRT_EXER_PX</stp>
        <stp>[XLSpdmV8.xls]XLSpdmV8!R223C2</stp>
        <tr r="B223" s="1"/>
      </tp>
      <tp t="s">
        <v>29/9/2016</v>
        <stp/>
        <stp>##V3_BDPV12</stp>
        <stp xml:space="preserve">25803 HK Equity     </stp>
        <stp>WRT_EXER_DT</stp>
        <stp>[XLSpdmV8.xls]XLSpdmV8!R149C4</stp>
        <tr r="D149" s="1"/>
      </tp>
      <tp t="s">
        <v>28/10/2016</v>
        <stp/>
        <stp>##V3_BDPV12</stp>
        <stp xml:space="preserve">25713 HK Equity     </stp>
        <stp>WRT_EXER_DT</stp>
        <stp>[XLSpdmV8.xls]XLSpdmV8!R148C4</stp>
        <tr r="D148" s="1"/>
      </tp>
      <tp t="s">
        <v>28/7/2016</v>
        <stp/>
        <stp>##V3_BDPV12</stp>
        <stp xml:space="preserve">26583 HK Equity     </stp>
        <stp>WRT_EXER_DT</stp>
        <stp>[XLSpdmV8.xls]XLSpdmV8!R101C4</stp>
        <tr r="D101" s="1"/>
      </tp>
      <tp t="s">
        <v>30/8/2016</v>
        <stp/>
        <stp>##V3_BDPV12</stp>
        <stp xml:space="preserve">25902 HK Equity     </stp>
        <stp>WRT_EXER_DT</stp>
        <stp>[XLSpdmV8.xls]XLSpdmV8!R199C4</stp>
        <tr r="D199" s="1"/>
      </tp>
      <tp>
        <v>20000</v>
        <stp/>
        <stp>##V3_BDPV12</stp>
        <stp xml:space="preserve">11153 HK Equity     </stp>
        <stp>WRT_EXER_PX</stp>
        <stp>[XLSpdmV8.xls]XLSpdmV8!R120C2</stp>
        <tr r="B120" s="1"/>
      </tp>
      <tp>
        <v>20600</v>
        <stp/>
        <stp>##V3_BDPV12</stp>
        <stp xml:space="preserve">25949 HK Equity     </stp>
        <stp>WRT_EXER_PX</stp>
        <stp>[XLSpdmV8.xls]XLSpdmV8!R201C2</stp>
        <tr r="B201" s="1"/>
      </tp>
      <tp>
        <v>18800</v>
        <stp/>
        <stp>##V3_BDPV12</stp>
        <stp xml:space="preserve">27359 HK Equity     </stp>
        <stp>WRT_EXER_PX</stp>
        <stp>[XLSpdmV8.xls]XLSpdmV8!R220C2</stp>
        <tr r="B220" s="1"/>
      </tp>
      <tp>
        <v>19800</v>
        <stp/>
        <stp>##V3_BDPV12</stp>
        <stp xml:space="preserve">27129 HK Equity     </stp>
        <stp>WRT_EXER_PX</stp>
        <stp>[XLSpdmV8.xls]XLSpdmV8!R217C2</stp>
        <tr r="B217" s="1"/>
      </tp>
      <tp>
        <v>0.41</v>
        <stp/>
        <stp>##V3_BDPV12</stp>
        <stp xml:space="preserve">19187 HK Equity     </stp>
        <stp>LAST_PRICE</stp>
        <stp>[XLSpdmV8.xls]XLSpdmV8!R60C3</stp>
        <tr r="C60" s="1"/>
      </tp>
      <tp>
        <v>0.01</v>
        <stp/>
        <stp>##V3_BDPV12</stp>
        <stp xml:space="preserve">11069 HK Equity     </stp>
        <stp>LAST_PRICE</stp>
        <stp>[XLSpdmV8.xls]XLSpdmV8!R58C3</stp>
        <tr r="C58" s="1"/>
      </tp>
      <tp>
        <v>20000</v>
        <stp/>
        <stp>##V3_BDPV12</stp>
        <stp xml:space="preserve">22822 HK Equity     </stp>
        <stp>WRT_EXER_PX</stp>
        <stp>[XLSpdmV8.xls]XLSpdmV8!R66C2</stp>
        <tr r="B66" s="1"/>
      </tp>
      <tp>
        <v>21600</v>
        <stp/>
        <stp>##V3_BDPV12</stp>
        <stp xml:space="preserve">24831 HK Equity     </stp>
        <stp>WRT_EXER_PX</stp>
        <stp>[XLSpdmV8.xls]XLSpdmV8!R76C2</stp>
        <tr r="B76" s="1"/>
      </tp>
      <tp>
        <v>20400</v>
        <stp/>
        <stp>##V3_BDPV12</stp>
        <stp xml:space="preserve">24830 HK Equity     </stp>
        <stp>WRT_EXER_PX</stp>
        <stp>[XLSpdmV8.xls]XLSpdmV8!R16C2</stp>
        <tr r="B16" s="1"/>
      </tp>
      <tp>
        <v>21000</v>
        <stp/>
        <stp>##V3_BDPV12</stp>
        <stp xml:space="preserve">26788 HK Equity     </stp>
        <stp>WRT_EXER_PX</stp>
        <stp>[XLSpdmV8.xls]XLSpdmV8!R39C2</stp>
        <tr r="B39" s="1"/>
      </tp>
      <tp>
        <v>18000</v>
        <stp/>
        <stp>##V3_BDPV12</stp>
        <stp xml:space="preserve">25994 HK Equity     </stp>
        <stp>WRT_EXER_PX</stp>
        <stp>[XLSpdmV8.xls]XLSpdmV8!R27C2</stp>
        <tr r="B27" s="1"/>
      </tp>
      <tp>
        <v>19708</v>
        <stp/>
        <stp>##V3_BDPV12</stp>
        <stp xml:space="preserve">27827 HK Equity     </stp>
        <stp>WRT_EXER_PX</stp>
        <stp>[XLSpdmV8.xls]XLSpdmV8!R226C2</stp>
        <tr r="B226" s="1"/>
      </tp>
      <tp>
        <v>19108</v>
        <stp/>
        <stp>##V3_BDPV12</stp>
        <stp xml:space="preserve">26717 HK Equity     </stp>
        <stp>WRT_EXER_PX</stp>
        <stp>[XLSpdmV8.xls]XLSpdmV8!R215C2</stp>
        <tr r="B215" s="1"/>
      </tp>
      <tp t="s">
        <v>28/7/2016</v>
        <stp/>
        <stp>##V3_BDPV12</stp>
        <stp xml:space="preserve">26487 HK Equity     </stp>
        <stp>WRT_EXER_DT</stp>
        <stp>[XLSpdmV8.xls]XLSpdmV8!R210C4</stp>
        <tr r="D210" s="1"/>
      </tp>
      <tp t="s">
        <v>29/9/2016</v>
        <stp/>
        <stp>##V3_BDPV12</stp>
        <stp xml:space="preserve">26206 HK Equity     </stp>
        <stp>WRT_EXER_DT</stp>
        <stp>[XLSpdmV8.xls]XLSpdmV8!R158C4</stp>
        <tr r="D158" s="1"/>
      </tp>
      <tp>
        <v>23288</v>
        <stp/>
        <stp>##V3_BDPV12</stp>
        <stp xml:space="preserve">23055 HK Equity     </stp>
        <stp>WRT_EXER_PX</stp>
        <stp>[XLSpdmV8.xls]XLSpdmV8!R131C2</stp>
        <tr r="B131" s="1"/>
      </tp>
      <tp t="s">
        <v>29/6/2016</v>
        <stp/>
        <stp>##V3_BDPV12</stp>
        <stp xml:space="preserve">26014 HK Equity     </stp>
        <stp>WRT_EXER_DT</stp>
        <stp>[XLSpdmV8.xls]XLSpdmV8!R119C4</stp>
        <tr r="D119" s="1"/>
      </tp>
      <tp t="s">
        <v>28/10/2016</v>
        <stp/>
        <stp>##V3_BDPV12</stp>
        <stp xml:space="preserve">27394 HK Equity     </stp>
        <stp>WRT_EXER_DT</stp>
        <stp>[XLSpdmV8.xls]XLSpdmV8!R111C4</stp>
        <tr r="D111" s="1"/>
      </tp>
      <tp>
        <v>18800</v>
        <stp/>
        <stp>##V3_BDPV12</stp>
        <stp xml:space="preserve">26703 HK Equity     </stp>
        <stp>WRT_EXER_PX</stp>
        <stp>[XLSpdmV8.xls]XLSpdmV8!R214C2</stp>
        <tr r="B214" s="1"/>
      </tp>
      <tp t="s">
        <v>29/9/2016</v>
        <stp/>
        <stp>##V3_BDPV12</stp>
        <stp xml:space="preserve">27382 HK Equity     </stp>
        <stp>WRT_EXER_DT</stp>
        <stp>[XLSpdmV8.xls]XLSpdmV8!R110C4</stp>
        <tr r="D110" s="1"/>
      </tp>
      <tp t="s">
        <v>30/8/2016</v>
        <stp/>
        <stp>##V3_BDPV12</stp>
        <stp xml:space="preserve">26491 HK Equity     </stp>
        <stp>WRT_EXER_DT</stp>
        <stp>[XLSpdmV8.xls]XLSpdmV8!R211C4</stp>
        <tr r="D211" s="1"/>
      </tp>
      <tp>
        <v>17500</v>
        <stp/>
        <stp>##V3_BDPV12</stp>
        <stp xml:space="preserve">26540 HK Equity     </stp>
        <stp>WRT_EXER_PX</stp>
        <stp>[XLSpdmV8.xls]XLSpdmV8!R100C2</stp>
        <tr r="B100" s="1"/>
      </tp>
      <tp>
        <v>19600</v>
        <stp/>
        <stp>##V3_BDPV12</stp>
        <stp xml:space="preserve">25720 HK Equity     </stp>
        <stp>WRT_EXER_PX</stp>
        <stp>[XLSpdmV8.xls]XLSpdmV8!R196C2</stp>
        <tr r="B196" s="1"/>
      </tp>
      <tp>
        <v>16888</v>
        <stp/>
        <stp>##V3_BDPV12</stp>
        <stp xml:space="preserve">25969 HK Equity     </stp>
        <stp>WRT_EXER_PX</stp>
        <stp>[XLSpdmV8.xls]XLSpdmV8!R202C2</stp>
        <tr r="B202" s="1"/>
      </tp>
      <tp>
        <v>22500</v>
        <stp/>
        <stp>##V3_BDPV12</stp>
        <stp xml:space="preserve">24429 HK Equity     </stp>
        <stp>WRT_EXER_PX</stp>
        <stp>[XLSpdmV8.xls]XLSpdmV8!R136C2</stp>
        <tr r="B136" s="1"/>
      </tp>
      <tp>
        <v>20800</v>
        <stp/>
        <stp>##V3_BDPV12</stp>
        <stp xml:space="preserve">27459 HK Equity     </stp>
        <stp>WRT_EXER_PX</stp>
        <stp>[XLSpdmV8.xls]XLSpdmV8!R221C2</stp>
        <tr r="B221" s="1"/>
      </tp>
      <tp>
        <v>19200</v>
        <stp/>
        <stp>##V3_BDPV12</stp>
        <stp xml:space="preserve">28129 HK Equity     </stp>
        <stp>WRT_EXER_PX</stp>
        <stp>[XLSpdmV8.xls]XLSpdmV8!R116C2</stp>
        <tr r="B116" s="1"/>
      </tp>
      <tp t="s">
        <v>29/6/2016</v>
        <stp/>
        <stp>##V3_BDPV12</stp>
        <stp xml:space="preserve">25808 HK Equity     </stp>
        <stp>WRT_EXER_DT</stp>
        <stp>[XLSpdmV8.xls]XLSpdmV8!R198C4</stp>
        <tr r="D198" s="1"/>
      </tp>
      <tp>
        <v>3.7999999999999999E-2</v>
        <stp/>
        <stp>##V3_BDPV12</stp>
        <stp xml:space="preserve">26052 HK Equity     </stp>
        <stp>LAST_PRICE</stp>
        <stp>[XLSpdmV8.xls]XLSpdmV8!R28C3</stp>
        <tr r="C28" s="1"/>
      </tp>
      <tp>
        <v>1.9E-2</v>
        <stp/>
        <stp>##V3_BDPV12</stp>
        <stp xml:space="preserve">26764 HK Equity     </stp>
        <stp>LAST_PRICE</stp>
        <stp>[XLSpdmV8.xls]XLSpdmV8!R38C3</stp>
        <tr r="C38" s="1"/>
      </tp>
      <tp>
        <v>0.21</v>
        <stp/>
        <stp>##V3_BDPV12</stp>
        <stp xml:space="preserve">27465 HK Equity     </stp>
        <stp>LAST_PRICE</stp>
        <stp>[XLSpdmV8.xls]XLSpdmV8!R49C3</stp>
        <tr r="C49" s="1"/>
      </tp>
      <tp>
        <v>3.1E-2</v>
        <stp/>
        <stp>##V3_BDPV12</stp>
        <stp xml:space="preserve">26444 HK Equity     </stp>
        <stp>LAST_PRICE</stp>
        <stp>[XLSpdmV8.xls]XLSpdmV8!R98C3</stp>
        <tr r="C98" s="1"/>
      </tp>
      <tp>
        <v>24288</v>
        <stp/>
        <stp>##V3_BDPV12</stp>
        <stp xml:space="preserve">23975 HK Equity     </stp>
        <stp>WRT_EXER_PX</stp>
        <stp>[XLSpdmV8.xls]XLSpdmV8!R10C2</stp>
        <tr r="B10" s="1"/>
      </tp>
      <tp>
        <v>19000</v>
        <stp/>
        <stp>##V3_BDPV12</stp>
        <stp xml:space="preserve">25915 HK Equity     </stp>
        <stp>WRT_EXER_PX</stp>
        <stp>[XLSpdmV8.xls]XLSpdmV8!R90C2</stp>
        <tr r="B90" s="1"/>
      </tp>
      <tp>
        <v>19800</v>
        <stp/>
        <stp>##V3_BDPV12</stp>
        <stp xml:space="preserve">26092 HK Equity     </stp>
        <stp>WRT_EXER_PX</stp>
        <stp>[XLSpdmV8.xls]XLSpdmV8!R29C2</stp>
        <tr r="B29" s="1"/>
      </tp>
      <tp>
        <v>23000</v>
        <stp/>
        <stp>##V3_BDPV12</stp>
        <stp xml:space="preserve">24167 HK Equity     </stp>
        <stp>WRT_EXER_PX</stp>
        <stp>[XLSpdmV8.xls]XLSpdmV8!R135C2</stp>
        <tr r="B135" s="1"/>
      </tp>
      <tp>
        <v>19500</v>
        <stp/>
        <stp>##V3_BDPV12</stp>
        <stp xml:space="preserve">25377 HK Equity     </stp>
        <stp>WRT_EXER_PX</stp>
        <stp>[XLSpdmV8.xls]XLSpdmV8!R144C2</stp>
        <tr r="B144" s="1"/>
      </tp>
      <tp>
        <v>17500</v>
        <stp/>
        <stp>##V3_BDPV12</stp>
        <stp xml:space="preserve">25916 HK Equity     </stp>
        <stp>WRT_EXER_PX</stp>
        <stp>[XLSpdmV8.xls]XLSpdmV8!R152C2</stp>
        <tr r="B152" s="1"/>
      </tp>
      <tp>
        <v>21400</v>
        <stp/>
        <stp>##V3_BDPV12</stp>
        <stp xml:space="preserve">25236 HK Equity     </stp>
        <stp>WRT_EXER_PX</stp>
        <stp>[XLSpdmV8.xls]XLSpdmV8!R140C2</stp>
        <tr r="B140" s="1"/>
      </tp>
      <tp>
        <v>24400</v>
        <stp/>
        <stp>##V3_BDPV12</stp>
        <stp xml:space="preserve">22156 HK Equity     </stp>
        <stp>WRT_EXER_PX</stp>
        <stp>[XLSpdmV8.xls]XLSpdmV8!R126C2</stp>
        <tr r="B126" s="1"/>
      </tp>
      <tp>
        <v>23600</v>
        <stp/>
        <stp>##V3_BDPV12</stp>
        <stp xml:space="preserve">24825 HK Equity     </stp>
        <stp>WRT_EXER_PX</stp>
        <stp>[XLSpdmV8.xls]XLSpdmV8!R191C2</stp>
        <tr r="B191" s="1"/>
      </tp>
      <tp>
        <v>24518</v>
        <stp/>
        <stp>##V3_BDPV12</stp>
        <stp xml:space="preserve">22235 HK Equity     </stp>
        <stp>WRT_EXER_PX</stp>
        <stp>[XLSpdmV8.xls]XLSpdmV8!R180C2</stp>
        <tr r="B180" s="1"/>
      </tp>
      <tp>
        <v>18800</v>
        <stp/>
        <stp>##V3_BDPV12</stp>
        <stp xml:space="preserve">26874 HK Equity     </stp>
        <stp>WRT_EXER_PX</stp>
        <stp>[XLSpdmV8.xls]XLSpdmV8!R104C2</stp>
        <tr r="B104" s="1"/>
      </tp>
      <tp>
        <v>18000</v>
        <stp/>
        <stp>##V3_BDPV12</stp>
        <stp xml:space="preserve">26064 HK Equity     </stp>
        <stp>WRT_EXER_PX</stp>
        <stp>[XLSpdmV8.xls]XLSpdmV8!R205C2</stp>
        <tr r="B205" s="1"/>
      </tp>
      <tp>
        <v>17988</v>
        <stp/>
        <stp>##V3_BDPV12</stp>
        <stp xml:space="preserve">26142 HK Equity     </stp>
        <stp>WRT_EXER_PX</stp>
        <stp>[XLSpdmV8.xls]XLSpdmV8!R207C2</stp>
        <tr r="B207" s="1"/>
      </tp>
      <tp>
        <v>20000</v>
        <stp/>
        <stp>##V3_BDPV12</stp>
        <stp xml:space="preserve">11321 HK Equity     </stp>
        <stp>WRT_EXER_PX</stp>
        <stp>[XLSpdmV8.xls]XLSpdmV8!R121C2</stp>
        <tr r="B121" s="1"/>
      </tp>
      <tp>
        <v>21500</v>
        <stp/>
        <stp>##V3_BDPV12</stp>
        <stp xml:space="preserve">27760 HK Equity     </stp>
        <stp>WRT_EXER_PX</stp>
        <stp>[XLSpdmV8.xls]XLSpdmV8!R225C2</stp>
        <tr r="B225" s="1"/>
      </tp>
      <tp>
        <v>22000</v>
        <stp/>
        <stp>##V3_BDPV12</stp>
        <stp xml:space="preserve">22320 HK Equity     </stp>
        <stp>WRT_EXER_PX</stp>
        <stp>[XLSpdmV8.xls]XLSpdmV8!R181C2</stp>
        <tr r="B181" s="1"/>
      </tp>
      <tp t="s">
        <v>28/7/2016</v>
        <stp/>
        <stp>##V3_BDPV12</stp>
        <stp xml:space="preserve">27188 HK Equity     </stp>
        <stp>WRT_EXER_DT</stp>
        <stp>[XLSpdmV8.xls]XLSpdmV8!R167C4</stp>
        <tr r="D167" s="1"/>
      </tp>
      <tp>
        <v>0.158</v>
        <stp/>
        <stp>##V3_BDPV12</stp>
        <stp xml:space="preserve">26092 HK Equity     </stp>
        <stp>LAST_PRICE</stp>
        <stp>[XLSpdmV8.xls]XLSpdmV8!R29C3</stp>
        <tr r="C29" s="1"/>
      </tp>
      <tp>
        <v>8.7999999999999995E-2</v>
        <stp/>
        <stp>##V3_BDPV12</stp>
        <stp xml:space="preserve">26788 HK Equity     </stp>
        <stp>LAST_PRICE</stp>
        <stp>[XLSpdmV8.xls]XLSpdmV8!R39C3</stp>
        <tr r="C39" s="1"/>
      </tp>
      <tp>
        <v>6.5000000000000002E-2</v>
        <stp/>
        <stp>##V3_BDPV12</stp>
        <stp xml:space="preserve">26511 HK Equity     </stp>
        <stp>LAST_PRICE</stp>
        <stp>[XLSpdmV8.xls]XLSpdmV8!R99C3</stp>
        <tr r="C99" s="1"/>
      </tp>
      <tp>
        <v>6.7000000000000004E-2</v>
        <stp/>
        <stp>##V3_BDPV12</stp>
        <stp xml:space="preserve">27438 HK Equity     </stp>
        <stp>LAST_PRICE</stp>
        <stp>[XLSpdmV8.xls]XLSpdmV8!R48C3</stp>
        <tr r="C48" s="1"/>
      </tp>
      <tp>
        <v>19200</v>
        <stp/>
        <stp>##V3_BDPV12</stp>
        <stp xml:space="preserve">26849 HK Equity     </stp>
        <stp>WRT_EXER_PX</stp>
        <stp>[XLSpdmV8.xls]XLSpdmV8!R40C2</stp>
        <tr r="B40" s="1"/>
      </tp>
      <tp>
        <v>18000</v>
        <stp/>
        <stp>##V3_BDPV12</stp>
        <stp xml:space="preserve">26052 HK Equity     </stp>
        <stp>WRT_EXER_PX</stp>
        <stp>[XLSpdmV8.xls]XLSpdmV8!R28C2</stp>
        <tr r="B28" s="1"/>
      </tp>
      <tp>
        <v>20698</v>
        <stp/>
        <stp>##V3_BDPV12</stp>
        <stp xml:space="preserve">25959 HK Equity     </stp>
        <stp>WRT_EXER_PX</stp>
        <stp>[XLSpdmV8.xls]XLSpdmV8!R91C2</stp>
        <tr r="B91" s="1"/>
      </tp>
      <tp>
        <v>22600</v>
        <stp/>
        <stp>##V3_BDPV12</stp>
        <stp xml:space="preserve">11069 HK Equity     </stp>
        <stp>WRT_EXER_PX</stp>
        <stp>[XLSpdmV8.xls]XLSpdmV8!R58C2</stp>
        <tr r="B58" s="1"/>
      </tp>
      <tp>
        <v>19708</v>
        <stp/>
        <stp>##V3_BDPV12</stp>
        <stp xml:space="preserve">26921 HK Equity     </stp>
        <stp>WRT_EXER_PX</stp>
        <stp>[XLSpdmV8.xls]XLSpdmV8!R41C2</stp>
        <tr r="B41" s="1"/>
      </tp>
      <tp>
        <v>19400</v>
        <stp/>
        <stp>##V3_BDPV12</stp>
        <stp xml:space="preserve">25306 HK Equity     </stp>
        <stp>WRT_EXER_PX</stp>
        <stp>[XLSpdmV8.xls]XLSpdmV8!R142C2</stp>
        <tr r="B142" s="1"/>
      </tp>
      <tp t="s">
        <v>29/6/2016</v>
        <stp/>
        <stp>##V3_BDPV12</stp>
        <stp xml:space="preserve">18766 HK Equity     </stp>
        <stp>WRT_EXER_DT</stp>
        <stp>[XLSpdmV8.xls]XLSpdmV8!R178C4</stp>
        <tr r="D178" s="1"/>
      </tp>
      <tp t="s">
        <v>28/10/2016</v>
        <stp/>
        <stp>##V3_BDPV12</stp>
        <stp xml:space="preserve">27893 HK Equity     </stp>
        <stp>WRT_EXER_DT</stp>
        <stp>[XLSpdmV8.xls]XLSpdmV8!R227C4</stp>
        <tr r="D227" s="1"/>
      </tp>
      <tp t="s">
        <v>30/5/2016</v>
        <stp/>
        <stp>##V3_BDPV12</stp>
        <stp xml:space="preserve">24663 HK Equity     </stp>
        <stp>WRT_EXER_DT</stp>
        <stp>[XLSpdmV8.xls]XLSpdmV8!R188C4</stp>
        <tr r="D188" s="1"/>
      </tp>
      <tp>
        <v>20800</v>
        <stp/>
        <stp>##V3_BDPV12</stp>
        <stp xml:space="preserve">27422 HK Equity     </stp>
        <stp>WRT_EXER_PX</stp>
        <stp>[XLSpdmV8.xls]XLSpdmV8!R170C2</stp>
        <tr r="B170" s="1"/>
      </tp>
      <tp>
        <v>19000</v>
        <stp/>
        <stp>##V3_BDPV12</stp>
        <stp xml:space="preserve">25561 HK Equity     </stp>
        <stp>WRT_EXER_PX</stp>
        <stp>[XLSpdmV8.xls]XLSpdmV8!R194C2</stp>
        <tr r="B194" s="1"/>
      </tp>
      <tp t="s">
        <v>29/6/2016</v>
        <stp/>
        <stp>##V3_BDPV12</stp>
        <stp xml:space="preserve">24691 HK Equity     </stp>
        <stp>WRT_EXER_DT</stp>
        <stp>[XLSpdmV8.xls]XLSpdmV8!R137C4</stp>
        <tr r="D137" s="1"/>
      </tp>
      <tp>
        <v>21088</v>
        <stp/>
        <stp>##V3_BDPV12</stp>
        <stp xml:space="preserve">25960 HK Equity     </stp>
        <stp>WRT_EXER_PX</stp>
        <stp>[XLSpdmV8.xls]XLSpdmV8!R154C2</stp>
        <tr r="B154" s="1"/>
      </tp>
      <tp>
        <v>19000</v>
        <stp/>
        <stp>##V3_BDPV12</stp>
        <stp xml:space="preserve">11158 HK Equity     </stp>
        <stp>WRT_EXER_PX</stp>
        <stp>[XLSpdmV8.xls]XLSpdmV8!R177C2</stp>
        <tr r="B177" s="1"/>
      </tp>
      <tp>
        <v>8.6999999999999994E-2</v>
        <stp/>
        <stp>##V3_BDPV12</stp>
        <stp xml:space="preserve">25326 HK Equity     </stp>
        <stp>LAST_PRICE</stp>
        <stp>[XLSpdmV8.xls]XLSpdmV8!R79C3</stp>
        <tr r="C79" s="1"/>
      </tp>
      <tp>
        <v>7.8E-2</v>
        <stp/>
        <stp>##V3_BDPV12</stp>
        <stp xml:space="preserve">25599 HK Equity     </stp>
        <stp>LAST_PRICE</stp>
        <stp>[XLSpdmV8.xls]XLSpdmV8!R19C3</stp>
        <tr r="C19" s="1"/>
      </tp>
      <tp>
        <v>0.13400000000000001</v>
        <stp/>
        <stp>##V3_BDPV12</stp>
        <stp xml:space="preserve">25909 HK Equity     </stp>
        <stp>LAST_PRICE</stp>
        <stp>[XLSpdmV8.xls]XLSpdmV8!R89C3</stp>
        <tr r="C89" s="1"/>
      </tp>
      <tp>
        <v>21088</v>
        <stp/>
        <stp>##V3_BDPV12</stp>
        <stp xml:space="preserve">27828 HK Equity     </stp>
        <stp>WRT_EXER_PX</stp>
        <stp>[XLSpdmV8.xls]XLSpdmV8!R53C2</stp>
        <tr r="B53" s="1"/>
      </tp>
      <tp>
        <v>19400</v>
        <stp/>
        <stp>##V3_BDPV12</stp>
        <stp xml:space="preserve">26939 HK Equity     </stp>
        <stp>WRT_EXER_PX</stp>
        <stp>[XLSpdmV8.xls]XLSpdmV8!R42C2</stp>
        <tr r="B42" s="1"/>
      </tp>
      <tp>
        <v>18500</v>
        <stp/>
        <stp>##V3_BDPV12</stp>
        <stp xml:space="preserve">25917 HK Equity     </stp>
        <stp>WRT_EXER_PX</stp>
        <stp>[XLSpdmV8.xls]XLSpdmV8!R200C2</stp>
        <tr r="B200" s="1"/>
      </tp>
      <tp>
        <v>21800</v>
        <stp/>
        <stp>##V3_BDPV12</stp>
        <stp xml:space="preserve">27077 HK Equity     </stp>
        <stp>WRT_EXER_PX</stp>
        <stp>[XLSpdmV8.xls]XLSpdmV8!R106C2</stp>
        <tr r="B106" s="1"/>
      </tp>
      <tp>
        <v>19168</v>
        <stp/>
        <stp>##V3_BDPV12</stp>
        <stp xml:space="preserve">28167 HK Equity     </stp>
        <stp>WRT_EXER_PX</stp>
        <stp>[XLSpdmV8.xls]XLSpdmV8!R117C2</stp>
        <tr r="B117" s="1"/>
      </tp>
      <tp t="s">
        <v>29/9/2016</v>
        <stp/>
        <stp>##V3_BDPV12</stp>
        <stp xml:space="preserve">25986 HK Equity     </stp>
        <stp>WRT_EXER_DT</stp>
        <stp>[XLSpdmV8.xls]XLSpdmV8!R155C4</stp>
        <tr r="D155" s="1"/>
      </tp>
      <tp t="s">
        <v>29/9/2016</v>
        <stp/>
        <stp>##V3_BDPV12</stp>
        <stp xml:space="preserve">25686 HK Equity     </stp>
        <stp>WRT_EXER_DT</stp>
        <stp>[XLSpdmV8.xls]XLSpdmV8!R195C4</stp>
        <tr r="D195" s="1"/>
      </tp>
      <tp t="s">
        <v>29/6/2016</v>
        <stp/>
        <stp>##V3_BDPV12</stp>
        <stp xml:space="preserve">25146 HK Equity     </stp>
        <stp>WRT_EXER_DT</stp>
        <stp>[XLSpdmV8.xls]XLSpdmV8!R139C4</stp>
        <tr r="D139" s="1"/>
      </tp>
      <tp t="s">
        <v>29/9/2016</v>
        <stp/>
        <stp>##V3_BDPV12</stp>
        <stp xml:space="preserve">23885 HK Equity     </stp>
        <stp>WRT_EXER_DT</stp>
        <stp>[XLSpdmV8.xls]XLSpdmV8!R185C4</stp>
        <tr r="D185" s="1"/>
      </tp>
      <tp t="s">
        <v>28/10/2016</v>
        <stp/>
        <stp>##V3_BDPV12</stp>
        <stp xml:space="preserve">26155 HK Equity     </stp>
        <stp>WRT_EXER_DT</stp>
        <stp>[XLSpdmV8.xls]XLSpdmV8!R208C4</stp>
        <tr r="D208" s="1"/>
      </tp>
      <tp>
        <v>19800</v>
        <stp/>
        <stp>##V3_BDPV12</stp>
        <stp xml:space="preserve">27284 HK Equity     </stp>
        <stp>WRT_EXER_PX</stp>
        <stp>[XLSpdmV8.xls]XLSpdmV8!R169C2</stp>
        <tr r="B169" s="1"/>
      </tp>
      <tp t="s">
        <v>30/5/2016</v>
        <stp/>
        <stp>##V3_BDPV12</stp>
        <stp xml:space="preserve">22353 HK Equity     </stp>
        <stp>WRT_EXER_DT</stp>
        <stp>[XLSpdmV8.xls]XLSpdmV8!R128C4</stp>
        <tr r="D128" s="1"/>
      </tp>
      <tp t="s">
        <v>28/7/2016</v>
        <stp/>
        <stp>##V3_BDPV12</stp>
        <stp xml:space="preserve">27153 HK Equity     </stp>
        <stp>WRT_EXER_DT</stp>
        <stp>[XLSpdmV8.xls]XLSpdmV8!R218C4</stp>
        <tr r="D218" s="1"/>
      </tp>
      <tp>
        <v>18000</v>
        <stp/>
        <stp>##V3_BDPV12</stp>
        <stp xml:space="preserve">26532 HK Equity     </stp>
        <stp>WRT_EXER_PX</stp>
        <stp>[XLSpdmV8.xls]XLSpdmV8!R162C2</stp>
        <tr r="B162" s="1"/>
      </tp>
      <tp>
        <v>23600</v>
        <stp/>
        <stp>##V3_BDPV12</stp>
        <stp xml:space="preserve">24712 HK Equity     </stp>
        <stp>WRT_EXER_PX</stp>
        <stp>[XLSpdmV8.xls]XLSpdmV8!R190C2</stp>
        <tr r="B190" s="1"/>
      </tp>
      <tp t="s">
        <v>29/9/2016</v>
        <stp/>
        <stp>##V3_BDPV12</stp>
        <stp xml:space="preserve">27592 HK Equity     </stp>
        <stp>WRT_EXER_DT</stp>
        <stp>[XLSpdmV8.xls]XLSpdmV8!R224C4</stp>
        <tr r="D224" s="1"/>
      </tp>
      <tp>
        <v>20900</v>
        <stp/>
        <stp>##V3_BDPV12</stp>
        <stp xml:space="preserve">27821 HK Equity     </stp>
        <stp>WRT_EXER_PX</stp>
        <stp>[XLSpdmV8.xls]XLSpdmV8!R113C2</stp>
        <tr r="B113" s="1"/>
      </tp>
      <tp>
        <v>21000</v>
        <stp/>
        <stp>##V3_BDPV12</stp>
        <stp xml:space="preserve">24680 HK Equity     </stp>
        <stp>WRT_EXER_PX</stp>
        <stp>[XLSpdmV8.xls]XLSpdmV8!R189C2</stp>
        <tr r="B189" s="1"/>
      </tp>
      <tp>
        <v>17200</v>
        <stp/>
        <stp>##V3_BDPV12</stp>
        <stp xml:space="preserve">26020 HK Equity     </stp>
        <stp>WRT_EXER_PX</stp>
        <stp>[XLSpdmV8.xls]XLSpdmV8!R203C2</stp>
        <tr r="B203" s="1"/>
      </tp>
      <tp t="s">
        <v>28/10/2016</v>
        <stp/>
        <stp>##V3_BDPV12</stp>
        <stp xml:space="preserve">28080 HK Equity     </stp>
        <stp>WRT_EXER_DT</stp>
        <stp>[XLSpdmV8.xls]XLSpdmV8!R115C4</stp>
        <tr r="D115" s="1"/>
      </tp>
      <tp>
        <v>19400</v>
        <stp/>
        <stp>##V3_BDPV12</stp>
        <stp xml:space="preserve">25479 HK Equity     </stp>
        <stp>WRT_EXER_PX</stp>
        <stp>[XLSpdmV8.xls]XLSpdmV8!R146C2</stp>
        <tr r="B146" s="1"/>
      </tp>
      <tp>
        <v>19000</v>
        <stp/>
        <stp>##V3_BDPV12</stp>
        <stp xml:space="preserve">29179 HK Equity     </stp>
        <stp>WRT_EXER_PX</stp>
        <stp>[XLSpdmV8.xls]XLSpdmV8!R176C2</stp>
        <tr r="B176" s="1"/>
      </tp>
      <tp>
        <v>24500</v>
        <stp/>
        <stp>##V3_BDPV12</stp>
        <stp xml:space="preserve">21028 HK Equity     </stp>
        <stp>WRT_EXER_PX</stp>
        <stp>[XLSpdmV8.xls]XLSpdmV8!R123C2</stp>
        <tr r="B123" s="1"/>
      </tp>
      <tp>
        <v>6.6000000000000003E-2</v>
        <stp/>
        <stp>##V3_BDPV12</stp>
        <stp xml:space="preserve">25270 HK Equity     </stp>
        <stp>LAST_PRICE</stp>
        <stp>[XLSpdmV8.xls]XLSpdmV8!R78C3</stp>
        <tr r="C78" s="1"/>
      </tp>
      <tp>
        <v>6.8000000000000005E-2</v>
        <stp/>
        <stp>##V3_BDPV12</stp>
        <stp xml:space="preserve">25548 HK Equity     </stp>
        <stp>LAST_PRICE</stp>
        <stp>[XLSpdmV8.xls]XLSpdmV8!R18C3</stp>
        <tr r="C18" s="1"/>
      </tp>
      <tp>
        <v>0.16300000000000001</v>
        <stp/>
        <stp>##V3_BDPV12</stp>
        <stp xml:space="preserve">25898 HK Equity     </stp>
        <stp>LAST_PRICE</stp>
        <stp>[XLSpdmV8.xls]XLSpdmV8!R88C3</stp>
        <tr r="C88" s="1"/>
      </tp>
      <tp>
        <v>20800</v>
        <stp/>
        <stp>##V3_BDPV12</stp>
        <stp xml:space="preserve">25270 HK Equity     </stp>
        <stp>WRT_EXER_PX</stp>
        <stp>[XLSpdmV8.xls]XLSpdmV8!R78C2</stp>
        <tr r="B78" s="1"/>
      </tp>
      <tp>
        <v>20400</v>
        <stp/>
        <stp>##V3_BDPV12</stp>
        <stp xml:space="preserve">25326 HK Equity     </stp>
        <stp>WRT_EXER_PX</stp>
        <stp>[XLSpdmV8.xls]XLSpdmV8!R79C2</stp>
        <tr r="B79" s="1"/>
      </tp>
      <tp>
        <v>21400</v>
        <stp/>
        <stp>##V3_BDPV12</stp>
        <stp xml:space="preserve">26987 HK Equity     </stp>
        <stp>WRT_EXER_PX</stp>
        <stp>[XLSpdmV8.xls]XLSpdmV8!R43C2</stp>
        <tr r="B43" s="1"/>
      </tp>
      <tp>
        <v>20800</v>
        <stp/>
        <stp>##V3_BDPV12</stp>
        <stp xml:space="preserve">25457 HK Equity     </stp>
        <stp>WRT_EXER_PX</stp>
        <stp>[XLSpdmV8.xls]XLSpdmV8!R145C2</stp>
        <tr r="B145" s="1"/>
      </tp>
      <tp t="s">
        <v>29/9/2016</v>
        <stp/>
        <stp>##V3_BDPV12</stp>
        <stp xml:space="preserve">26896 HK Equity     </stp>
        <stp>WRT_EXER_DT</stp>
        <stp>[XLSpdmV8.xls]XLSpdmV8!R105C4</stp>
        <tr r="D105" s="1"/>
      </tp>
      <tp t="s">
        <v>28/10/2016</v>
        <stp/>
        <stp>##V3_BDPV12</stp>
        <stp xml:space="preserve">27356 HK Equity     </stp>
        <stp>WRT_EXER_DT</stp>
        <stp>[XLSpdmV8.xls]XLSpdmV8!R109C4</stp>
        <tr r="D109" s="1"/>
      </tp>
      <tp t="s">
        <v>30/8/2016</v>
        <stp/>
        <stp>##V3_BDPV12</stp>
        <stp xml:space="preserve">26585 HK Equity     </stp>
        <stp>WRT_EXER_DT</stp>
        <stp>[XLSpdmV8.xls]XLSpdmV8!R164C4</stp>
        <tr r="D164" s="1"/>
      </tp>
      <tp>
        <v>22200</v>
        <stp/>
        <stp>##V3_BDPV12</stp>
        <stp xml:space="preserve">24374 HK Equity     </stp>
        <stp>WRT_EXER_PX</stp>
        <stp>[XLSpdmV8.xls]XLSpdmV8!R187C2</stp>
        <tr r="B187" s="1"/>
      </tp>
      <tp>
        <v>21400</v>
        <stp/>
        <stp>##V3_BDPV12</stp>
        <stp xml:space="preserve">26753 HK Equity     </stp>
        <stp>WRT_EXER_PX</stp>
        <stp>[XLSpdmV8.xls]XLSpdmV8!R165C2</stp>
        <tr r="B165" s="1"/>
      </tp>
      <tp>
        <v>23200</v>
        <stp/>
        <stp>##V3_BDPV12</stp>
        <stp xml:space="preserve">23523 HK Equity     </stp>
        <stp>WRT_EXER_PX</stp>
        <stp>[XLSpdmV8.xls]XLSpdmV8!R132C2</stp>
        <tr r="B132" s="1"/>
      </tp>
      <tp>
        <v>20400</v>
        <stp/>
        <stp>##V3_BDPV12</stp>
        <stp xml:space="preserve">24452 HK Equity     </stp>
        <stp>WRT_EXER_PX</stp>
        <stp>[XLSpdmV8.xls]XLSpdmV8!R175C2</stp>
        <tr r="B175" s="1"/>
      </tp>
      <tp>
        <v>25000</v>
        <stp/>
        <stp>##V3_BDPV12</stp>
        <stp xml:space="preserve">21852 HK Equity     </stp>
        <stp>WRT_EXER_PX</stp>
        <stp>[XLSpdmV8.xls]XLSpdmV8!R125C2</stp>
        <tr r="B125" s="1"/>
      </tp>
      <tp>
        <v>19200</v>
        <stp/>
        <stp>##V3_BDPV12</stp>
        <stp xml:space="preserve">25901 HK Equity     </stp>
        <stp>WRT_EXER_PX</stp>
        <stp>[XLSpdmV8.xls]XLSpdmV8!R150C2</stp>
        <tr r="B150" s="1"/>
      </tp>
      <tp t="s">
        <v>28/10/2016</v>
        <stp/>
        <stp>##V3_BDPV12</stp>
        <stp xml:space="preserve">27351 HK Equity     </stp>
        <stp>WRT_EXER_DT</stp>
        <stp>[XLSpdmV8.xls]XLSpdmV8!R219C4</stp>
        <tr r="D219" s="1"/>
      </tp>
      <tp>
        <v>23200</v>
        <stp/>
        <stp>##V3_BDPV12</stp>
        <stp xml:space="preserve">23841 HK Equity     </stp>
        <stp>WRT_EXER_PX</stp>
        <stp>[XLSpdmV8.xls]XLSpdmV8!R134C2</stp>
        <tr r="B134" s="1"/>
      </tp>
      <tp>
        <v>21800</v>
        <stp/>
        <stp>##V3_BDPV12</stp>
        <stp xml:space="preserve">27280 HK Equity     </stp>
        <stp>WRT_EXER_PX</stp>
        <stp>[XLSpdmV8.xls]XLSpdmV8!R168C2</stp>
        <tr r="B168" s="1"/>
      </tp>
      <tp>
        <v>19600</v>
        <stp/>
        <stp>##V3_BDPV12</stp>
        <stp xml:space="preserve">25910 HK Equity     </stp>
        <stp>WRT_EXER_PX</stp>
        <stp>[XLSpdmV8.xls]XLSpdmV8!R151C2</stp>
        <tr r="B151" s="1"/>
      </tp>
      <tp>
        <v>20088</v>
        <stp/>
        <stp>##V3_BDPV12</stp>
        <stp xml:space="preserve">22990 HK Equity     </stp>
        <stp>WRT_EXER_PX</stp>
        <stp>[XLSpdmV8.xls]XLSpdmV8!R129C2</stp>
        <tr r="B129" s="1"/>
      </tp>
      <tp>
        <v>21000</v>
        <stp/>
        <stp>##V3_BDPV12</stp>
        <stp xml:space="preserve">25489 HK Equity     </stp>
        <stp>WRT_EXER_PX</stp>
        <stp>[XLSpdmV8.xls]XLSpdmV8!R118C2</stp>
        <tr r="B118" s="1"/>
      </tp>
      <tp>
        <v>1.7999999999999999E-2</v>
        <stp/>
        <stp>##V3_BDPV12</stp>
        <stp xml:space="preserve">25195 HK Equity     </stp>
        <stp>LAST_PRICE</stp>
        <stp>[XLSpdmV8.xls]XLSpdmV8!R77C3</stp>
        <tr r="C77" s="1"/>
      </tp>
      <tp>
        <v>2.7E-2</v>
        <stp/>
        <stp>##V3_BDPV12</stp>
        <stp xml:space="preserve">26191 HK Equity     </stp>
        <stp>LAST_PRICE</stp>
        <stp>[XLSpdmV8.xls]XLSpdmV8!R94C3</stp>
        <tr r="C94" s="1"/>
      </tp>
      <tp>
        <v>7.0999999999999994E-2</v>
        <stp/>
        <stp>##V3_BDPV12</stp>
        <stp xml:space="preserve">27177 HK Equity     </stp>
        <stp>LAST_PRICE</stp>
        <stp>[XLSpdmV8.xls]XLSpdmV8!R45C3</stp>
        <tr r="C45" s="1"/>
      </tp>
      <tp>
        <v>0.15</v>
        <stp/>
        <stp>##V3_BDPV12</stp>
        <stp xml:space="preserve">25787 HK Equity     </stp>
        <stp>LAST_PRICE</stp>
        <stp>[XLSpdmV8.xls]XLSpdmV8!R87C3</stp>
        <tr r="C87" s="1"/>
      </tp>
      <tp>
        <v>6.2E-2</v>
        <stp/>
        <stp>##V3_BDPV12</stp>
        <stp xml:space="preserve">26668 HK Equity     </stp>
        <stp>LAST_PRICE</stp>
        <stp>[XLSpdmV8.xls]XLSpdmV8!R34C3</stp>
        <tr r="C34" s="1"/>
      </tp>
      <tp>
        <v>1.2999999999999999E-2</v>
        <stp/>
        <stp>##V3_BDPV12</stp>
        <stp xml:space="preserve">20537 HK Equity     </stp>
        <stp>LAST_PRICE</stp>
        <stp>[XLSpdmV8.xls]XLSpdmV8!R62C3</stp>
        <tr r="C62" s="1"/>
      </tp>
      <tp>
        <v>1.7999999999999999E-2</v>
        <stp/>
        <stp>##V3_BDPV12</stp>
        <stp xml:space="preserve">25447 HK Equity     </stp>
        <stp>LAST_PRICE</stp>
        <stp>[XLSpdmV8.xls]XLSpdmV8!R17C3</stp>
        <tr r="C17" s="1"/>
      </tp>
      <tp>
        <v>0.113</v>
        <stp/>
        <stp>##V3_BDPV12</stp>
        <stp xml:space="preserve">24451 HK Equity     </stp>
        <stp>LAST_PRICE</stp>
        <stp>[XLSpdmV8.xls]XLSpdmV8!R56C3</stp>
        <tr r="C56" s="1"/>
      </tp>
      <tp>
        <v>2.9000000000000001E-2</v>
        <stp/>
        <stp>##V3_BDPV12</stp>
        <stp xml:space="preserve">25994 HK Equity     </stp>
        <stp>LAST_PRICE</stp>
        <stp>[XLSpdmV8.xls]XLSpdmV8!R27C3</stp>
        <tr r="C27" s="1"/>
      </tp>
      <tp>
        <v>0.223</v>
        <stp/>
        <stp>##V3_BDPV12</stp>
        <stp xml:space="preserve">24831 HK Equity     </stp>
        <stp>LAST_PRICE</stp>
        <stp>[XLSpdmV8.xls]XLSpdmV8!R76C3</stp>
        <tr r="C76" s="1"/>
      </tp>
      <tp>
        <v>0.154</v>
        <stp/>
        <stp>##V3_BDPV12</stp>
        <stp xml:space="preserve">24830 HK Equity     </stp>
        <stp>LAST_PRICE</stp>
        <stp>[XLSpdmV8.xls]XLSpdmV8!R16C3</stp>
        <tr r="C16" s="1"/>
      </tp>
      <tp>
        <v>22000</v>
        <stp/>
        <stp>##V3_BDPV12</stp>
        <stp xml:space="preserve">27157 HK Equity     </stp>
        <stp>WRT_EXER_PX</stp>
        <stp>[XLSpdmV8.xls]XLSpdmV8!R44C2</stp>
        <tr r="B44" s="1"/>
      </tp>
      <tp>
        <v>20000</v>
        <stp/>
        <stp>##V3_BDPV12</stp>
        <stp xml:space="preserve">25473 HK Equity     </stp>
        <stp>WRT_EXER_PX</stp>
        <stp>[XLSpdmV8.xls]XLSpdmV8!R81C2</stp>
        <tr r="B81" s="1"/>
      </tp>
      <tp>
        <v>20600</v>
        <stp/>
        <stp>##V3_BDPV12</stp>
        <stp xml:space="preserve">25600 HK Equity     </stp>
        <stp>WRT_EXER_PX</stp>
        <stp>[XLSpdmV8.xls]XLSpdmV8!R83C2</stp>
        <tr r="B83" s="1"/>
      </tp>
      <tp>
        <v>23800</v>
        <stp/>
        <stp>##V3_BDPV12</stp>
        <stp xml:space="preserve">20411 HK Equity     </stp>
        <stp>WRT_EXER_PX</stp>
        <stp>[XLSpdmV8.xls]XLSpdmV8!R61C2</stp>
        <tr r="B61" s="1"/>
      </tp>
      <tp>
        <v>22700</v>
        <stp/>
        <stp>##V3_BDPV12</stp>
        <stp xml:space="preserve">23287 HK Equity     </stp>
        <stp>WRT_EXER_PX</stp>
        <stp>[XLSpdmV8.xls]XLSpdmV8!R67C2</stp>
        <tr r="B67" s="1"/>
      </tp>
      <tp>
        <v>21500</v>
        <stp/>
        <stp>##V3_BDPV12</stp>
        <stp xml:space="preserve">27594 HK Equity     </stp>
        <stp>WRT_EXER_PX</stp>
        <stp>[XLSpdmV8.xls]XLSpdmV8!R50C2</stp>
        <tr r="B50" s="1"/>
      </tp>
      <tp>
        <v>20000</v>
        <stp/>
        <stp>##V3_BDPV12</stp>
        <stp xml:space="preserve">26191 HK Equity     </stp>
        <stp>WRT_EXER_PX</stp>
        <stp>[XLSpdmV8.xls]XLSpdmV8!R94C2</stp>
        <tr r="B94" s="1"/>
      </tp>
      <tp>
        <v>19800</v>
        <stp/>
        <stp>##V3_BDPV12</stp>
        <stp xml:space="preserve">26390 HK Equity     </stp>
        <stp>WRT_EXER_PX</stp>
        <stp>[XLSpdmV8.xls]XLSpdmV8!R96C2</stp>
        <tr r="B96" s="1"/>
      </tp>
      <tp t="s">
        <v>30/8/2016</v>
        <stp/>
        <stp>##V3_BDPV12</stp>
        <stp xml:space="preserve">24167 HK Equity     </stp>
        <stp>WRT_EXER_DT</stp>
        <stp>[XLSpdmV8.xls]XLSpdmV8!R135C4</stp>
        <tr r="D135" s="1"/>
      </tp>
      <tp t="s">
        <v>28/7/2016</v>
        <stp/>
        <stp>##V3_BDPV12</stp>
        <stp xml:space="preserve">25377 HK Equity     </stp>
        <stp>WRT_EXER_DT</stp>
        <stp>[XLSpdmV8.xls]XLSpdmV8!R144C4</stp>
        <tr r="D144" s="1"/>
      </tp>
      <tp t="s">
        <v>30/5/2016</v>
        <stp/>
        <stp>##V3_BDPV12</stp>
        <stp xml:space="preserve">22156 HK Equity     </stp>
        <stp>WRT_EXER_DT</stp>
        <stp>[XLSpdmV8.xls]XLSpdmV8!R126C4</stp>
        <tr r="D126" s="1"/>
      </tp>
      <tp t="s">
        <v>29/9/2016</v>
        <stp/>
        <stp>##V3_BDPV12</stp>
        <stp xml:space="preserve">25916 HK Equity     </stp>
        <stp>WRT_EXER_DT</stp>
        <stp>[XLSpdmV8.xls]XLSpdmV8!R152C4</stp>
        <tr r="D152" s="1"/>
      </tp>
      <tp t="s">
        <v>30/8/2016</v>
        <stp/>
        <stp>##V3_BDPV12</stp>
        <stp xml:space="preserve">25236 HK Equity     </stp>
        <stp>WRT_EXER_DT</stp>
        <stp>[XLSpdmV8.xls]XLSpdmV8!R140C4</stp>
        <tr r="D140" s="1"/>
      </tp>
      <tp t="s">
        <v>30/5/2016</v>
        <stp/>
        <stp>##V3_BDPV12</stp>
        <stp xml:space="preserve">22235 HK Equity     </stp>
        <stp>WRT_EXER_DT</stp>
        <stp>[XLSpdmV8.xls]XLSpdmV8!R180C4</stp>
        <tr r="D180" s="1"/>
      </tp>
      <tp t="s">
        <v>28/7/2016</v>
        <stp/>
        <stp>##V3_BDPV12</stp>
        <stp xml:space="preserve">24825 HK Equity     </stp>
        <stp>WRT_EXER_DT</stp>
        <stp>[XLSpdmV8.xls]XLSpdmV8!R191C4</stp>
        <tr r="D191" s="1"/>
      </tp>
      <tp t="s">
        <v>29/9/2016</v>
        <stp/>
        <stp>##V3_BDPV12</stp>
        <stp xml:space="preserve">26064 HK Equity     </stp>
        <stp>WRT_EXER_DT</stp>
        <stp>[XLSpdmV8.xls]XLSpdmV8!R205C4</stp>
        <tr r="D205" s="1"/>
      </tp>
      <tp t="s">
        <v>29/9/2016</v>
        <stp/>
        <stp>##V3_BDPV12</stp>
        <stp xml:space="preserve">26874 HK Equity     </stp>
        <stp>WRT_EXER_DT</stp>
        <stp>[XLSpdmV8.xls]XLSpdmV8!R104C4</stp>
        <tr r="D104" s="1"/>
      </tp>
      <tp t="s">
        <v>30/5/2016</v>
        <stp/>
        <stp>##V3_BDPV12</stp>
        <stp xml:space="preserve">11321 HK Equity     </stp>
        <stp>WRT_EXER_DT</stp>
        <stp>[XLSpdmV8.xls]XLSpdmV8!R121C4</stp>
        <tr r="D121" s="1"/>
      </tp>
      <tp t="s">
        <v>30/8/2016</v>
        <stp/>
        <stp>##V3_BDPV12</stp>
        <stp xml:space="preserve">26142 HK Equity     </stp>
        <stp>WRT_EXER_DT</stp>
        <stp>[XLSpdmV8.xls]XLSpdmV8!R207C4</stp>
        <tr r="D207" s="1"/>
      </tp>
      <tp t="s">
        <v>30/5/2016</v>
        <stp/>
        <stp>##V3_BDPV12</stp>
        <stp xml:space="preserve">22320 HK Equity     </stp>
        <stp>WRT_EXER_DT</stp>
        <stp>[XLSpdmV8.xls]XLSpdmV8!R181C4</stp>
        <tr r="D181" s="1"/>
      </tp>
      <tp t="s">
        <v>30/8/2016</v>
        <stp/>
        <stp>##V3_BDPV12</stp>
        <stp xml:space="preserve">27760 HK Equity     </stp>
        <stp>WRT_EXER_DT</stp>
        <stp>[XLSpdmV8.xls]XLSpdmV8!R225C4</stp>
        <tr r="D225" s="1"/>
      </tp>
      <tp>
        <v>21500</v>
        <stp/>
        <stp>##V3_BDPV12</stp>
        <stp xml:space="preserve">27188 HK Equity     </stp>
        <stp>WRT_EXER_PX</stp>
        <stp>[XLSpdmV8.xls]XLSpdmV8!R167C2</stp>
        <tr r="B167" s="1"/>
      </tp>
      <tp>
        <v>0.20899999999999999</v>
        <stp/>
        <stp>##V3_BDPV12</stp>
        <stp xml:space="preserve">26319 HK Equity     </stp>
        <stp>LAST_PRICE</stp>
        <stp>[XLSpdmV8.xls]XLSpdmV8!R95C3</stp>
        <tr r="C95" s="1"/>
      </tp>
      <tp>
        <v>6.2E-2</v>
        <stp/>
        <stp>##V3_BDPV12</stp>
        <stp xml:space="preserve">27157 HK Equity     </stp>
        <stp>LAST_PRICE</stp>
        <stp>[XLSpdmV8.xls]XLSpdmV8!R44C3</stp>
        <tr r="C44" s="1"/>
      </tp>
      <tp>
        <v>5.1999999999999998E-2</v>
        <stp/>
        <stp>##V3_BDPV12</stp>
        <stp xml:space="preserve">26704 HK Equity     </stp>
        <stp>LAST_PRICE</stp>
        <stp>[XLSpdmV8.xls]XLSpdmV8!R35C3</stp>
        <tr r="C35" s="1"/>
      </tp>
      <tp>
        <v>9.9000000000000005E-2</v>
        <stp/>
        <stp>##V3_BDPV12</stp>
        <stp xml:space="preserve">25712 HK Equity     </stp>
        <stp>LAST_PRICE</stp>
        <stp>[XLSpdmV8.xls]XLSpdmV8!R86C3</stp>
        <tr r="C86" s="1"/>
      </tp>
      <tp t="s">
        <v>#N/A N/A</v>
        <stp/>
        <stp>##V3_BDPV12</stp>
        <stp xml:space="preserve">20588 HK Equity     </stp>
        <stp>LAST_PRICE</stp>
        <stp>[XLSpdmV8.xls]XLSpdmV8!R63C3</stp>
        <tr r="C63" s="1"/>
      </tp>
      <tp>
        <v>0.215</v>
        <stp/>
        <stp>##V3_BDPV12</stp>
        <stp xml:space="preserve">25984 HK Equity     </stp>
        <stp>LAST_PRICE</stp>
        <stp>[XLSpdmV8.xls]XLSpdmV8!R26C3</stp>
        <tr r="C26" s="1"/>
      </tp>
      <tp>
        <v>0.01</v>
        <stp/>
        <stp>##V3_BDPV12</stp>
        <stp xml:space="preserve">23975 HK Equity     </stp>
        <stp>LAST_PRICE</stp>
        <stp>[XLSpdmV8.xls]XLSpdmV8!R10C3</stp>
        <tr r="C10" s="1"/>
      </tp>
      <tp t="s">
        <v>#N/A N/A</v>
        <stp/>
        <stp>##V3_BDPV12</stp>
        <stp xml:space="preserve">27894 HK Equity     </stp>
        <stp>LAST_PRICE</stp>
        <stp>[XLSpdmV8.xls]XLSpdmV8!R54C3</stp>
        <tr r="C54" s="1"/>
      </tp>
      <tp>
        <v>21000</v>
        <stp/>
        <stp>##V3_BDPV12</stp>
        <stp xml:space="preserve">27666 HK Equity     </stp>
        <stp>WRT_EXER_PX</stp>
        <stp>[XLSpdmV8.xls]XLSpdmV8!R52C2</stp>
        <tr r="B52" s="1"/>
      </tp>
      <tp>
        <v>20000</v>
        <stp/>
        <stp>##V3_BDPV12</stp>
        <stp xml:space="preserve">27360 HK Equity     </stp>
        <stp>WRT_EXER_PX</stp>
        <stp>[XLSpdmV8.xls]XLSpdmV8!R47C2</stp>
        <tr r="B47" s="1"/>
      </tp>
      <tp>
        <v>21800</v>
        <stp/>
        <stp>##V3_BDPV12</stp>
        <stp xml:space="preserve">27177 HK Equity     </stp>
        <stp>WRT_EXER_PX</stp>
        <stp>[XLSpdmV8.xls]XLSpdmV8!R45C2</stp>
        <tr r="B45" s="1"/>
      </tp>
      <tp>
        <v>23500</v>
        <stp/>
        <stp>##V3_BDPV12</stp>
        <stp xml:space="preserve">21009 HK Equity     </stp>
        <stp>WRT_EXER_PX</stp>
        <stp>[XLSpdmV8.xls]XLSpdmV8!R64C2</stp>
        <tr r="B64" s="1"/>
      </tp>
      <tp>
        <v>20088</v>
        <stp/>
        <stp>##V3_BDPV12</stp>
        <stp xml:space="preserve">25722 HK Equity     </stp>
        <stp>WRT_EXER_PX</stp>
        <stp>[XLSpdmV8.xls]XLSpdmV8!R23C2</stp>
        <tr r="B23" s="1"/>
      </tp>
      <tp>
        <v>20200</v>
        <stp/>
        <stp>##V3_BDPV12</stp>
        <stp xml:space="preserve">27286 HK Equity     </stp>
        <stp>WRT_EXER_PX</stp>
        <stp>[XLSpdmV8.xls]XLSpdmV8!R46C2</stp>
        <tr r="B46" s="1"/>
      </tp>
      <tp>
        <v>17000</v>
        <stp/>
        <stp>##V3_BDPV12</stp>
        <stp xml:space="preserve">26399 HK Equity     </stp>
        <stp>WRT_EXER_PX</stp>
        <stp>[XLSpdmV8.xls]XLSpdmV8!R97C2</stp>
        <tr r="B97" s="1"/>
      </tp>
      <tp>
        <v>18400</v>
        <stp/>
        <stp>##V3_BDPV12</stp>
        <stp xml:space="preserve">25698 HK Equity     </stp>
        <stp>WRT_EXER_PX</stp>
        <stp>[XLSpdmV8.xls]XLSpdmV8!R22C2</stp>
        <tr r="B22" s="1"/>
      </tp>
      <tp t="s">
        <v>28/7/2016</v>
        <stp/>
        <stp>##V3_BDPV12</stp>
        <stp xml:space="preserve">25306 HK Equity     </stp>
        <stp>WRT_EXER_DT</stp>
        <stp>[XLSpdmV8.xls]XLSpdmV8!R142C4</stp>
        <tr r="D142" s="1"/>
      </tp>
      <tp>
        <v>25000</v>
        <stp/>
        <stp>##V3_BDPV12</stp>
        <stp xml:space="preserve">18766 HK Equity     </stp>
        <stp>WRT_EXER_PX</stp>
        <stp>[XLSpdmV8.xls]XLSpdmV8!R178C2</stp>
        <tr r="B178" s="1"/>
      </tp>
      <tp>
        <v>22700</v>
        <stp/>
        <stp>##V3_BDPV12</stp>
        <stp xml:space="preserve">24663 HK Equity     </stp>
        <stp>WRT_EXER_PX</stp>
        <stp>[XLSpdmV8.xls]XLSpdmV8!R188C2</stp>
        <tr r="B188" s="1"/>
      </tp>
      <tp>
        <v>19710</v>
        <stp/>
        <stp>##V3_BDPV12</stp>
        <stp xml:space="preserve">27893 HK Equity     </stp>
        <stp>WRT_EXER_PX</stp>
        <stp>[XLSpdmV8.xls]XLSpdmV8!R227C2</stp>
        <tr r="B227" s="1"/>
      </tp>
      <tp t="s">
        <v>29/9/2016</v>
        <stp/>
        <stp>##V3_BDPV12</stp>
        <stp xml:space="preserve">27422 HK Equity     </stp>
        <stp>WRT_EXER_DT</stp>
        <stp>[XLSpdmV8.xls]XLSpdmV8!R170C4</stp>
        <tr r="D170" s="1"/>
      </tp>
      <tp>
        <v>19000</v>
        <stp/>
        <stp>##V3_BDPV12</stp>
        <stp xml:space="preserve">24691 HK Equity     </stp>
        <stp>WRT_EXER_PX</stp>
        <stp>[XLSpdmV8.xls]XLSpdmV8!R137C2</stp>
        <tr r="B137" s="1"/>
      </tp>
      <tp t="s">
        <v>28/7/2016</v>
        <stp/>
        <stp>##V3_BDPV12</stp>
        <stp xml:space="preserve">25561 HK Equity     </stp>
        <stp>WRT_EXER_DT</stp>
        <stp>[XLSpdmV8.xls]XLSpdmV8!R194C4</stp>
        <tr r="D194" s="1"/>
      </tp>
      <tp t="s">
        <v>29/9/2016</v>
        <stp/>
        <stp>##V3_BDPV12</stp>
        <stp xml:space="preserve">25960 HK Equity     </stp>
        <stp>WRT_EXER_DT</stp>
        <stp>[XLSpdmV8.xls]XLSpdmV8!R154C4</stp>
        <tr r="D154" s="1"/>
      </tp>
      <tp t="s">
        <v>29/6/2016</v>
        <stp/>
        <stp>##V3_BDPV12</stp>
        <stp xml:space="preserve">11158 HK Equity     </stp>
        <stp>WRT_EXER_DT</stp>
        <stp>[XLSpdmV8.xls]XLSpdmV8!R177C4</stp>
        <tr r="D177" s="1"/>
      </tp>
      <tp>
        <v>0.191</v>
        <stp/>
        <stp>##V3_BDPV12</stp>
        <stp xml:space="preserve">26390 HK Equity     </stp>
        <stp>LAST_PRICE</stp>
        <stp>[XLSpdmV8.xls]XLSpdmV8!R96C3</stp>
        <tr r="C96" s="1"/>
      </tp>
      <tp>
        <v>0.14499999999999999</v>
        <stp/>
        <stp>##V3_BDPV12</stp>
        <stp xml:space="preserve">27360 HK Equity     </stp>
        <stp>LAST_PRICE</stp>
        <stp>[XLSpdmV8.xls]XLSpdmV8!R47C3</stp>
        <tr r="C47" s="1"/>
      </tp>
      <tp>
        <v>0.06</v>
        <stp/>
        <stp>##V3_BDPV12</stp>
        <stp xml:space="preserve">26712 HK Equity     </stp>
        <stp>LAST_PRICE</stp>
        <stp>[XLSpdmV8.xls]XLSpdmV8!R36C3</stp>
        <tr r="C36" s="1"/>
      </tp>
      <tp t="s">
        <v>#N/A N/A</v>
        <stp/>
        <stp>##V3_BDPV12</stp>
        <stp xml:space="preserve">25679 HK Equity     </stp>
        <stp>LAST_PRICE</stp>
        <stp>[XLSpdmV8.xls]XLSpdmV8!R85C3</stp>
        <tr r="C85" s="1"/>
      </tp>
      <tp>
        <v>0.13300000000000001</v>
        <stp/>
        <stp>##V3_BDPV12</stp>
        <stp xml:space="preserve">24425 HK Equity     </stp>
        <stp>LAST_PRICE</stp>
        <stp>[XLSpdmV8.xls]XLSpdmV8!R14C3</stp>
        <tr r="C14" s="1"/>
      </tp>
      <tp>
        <v>0.184</v>
        <stp/>
        <stp>##V3_BDPV12</stp>
        <stp xml:space="preserve">24427 HK Equity     </stp>
        <stp>LAST_PRICE</stp>
        <stp>[XLSpdmV8.xls]XLSpdmV8!R74C3</stp>
        <tr r="C74" s="1"/>
      </tp>
      <tp>
        <v>0.03</v>
        <stp/>
        <stp>##V3_BDPV12</stp>
        <stp xml:space="preserve">25946 HK Equity     </stp>
        <stp>LAST_PRICE</stp>
        <stp>[XLSpdmV8.xls]XLSpdmV8!R25C3</stp>
        <tr r="C25" s="1"/>
      </tp>
      <tp>
        <v>19000</v>
        <stp/>
        <stp>##V3_BDPV12</stp>
        <stp xml:space="preserve">25660 HK Equity     </stp>
        <stp>WRT_EXER_PX</stp>
        <stp>[XLSpdmV8.xls]XLSpdmV8!R21C2</stp>
        <tr r="B21" s="1"/>
      </tp>
      <tp>
        <v>18400</v>
        <stp/>
        <stp>##V3_BDPV12</stp>
        <stp xml:space="preserve">25579 HK Equity     </stp>
        <stp>WRT_EXER_PX</stp>
        <stp>[XLSpdmV8.xls]XLSpdmV8!R82C2</stp>
        <tr r="B82" s="1"/>
      </tp>
      <tp>
        <v>21600</v>
        <stp/>
        <stp>##V3_BDPV12</stp>
        <stp xml:space="preserve">27608 HK Equity     </stp>
        <stp>WRT_EXER_PX</stp>
        <stp>[XLSpdmV8.xls]XLSpdmV8!R51C2</stp>
        <tr r="B51" s="1"/>
      </tp>
      <tp>
        <v>24400</v>
        <stp/>
        <stp>##V3_BDPV12</stp>
        <stp xml:space="preserve">20537 HK Equity     </stp>
        <stp>WRT_EXER_PX</stp>
        <stp>[XLSpdmV8.xls]XLSpdmV8!R62C2</stp>
        <tr r="B62" s="1"/>
      </tp>
      <tp>
        <v>21498</v>
        <stp/>
        <stp>##V3_BDPV12</stp>
        <stp xml:space="preserve">26488 HK Equity     </stp>
        <stp>WRT_EXER_PX</stp>
        <stp>[XLSpdmV8.xls]XLSpdmV8!R33C2</stp>
        <tr r="B33" s="1"/>
      </tp>
      <tp t="s">
        <v>30/8/2016</v>
        <stp/>
        <stp>##V3_BDPV12</stp>
        <stp xml:space="preserve">25917 HK Equity     </stp>
        <stp>WRT_EXER_DT</stp>
        <stp>[XLSpdmV8.xls]XLSpdmV8!R200C4</stp>
        <tr r="D200" s="1"/>
      </tp>
      <tp t="s">
        <v>28/10/2016</v>
        <stp/>
        <stp>##V3_BDPV12</stp>
        <stp xml:space="preserve">27077 HK Equity     </stp>
        <stp>WRT_EXER_DT</stp>
        <stp>[XLSpdmV8.xls]XLSpdmV8!R106C4</stp>
        <tr r="D106" s="1"/>
      </tp>
      <tp t="s">
        <v>29/9/2016</v>
        <stp/>
        <stp>##V3_BDPV12</stp>
        <stp xml:space="preserve">28167 HK Equity     </stp>
        <stp>WRT_EXER_DT</stp>
        <stp>[XLSpdmV8.xls]XLSpdmV8!R117C4</stp>
        <tr r="D117" s="1"/>
      </tp>
      <tp>
        <v>18000</v>
        <stp/>
        <stp>##V3_BDPV12</stp>
        <stp xml:space="preserve">25986 HK Equity     </stp>
        <stp>WRT_EXER_PX</stp>
        <stp>[XLSpdmV8.xls]XLSpdmV8!R155C2</stp>
        <tr r="B155" s="1"/>
      </tp>
      <tp>
        <v>18000</v>
        <stp/>
        <stp>##V3_BDPV12</stp>
        <stp xml:space="preserve">25686 HK Equity     </stp>
        <stp>WRT_EXER_PX</stp>
        <stp>[XLSpdmV8.xls]XLSpdmV8!R195C2</stp>
        <tr r="B195" s="1"/>
      </tp>
      <tp>
        <v>22100</v>
        <stp/>
        <stp>##V3_BDPV12</stp>
        <stp xml:space="preserve">25146 HK Equity     </stp>
        <stp>WRT_EXER_PX</stp>
        <stp>[XLSpdmV8.xls]XLSpdmV8!R139C2</stp>
        <tr r="B139" s="1"/>
      </tp>
      <tp>
        <v>17000</v>
        <stp/>
        <stp>##V3_BDPV12</stp>
        <stp xml:space="preserve">26155 HK Equity     </stp>
        <stp>WRT_EXER_PX</stp>
        <stp>[XLSpdmV8.xls]XLSpdmV8!R208C2</stp>
        <tr r="B208" s="1"/>
      </tp>
      <tp>
        <v>20500</v>
        <stp/>
        <stp>##V3_BDPV12</stp>
        <stp xml:space="preserve">23885 HK Equity     </stp>
        <stp>WRT_EXER_PX</stp>
        <stp>[XLSpdmV8.xls]XLSpdmV8!R185C2</stp>
        <tr r="B185" s="1"/>
      </tp>
      <tp t="s">
        <v>28/7/2016</v>
        <stp/>
        <stp>##V3_BDPV12</stp>
        <stp xml:space="preserve">27284 HK Equity     </stp>
        <stp>WRT_EXER_DT</stp>
        <stp>[XLSpdmV8.xls]XLSpdmV8!R169C4</stp>
        <tr r="D169" s="1"/>
      </tp>
      <tp>
        <v>20400</v>
        <stp/>
        <stp>##V3_BDPV12</stp>
        <stp xml:space="preserve">27153 HK Equity     </stp>
        <stp>WRT_EXER_PX</stp>
        <stp>[XLSpdmV8.xls]XLSpdmV8!R218C2</stp>
        <tr r="B218" s="1"/>
      </tp>
      <tp>
        <v>23800</v>
        <stp/>
        <stp>##V3_BDPV12</stp>
        <stp xml:space="preserve">22353 HK Equity     </stp>
        <stp>WRT_EXER_PX</stp>
        <stp>[XLSpdmV8.xls]XLSpdmV8!R128C2</stp>
        <tr r="B128" s="1"/>
      </tp>
      <tp>
        <v>20600</v>
        <stp/>
        <stp>##V3_BDPV12</stp>
        <stp xml:space="preserve">27592 HK Equity     </stp>
        <stp>WRT_EXER_PX</stp>
        <stp>[XLSpdmV8.xls]XLSpdmV8!R224C2</stp>
        <tr r="B224" s="1"/>
      </tp>
      <tp t="s">
        <v>28/7/2016</v>
        <stp/>
        <stp>##V3_BDPV12</stp>
        <stp xml:space="preserve">24712 HK Equity     </stp>
        <stp>WRT_EXER_DT</stp>
        <stp>[XLSpdmV8.xls]XLSpdmV8!R190C4</stp>
        <tr r="D190" s="1"/>
      </tp>
      <tp t="s">
        <v>30/8/2016</v>
        <stp/>
        <stp>##V3_BDPV12</stp>
        <stp xml:space="preserve">26532 HK Equity     </stp>
        <stp>WRT_EXER_DT</stp>
        <stp>[XLSpdmV8.xls]XLSpdmV8!R162C4</stp>
        <tr r="D162" s="1"/>
      </tp>
      <tp t="s">
        <v>30/8/2016</v>
        <stp/>
        <stp>##V3_BDPV12</stp>
        <stp xml:space="preserve">27821 HK Equity     </stp>
        <stp>WRT_EXER_DT</stp>
        <stp>[XLSpdmV8.xls]XLSpdmV8!R113C4</stp>
        <tr r="D113" s="1"/>
      </tp>
      <tp t="s">
        <v>29/6/2016</v>
        <stp/>
        <stp>##V3_BDPV12</stp>
        <stp xml:space="preserve">24680 HK Equity     </stp>
        <stp>WRT_EXER_DT</stp>
        <stp>[XLSpdmV8.xls]XLSpdmV8!R189C4</stp>
        <tr r="D189" s="1"/>
      </tp>
      <tp t="s">
        <v>28/10/2016</v>
        <stp/>
        <stp>##V3_BDPV12</stp>
        <stp xml:space="preserve">26020 HK Equity     </stp>
        <stp>WRT_EXER_DT</stp>
        <stp>[XLSpdmV8.xls]XLSpdmV8!R203C4</stp>
        <tr r="D203" s="1"/>
      </tp>
      <tp>
        <v>19888</v>
        <stp/>
        <stp>##V3_BDPV12</stp>
        <stp xml:space="preserve">28080 HK Equity     </stp>
        <stp>WRT_EXER_PX</stp>
        <stp>[XLSpdmV8.xls]XLSpdmV8!R115C2</stp>
        <tr r="B115" s="1"/>
      </tp>
      <tp t="s">
        <v>28/7/2016</v>
        <stp/>
        <stp>##V3_BDPV12</stp>
        <stp xml:space="preserve">25479 HK Equity     </stp>
        <stp>WRT_EXER_DT</stp>
        <stp>[XLSpdmV8.xls]XLSpdmV8!R146C4</stp>
        <tr r="D146" s="1"/>
      </tp>
      <tp t="s">
        <v>30/5/2016</v>
        <stp/>
        <stp>##V3_BDPV12</stp>
        <stp xml:space="preserve">29179 HK Equity     </stp>
        <stp>WRT_EXER_DT</stp>
        <stp>[XLSpdmV8.xls]XLSpdmV8!R176C4</stp>
        <tr r="D176" s="1"/>
      </tp>
      <tp t="s">
        <v>30/5/2016</v>
        <stp/>
        <stp>##V3_BDPV12</stp>
        <stp xml:space="preserve">21028 HK Equity     </stp>
        <stp>WRT_EXER_DT</stp>
        <stp>[XLSpdmV8.xls]XLSpdmV8!R123C4</stp>
        <tr r="D123" s="1"/>
      </tp>
      <tp>
        <v>0.03</v>
        <stp/>
        <stp>##V3_BDPV12</stp>
        <stp xml:space="preserve">26399 HK Equity     </stp>
        <stp>LAST_PRICE</stp>
        <stp>[XLSpdmV8.xls]XLSpdmV8!R97C3</stp>
        <tr r="C97" s="1"/>
      </tp>
      <tp>
        <v>0.14299999999999999</v>
        <stp/>
        <stp>##V3_BDPV12</stp>
        <stp xml:space="preserve">27286 HK Equity     </stp>
        <stp>LAST_PRICE</stp>
        <stp>[XLSpdmV8.xls]XLSpdmV8!R46C3</stp>
        <tr r="C46" s="1"/>
      </tp>
      <tp>
        <v>8.6999999999999994E-2</v>
        <stp/>
        <stp>##V3_BDPV12</stp>
        <stp xml:space="preserve">26747 HK Equity     </stp>
        <stp>LAST_PRICE</stp>
        <stp>[XLSpdmV8.xls]XLSpdmV8!R37C3</stp>
        <tr r="C37" s="1"/>
      </tp>
      <tp>
        <v>5.7000000000000002E-2</v>
        <stp/>
        <stp>##V3_BDPV12</stp>
        <stp xml:space="preserve">24684 HK Equity     </stp>
        <stp>LAST_PRICE</stp>
        <stp>[XLSpdmV8.xls]XLSpdmV8!R15C3</stp>
        <tr r="C15" s="1"/>
      </tp>
      <tp>
        <v>0.01</v>
        <stp/>
        <stp>##V3_BDPV12</stp>
        <stp xml:space="preserve">24688 HK Equity     </stp>
        <stp>LAST_PRICE</stp>
        <stp>[XLSpdmV8.xls]XLSpdmV8!R75C3</stp>
        <tr r="C75" s="1"/>
      </tp>
      <tp>
        <v>0.16200000000000001</v>
        <stp/>
        <stp>##V3_BDPV12</stp>
        <stp xml:space="preserve">25662 HK Equity     </stp>
        <stp>LAST_PRICE</stp>
        <stp>[XLSpdmV8.xls]XLSpdmV8!R84C3</stp>
        <tr r="C84" s="1"/>
      </tp>
      <tp>
        <v>0.01</v>
        <stp/>
        <stp>##V3_BDPV12</stp>
        <stp xml:space="preserve">20411 HK Equity     </stp>
        <stp>LAST_PRICE</stp>
        <stp>[XLSpdmV8.xls]XLSpdmV8!R61C3</stp>
        <tr r="C61" s="1"/>
      </tp>
      <tp>
        <v>0.191</v>
        <stp/>
        <stp>##V3_BDPV12</stp>
        <stp xml:space="preserve">25919 HK Equity     </stp>
        <stp>LAST_PRICE</stp>
        <stp>[XLSpdmV8.xls]XLSpdmV8!R24C3</stp>
        <tr r="C24" s="1"/>
      </tp>
      <tp>
        <v>0.01</v>
        <stp/>
        <stp>##V3_BDPV12</stp>
        <stp xml:space="preserve">18856 HK Equity     </stp>
        <stp>LAST_PRICE</stp>
        <stp>[XLSpdmV8.xls]XLSpdmV8!R59C3</stp>
        <tr r="C59" s="1"/>
      </tp>
      <tp>
        <v>18600</v>
        <stp/>
        <stp>##V3_BDPV12</stp>
        <stp xml:space="preserve">26319 HK Equity     </stp>
        <stp>WRT_EXER_PX</stp>
        <stp>[XLSpdmV8.xls]XLSpdmV8!R95C2</stp>
        <tr r="B95" s="1"/>
      </tp>
      <tp>
        <v>17600</v>
        <stp/>
        <stp>##V3_BDPV12</stp>
        <stp xml:space="preserve">25625 HK Equity     </stp>
        <stp>WRT_EXER_PX</stp>
        <stp>[XLSpdmV8.xls]XLSpdmV8!R20C2</stp>
        <tr r="B20" s="1"/>
      </tp>
      <tp>
        <v>25000</v>
        <stp/>
        <stp>##V3_BDPV12</stp>
        <stp xml:space="preserve">20588 HK Equity     </stp>
        <stp>WRT_EXER_PX</stp>
        <stp>[XLSpdmV8.xls]XLSpdmV8!R63C2</stp>
        <tr r="B63" s="1"/>
      </tp>
      <tp>
        <v>18908</v>
        <stp/>
        <stp>##V3_BDPV12</stp>
        <stp xml:space="preserve">25195 HK Equity     </stp>
        <stp>WRT_EXER_PX</stp>
        <stp>[XLSpdmV8.xls]XLSpdmV8!R77C2</stp>
        <tr r="B77" s="1"/>
      </tp>
      <tp t="s">
        <v>28/7/2016</v>
        <stp/>
        <stp>##V3_BDPV12</stp>
        <stp xml:space="preserve">25457 HK Equity     </stp>
        <stp>WRT_EXER_DT</stp>
        <stp>[XLSpdmV8.xls]XLSpdmV8!R145C4</stp>
        <tr r="D145" s="1"/>
      </tp>
      <tp>
        <v>19200</v>
        <stp/>
        <stp>##V3_BDPV12</stp>
        <stp xml:space="preserve">26896 HK Equity     </stp>
        <stp>WRT_EXER_PX</stp>
        <stp>[XLSpdmV8.xls]XLSpdmV8!R105C2</stp>
        <tr r="B105" s="1"/>
      </tp>
      <tp>
        <v>20000</v>
        <stp/>
        <stp>##V3_BDPV12</stp>
        <stp xml:space="preserve">27356 HK Equity     </stp>
        <stp>WRT_EXER_PX</stp>
        <stp>[XLSpdmV8.xls]XLSpdmV8!R109C2</stp>
        <tr r="B109" s="1"/>
      </tp>
      <tp>
        <v>19800</v>
        <stp/>
        <stp>##V3_BDPV12</stp>
        <stp xml:space="preserve">26585 HK Equity     </stp>
        <stp>WRT_EXER_PX</stp>
        <stp>[XLSpdmV8.xls]XLSpdmV8!R164C2</stp>
        <tr r="B164" s="1"/>
      </tp>
      <tp t="s">
        <v>29/6/2016</v>
        <stp/>
        <stp>##V3_BDPV12</stp>
        <stp xml:space="preserve">24374 HK Equity     </stp>
        <stp>WRT_EXER_DT</stp>
        <stp>[XLSpdmV8.xls]XLSpdmV8!R187C4</stp>
        <tr r="D187" s="1"/>
      </tp>
      <tp t="s">
        <v>29/9/2016</v>
        <stp/>
        <stp>##V3_BDPV12</stp>
        <stp xml:space="preserve">23523 HK Equity     </stp>
        <stp>WRT_EXER_DT</stp>
        <stp>[XLSpdmV8.xls]XLSpdmV8!R132C4</stp>
        <tr r="D132" s="1"/>
      </tp>
      <tp t="s">
        <v>29/9/2016</v>
        <stp/>
        <stp>##V3_BDPV12</stp>
        <stp xml:space="preserve">26753 HK Equity     </stp>
        <stp>WRT_EXER_DT</stp>
        <stp>[XLSpdmV8.xls]XLSpdmV8!R165C4</stp>
        <tr r="D165" s="1"/>
      </tp>
      <tp t="s">
        <v>29/6/2016</v>
        <stp/>
        <stp>##V3_BDPV12</stp>
        <stp xml:space="preserve">21852 HK Equity     </stp>
        <stp>WRT_EXER_DT</stp>
        <stp>[XLSpdmV8.xls]XLSpdmV8!R125C4</stp>
        <tr r="D125" s="1"/>
      </tp>
      <tp t="s">
        <v>29/9/2016</v>
        <stp/>
        <stp>##V3_BDPV12</stp>
        <stp xml:space="preserve">24452 HK Equity     </stp>
        <stp>WRT_EXER_DT</stp>
        <stp>[XLSpdmV8.xls]XLSpdmV8!R175C4</stp>
        <tr r="D175" s="1"/>
      </tp>
      <tp>
        <v>21800</v>
        <stp/>
        <stp>##V3_BDPV12</stp>
        <stp xml:space="preserve">27351 HK Equity     </stp>
        <stp>WRT_EXER_PX</stp>
        <stp>[XLSpdmV8.xls]XLSpdmV8!R219C2</stp>
        <tr r="B219" s="1"/>
      </tp>
      <tp t="s">
        <v>30/5/2016</v>
        <stp/>
        <stp>##V3_BDPV12</stp>
        <stp xml:space="preserve">23841 HK Equity     </stp>
        <stp>WRT_EXER_DT</stp>
        <stp>[XLSpdmV8.xls]XLSpdmV8!R134C4</stp>
        <tr r="D134" s="1"/>
      </tp>
      <tp t="s">
        <v>29/9/2016</v>
        <stp/>
        <stp>##V3_BDPV12</stp>
        <stp xml:space="preserve">25901 HK Equity     </stp>
        <stp>WRT_EXER_DT</stp>
        <stp>[XLSpdmV8.xls]XLSpdmV8!R150C4</stp>
        <tr r="D150" s="1"/>
      </tp>
      <tp t="s">
        <v>29/6/2016</v>
        <stp/>
        <stp>##V3_BDPV12</stp>
        <stp xml:space="preserve">22990 HK Equity     </stp>
        <stp>WRT_EXER_DT</stp>
        <stp>[XLSpdmV8.xls]XLSpdmV8!R129C4</stp>
        <tr r="D129" s="1"/>
      </tp>
      <tp t="s">
        <v>28/7/2016</v>
        <stp/>
        <stp>##V3_BDPV12</stp>
        <stp xml:space="preserve">25910 HK Equity     </stp>
        <stp>WRT_EXER_DT</stp>
        <stp>[XLSpdmV8.xls]XLSpdmV8!R151C4</stp>
        <tr r="D151" s="1"/>
      </tp>
      <tp t="s">
        <v>28/10/2016</v>
        <stp/>
        <stp>##V3_BDPV12</stp>
        <stp xml:space="preserve">27280 HK Equity     </stp>
        <stp>WRT_EXER_DT</stp>
        <stp>[XLSpdmV8.xls]XLSpdmV8!R168C4</stp>
        <tr r="D168" s="1"/>
      </tp>
      <tp t="s">
        <v>29/6/2016</v>
        <stp/>
        <stp>##V3_BDPV12</stp>
        <stp xml:space="preserve">25489 HK Equity     </stp>
        <stp>WRT_EXER_DT</stp>
        <stp>[XLSpdmV8.xls]XLSpdmV8!R118C4</stp>
        <tr r="D118" s="1"/>
      </tp>
      <tp>
        <v>1.4999999999999999E-2</v>
        <stp/>
        <stp>##V3_BDPV12</stp>
        <stp xml:space="preserve">24262 HK Equity     </stp>
        <stp>LAST_PRICE</stp>
        <stp>[XLSpdmV8.xls]XLSpdmV8!R72C3</stp>
        <tr r="C72" s="1"/>
      </tp>
      <tp>
        <v>0.01</v>
        <stp/>
        <stp>##V3_BDPV12</stp>
        <stp xml:space="preserve">26143 HK Equity     </stp>
        <stp>LAST_PRICE</stp>
        <stp>[XLSpdmV8.xls]XLSpdmV8!R30C3</stp>
        <tr r="C30" s="1"/>
      </tp>
      <tp>
        <v>1.4999999999999999E-2</v>
        <stp/>
        <stp>##V3_BDPV12</stp>
        <stp xml:space="preserve">24137 HK Equity     </stp>
        <stp>LAST_PRICE</stp>
        <stp>[XLSpdmV8.xls]XLSpdmV8!R12C3</stp>
        <tr r="C12" s="1"/>
      </tp>
      <tp>
        <v>6.7000000000000004E-2</v>
        <stp/>
        <stp>##V3_BDPV12</stp>
        <stp xml:space="preserve">25722 HK Equity     </stp>
        <stp>LAST_PRICE</stp>
        <stp>[XLSpdmV8.xls]XLSpdmV8!R23C3</stp>
        <tr r="C23" s="1"/>
      </tp>
      <tp>
        <v>0.191</v>
        <stp/>
        <stp>##V3_BDPV12</stp>
        <stp xml:space="preserve">27608 HK Equity     </stp>
        <stp>LAST_PRICE</stp>
        <stp>[XLSpdmV8.xls]XLSpdmV8!R51C3</stp>
        <tr r="C51" s="1"/>
      </tp>
      <tp>
        <v>0.10299999999999999</v>
        <stp/>
        <stp>##V3_BDPV12</stp>
        <stp xml:space="preserve">25600 HK Equity     </stp>
        <stp>LAST_PRICE</stp>
        <stp>[XLSpdmV8.xls]XLSpdmV8!R83C3</stp>
        <tr r="C83" s="1"/>
      </tp>
      <tp>
        <v>0.01</v>
        <stp/>
        <stp>##V3_BDPV12</stp>
        <stp xml:space="preserve">23970 HK Equity     </stp>
        <stp>LAST_PRICE</stp>
        <stp>[XLSpdmV8.xls]XLSpdmV8!R55C3</stp>
        <tr r="C55" s="1"/>
      </tp>
      <tp>
        <v>6.8000000000000005E-2</v>
        <stp/>
        <stp>##V3_BDPV12</stp>
        <stp xml:space="preserve">26849 HK Equity     </stp>
        <stp>LAST_PRICE</stp>
        <stp>[XLSpdmV8.xls]XLSpdmV8!R40C3</stp>
        <tr r="C40" s="1"/>
      </tp>
      <tp>
        <v>18968</v>
        <stp/>
        <stp>##V3_BDPV12</stp>
        <stp xml:space="preserve">26143 HK Equity     </stp>
        <stp>WRT_EXER_PX</stp>
        <stp>[XLSpdmV8.xls]XLSpdmV8!R30C2</stp>
        <tr r="B30" s="1"/>
      </tp>
      <tp>
        <v>25118</v>
        <stp/>
        <stp>##V3_BDPV12</stp>
        <stp xml:space="preserve">18856 HK Equity     </stp>
        <stp>WRT_EXER_PX</stp>
        <stp>[XLSpdmV8.xls]XLSpdmV8!R59C2</stp>
        <tr r="B59" s="1"/>
      </tp>
      <tp>
        <v>23200</v>
        <stp/>
        <stp>##V3_BDPV12</stp>
        <stp xml:space="preserve">24108 HK Equity     </stp>
        <stp>WRT_EXER_PX</stp>
        <stp>[XLSpdmV8.xls]XLSpdmV8!R70C2</stp>
        <tr r="B70" s="1"/>
      </tp>
      <tp>
        <v>19400</v>
        <stp/>
        <stp>##V3_BDPV12</stp>
        <stp xml:space="preserve">26712 HK Equity     </stp>
        <stp>WRT_EXER_PX</stp>
        <stp>[XLSpdmV8.xls]XLSpdmV8!R36C2</stp>
        <tr r="B36" s="1"/>
      </tp>
      <tp>
        <v>20400</v>
        <stp/>
        <stp>##V3_BDPV12</stp>
        <stp xml:space="preserve">25712 HK Equity     </stp>
        <stp>WRT_EXER_PX</stp>
        <stp>[XLSpdmV8.xls]XLSpdmV8!R86C2</stp>
        <tr r="B86" s="1"/>
      </tp>
      <tp>
        <v>22800</v>
        <stp/>
        <stp>##V3_BDPV12</stp>
        <stp xml:space="preserve">19187 HK Equity     </stp>
        <stp>WRT_EXER_PX</stp>
        <stp>[XLSpdmV8.xls]XLSpdmV8!R60C2</stp>
        <tr r="B60" s="1"/>
      </tp>
      <tp t="s">
        <v>29/9/2016</v>
        <stp/>
        <stp>##V3_BDPV12</stp>
        <stp xml:space="preserve">26037 HK Equity     </stp>
        <stp>WRT_EXER_DT</stp>
        <stp>[XLSpdmV8.xls]XLSpdmV8!R204C4</stp>
        <tr r="D204" s="1"/>
      </tp>
      <tp>
        <v>21000</v>
        <stp/>
        <stp>##V3_BDPV12</stp>
        <stp xml:space="preserve">27596 HK Equity     </stp>
        <stp>WRT_EXER_PX</stp>
        <stp>[XLSpdmV8.xls]XLSpdmV8!R112C2</stp>
        <tr r="B112" s="1"/>
      </tp>
      <tp t="s">
        <v>29/9/2016</v>
        <stp/>
        <stp>##V3_BDPV12</stp>
        <stp xml:space="preserve">26915 HK Equity     </stp>
        <stp>WRT_EXER_DT</stp>
        <stp>[XLSpdmV8.xls]XLSpdmV8!R216C4</stp>
        <tr r="D216" s="1"/>
      </tp>
      <tp t="s">
        <v>29/9/2016</v>
        <stp/>
        <stp>##V3_BDPV12</stp>
        <stp xml:space="preserve">25804 HK Equity     </stp>
        <stp>WRT_EXER_DT</stp>
        <stp>[XLSpdmV8.xls]XLSpdmV8!R197C4</stp>
        <tr r="D197" s="1"/>
      </tp>
      <tp>
        <v>21000</v>
        <stp/>
        <stp>##V3_BDPV12</stp>
        <stp xml:space="preserve">25483 HK Equity     </stp>
        <stp>WRT_EXER_PX</stp>
        <stp>[XLSpdmV8.xls]XLSpdmV8!R193C2</stp>
        <tr r="B193" s="1"/>
      </tp>
      <tp>
        <v>24400</v>
        <stp/>
        <stp>##V3_BDPV12</stp>
        <stp xml:space="preserve">23683 HK Equity     </stp>
        <stp>WRT_EXER_PX</stp>
        <stp>[XLSpdmV8.xls]XLSpdmV8!R133C2</stp>
        <tr r="B133" s="1"/>
      </tp>
      <tp>
        <v>18828</v>
        <stp/>
        <stp>##V3_BDPV12</stp>
        <stp xml:space="preserve">28393 HK Equity     </stp>
        <stp>WRT_EXER_PX</stp>
        <stp>[XLSpdmV8.xls]XLSpdmV8!R232C2</stp>
        <tr r="B232" s="1"/>
      </tp>
      <tp t="s">
        <v>29/9/2016</v>
        <stp/>
        <stp>##V3_BDPV12</stp>
        <stp xml:space="preserve">27562 HK Equity     </stp>
        <stp>WRT_EXER_DT</stp>
        <stp>[XLSpdmV8.xls]XLSpdmV8!R171C4</stp>
        <tr r="D171" s="1"/>
      </tp>
      <tp t="s">
        <v>29/9/2016</v>
        <stp/>
        <stp>##V3_BDPV12</stp>
        <stp xml:space="preserve">27112 HK Equity     </stp>
        <stp>WRT_EXER_DT</stp>
        <stp>[XLSpdmV8.xls]XLSpdmV8!R166C4</stp>
        <tr r="D166" s="1"/>
      </tp>
      <tp t="s">
        <v>29/9/2016</v>
        <stp/>
        <stp>##V3_BDPV12</stp>
        <stp xml:space="preserve">28172 HK Equity     </stp>
        <stp>WRT_EXER_DT</stp>
        <stp>[XLSpdmV8.xls]XLSpdmV8!R230C4</stp>
        <tr r="D230" s="1"/>
      </tp>
      <tp>
        <v>20300</v>
        <stp/>
        <stp>##V3_BDPV12</stp>
        <stp xml:space="preserve">27891 HK Equity     </stp>
        <stp>WRT_EXER_PX</stp>
        <stp>[XLSpdmV8.xls]XLSpdmV8!R172C2</stp>
        <tr r="B172" s="1"/>
      </tp>
      <tp t="s">
        <v>30/8/2016</v>
        <stp/>
        <stp>##V3_BDPV12</stp>
        <stp xml:space="preserve">26201 HK Equity     </stp>
        <stp>WRT_EXER_DT</stp>
        <stp>[XLSpdmV8.xls]XLSpdmV8!R157C4</stp>
        <tr r="D157" s="1"/>
      </tp>
      <tp t="s">
        <v>28/10/2016</v>
        <stp/>
        <stp>##V3_BDPV12</stp>
        <stp xml:space="preserve">28131 HK Equity     </stp>
        <stp>WRT_EXER_DT</stp>
        <stp>[XLSpdmV8.xls]XLSpdmV8!R174C4</stp>
        <tr r="D174" s="1"/>
      </tp>
      <tp>
        <v>19288</v>
        <stp/>
        <stp>##V3_BDPV12</stp>
        <stp xml:space="preserve">28081 HK Equity     </stp>
        <stp>WRT_EXER_PX</stp>
        <stp>[XLSpdmV8.xls]XLSpdmV8!R173C2</stp>
        <tr r="B173" s="1"/>
      </tp>
      <tp>
        <v>17600</v>
        <stp/>
        <stp>##V3_BDPV12</stp>
        <stp xml:space="preserve">26320 HK Equity     </stp>
        <stp>WRT_EXER_PX</stp>
        <stp>[XLSpdmV8.xls]XLSpdmV8!R159C2</stp>
        <tr r="B159" s="1"/>
      </tp>
      <tp>
        <v>19800</v>
        <stp/>
        <stp>##V3_BDPV12</stp>
        <stp xml:space="preserve">28120 HK Equity     </stp>
        <stp>WRT_EXER_PX</stp>
        <stp>[XLSpdmV8.xls]XLSpdmV8!R229C2</stp>
        <tr r="B229" s="1"/>
      </tp>
      <tp>
        <v>18000</v>
        <stp/>
        <stp>##V3_BDPV12</stp>
        <stp xml:space="preserve">26329 HK Equity     </stp>
        <stp>WRT_EXER_PX</stp>
        <stp>[XLSpdmV8.xls]XLSpdmV8!R209C2</stp>
        <tr r="B209" s="1"/>
      </tp>
      <tp t="s">
        <v>28/10/2016</v>
        <stp/>
        <stp>##V3_BDPV12</stp>
        <stp xml:space="preserve">27559 HK Equity     </stp>
        <stp>WRT_EXER_DT</stp>
        <stp>[XLSpdmV8.xls]XLSpdmV8!R222C4</stp>
        <tr r="D222" s="1"/>
      </tp>
      <tp t="s">
        <v>30/8/2016</v>
        <stp/>
        <stp>##V3_BDPV12</stp>
        <stp xml:space="preserve">25948 HK Equity     </stp>
        <stp>WRT_EXER_DT</stp>
        <stp>[XLSpdmV8.xls]XLSpdmV8!R153C4</stp>
        <tr r="D153" s="1"/>
      </tp>
      <tp>
        <v>1.6E-2</v>
        <stp/>
        <stp>##V3_BDPV12</stp>
        <stp xml:space="preserve">24376 HK Equity     </stp>
        <stp>LAST_PRICE</stp>
        <stp>[XLSpdmV8.xls]XLSpdmV8!R13C3</stp>
        <tr r="C13" s="1"/>
      </tp>
      <tp>
        <v>7.3999999999999996E-2</v>
        <stp/>
        <stp>##V3_BDPV12</stp>
        <stp xml:space="preserve">24315 HK Equity     </stp>
        <stp>LAST_PRICE</stp>
        <stp>[XLSpdmV8.xls]XLSpdmV8!R73C3</stp>
        <tr r="C73" s="1"/>
      </tp>
      <tp>
        <v>0.01</v>
        <stp/>
        <stp>##V3_BDPV12</stp>
        <stp xml:space="preserve">26190 HK Equity     </stp>
        <stp>LAST_PRICE</stp>
        <stp>[XLSpdmV8.xls]XLSpdmV8!R31C3</stp>
        <tr r="C31" s="1"/>
      </tp>
      <tp>
        <v>4.4999999999999998E-2</v>
        <stp/>
        <stp>##V3_BDPV12</stp>
        <stp xml:space="preserve">25698 HK Equity     </stp>
        <stp>LAST_PRICE</stp>
        <stp>[XLSpdmV8.xls]XLSpdmV8!R22C3</stp>
        <tr r="C22" s="1"/>
      </tp>
      <tp>
        <v>0.185</v>
        <stp/>
        <stp>##V3_BDPV12</stp>
        <stp xml:space="preserve">27594 HK Equity     </stp>
        <stp>LAST_PRICE</stp>
        <stp>[XLSpdmV8.xls]XLSpdmV8!R50C3</stp>
        <tr r="C50" s="1"/>
      </tp>
      <tp>
        <v>0.06</v>
        <stp/>
        <stp>##V3_BDPV12</stp>
        <stp xml:space="preserve">25579 HK Equity     </stp>
        <stp>LAST_PRICE</stp>
        <stp>[XLSpdmV8.xls]XLSpdmV8!R82C3</stp>
        <tr r="C82" s="1"/>
      </tp>
      <tp>
        <v>5.8999999999999997E-2</v>
        <stp/>
        <stp>##V3_BDPV12</stp>
        <stp xml:space="preserve">26921 HK Equity     </stp>
        <stp>LAST_PRICE</stp>
        <stp>[XLSpdmV8.xls]XLSpdmV8!R41C3</stp>
        <tr r="C41" s="1"/>
      </tp>
      <tp>
        <v>20600</v>
        <stp/>
        <stp>##V3_BDPV12</stp>
        <stp xml:space="preserve">26747 HK Equity     </stp>
        <stp>WRT_EXER_PX</stp>
        <stp>[XLSpdmV8.xls]XLSpdmV8!R37C2</stp>
        <tr r="B37" s="1"/>
      </tp>
      <tp>
        <v>22000</v>
        <stp/>
        <stp>##V3_BDPV12</stp>
        <stp xml:space="preserve">24166 HK Equity     </stp>
        <stp>WRT_EXER_PX</stp>
        <stp>[XLSpdmV8.xls]XLSpdmV8!R71C2</stp>
        <tr r="B71" s="1"/>
      </tp>
      <tp>
        <v>21100</v>
        <stp/>
        <stp>##V3_BDPV12</stp>
        <stp xml:space="preserve">24262 HK Equity     </stp>
        <stp>WRT_EXER_PX</stp>
        <stp>[XLSpdmV8.xls]XLSpdmV8!R72C2</stp>
        <tr r="B72" s="1"/>
      </tp>
      <tp>
        <v>21000</v>
        <stp/>
        <stp>##V3_BDPV12</stp>
        <stp xml:space="preserve">24376 HK Equity     </stp>
        <stp>WRT_EXER_PX</stp>
        <stp>[XLSpdmV8.xls]XLSpdmV8!R13C2</stp>
        <tr r="B13" s="1"/>
      </tp>
      <tp>
        <v>22600</v>
        <stp/>
        <stp>##V3_BDPV12</stp>
        <stp xml:space="preserve">24107 HK Equity     </stp>
        <stp>WRT_EXER_PX</stp>
        <stp>[XLSpdmV8.xls]XLSpdmV8!R11C2</stp>
        <tr r="B11" s="1"/>
      </tp>
      <tp>
        <v>19488</v>
        <stp/>
        <stp>##V3_BDPV12</stp>
        <stp xml:space="preserve">25909 HK Equity     </stp>
        <stp>WRT_EXER_PX</stp>
        <stp>[XLSpdmV8.xls]XLSpdmV8!R89C2</stp>
        <tr r="B89" s="1"/>
      </tp>
      <tp>
        <v>20000</v>
        <stp/>
        <stp>##V3_BDPV12</stp>
        <stp xml:space="preserve">24315 HK Equity     </stp>
        <stp>WRT_EXER_PX</stp>
        <stp>[XLSpdmV8.xls]XLSpdmV8!R73C2</stp>
        <tr r="B73" s="1"/>
      </tp>
      <tp>
        <v>21500</v>
        <stp/>
        <stp>##V3_BDPV12</stp>
        <stp xml:space="preserve">24427 HK Equity     </stp>
        <stp>WRT_EXER_PX</stp>
        <stp>[XLSpdmV8.xls]XLSpdmV8!R74C2</stp>
        <tr r="B74" s="1"/>
      </tp>
      <tp>
        <v>21000</v>
        <stp/>
        <stp>##V3_BDPV12</stp>
        <stp xml:space="preserve">24425 HK Equity     </stp>
        <stp>WRT_EXER_PX</stp>
        <stp>[XLSpdmV8.xls]XLSpdmV8!R14C2</stp>
        <tr r="B14" s="1"/>
      </tp>
      <tp>
        <v>20800</v>
        <stp/>
        <stp>##V3_BDPV12</stp>
        <stp xml:space="preserve">26225 HK Equity     </stp>
        <stp>WRT_EXER_PX</stp>
        <stp>[XLSpdmV8.xls]XLSpdmV8!R32C2</stp>
        <tr r="B32" s="1"/>
      </tp>
      <tp>
        <v>20200</v>
        <stp/>
        <stp>##V3_BDPV12</stp>
        <stp xml:space="preserve">25787 HK Equity     </stp>
        <stp>WRT_EXER_PX</stp>
        <stp>[XLSpdmV8.xls]XLSpdmV8!R87C2</stp>
        <tr r="B87" s="1"/>
      </tp>
      <tp>
        <v>19000</v>
        <stp/>
        <stp>##V3_BDPV12</stp>
        <stp xml:space="preserve">26190 HK Equity     </stp>
        <stp>WRT_EXER_PX</stp>
        <stp>[XLSpdmV8.xls]XLSpdmV8!R31C2</stp>
        <tr r="B31" s="1"/>
      </tp>
      <tp>
        <v>25000</v>
        <stp/>
        <stp>##V3_BDPV12</stp>
        <stp xml:space="preserve">22799 HK Equity     </stp>
        <stp>WRT_EXER_PX</stp>
        <stp>[XLSpdmV8.xls]XLSpdmV8!R57C2</stp>
        <tr r="B57" s="1"/>
      </tp>
      <tp>
        <v>19088</v>
        <stp/>
        <stp>##V3_BDPV12</stp>
        <stp xml:space="preserve">25898 HK Equity     </stp>
        <stp>WRT_EXER_PX</stp>
        <stp>[XLSpdmV8.xls]XLSpdmV8!R88C2</stp>
        <tr r="B88" s="1"/>
      </tp>
      <tp t="s">
        <v>30/5/2016</v>
        <stp/>
        <stp>##V3_BDPV12</stp>
        <stp xml:space="preserve">22947 HK Equity     </stp>
        <stp>WRT_EXER_DT</stp>
        <stp>[XLSpdmV8.xls]XLSpdmV8!R182C4</stp>
        <tr r="D182" s="1"/>
      </tp>
      <tp t="s">
        <v>28/7/2016</v>
        <stp/>
        <stp>##V3_BDPV12</stp>
        <stp xml:space="preserve">25357 HK Equity     </stp>
        <stp>WRT_EXER_DT</stp>
        <stp>[XLSpdmV8.xls]XLSpdmV8!R143C4</stp>
        <tr r="D143" s="1"/>
      </tp>
      <tp t="s">
        <v>29/6/2016</v>
        <stp/>
        <stp>##V3_BDPV12</stp>
        <stp xml:space="preserve">20546 HK Equity     </stp>
        <stp>WRT_EXER_DT</stp>
        <stp>[XLSpdmV8.xls]XLSpdmV8!R122C4</stp>
        <tr r="D122" s="1"/>
      </tp>
      <tp t="s">
        <v>29/6/2016</v>
        <stp/>
        <stp>##V3_BDPV12</stp>
        <stp xml:space="preserve">24106 HK Equity     </stp>
        <stp>WRT_EXER_DT</stp>
        <stp>[XLSpdmV8.xls]XLSpdmV8!R186C4</stp>
        <tr r="D186" s="1"/>
      </tp>
      <tp t="s">
        <v>29/9/2016</v>
        <stp/>
        <stp>##V3_BDPV12</stp>
        <stp xml:space="preserve">26106 HK Equity     </stp>
        <stp>WRT_EXER_DT</stp>
        <stp>[XLSpdmV8.xls]XLSpdmV8!R206C4</stp>
        <tr r="D206" s="1"/>
      </tp>
      <tp t="s">
        <v>29/9/2016</v>
        <stp/>
        <stp>##V3_BDPV12</stp>
        <stp xml:space="preserve">26756 HK Equity     </stp>
        <stp>WRT_EXER_DT</stp>
        <stp>[XLSpdmV8.xls]XLSpdmV8!R103C4</stp>
        <tr r="D103" s="1"/>
      </tp>
      <tp>
        <v>19768</v>
        <stp/>
        <stp>##V3_BDPV12</stp>
        <stp xml:space="preserve">28025 HK Equity     </stp>
        <stp>WRT_EXER_PX</stp>
        <stp>[XLSpdmV8.xls]XLSpdmV8!R228C2</stp>
        <tr r="B228" s="1"/>
      </tp>
      <tp>
        <v>21600</v>
        <stp/>
        <stp>##V3_BDPV12</stp>
        <stp xml:space="preserve">24984 HK Equity     </stp>
        <stp>WRT_EXER_PX</stp>
        <stp>[XLSpdmV8.xls]XLSpdmV8!R192C2</stp>
        <tr r="B192" s="1"/>
      </tp>
      <tp t="s">
        <v>29/6/2016</v>
        <stp/>
        <stp>##V3_BDPV12</stp>
        <stp xml:space="preserve">23524 HK Equity     </stp>
        <stp>WRT_EXER_DT</stp>
        <stp>[XLSpdmV8.xls]XLSpdmV8!R184C4</stp>
        <tr r="D184" s="1"/>
      </tp>
      <tp t="s">
        <v>28/10/2016</v>
        <stp/>
        <stp>##V3_BDPV12</stp>
        <stp xml:space="preserve">28374 HK Equity     </stp>
        <stp>WRT_EXER_DT</stp>
        <stp>[XLSpdmV8.xls]XLSpdmV8!R231C4</stp>
        <tr r="D231" s="1"/>
      </tp>
      <tp t="s">
        <v>30/5/2016</v>
        <stp/>
        <stp>##V3_BDPV12</stp>
        <stp xml:space="preserve">22313 HK Equity     </stp>
        <stp>WRT_EXER_DT</stp>
        <stp>[XLSpdmV8.xls]XLSpdmV8!R127C4</stp>
        <tr r="D127" s="1"/>
      </tp>
      <tp>
        <v>22088</v>
        <stp/>
        <stp>##V3_BDPV12</stp>
        <stp xml:space="preserve">22993 HK Equity     </stp>
        <stp>WRT_EXER_PX</stp>
        <stp>[XLSpdmV8.xls]XLSpdmV8!R183C2</stp>
        <tr r="B183" s="1"/>
      </tp>
      <tp t="s">
        <v>28/7/2016</v>
        <stp/>
        <stp>##V3_BDPV12</stp>
        <stp xml:space="preserve">25272 HK Equity     </stp>
        <stp>WRT_EXER_DT</stp>
        <stp>[XLSpdmV8.xls]XLSpdmV8!R141C4</stp>
        <tr r="D141" s="1"/>
      </tp>
      <tp t="s">
        <v>30/8/2016</v>
        <stp/>
        <stp>##V3_BDPV12</stp>
        <stp xml:space="preserve">26362 HK Equity     </stp>
        <stp>WRT_EXER_DT</stp>
        <stp>[XLSpdmV8.xls]XLSpdmV8!R160C4</stp>
        <tr r="D160" s="1"/>
      </tp>
      <tp>
        <v>21800</v>
        <stp/>
        <stp>##V3_BDPV12</stp>
        <stp xml:space="preserve">27321 HK Equity     </stp>
        <stp>WRT_EXER_PX</stp>
        <stp>[XLSpdmV8.xls]XLSpdmV8!R108C2</stp>
        <tr r="B108" s="1"/>
      </tp>
      <tp>
        <v>23200</v>
        <stp/>
        <stp>##V3_BDPV12</stp>
        <stp xml:space="preserve">24821 HK Equity     </stp>
        <stp>WRT_EXER_PX</stp>
        <stp>[XLSpdmV8.xls]XLSpdmV8!R138C2</stp>
        <tr r="B138" s="1"/>
      </tp>
      <tp>
        <v>23288</v>
        <stp/>
        <stp>##V3_BDPV12</stp>
        <stp xml:space="preserve">20431 HK Equity     </stp>
        <stp>WRT_EXER_PX</stp>
        <stp>[XLSpdmV8.xls]XLSpdmV8!R179C2</stp>
        <tr r="B179" s="1"/>
      </tp>
      <tp t="s">
        <v>29/9/2016</v>
        <stp/>
        <stp>##V3_BDPV12</stp>
        <stp xml:space="preserve">27111 HK Equity     </stp>
        <stp>WRT_EXER_DT</stp>
        <stp>[XLSpdmV8.xls]XLSpdmV8!R107C4</stp>
        <tr r="D107" s="1"/>
      </tp>
      <tp t="s">
        <v>29/6/2016</v>
        <stp/>
        <stp>##V3_BDPV12</stp>
        <stp xml:space="preserve">21729 HK Equity     </stp>
        <stp>WRT_EXER_DT</stp>
        <stp>[XLSpdmV8.xls]XLSpdmV8!R124C4</stp>
        <tr r="D124" s="1"/>
      </tp>
      <tp>
        <v>20200</v>
        <stp/>
        <stp>##V3_BDPV12</stp>
        <stp xml:space="preserve">26589 HK Equity     </stp>
        <stp>WRT_EXER_PX</stp>
        <stp>[XLSpdmV8.xls]XLSpdmV8!R212C2</stp>
        <tr r="B212" s="1"/>
      </tp>
      <tp t="s">
        <v>30/8/2016</v>
        <stp/>
        <stp>##V3_BDPV12</stp>
        <stp xml:space="preserve">26559 HK Equity     </stp>
        <stp>WRT_EXER_DT</stp>
        <stp>[XLSpdmV8.xls]XLSpdmV8!R163C4</stp>
        <tr r="D163" s="1"/>
      </tp>
      <tp t="s">
        <v>29/6/2016</v>
        <stp/>
        <stp>##V3_BDPV12</stp>
        <stp xml:space="preserve">25618 HK Equity     </stp>
        <stp>WRT_EXER_DT</stp>
        <stp>[XLSpdmV8.xls]XLSpdmV8!R147C4</stp>
        <tr r="D147" s="1"/>
      </tp>
      <tp t="s">
        <v>29/9/2016</v>
        <stp/>
        <stp>##V3_BDPV12</stp>
        <stp xml:space="preserve">26748 HK Equity     </stp>
        <stp>WRT_EXER_DT</stp>
        <stp>[XLSpdmV8.xls]XLSpdmV8!R102C4</stp>
        <tr r="D102" s="1"/>
      </tp>
      <tp>
        <v>0.01</v>
        <stp/>
        <stp>##V3_BDPV12</stp>
        <stp xml:space="preserve">23287 HK Equity     </stp>
        <stp>LAST_PRICE</stp>
        <stp>[XLSpdmV8.xls]XLSpdmV8!R67C3</stp>
        <tr r="C67" s="1"/>
      </tp>
      <tp>
        <v>6.6000000000000003E-2</v>
        <stp/>
        <stp>##V3_BDPV12</stp>
        <stp xml:space="preserve">26225 HK Equity     </stp>
        <stp>LAST_PRICE</stp>
        <stp>[XLSpdmV8.xls]XLSpdmV8!R32C3</stp>
        <tr r="C32" s="1"/>
      </tp>
      <tp>
        <v>5.2999999999999999E-2</v>
        <stp/>
        <stp>##V3_BDPV12</stp>
        <stp xml:space="preserve">26121 HK Equity     </stp>
        <stp>LAST_PRICE</stp>
        <stp>[XLSpdmV8.xls]XLSpdmV8!R92C3</stp>
        <tr r="C92" s="1"/>
      </tp>
      <tp>
        <v>1.7999999999999999E-2</v>
        <stp/>
        <stp>##V3_BDPV12</stp>
        <stp xml:space="preserve">24108 HK Equity     </stp>
        <stp>LAST_PRICE</stp>
        <stp>[XLSpdmV8.xls]XLSpdmV8!R70C3</stp>
        <tr r="C70" s="1"/>
      </tp>
      <tp>
        <v>0.21</v>
        <stp/>
        <stp>##V3_BDPV12</stp>
        <stp xml:space="preserve">25660 HK Equity     </stp>
        <stp>LAST_PRICE</stp>
        <stp>[XLSpdmV8.xls]XLSpdmV8!R21C3</stp>
        <tr r="C21" s="1"/>
      </tp>
      <tp>
        <v>7.4999999999999997E-2</v>
        <stp/>
        <stp>##V3_BDPV12</stp>
        <stp xml:space="preserve">25473 HK Equity     </stp>
        <stp>LAST_PRICE</stp>
        <stp>[XLSpdmV8.xls]XLSpdmV8!R81C3</stp>
        <tr r="C81" s="1"/>
      </tp>
      <tp>
        <v>0.09</v>
        <stp/>
        <stp>##V3_BDPV12</stp>
        <stp xml:space="preserve">25959 HK Equity     </stp>
        <stp>LAST_PRICE</stp>
        <stp>[XLSpdmV8.xls]XLSpdmV8!R91C3</stp>
        <tr r="C91" s="1"/>
      </tp>
      <tp>
        <v>0.06</v>
        <stp/>
        <stp>##V3_BDPV12</stp>
        <stp xml:space="preserve">26939 HK Equity     </stp>
        <stp>LAST_PRICE</stp>
        <stp>[XLSpdmV8.xls]XLSpdmV8!R42C3</stp>
        <tr r="C42" s="1"/>
      </tp>
      <tp t="s">
        <v>#N/A N/A</v>
        <stp/>
        <stp>##V3_BDPV12</stp>
        <stp xml:space="preserve">21875 HK Equity     </stp>
        <stp>LAST_PRICE</stp>
        <stp>[XLSpdmV8.xls]XLSpdmV8!R65C3</stp>
        <tr r="C65" s="1"/>
      </tp>
      <tp>
        <v>5.1999999999999998E-2</v>
        <stp/>
        <stp>##V3_BDPV12</stp>
        <stp xml:space="preserve">22822 HK Equity     </stp>
        <stp>LAST_PRICE</stp>
        <stp>[XLSpdmV8.xls]XLSpdmV8!R66C3</stp>
        <tr r="C66" s="1"/>
      </tp>
      <tp t="s">
        <v>#N/A N/A</v>
        <stp/>
        <stp>##V3_BDPV12</stp>
        <stp xml:space="preserve">27828 HK Equity     </stp>
        <stp>LAST_PRICE</stp>
        <stp>[XLSpdmV8.xls]XLSpdmV8!R53C3</stp>
        <tr r="C53" s="1"/>
      </tp>
      <tp>
        <v>21600</v>
        <stp/>
        <stp>##V3_BDPV12</stp>
        <stp xml:space="preserve">25447 HK Equity     </stp>
        <stp>WRT_EXER_PX</stp>
        <stp>[XLSpdmV8.xls]XLSpdmV8!R17C2</stp>
        <tr r="B17" s="1"/>
      </tp>
      <tp>
        <v>19600</v>
        <stp/>
        <stp>##V3_BDPV12</stp>
        <stp xml:space="preserve">25376 HK Equity     </stp>
        <stp>WRT_EXER_PX</stp>
        <stp>[XLSpdmV8.xls]XLSpdmV8!R80C2</stp>
        <tr r="B80" s="1"/>
      </tp>
      <tp>
        <v>21400</v>
        <stp/>
        <stp>##V3_BDPV12</stp>
        <stp xml:space="preserve">25679 HK Equity     </stp>
        <stp>WRT_EXER_PX</stp>
        <stp>[XLSpdmV8.xls]XLSpdmV8!R85C2</stp>
        <tr r="B85" s="1"/>
      </tp>
      <tp>
        <v>21400</v>
        <stp/>
        <stp>##V3_BDPV12</stp>
        <stp xml:space="preserve">26121 HK Equity     </stp>
        <stp>WRT_EXER_PX</stp>
        <stp>[XLSpdmV8.xls]XLSpdmV8!R92C2</stp>
        <tr r="B92" s="1"/>
      </tp>
      <tp>
        <v>23300</v>
        <stp/>
        <stp>##V3_BDPV12</stp>
        <stp xml:space="preserve">24137 HK Equity     </stp>
        <stp>WRT_EXER_PX</stp>
        <stp>[XLSpdmV8.xls]XLSpdmV8!R12C2</stp>
        <tr r="B12" s="1"/>
      </tp>
      <tp>
        <v>20000</v>
        <stp/>
        <stp>##V3_BDPV12</stp>
        <stp xml:space="preserve">24684 HK Equity     </stp>
        <stp>WRT_EXER_PX</stp>
        <stp>[XLSpdmV8.xls]XLSpdmV8!R15C2</stp>
        <tr r="B15" s="1"/>
      </tp>
      <tp>
        <v>22200</v>
        <stp/>
        <stp>##V3_BDPV12</stp>
        <stp xml:space="preserve">24688 HK Equity     </stp>
        <stp>WRT_EXER_PX</stp>
        <stp>[XLSpdmV8.xls]XLSpdmV8!R75C2</stp>
        <tr r="B75" s="1"/>
      </tp>
      <tp>
        <v>21000</v>
        <stp/>
        <stp>##V3_BDPV12</stp>
        <stp xml:space="preserve">22997 HK Equity     </stp>
        <stp>WRT_EXER_PX</stp>
        <stp>[XLSpdmV8.xls]XLSpdmV8!R130C2</stp>
        <tr r="B130" s="1"/>
      </tp>
      <tp t="s">
        <v>29/9/2016</v>
        <stp/>
        <stp>##V3_BDPV12</stp>
        <stp xml:space="preserve">26667 HK Equity     </stp>
        <stp>WRT_EXER_DT</stp>
        <stp>[XLSpdmV8.xls]XLSpdmV8!R213C4</stp>
        <tr r="D213" s="1"/>
      </tp>
      <tp t="s">
        <v>30/8/2016</v>
        <stp/>
        <stp>##V3_BDPV12</stp>
        <stp xml:space="preserve">26036 HK Equity     </stp>
        <stp>WRT_EXER_DT</stp>
        <stp>[XLSpdmV8.xls]XLSpdmV8!R156C4</stp>
        <tr r="D156" s="1"/>
      </tp>
      <tp>
        <v>17448</v>
        <stp/>
        <stp>##V3_BDPV12</stp>
        <stp xml:space="preserve">26485 HK Equity     </stp>
        <stp>WRT_EXER_PX</stp>
        <stp>[XLSpdmV8.xls]XLSpdmV8!R161C2</stp>
        <tr r="B161" s="1"/>
      </tp>
      <tp t="s">
        <v>28/7/2016</v>
        <stp/>
        <stp>##V3_BDPV12</stp>
        <stp xml:space="preserve">27564 HK Equity     </stp>
        <stp>WRT_EXER_DT</stp>
        <stp>[XLSpdmV8.xls]XLSpdmV8!R223C4</stp>
        <tr r="D223" s="1"/>
      </tp>
      <tp t="s">
        <v>30/8/2016</v>
        <stp/>
        <stp>##V3_BDPV12</stp>
        <stp xml:space="preserve">27914 HK Equity     </stp>
        <stp>WRT_EXER_DT</stp>
        <stp>[XLSpdmV8.xls]XLSpdmV8!R114C4</stp>
        <tr r="D114" s="1"/>
      </tp>
      <tp>
        <v>19400</v>
        <stp/>
        <stp>##V3_BDPV12</stp>
        <stp xml:space="preserve">26583 HK Equity     </stp>
        <stp>WRT_EXER_PX</stp>
        <stp>[XLSpdmV8.xls]XLSpdmV8!R101C2</stp>
        <tr r="B101" s="1"/>
      </tp>
      <tp>
        <v>20200</v>
        <stp/>
        <stp>##V3_BDPV12</stp>
        <stp xml:space="preserve">25803 HK Equity     </stp>
        <stp>WRT_EXER_PX</stp>
        <stp>[XLSpdmV8.xls]XLSpdmV8!R149C2</stp>
        <tr r="B149" s="1"/>
      </tp>
      <tp>
        <v>18800</v>
        <stp/>
        <stp>##V3_BDPV12</stp>
        <stp xml:space="preserve">25713 HK Equity     </stp>
        <stp>WRT_EXER_PX</stp>
        <stp>[XLSpdmV8.xls]XLSpdmV8!R148C2</stp>
        <tr r="B148" s="1"/>
      </tp>
      <tp>
        <v>18600</v>
        <stp/>
        <stp>##V3_BDPV12</stp>
        <stp xml:space="preserve">25902 HK Equity     </stp>
        <stp>WRT_EXER_PX</stp>
        <stp>[XLSpdmV8.xls]XLSpdmV8!R199C2</stp>
        <tr r="B199" s="1"/>
      </tp>
      <tp t="s">
        <v>29/6/2016</v>
        <stp/>
        <stp>##V3_BDPV12</stp>
        <stp xml:space="preserve">11153 HK Equity     </stp>
        <stp>WRT_EXER_DT</stp>
        <stp>[XLSpdmV8.xls]XLSpdmV8!R120C4</stp>
        <tr r="D120" s="1"/>
      </tp>
      <tp t="s">
        <v>28/10/2016</v>
        <stp/>
        <stp>##V3_BDPV12</stp>
        <stp xml:space="preserve">27359 HK Equity     </stp>
        <stp>WRT_EXER_DT</stp>
        <stp>[XLSpdmV8.xls]XLSpdmV8!R220C4</stp>
        <tr r="D220" s="1"/>
      </tp>
      <tp t="s">
        <v>28/7/2016</v>
        <stp/>
        <stp>##V3_BDPV12</stp>
        <stp xml:space="preserve">27129 HK Equity     </stp>
        <stp>WRT_EXER_DT</stp>
        <stp>[XLSpdmV8.xls]XLSpdmV8!R217C4</stp>
        <tr r="D217" s="1"/>
      </tp>
      <tp t="s">
        <v>30/8/2016</v>
        <stp/>
        <stp>##V3_BDPV12</stp>
        <stp xml:space="preserve">25949 HK Equity     </stp>
        <stp>WRT_EXER_DT</stp>
        <stp>[XLSpdmV8.xls]XLSpdmV8!R201C4</stp>
        <tr r="D201" s="1"/>
      </tp>
      <tp>
        <v>3.5000000000000003E-2</v>
        <stp/>
        <stp>##V3_BDPV12</stp>
        <stp xml:space="preserve">25376 HK Equity     </stp>
        <stp>LAST_PRICE</stp>
        <stp>[XLSpdmV8.xls]XLSpdmV8!R80C3</stp>
        <tr r="C80" s="1"/>
      </tp>
      <tp>
        <v>0.01</v>
        <stp/>
        <stp>##V3_BDPV12</stp>
        <stp xml:space="preserve">24166 HK Equity     </stp>
        <stp>LAST_PRICE</stp>
        <stp>[XLSpdmV8.xls]XLSpdmV8!R71C3</stp>
        <tr r="C71" s="1"/>
      </tp>
      <tp>
        <v>4.9000000000000002E-2</v>
        <stp/>
        <stp>##V3_BDPV12</stp>
        <stp xml:space="preserve">26147 HK Equity     </stp>
        <stp>LAST_PRICE</stp>
        <stp>[XLSpdmV8.xls]XLSpdmV8!R93C3</stp>
        <tr r="C93" s="1"/>
      </tp>
      <tp>
        <v>1.9E-2</v>
        <stp/>
        <stp>##V3_BDPV12</stp>
        <stp xml:space="preserve">24107 HK Equity     </stp>
        <stp>LAST_PRICE</stp>
        <stp>[XLSpdmV8.xls]XLSpdmV8!R11C3</stp>
        <tr r="C11" s="1"/>
      </tp>
      <tp>
        <v>0.39</v>
        <stp/>
        <stp>##V3_BDPV12</stp>
        <stp xml:space="preserve">21009 HK Equity     </stp>
        <stp>LAST_PRICE</stp>
        <stp>[XLSpdmV8.xls]XLSpdmV8!R64C3</stp>
        <tr r="C64" s="1"/>
      </tp>
      <tp>
        <v>0.65</v>
        <stp/>
        <stp>##V3_BDPV12</stp>
        <stp xml:space="preserve">22799 HK Equity     </stp>
        <stp>LAST_PRICE</stp>
        <stp>[XLSpdmV8.xls]XLSpdmV8!R57C3</stp>
        <tr r="C57" s="1"/>
      </tp>
      <tp>
        <v>0.19900000000000001</v>
        <stp/>
        <stp>##V3_BDPV12</stp>
        <stp xml:space="preserve">27666 HK Equity     </stp>
        <stp>LAST_PRICE</stp>
        <stp>[XLSpdmV8.xls]XLSpdmV8!R52C3</stp>
        <tr r="C52" s="1"/>
      </tp>
      <tp>
        <v>0.05</v>
        <stp/>
        <stp>##V3_BDPV12</stp>
        <stp xml:space="preserve">25625 HK Equity     </stp>
        <stp>LAST_PRICE</stp>
        <stp>[XLSpdmV8.xls]XLSpdmV8!R20C3</stp>
        <tr r="C20" s="1"/>
      </tp>
      <tp>
        <v>5.7000000000000002E-2</v>
        <stp/>
        <stp>##V3_BDPV12</stp>
        <stp xml:space="preserve">26488 HK Equity     </stp>
        <stp>LAST_PRICE</stp>
        <stp>[XLSpdmV8.xls]XLSpdmV8!R33C3</stp>
        <tr r="C33" s="1"/>
      </tp>
      <tp>
        <v>5.5E-2</v>
        <stp/>
        <stp>##V3_BDPV12</stp>
        <stp xml:space="preserve">26987 HK Equity     </stp>
        <stp>LAST_PRICE</stp>
        <stp>[XLSpdmV8.xls]XLSpdmV8!R43C3</stp>
        <tr r="C43" s="1"/>
      </tp>
      <tp>
        <v>0.17799999999999999</v>
        <stp/>
        <stp>##V3_BDPV12</stp>
        <stp xml:space="preserve">25915 HK Equity     </stp>
        <stp>LAST_PRICE</stp>
        <stp>[XLSpdmV8.xls]XLSpdmV8!R90C3</stp>
        <tr r="C90" s="1"/>
      </tp>
      <tp>
        <v>19408</v>
        <stp/>
        <stp>##V3_BDPV12</stp>
        <stp xml:space="preserve">26147 HK Equity     </stp>
        <stp>WRT_EXER_PX</stp>
        <stp>[XLSpdmV8.xls]XLSpdmV8!R93C2</stp>
        <tr r="B93" s="1"/>
      </tp>
      <tp>
        <v>20900</v>
        <stp/>
        <stp>##V3_BDPV12</stp>
        <stp xml:space="preserve">24451 HK Equity     </stp>
        <stp>WRT_EXER_PX</stp>
        <stp>[XLSpdmV8.xls]XLSpdmV8!R56C2</stp>
        <tr r="B56" s="1"/>
      </tp>
      <tp>
        <v>19600</v>
        <stp/>
        <stp>##V3_BDPV12</stp>
        <stp xml:space="preserve">25662 HK Equity     </stp>
        <stp>WRT_EXER_PX</stp>
        <stp>[XLSpdmV8.xls]XLSpdmV8!R84C2</stp>
        <tr r="B84" s="1"/>
      </tp>
      <tp>
        <v>18400</v>
        <stp/>
        <stp>##V3_BDPV12</stp>
        <stp xml:space="preserve">26668 HK Equity     </stp>
        <stp>WRT_EXER_PX</stp>
        <stp>[XLSpdmV8.xls]XLSpdmV8!R34C2</stp>
        <tr r="B34" s="1"/>
      </tp>
      <tp>
        <v>19500</v>
        <stp/>
        <stp>##V3_BDPV12</stp>
        <stp xml:space="preserve">26704 HK Equity     </stp>
        <stp>WRT_EXER_PX</stp>
        <stp>[XLSpdmV8.xls]XLSpdmV8!R35C2</stp>
        <tr r="B35" s="1"/>
      </tp>
      <tp>
        <v>19698</v>
        <stp/>
        <stp>##V3_BDPV12</stp>
        <stp xml:space="preserve">26487 HK Equity     </stp>
        <stp>WRT_EXER_PX</stp>
        <stp>[XLSpdmV8.xls]XLSpdmV8!R210C2</stp>
        <tr r="B210" s="1"/>
      </tp>
      <tp t="s">
        <v>28/10/2016</v>
        <stp/>
        <stp>##V3_BDPV12</stp>
        <stp xml:space="preserve">27827 HK Equity     </stp>
        <stp>WRT_EXER_DT</stp>
        <stp>[XLSpdmV8.xls]XLSpdmV8!R226C4</stp>
        <tr r="D226" s="1"/>
      </tp>
      <tp t="s">
        <v>29/9/2016</v>
        <stp/>
        <stp>##V3_BDPV12</stp>
        <stp xml:space="preserve">26717 HK Equity     </stp>
        <stp>WRT_EXER_DT</stp>
        <stp>[XLSpdmV8.xls]XLSpdmV8!R215C4</stp>
        <tr r="D215" s="1"/>
      </tp>
      <tp>
        <v>21000</v>
        <stp/>
        <stp>##V3_BDPV12</stp>
        <stp xml:space="preserve">26206 HK Equity     </stp>
        <stp>WRT_EXER_PX</stp>
        <stp>[XLSpdmV8.xls]XLSpdmV8!R158C2</stp>
        <tr r="B158" s="1"/>
      </tp>
      <tp t="s">
        <v>30/5/2016</v>
        <stp/>
        <stp>##V3_BDPV12</stp>
        <stp xml:space="preserve">23055 HK Equity     </stp>
        <stp>WRT_EXER_DT</stp>
        <stp>[XLSpdmV8.xls]XLSpdmV8!R131C4</stp>
        <tr r="D131" s="1"/>
      </tp>
      <tp>
        <v>20000</v>
        <stp/>
        <stp>##V3_BDPV12</stp>
        <stp xml:space="preserve">26014 HK Equity     </stp>
        <stp>WRT_EXER_PX</stp>
        <stp>[XLSpdmV8.xls]XLSpdmV8!R119C2</stp>
        <tr r="B119" s="1"/>
      </tp>
      <tp>
        <v>19800</v>
        <stp/>
        <stp>##V3_BDPV12</stp>
        <stp xml:space="preserve">27394 HK Equity     </stp>
        <stp>WRT_EXER_PX</stp>
        <stp>[XLSpdmV8.xls]XLSpdmV8!R111C2</stp>
        <tr r="B111" s="1"/>
      </tp>
      <tp t="s">
        <v>29/9/2016</v>
        <stp/>
        <stp>##V3_BDPV12</stp>
        <stp xml:space="preserve">26703 HK Equity     </stp>
        <stp>WRT_EXER_DT</stp>
        <stp>[XLSpdmV8.xls]XLSpdmV8!R214C4</stp>
        <tr r="D214" s="1"/>
      </tp>
      <tp>
        <v>19200</v>
        <stp/>
        <stp>##V3_BDPV12</stp>
        <stp xml:space="preserve">27382 HK Equity     </stp>
        <stp>WRT_EXER_PX</stp>
        <stp>[XLSpdmV8.xls]XLSpdmV8!R110C2</stp>
        <tr r="B110" s="1"/>
      </tp>
      <tp>
        <v>18588</v>
        <stp/>
        <stp>##V3_BDPV12</stp>
        <stp xml:space="preserve">26491 HK Equity     </stp>
        <stp>WRT_EXER_PX</stp>
        <stp>[XLSpdmV8.xls]XLSpdmV8!R211C2</stp>
        <tr r="B211" s="1"/>
      </tp>
      <tp t="s">
        <v>30/5/2016</v>
        <stp/>
        <stp>##V3_BDPV12</stp>
        <stp xml:space="preserve">25720 HK Equity     </stp>
        <stp>WRT_EXER_DT</stp>
        <stp>[XLSpdmV8.xls]XLSpdmV8!R196C4</stp>
        <tr r="D196" s="1"/>
      </tp>
      <tp t="s">
        <v>29/9/2016</v>
        <stp/>
        <stp>##V3_BDPV12</stp>
        <stp xml:space="preserve">26540 HK Equity     </stp>
        <stp>WRT_EXER_DT</stp>
        <stp>[XLSpdmV8.xls]XLSpdmV8!R100C4</stp>
        <tr r="D100" s="1"/>
      </tp>
      <tp t="s">
        <v>30/8/2016</v>
        <stp/>
        <stp>##V3_BDPV12</stp>
        <stp xml:space="preserve">24429 HK Equity     </stp>
        <stp>WRT_EXER_DT</stp>
        <stp>[XLSpdmV8.xls]XLSpdmV8!R136C4</stp>
        <tr r="D136" s="1"/>
      </tp>
      <tp t="s">
        <v>29/9/2016</v>
        <stp/>
        <stp>##V3_BDPV12</stp>
        <stp xml:space="preserve">27459 HK Equity     </stp>
        <stp>WRT_EXER_DT</stp>
        <stp>[XLSpdmV8.xls]XLSpdmV8!R221C4</stp>
        <tr r="D221" s="1"/>
      </tp>
      <tp t="s">
        <v>29/9/2016</v>
        <stp/>
        <stp>##V3_BDPV12</stp>
        <stp xml:space="preserve">25969 HK Equity     </stp>
        <stp>WRT_EXER_DT</stp>
        <stp>[XLSpdmV8.xls]XLSpdmV8!R202C4</stp>
        <tr r="D202" s="1"/>
      </tp>
      <tp t="s">
        <v>29/9/2016</v>
        <stp/>
        <stp>##V3_BDPV12</stp>
        <stp xml:space="preserve">28129 HK Equity     </stp>
        <stp>WRT_EXER_DT</stp>
        <stp>[XLSpdmV8.xls]XLSpdmV8!R116C4</stp>
        <tr r="D116" s="1"/>
      </tp>
      <tp>
        <v>19000</v>
        <stp/>
        <stp>##V3_BDPV12</stp>
        <stp xml:space="preserve">25808 HK Equity     </stp>
        <stp>WRT_EXER_PX</stp>
        <stp>[XLSpdmV8.xls]XLSpdmV8!R198C2</stp>
        <tr r="B198" s="1"/>
      </tp>
      <tp t="s">
        <v>27/5/2016</v>
        <stp/>
        <stp>##V3_BDPV12</stp>
        <stp xml:space="preserve">23535 HK Equity     </stp>
        <stp>TIME</stp>
        <stp>[XLSpdmV8.xls]XLSpdmV8!R9C6</stp>
        <tr r="F9" s="1"/>
      </tp>
      <tp t="s">
        <v>27/5/2016</v>
        <stp/>
        <stp>##V3_BDPV12</stp>
        <stp xml:space="preserve">14950 HK Equity     </stp>
        <stp>TIME</stp>
        <stp>[XLSpdmV8.xls]XLSpdmV8!R5C6</stp>
        <tr r="F5" s="1"/>
      </tp>
      <tp>
        <v>0.191</v>
        <stp/>
        <stp>##V3_BDPV12</stp>
        <stp xml:space="preserve">26390 HK Equity     </stp>
        <stp>BID</stp>
        <stp>[XLSpdmV8.xls]XLSpdmV8!R96C10</stp>
        <tr r="J96" s="1"/>
      </tp>
      <tp>
        <v>0.14699999999999999</v>
        <stp/>
        <stp>##V3_BDPV12</stp>
        <stp xml:space="preserve">27360 HK Equity     </stp>
        <stp>ASK</stp>
        <stp>[XLSpdmV8.xls]XLSpdmV8!R47C11</stp>
        <tr r="K47" s="1"/>
      </tp>
      <tp t="s">
        <v>#N/A N/A</v>
        <stp/>
        <stp>##V3_BDPV12</stp>
        <stp xml:space="preserve">26190 HK Equity     </stp>
        <stp>BID</stp>
        <stp>[XLSpdmV8.xls]XLSpdmV8!R31C10</stp>
        <tr r="J31" s="1"/>
      </tp>
      <tp>
        <v>0.21199999999999999</v>
        <stp/>
        <stp>##V3_BDPV12</stp>
        <stp xml:space="preserve">25660 HK Equity     </stp>
        <stp>ASK</stp>
        <stp>[XLSpdmV8.xls]XLSpdmV8!R21C11</stp>
        <tr r="K21" s="1"/>
      </tp>
      <tp t="s">
        <v>#N/A N/A</v>
        <stp/>
        <stp>##V3_BDPV12</stp>
        <stp xml:space="preserve">26191 HK Equity     </stp>
        <stp>BID</stp>
        <stp>[XLSpdmV8.xls]XLSpdmV8!R94C10</stp>
        <tr r="J94" s="1"/>
      </tp>
      <tp>
        <v>0.16400000000000001</v>
        <stp/>
        <stp>##V3_BDPV12</stp>
        <stp xml:space="preserve">25662 HK Equity     </stp>
        <stp>ASK</stp>
        <stp>[XLSpdmV8.xls]XLSpdmV8!R84C11</stp>
        <tr r="K84" s="1"/>
      </tp>
      <tp>
        <v>1.7999999999999999E-2</v>
        <stp/>
        <stp>##V3_BDPV12</stp>
        <stp xml:space="preserve">24262 HK Equity     </stp>
        <stp>ASK</stp>
        <stp>[XLSpdmV8.xls]XLSpdmV8!R72C11</stp>
        <tr r="K72" s="1"/>
      </tp>
      <tp>
        <v>0.157</v>
        <stp/>
        <stp>##V3_BDPV12</stp>
        <stp xml:space="preserve">26092 HK Equity     </stp>
        <stp>BID</stp>
        <stp>[XLSpdmV8.xls]XLSpdmV8!R29C10</stp>
        <tr r="J29" s="1"/>
      </tp>
      <tp>
        <v>6.7000000000000004E-2</v>
        <stp/>
        <stp>##V3_BDPV12</stp>
        <stp xml:space="preserve">27894 HK Equity     </stp>
        <stp>BID</stp>
        <stp>[XLSpdmV8.xls]XLSpdmV8!R54C10</stp>
        <tr r="J54" s="1"/>
      </tp>
      <tp>
        <v>0.183</v>
        <stp/>
        <stp>##V3_BDPV12</stp>
        <stp xml:space="preserve">27594 HK Equity     </stp>
        <stp>BID</stp>
        <stp>[XLSpdmV8.xls]XLSpdmV8!R50C10</stp>
        <tr r="J50" s="1"/>
      </tp>
      <tp>
        <v>2.9000000000000001E-2</v>
        <stp/>
        <stp>##V3_BDPV12</stp>
        <stp xml:space="preserve">25994 HK Equity     </stp>
        <stp>BID</stp>
        <stp>[XLSpdmV8.xls]XLSpdmV8!R27C10</stp>
        <tr r="J27" s="1"/>
      </tp>
      <tp>
        <v>0.02</v>
        <stp/>
        <stp>##V3_BDPV12</stp>
        <stp xml:space="preserve">26764 HK Equity     </stp>
        <stp>ASK</stp>
        <stp>[XLSpdmV8.xls]XLSpdmV8!R38C11</stp>
        <tr r="K38" s="1"/>
      </tp>
      <tp>
        <v>1.4999999999999999E-2</v>
        <stp/>
        <stp>##V3_BDPV12</stp>
        <stp xml:space="preserve">25195 HK Equity     </stp>
        <stp>BID</stp>
        <stp>[XLSpdmV8.xls]XLSpdmV8!R77C10</stp>
        <tr r="J77" s="1"/>
      </tp>
      <tp>
        <v>0.21</v>
        <stp/>
        <stp>##V3_BDPV12</stp>
        <stp xml:space="preserve">27465 HK Equity     </stp>
        <stp>ASK</stp>
        <stp>[XLSpdmV8.xls]XLSpdmV8!R49C11</stp>
        <tr r="K49" s="1"/>
      </tp>
      <tp>
        <v>0.2</v>
        <stp/>
        <stp>##V3_BDPV12</stp>
        <stp xml:space="preserve">27666 HK Equity     </stp>
        <stp>ASK</stp>
        <stp>[XLSpdmV8.xls]XLSpdmV8!R52C11</stp>
        <tr r="K52" s="1"/>
      </tp>
      <tp>
        <v>0.01</v>
        <stp/>
        <stp>##V3_BDPV12</stp>
        <stp xml:space="preserve">24166 HK Equity     </stp>
        <stp>ASK</stp>
        <stp>[XLSpdmV8.xls]XLSpdmV8!R71C11</stp>
        <tr r="K71" s="1"/>
      </tp>
      <tp>
        <v>0.03</v>
        <stp/>
        <stp>##V3_BDPV12</stp>
        <stp xml:space="preserve">25898 HK Equity     </stp>
        <stp>BID</stp>
        <stp>[XLSpdmV8.xls]XLSpdmV8!R88C10</stp>
        <tr r="J88" s="1"/>
      </tp>
      <tp>
        <v>4.3999999999999997E-2</v>
        <stp/>
        <stp>##V3_BDPV12</stp>
        <stp xml:space="preserve">25698 HK Equity     </stp>
        <stp>BID</stp>
        <stp>[XLSpdmV8.xls]XLSpdmV8!R22C10</stp>
        <tr r="J22" s="1"/>
      </tp>
      <tp t="s">
        <v>#N/A N/A</v>
        <stp/>
        <stp>##V3_BDPV12</stp>
        <stp xml:space="preserve">26668 HK Equity     </stp>
        <stp>ASK</stp>
        <stp>[XLSpdmV8.xls]XLSpdmV8!R34C11</stp>
        <tr r="K34" s="1"/>
      </tp>
      <tp>
        <v>2.8000000000000001E-2</v>
        <stp/>
        <stp>##V3_BDPV12</stp>
        <stp xml:space="preserve">26399 HK Equity     </stp>
        <stp>BID</stp>
        <stp>[XLSpdmV8.xls]XLSpdmV8!R97C10</stp>
        <tr r="J97" s="1"/>
      </tp>
      <tp>
        <v>0.6</v>
        <stp/>
        <stp>##V3_BDPV12</stp>
        <stp xml:space="preserve">22799 HK Equity     </stp>
        <stp>BID</stp>
        <stp>[XLSpdmV8.xls]XLSpdmV8!R57C10</stp>
        <tr r="J57" s="1"/>
      </tp>
      <tp>
        <v>7.4999999999999997E-2</v>
        <stp/>
        <stp>##V3_BDPV12</stp>
        <stp xml:space="preserve">25599 HK Equity     </stp>
        <stp>BID</stp>
        <stp>[XLSpdmV8.xls]XLSpdmV8!R19C10</stp>
        <tr r="J19" s="1"/>
      </tp>
      <tp t="s">
        <v>#N/A N/A</v>
        <stp/>
        <stp>##V3_BDPV12</stp>
        <stp xml:space="preserve">11069 HK Equity     </stp>
        <stp>ASK</stp>
        <stp>[XLSpdmV8.xls]XLSpdmV8!R58C11</stp>
        <tr r="K58" s="1"/>
      </tp>
      <tp>
        <v>21.875</v>
        <stp/>
        <stp>##V3_BDPV12</stp>
        <stp xml:space="preserve">25599 HK Equity     </stp>
        <stp>RT_PX_CHG_PCT_1D</stp>
        <stp>[XLSpdmV8.xls]XLSpdmV8!R19C7</stp>
        <tr r="G19" s="1"/>
      </tp>
      <tp>
        <v>12.5</v>
        <stp/>
        <stp>##V3_BDPV12</stp>
        <stp xml:space="preserve">24108 HK Equity     </stp>
        <stp>RT_PX_CHG_PCT_1D</stp>
        <stp>[XLSpdmV8.xls]XLSpdmV8!R70C7</stp>
        <tr r="G70" s="1"/>
      </tp>
      <tp>
        <v>29.411799999999999</v>
        <stp/>
        <stp>##V3_BDPV12</stp>
        <stp xml:space="preserve">26225 HK Equity     </stp>
        <stp>RT_PX_CHG_PCT_1D</stp>
        <stp>[XLSpdmV8.xls]XLSpdmV8!R32C7</stp>
        <tr r="G32" s="1"/>
      </tp>
      <tp>
        <v>15.2174</v>
        <stp/>
        <stp>##V3_BDPV12</stp>
        <stp xml:space="preserve">26121 HK Equity     </stp>
        <stp>RT_PX_CHG_PCT_1D</stp>
        <stp>[XLSpdmV8.xls]XLSpdmV8!R92C7</stp>
        <tr r="G92" s="1"/>
      </tp>
      <tp>
        <v>0</v>
        <stp/>
        <stp>##V3_BDPV12</stp>
        <stp xml:space="preserve">20411 HK Equity     </stp>
        <stp>RT_PX_CHG_PCT_1D</stp>
        <stp>[XLSpdmV8.xls]XLSpdmV8!R61C7</stp>
        <tr r="G61" s="1"/>
      </tp>
      <tp>
        <v>10.4895</v>
        <stp/>
        <stp>##V3_BDPV12</stp>
        <stp xml:space="preserve">26092 HK Equity     </stp>
        <stp>RT_PX_CHG_PCT_1D</stp>
        <stp>[XLSpdmV8.xls]XLSpdmV8!R29C7</stp>
        <tr r="G29" s="1"/>
      </tp>
      <tp t="s">
        <v>27/5/2016</v>
        <stp/>
        <stp>##V3_BDPV12</stp>
        <stp xml:space="preserve">23517 HK Equity     </stp>
        <stp>TIME</stp>
        <stp>[XLSpdmV8.xls]XLSpdmV8!R8C6</stp>
        <tr r="F8" s="1"/>
      </tp>
      <tp t="s">
        <v>#N/A N/A</v>
        <stp/>
        <stp>##V3_BDPV12</stp>
        <stp xml:space="preserve">25270 HK Equity     </stp>
        <stp>ASK</stp>
        <stp>[XLSpdmV8.xls]XLSpdmV8!R78C11</stp>
        <tr r="K78" s="1"/>
      </tp>
      <tp t="s">
        <v>#N/A N/A</v>
        <stp/>
        <stp>##V3_BDPV12</stp>
        <stp xml:space="preserve">23970 HK Equity     </stp>
        <stp>ASK</stp>
        <stp>[XLSpdmV8.xls]XLSpdmV8!R55C11</stp>
        <tr r="K55" s="1"/>
      </tp>
      <tp>
        <v>7.4999999999999997E-2</v>
        <stp/>
        <stp>##V3_BDPV12</stp>
        <stp xml:space="preserve">25473 HK Equity     </stp>
        <stp>ASK</stp>
        <stp>[XLSpdmV8.xls]XLSpdmV8!R81C11</stp>
        <tr r="K81" s="1"/>
      </tp>
      <tp t="s">
        <v>#N/A N/A</v>
        <stp/>
        <stp>##V3_BDPV12</stp>
        <stp xml:space="preserve">19187 HK Equity     </stp>
        <stp>BID</stp>
        <stp>[XLSpdmV8.xls]XLSpdmV8!R60C10</stp>
        <tr r="J60" s="1"/>
      </tp>
      <tp>
        <v>0.214</v>
        <stp/>
        <stp>##V3_BDPV12</stp>
        <stp xml:space="preserve">25984 HK Equity     </stp>
        <stp>BID</stp>
        <stp>[XLSpdmV8.xls]XLSpdmV8!R26C10</stp>
        <tr r="J26" s="1"/>
      </tp>
      <tp>
        <v>5.7000000000000002E-2</v>
        <stp/>
        <stp>##V3_BDPV12</stp>
        <stp xml:space="preserve">24684 HK Equity     </stp>
        <stp>BID</stp>
        <stp>[XLSpdmV8.xls]XLSpdmV8!R15C10</stp>
        <tr r="J15" s="1"/>
      </tp>
      <tp t="s">
        <v>#N/A N/A</v>
        <stp/>
        <stp>##V3_BDPV12</stp>
        <stp xml:space="preserve">23975 HK Equity     </stp>
        <stp>ASK</stp>
        <stp>[XLSpdmV8.xls]XLSpdmV8!R10C11</stp>
        <tr r="K10" s="1"/>
      </tp>
      <tp t="s">
        <v>#N/A N/A</v>
        <stp/>
        <stp>##V3_BDPV12</stp>
        <stp xml:space="preserve">21875 HK Equity     </stp>
        <stp>ASK</stp>
        <stp>[XLSpdmV8.xls]XLSpdmV8!R65C11</stp>
        <tr r="K65" s="1"/>
      </tp>
      <tp t="s">
        <v>#N/A N/A</v>
        <stp/>
        <stp>##V3_BDPV12</stp>
        <stp xml:space="preserve">25376 HK Equity     </stp>
        <stp>ASK</stp>
        <stp>[XLSpdmV8.xls]XLSpdmV8!R80C11</stp>
        <tr r="K80" s="1"/>
      </tp>
      <tp>
        <v>0.14199999999999999</v>
        <stp/>
        <stp>##V3_BDPV12</stp>
        <stp xml:space="preserve">27286 HK Equity     </stp>
        <stp>BID</stp>
        <stp>[XLSpdmV8.xls]XLSpdmV8!R46C10</stp>
        <tr r="J46" s="1"/>
      </tp>
      <tp>
        <v>1.7000000000000001E-2</v>
        <stp/>
        <stp>##V3_BDPV12</stp>
        <stp xml:space="preserve">24376 HK Equity     </stp>
        <stp>ASK</stp>
        <stp>[XLSpdmV8.xls]XLSpdmV8!R13C11</stp>
        <tr r="K13" s="1"/>
      </tp>
      <tp>
        <v>0.14899999999999999</v>
        <stp/>
        <stp>##V3_BDPV12</stp>
        <stp xml:space="preserve">25787 HK Equity     </stp>
        <stp>BID</stp>
        <stp>[XLSpdmV8.xls]XLSpdmV8!R87C10</stp>
        <tr r="J87" s="1"/>
      </tp>
      <tp>
        <v>5.2999999999999999E-2</v>
        <stp/>
        <stp>##V3_BDPV12</stp>
        <stp xml:space="preserve">26987 HK Equity     </stp>
        <stp>BID</stp>
        <stp>[XLSpdmV8.xls]XLSpdmV8!R43C10</stp>
        <tr r="J43" s="1"/>
      </tp>
      <tp>
        <v>7.4999999999999997E-2</v>
        <stp/>
        <stp>##V3_BDPV12</stp>
        <stp xml:space="preserve">27177 HK Equity     </stp>
        <stp>ASK</stp>
        <stp>[XLSpdmV8.xls]XLSpdmV8!R45C11</stp>
        <tr r="K45" s="1"/>
      </tp>
      <tp t="s">
        <v>#N/A N/A</v>
        <stp/>
        <stp>##V3_BDPV12</stp>
        <stp xml:space="preserve">23287 HK Equity     </stp>
        <stp>BID</stp>
        <stp>[XLSpdmV8.xls]XLSpdmV8!R67C10</stp>
        <tr r="J67" s="1"/>
      </tp>
      <tp t="s">
        <v>#N/A N/A</v>
        <stp/>
        <stp>##V3_BDPV12</stp>
        <stp xml:space="preserve">24688 HK Equity     </stp>
        <stp>BID</stp>
        <stp>[XLSpdmV8.xls]XLSpdmV8!R75C10</stp>
        <tr r="J75" s="1"/>
      </tp>
      <tp t="s">
        <v>#N/A N/A</v>
        <stp/>
        <stp>##V3_BDPV12</stp>
        <stp xml:space="preserve">20588 HK Equity     </stp>
        <stp>BID</stp>
        <stp>[XLSpdmV8.xls]XLSpdmV8!R63C10</stp>
        <tr r="J63" s="1"/>
      </tp>
      <tp>
        <v>8.6999999999999994E-2</v>
        <stp/>
        <stp>##V3_BDPV12</stp>
        <stp xml:space="preserve">26788 HK Equity     </stp>
        <stp>BID</stp>
        <stp>[XLSpdmV8.xls]XLSpdmV8!R39C10</stp>
        <tr r="J39" s="1"/>
      </tp>
      <tp t="s">
        <v>#N/A N/A</v>
        <stp/>
        <stp>##V3_BDPV12</stp>
        <stp xml:space="preserve">26488 HK Equity     </stp>
        <stp>BID</stp>
        <stp>[XLSpdmV8.xls]XLSpdmV8!R33C10</stp>
        <tr r="J33" s="1"/>
      </tp>
      <tp>
        <v>6.0999999999999999E-2</v>
        <stp/>
        <stp>##V3_BDPV12</stp>
        <stp xml:space="preserve">25579 HK Equity     </stp>
        <stp>ASK</stp>
        <stp>[XLSpdmV8.xls]XLSpdmV8!R82C11</stp>
        <tr r="K82" s="1"/>
      </tp>
      <tp t="s">
        <v>#N/A N/A</v>
        <stp/>
        <stp>##V3_BDPV12</stp>
        <stp xml:space="preserve">25679 HK Equity     </stp>
        <stp>ASK</stp>
        <stp>[XLSpdmV8.xls]XLSpdmV8!R85C11</stp>
        <tr r="K85" s="1"/>
      </tp>
      <tp>
        <v>-9.0909099999999992</v>
        <stp/>
        <stp>##V3_BDPV12</stp>
        <stp xml:space="preserve">26939 HK Equity     </stp>
        <stp>RT_PX_CHG_PCT_1D</stp>
        <stp>[XLSpdmV8.xls]XLSpdmV8!R42C7</stp>
        <tr r="G42" s="1"/>
      </tp>
      <tp>
        <v>7.9470200000000002</v>
        <stp/>
        <stp>##V3_BDPV12</stp>
        <stp xml:space="preserve">25898 HK Equity     </stp>
        <stp>RT_PX_CHG_PCT_1D</stp>
        <stp>[XLSpdmV8.xls]XLSpdmV8!R88C7</stp>
        <tr r="G88" s="1"/>
      </tp>
      <tp t="s">
        <v>#N/A N/A</v>
        <stp/>
        <stp>##V3_BDPV12</stp>
        <stp xml:space="preserve">27828 HK Equity     </stp>
        <stp>RT_PX_CHG_PCT_1D</stp>
        <stp>[XLSpdmV8.xls]XLSpdmV8!R53C7</stp>
        <tr r="G53" s="1"/>
      </tp>
      <tp>
        <v>-9.9056599999999992</v>
        <stp/>
        <stp>##V3_BDPV12</stp>
        <stp xml:space="preserve">27608 HK Equity     </stp>
        <stp>RT_PX_CHG_PCT_1D</stp>
        <stp>[XLSpdmV8.xls]XLSpdmV8!R51C7</stp>
        <tr r="G51" s="1"/>
      </tp>
      <tp>
        <v>14.2857</v>
        <stp/>
        <stp>##V3_BDPV12</stp>
        <stp xml:space="preserve">26788 HK Equity     </stp>
        <stp>RT_PX_CHG_PCT_1D</stp>
        <stp>[XLSpdmV8.xls]XLSpdmV8!R39C7</stp>
        <tr r="G39" s="1"/>
      </tp>
      <tp>
        <v>11.25</v>
        <stp/>
        <stp>##V3_BDPV12</stp>
        <stp xml:space="preserve">25915 HK Equity     </stp>
        <stp>RT_PX_CHG_PCT_1D</stp>
        <stp>[XLSpdmV8.xls]XLSpdmV8!R90C7</stp>
        <tr r="G90" s="1"/>
      </tp>
      <tp>
        <v>26.666699999999999</v>
        <stp/>
        <stp>##V3_BDPV12</stp>
        <stp xml:space="preserve">24107 HK Equity     </stp>
        <stp>RT_PX_CHG_PCT_1D</stp>
        <stp>[XLSpdmV8.xls]XLSpdmV8!R11C7</stp>
        <tr r="G11" s="1"/>
      </tp>
      <tp>
        <v>0</v>
        <stp/>
        <stp>##V3_BDPV12</stp>
        <stp xml:space="preserve">24137 HK Equity     </stp>
        <stp>RT_PX_CHG_PCT_1D</stp>
        <stp>[XLSpdmV8.xls]XLSpdmV8!R12C7</stp>
        <tr r="G12" s="1"/>
      </tp>
      <tp>
        <v>12.7273</v>
        <stp/>
        <stp>##V3_BDPV12</stp>
        <stp xml:space="preserve">27157 HK Equity     </stp>
        <stp>RT_PX_CHG_PCT_1D</stp>
        <stp>[XLSpdmV8.xls]XLSpdmV8!R44C7</stp>
        <tr r="G44" s="1"/>
      </tp>
      <tp>
        <v>0</v>
        <stp/>
        <stp>##V3_BDPV12</stp>
        <stp xml:space="preserve">20537 HK Equity     </stp>
        <stp>RT_PX_CHG_PCT_1D</stp>
        <stp>[XLSpdmV8.xls]XLSpdmV8!R62C7</stp>
        <tr r="G62" s="1"/>
      </tp>
      <tp>
        <v>-9.0909099999999992</v>
        <stp/>
        <stp>##V3_BDPV12</stp>
        <stp xml:space="preserve">25946 HK Equity     </stp>
        <stp>RT_PX_CHG_PCT_1D</stp>
        <stp>[XLSpdmV8.xls]XLSpdmV8!R25C7</stp>
        <tr r="G25" s="1"/>
      </tp>
      <tp>
        <v>-9.375</v>
        <stp/>
        <stp>##V3_BDPV12</stp>
        <stp xml:space="preserve">27360 HK Equity     </stp>
        <stp>RT_PX_CHG_PCT_1D</stp>
        <stp>[XLSpdmV8.xls]XLSpdmV8!R47C7</stp>
        <tr r="G47" s="1"/>
      </tp>
      <tp>
        <v>31.372499000000001</v>
        <stp/>
        <stp>##V3_BDPV12</stp>
        <stp xml:space="preserve">25722 HK Equity     </stp>
        <stp>RT_PX_CHG_PCT_1D</stp>
        <stp>[XLSpdmV8.xls]XLSpdmV8!R23C7</stp>
        <tr r="G23" s="1"/>
      </tp>
      <tp>
        <v>23600</v>
        <stp/>
        <stp>##V3_BDPV12</stp>
        <stp xml:space="preserve">23383 HK Equity     </stp>
        <stp>WRT_EXER_PX</stp>
        <stp>[XLSpdmV8.xls]XLSpdmV8!R7C2</stp>
        <tr r="B7" s="1"/>
      </tp>
      <tp t="s">
        <v>28/7/2016</v>
        <stp/>
        <stp>##V3_BDPV12</stp>
        <stp xml:space="preserve">23383 HK Equity     </stp>
        <stp>WRT_EXER_DT</stp>
        <stp>[XLSpdmV8.xls]XLSpdmV8!R7C4</stp>
        <tr r="D7" s="1"/>
      </tp>
      <tp t="s">
        <v>#N/A N/A</v>
        <stp/>
        <stp>##V3_BDPV12</stp>
        <stp xml:space="preserve">26143 HK Equity     </stp>
        <stp>ASK</stp>
        <stp>[XLSpdmV8.xls]XLSpdmV8!R30C11</stp>
        <tr r="K30" s="1"/>
      </tp>
      <tp>
        <v>3.1E-2</v>
        <stp/>
        <stp>##V3_BDPV12</stp>
        <stp xml:space="preserve">26444 HK Equity     </stp>
        <stp>ASK</stp>
        <stp>[XLSpdmV8.xls]XLSpdmV8!R98C11</stp>
        <tr r="K98" s="1"/>
      </tp>
      <tp>
        <v>3.1E-2</v>
        <stp/>
        <stp>##V3_BDPV12</stp>
        <stp xml:space="preserve">25946 HK Equity     </stp>
        <stp>ASK</stp>
        <stp>[XLSpdmV8.xls]XLSpdmV8!R25C11</stp>
        <tr r="K25" s="1"/>
      </tp>
      <tp>
        <v>6.5000000000000002E-2</v>
        <stp/>
        <stp>##V3_BDPV12</stp>
        <stp xml:space="preserve">26147 HK Equity     </stp>
        <stp>ASK</stp>
        <stp>[XLSpdmV8.xls]XLSpdmV8!R93C11</stp>
        <tr r="K93" s="1"/>
      </tp>
      <tp>
        <v>2.3E-2</v>
        <stp/>
        <stp>##V3_BDPV12</stp>
        <stp xml:space="preserve">25447 HK Equity     </stp>
        <stp>ASK</stp>
        <stp>[XLSpdmV8.xls]XLSpdmV8!R17C11</stp>
        <tr r="K17" s="1"/>
      </tp>
      <tp>
        <v>9.0999999999999998E-2</v>
        <stp/>
        <stp>##V3_BDPV12</stp>
        <stp xml:space="preserve">26747 HK Equity     </stp>
        <stp>ASK</stp>
        <stp>[XLSpdmV8.xls]XLSpdmV8!R37C11</stp>
        <tr r="K37" s="1"/>
      </tp>
      <tp>
        <v>6.8000000000000005E-2</v>
        <stp/>
        <stp>##V3_BDPV12</stp>
        <stp xml:space="preserve">25548 HK Equity     </stp>
        <stp>ASK</stp>
        <stp>[XLSpdmV8.xls]XLSpdmV8!R18C11</stp>
        <tr r="K18" s="1"/>
      </tp>
      <tp>
        <v>6.9000000000000006E-2</v>
        <stp/>
        <stp>##V3_BDPV12</stp>
        <stp xml:space="preserve">26849 HK Equity     </stp>
        <stp>ASK</stp>
        <stp>[XLSpdmV8.xls]XLSpdmV8!R40C11</stp>
        <tr r="K40" s="1"/>
      </tp>
      <tp t="s">
        <v>#N/A N/A</v>
        <stp/>
        <stp>##V3_BDPV12</stp>
        <stp xml:space="preserve">25679 HK Equity     </stp>
        <stp>RT_PX_CHG_PCT_1D</stp>
        <stp>[XLSpdmV8.xls]XLSpdmV8!R85C7</stp>
        <tr r="G85" s="1"/>
      </tp>
      <tp>
        <v>-8.8235299999999999</v>
        <stp/>
        <stp>##V3_BDPV12</stp>
        <stp xml:space="preserve">26668 HK Equity     </stp>
        <stp>RT_PX_CHG_PCT_1D</stp>
        <stp>[XLSpdmV8.xls]XLSpdmV8!R34C7</stp>
        <tr r="G34" s="1"/>
      </tp>
      <tp>
        <v>-13.793100000000001</v>
        <stp/>
        <stp>##V3_BDPV12</stp>
        <stp xml:space="preserve">25625 HK Equity     </stp>
        <stp>RT_PX_CHG_PCT_1D</stp>
        <stp>[XLSpdmV8.xls]XLSpdmV8!R20C7</stp>
        <tr r="G20" s="1"/>
      </tp>
      <tp>
        <v>23.333300000000001</v>
        <stp/>
        <stp>##V3_BDPV12</stp>
        <stp xml:space="preserve">24315 HK Equity     </stp>
        <stp>RT_PX_CHG_PCT_1D</stp>
        <stp>[XLSpdmV8.xls]XLSpdmV8!R73C7</stp>
        <tr r="G73" s="1"/>
      </tp>
      <tp t="s">
        <v>#N/A N/A</v>
        <stp/>
        <stp>##V3_BDPV12</stp>
        <stp xml:space="preserve">21875 HK Equity     </stp>
        <stp>RT_PX_CHG_PCT_1D</stp>
        <stp>[XLSpdmV8.xls]XLSpdmV8!R65C7</stp>
        <tr r="G65" s="1"/>
      </tp>
      <tp>
        <v>16.3934</v>
        <stp/>
        <stp>##V3_BDPV12</stp>
        <stp xml:space="preserve">27177 HK Equity     </stp>
        <stp>RT_PX_CHG_PCT_1D</stp>
        <stp>[XLSpdmV8.xls]XLSpdmV8!R45C7</stp>
        <tr r="G45" s="1"/>
      </tp>
      <tp>
        <v>0</v>
        <stp/>
        <stp>##V3_BDPV12</stp>
        <stp xml:space="preserve">23970 HK Equity     </stp>
        <stp>RT_PX_CHG_PCT_1D</stp>
        <stp>[XLSpdmV8.xls]XLSpdmV8!R55C7</stp>
        <tr r="G55" s="1"/>
      </tp>
      <tp>
        <v>9.45946</v>
        <stp/>
        <stp>##V3_BDPV12</stp>
        <stp xml:space="preserve">25662 HK Equity     </stp>
        <stp>RT_PX_CHG_PCT_1D</stp>
        <stp>[XLSpdmV8.xls]XLSpdmV8!R84C7</stp>
        <tr r="G84" s="1"/>
      </tp>
      <tp t="s">
        <v>#N/A N/A</v>
        <stp/>
        <stp>##V3_BDPV12</stp>
        <stp xml:space="preserve">20513 HK Equity     </stp>
        <stp>ASK</stp>
        <stp>[XLSpdmV8.xls]XLSpdmV8!R6C11</stp>
        <tr r="K6" s="1"/>
      </tp>
      <tp t="s">
        <v>#N/A N/A</v>
        <stp/>
        <stp>##V3_BDPV12</stp>
        <stp xml:space="preserve">23517 HK Equity     </stp>
        <stp>ASK</stp>
        <stp>[XLSpdmV8.xls]XLSpdmV8!R8C11</stp>
        <tr r="K8" s="1"/>
      </tp>
      <tp t="s">
        <v>#N/A N/A</v>
        <stp/>
        <stp>##V3_BDPV12</stp>
        <stp xml:space="preserve">23535 HK Equity     </stp>
        <stp>ASK</stp>
        <stp>[XLSpdmV8.xls]XLSpdmV8!R9C11</stp>
        <tr r="K9" s="1"/>
      </tp>
      <tp>
        <v>22308</v>
        <stp/>
        <stp>##V3_BDPV12</stp>
        <stp xml:space="preserve">25090 HK Equity     </stp>
        <stp>WRT_EXER_PX</stp>
        <stp>[XLSpdmV8.xls]XLSpdmV8!R2C2</stp>
        <tr r="B2" s="1"/>
      </tp>
      <tp t="s">
        <v>29/6/2016</v>
        <stp/>
        <stp>##V3_BDPV12</stp>
        <stp xml:space="preserve">25090 HK Equity     </stp>
        <stp>WRT_EXER_DT</stp>
        <stp>[XLSpdmV8.xls]XLSpdmV8!R2C4</stp>
        <tr r="D2" s="1"/>
      </tp>
      <tp>
        <v>0.11700000000000001</v>
        <stp/>
        <stp>##V3_BDPV12</stp>
        <stp xml:space="preserve">24451 HK Equity     </stp>
        <stp>ASK</stp>
        <stp>[XLSpdmV8.xls]XLSpdmV8!R56C11</stp>
        <tr r="K56" s="1"/>
      </tp>
      <tp t="s">
        <v>#N/A N/A</v>
        <stp/>
        <stp>##V3_BDPV12</stp>
        <stp xml:space="preserve">26052 HK Equity     </stp>
        <stp>ASK</stp>
        <stp>[XLSpdmV8.xls]XLSpdmV8!R28C11</stp>
        <tr r="K28" s="1"/>
      </tp>
      <tp>
        <v>0.01</v>
        <stp/>
        <stp>##V3_BDPV12</stp>
        <stp xml:space="preserve">18856 HK Equity     </stp>
        <stp>ASK</stp>
        <stp>[XLSpdmV8.xls]XLSpdmV8!R59C11</stp>
        <tr r="K59" s="1"/>
      </tp>
      <tp>
        <v>6.2E-2</v>
        <stp/>
        <stp>##V3_BDPV12</stp>
        <stp xml:space="preserve">27157 HK Equity     </stp>
        <stp>ASK</stp>
        <stp>[XLSpdmV8.xls]XLSpdmV8!R44C11</stp>
        <tr r="K44" s="1"/>
      </tp>
      <tp t="s">
        <v>#N/A N/A</v>
        <stp/>
        <stp>##V3_BDPV12</stp>
        <stp xml:space="preserve">25959 HK Equity     </stp>
        <stp>ASK</stp>
        <stp>[XLSpdmV8.xls]XLSpdmV8!R91C11</stp>
        <tr r="K91" s="1"/>
      </tp>
      <tp>
        <v>5.8823499999999997</v>
        <stp/>
        <stp>##V3_BDPV12</stp>
        <stp xml:space="preserve">25447 HK Equity     </stp>
        <stp>RT_PX_CHG_PCT_1D</stp>
        <stp>[XLSpdmV8.xls]XLSpdmV8!R17C7</stp>
        <tr r="G17" s="1"/>
      </tp>
      <tp>
        <v>14.473699999999999</v>
        <stp/>
        <stp>##V3_BDPV12</stp>
        <stp xml:space="preserve">26747 HK Equity     </stp>
        <stp>RT_PX_CHG_PCT_1D</stp>
        <stp>[XLSpdmV8.xls]XLSpdmV8!R37C7</stp>
        <tr r="G37" s="1"/>
      </tp>
      <tp>
        <v>-16.296301</v>
        <stp/>
        <stp>##V3_BDPV12</stp>
        <stp xml:space="preserve">24451 HK Equity     </stp>
        <stp>RT_PX_CHG_PCT_1D</stp>
        <stp>[XLSpdmV8.xls]XLSpdmV8!R56C7</stp>
        <tr r="G56" s="1"/>
      </tp>
      <tp>
        <v>-19.178101000000002</v>
        <stp/>
        <stp>##V3_BDPV12</stp>
        <stp xml:space="preserve">26921 HK Equity     </stp>
        <stp>RT_PX_CHG_PCT_1D</stp>
        <stp>[XLSpdmV8.xls]XLSpdmV8!R41C7</stp>
        <tr r="G41" s="1"/>
      </tp>
      <tp>
        <v>10.752700000000001</v>
        <stp/>
        <stp>##V3_BDPV12</stp>
        <stp xml:space="preserve">25600 HK Equity     </stp>
        <stp>RT_PX_CHG_PCT_1D</stp>
        <stp>[XLSpdmV8.xls]XLSpdmV8!R83C7</stp>
        <tr r="G83" s="1"/>
      </tp>
      <tp>
        <v>25400</v>
        <stp/>
        <stp>##V3_BDPV12</stp>
        <stp xml:space="preserve">20513 HK Equity     </stp>
        <stp>WRT_EXER_PX</stp>
        <stp>[XLSpdmV8.xls]XLSpdmV8!R6C2</stp>
        <tr r="B6" s="1"/>
      </tp>
      <tp>
        <v>21000</v>
        <stp/>
        <stp>##V3_BDPV12</stp>
        <stp xml:space="preserve">12276 HK Equity     </stp>
        <stp>WRT_EXER_PX</stp>
        <stp>[XLSpdmV8.xls]XLSpdmV8!R4C2</stp>
        <tr r="B4" s="1"/>
      </tp>
      <tp t="s">
        <v>29/6/2016</v>
        <stp/>
        <stp>##V3_BDPV12</stp>
        <stp xml:space="preserve">12276 HK Equity     </stp>
        <stp>WRT_EXER_DT</stp>
        <stp>[XLSpdmV8.xls]XLSpdmV8!R4C4</stp>
        <tr r="D4" s="1"/>
      </tp>
      <tp t="s">
        <v>29/6/2016</v>
        <stp/>
        <stp>##V3_BDPV12</stp>
        <stp xml:space="preserve">20513 HK Equity     </stp>
        <stp>WRT_EXER_DT</stp>
        <stp>[XLSpdmV8.xls]XLSpdmV8!R6C4</stp>
        <tr r="D6" s="1"/>
      </tp>
      <tp>
        <v>5.5E-2</v>
        <stp/>
        <stp>##V3_BDPV12</stp>
        <stp xml:space="preserve">26121 HK Equity     </stp>
        <stp>ASK</stp>
        <stp>[XLSpdmV8.xls]XLSpdmV8!R92C11</stp>
        <tr r="K92" s="1"/>
      </tp>
      <tp t="s">
        <v>#N/A N/A</v>
        <stp/>
        <stp>##V3_BDPV12</stp>
        <stp xml:space="preserve">26921 HK Equity     </stp>
        <stp>ASK</stp>
        <stp>[XLSpdmV8.xls]XLSpdmV8!R41C11</stp>
        <tr r="K41" s="1"/>
      </tp>
      <tp>
        <v>5.3999999999999999E-2</v>
        <stp/>
        <stp>##V3_BDPV12</stp>
        <stp xml:space="preserve">22822 HK Equity     </stp>
        <stp>ASK</stp>
        <stp>[XLSpdmV8.xls]XLSpdmV8!R66C11</stp>
        <tr r="K66" s="1"/>
      </tp>
      <tp t="s">
        <v>#N/A N/A</v>
        <stp/>
        <stp>##V3_BDPV12</stp>
        <stp xml:space="preserve">23522 HK Equity     </stp>
        <stp>ASK</stp>
        <stp>[XLSpdmV8.xls]XLSpdmV8!R68C11</stp>
        <tr r="K68" s="1"/>
      </tp>
      <tp t="s">
        <v>#N/A N/A</v>
        <stp/>
        <stp>##V3_BDPV12</stp>
        <stp xml:space="preserve">25722 HK Equity     </stp>
        <stp>ASK</stp>
        <stp>[XLSpdmV8.xls]XLSpdmV8!R23C11</stp>
        <tr r="K23" s="1"/>
      </tp>
      <tp>
        <v>0.13300000000000001</v>
        <stp/>
        <stp>##V3_BDPV12</stp>
        <stp xml:space="preserve">24425 HK Equity     </stp>
        <stp>ASK</stp>
        <stp>[XLSpdmV8.xls]XLSpdmV8!R14C11</stp>
        <tr r="K14" s="1"/>
      </tp>
      <tp>
        <v>6.6000000000000003E-2</v>
        <stp/>
        <stp>##V3_BDPV12</stp>
        <stp xml:space="preserve">26225 HK Equity     </stp>
        <stp>ASK</stp>
        <stp>[XLSpdmV8.xls]XLSpdmV8!R32C11</stp>
        <tr r="K32" s="1"/>
      </tp>
      <tp t="s">
        <v>#N/A N/A</v>
        <stp/>
        <stp>##V3_BDPV12</stp>
        <stp xml:space="preserve">25625 HK Equity     </stp>
        <stp>ASK</stp>
        <stp>[XLSpdmV8.xls]XLSpdmV8!R20C11</stp>
        <tr r="K20" s="1"/>
      </tp>
      <tp>
        <v>8.6999999999999994E-2</v>
        <stp/>
        <stp>##V3_BDPV12</stp>
        <stp xml:space="preserve">25326 HK Equity     </stp>
        <stp>ASK</stp>
        <stp>[XLSpdmV8.xls]XLSpdmV8!R79C11</stp>
        <tr r="K79" s="1"/>
      </tp>
      <tp>
        <v>0.184</v>
        <stp/>
        <stp>##V3_BDPV12</stp>
        <stp xml:space="preserve">24427 HK Equity     </stp>
        <stp>ASK</stp>
        <stp>[XLSpdmV8.xls]XLSpdmV8!R74C11</stp>
        <tr r="K74" s="1"/>
      </tp>
      <tp t="s">
        <v>#N/A N/A</v>
        <stp/>
        <stp>##V3_BDPV12</stp>
        <stp xml:space="preserve">27828 HK Equity     </stp>
        <stp>ASK</stp>
        <stp>[XLSpdmV8.xls]XLSpdmV8!R53C11</stp>
        <tr r="K53" s="1"/>
      </tp>
      <tp>
        <v>13.924099999999999</v>
        <stp/>
        <stp>##V3_BDPV12</stp>
        <stp xml:space="preserve">25959 HK Equity     </stp>
        <stp>RT_PX_CHG_PCT_1D</stp>
        <stp>[XLSpdmV8.xls]XLSpdmV8!R91C7</stp>
        <tr r="G91" s="1"/>
      </tp>
      <tp>
        <v>-9.3333300000000001</v>
        <stp/>
        <stp>##V3_BDPV12</stp>
        <stp xml:space="preserve">26849 HK Equity     </stp>
        <stp>RT_PX_CHG_PCT_1D</stp>
        <stp>[XLSpdmV8.xls]XLSpdmV8!R40C7</stp>
        <tr r="G40" s="1"/>
      </tp>
      <tp>
        <v>6.6326499999999999</v>
        <stp/>
        <stp>##V3_BDPV12</stp>
        <stp xml:space="preserve">26319 HK Equity     </stp>
        <stp>RT_PX_CHG_PCT_1D</stp>
        <stp>[XLSpdmV8.xls]XLSpdmV8!R95C7</stp>
        <tr r="G95" s="1"/>
      </tp>
      <tp>
        <v>-6.0240999999999998</v>
        <stp/>
        <stp>##V3_BDPV12</stp>
        <stp xml:space="preserve">21009 HK Equity     </stp>
        <stp>RT_PX_CHG_PCT_1D</stp>
        <stp>[XLSpdmV8.xls]XLSpdmV8!R64C7</stp>
        <tr r="G64" s="1"/>
      </tp>
      <tp>
        <v>33.333302000000003</v>
        <stp/>
        <stp>##V3_BDPV12</stp>
        <stp xml:space="preserve">24376 HK Equity     </stp>
        <stp>RT_PX_CHG_PCT_1D</stp>
        <stp>[XLSpdmV8.xls]XLSpdmV8!R13C7</stp>
        <tr r="G13" s="1"/>
      </tp>
      <tp>
        <v>-8.2949300000000008</v>
        <stp/>
        <stp>##V3_BDPV12</stp>
        <stp xml:space="preserve">27666 HK Equity     </stp>
        <stp>RT_PX_CHG_PCT_1D</stp>
        <stp>[XLSpdmV8.xls]XLSpdmV8!R52C7</stp>
        <tr r="G52" s="1"/>
      </tp>
      <tp>
        <v>0</v>
        <stp/>
        <stp>##V3_BDPV12</stp>
        <stp xml:space="preserve">26143 HK Equity     </stp>
        <stp>RT_PX_CHG_PCT_1D</stp>
        <stp>[XLSpdmV8.xls]XLSpdmV8!R30C7</stp>
        <tr r="G30" s="1"/>
      </tp>
      <tp>
        <v>50</v>
        <stp/>
        <stp>##V3_BDPV12</stp>
        <stp xml:space="preserve">24262 HK Equity     </stp>
        <stp>RT_PX_CHG_PCT_1D</stp>
        <stp>[XLSpdmV8.xls]XLSpdmV8!R72C7</stp>
        <tr r="G72" s="1"/>
      </tp>
      <tp>
        <v>-17.4603</v>
        <stp/>
        <stp>##V3_BDPV12</stp>
        <stp xml:space="preserve">22822 HK Equity     </stp>
        <stp>RT_PX_CHG_PCT_1D</stp>
        <stp>[XLSpdmV8.xls]XLSpdmV8!R66C7</stp>
        <tr r="G66" s="1"/>
      </tp>
      <tp>
        <v>0.01</v>
        <stp/>
        <stp>##V3_BDPV12</stp>
        <stp xml:space="preserve">23383 HK Equity     </stp>
        <stp>ASK</stp>
        <stp>[XLSpdmV8.xls]XLSpdmV8!R7C11</stp>
        <tr r="K7" s="1"/>
      </tp>
      <tp>
        <v>25000</v>
        <stp/>
        <stp>##V3_BDPV12</stp>
        <stp xml:space="preserve">14950 HK Equity     </stp>
        <stp>WRT_EXER_PX</stp>
        <stp>[XLSpdmV8.xls]XLSpdmV8!R5C2</stp>
        <tr r="B5" s="1"/>
      </tp>
      <tp t="s">
        <v>29/6/2016</v>
        <stp/>
        <stp>##V3_BDPV12</stp>
        <stp xml:space="preserve">14950 HK Equity     </stp>
        <stp>WRT_EXER_DT</stp>
        <stp>[XLSpdmV8.xls]XLSpdmV8!R5C4</stp>
        <tr r="D5" s="1"/>
      </tp>
      <tp>
        <v>0.154</v>
        <stp/>
        <stp>##V3_BDPV12</stp>
        <stp xml:space="preserve">24830 HK Equity     </stp>
        <stp>ASK</stp>
        <stp>[XLSpdmV8.xls]XLSpdmV8!R16C11</stp>
        <tr r="K16" s="1"/>
      </tp>
      <tp>
        <v>0.224</v>
        <stp/>
        <stp>##V3_BDPV12</stp>
        <stp xml:space="preserve">24831 HK Equity     </stp>
        <stp>ASK</stp>
        <stp>[XLSpdmV8.xls]XLSpdmV8!R76C11</stp>
        <tr r="K76" s="1"/>
      </tp>
      <tp t="s">
        <v>#N/A N/A</v>
        <stp/>
        <stp>##V3_BDPV12</stp>
        <stp xml:space="preserve">24137 HK Equity     </stp>
        <stp>ASK</stp>
        <stp>[XLSpdmV8.xls]XLSpdmV8!R12C11</stp>
        <tr r="K12" s="1"/>
      </tp>
      <tp t="s">
        <v>#N/A N/A</v>
        <stp/>
        <stp>##V3_BDPV12</stp>
        <stp xml:space="preserve">20537 HK Equity     </stp>
        <stp>ASK</stp>
        <stp>[XLSpdmV8.xls]XLSpdmV8!R62C11</stp>
        <tr r="K62" s="1"/>
      </tp>
      <tp>
        <v>6.8000000000000005E-2</v>
        <stp/>
        <stp>##V3_BDPV12</stp>
        <stp xml:space="preserve">27438 HK Equity     </stp>
        <stp>ASK</stp>
        <stp>[XLSpdmV8.xls]XLSpdmV8!R48C11</stp>
        <tr r="K48" s="1"/>
      </tp>
      <tp>
        <v>0.21</v>
        <stp/>
        <stp>##V3_BDPV12</stp>
        <stp xml:space="preserve">23538 HK Equity     </stp>
        <stp>ASK</stp>
        <stp>[XLSpdmV8.xls]XLSpdmV8!R69C11</stp>
        <tr r="K69" s="1"/>
      </tp>
      <tp>
        <v>6.0999999999999999E-2</v>
        <stp/>
        <stp>##V3_BDPV12</stp>
        <stp xml:space="preserve">26939 HK Equity     </stp>
        <stp>ASK</stp>
        <stp>[XLSpdmV8.xls]XLSpdmV8!R42C11</stp>
        <tr r="K42" s="1"/>
      </tp>
      <tp>
        <v>-10.447800000000001</v>
        <stp/>
        <stp>##V3_BDPV12</stp>
        <stp xml:space="preserve">25579 HK Equity     </stp>
        <stp>RT_PX_CHG_PCT_1D</stp>
        <stp>[XLSpdmV8.xls]XLSpdmV8!R82C7</stp>
        <tr r="G82" s="1"/>
      </tp>
      <tp>
        <v>8.5227299999999993</v>
        <stp/>
        <stp>##V3_BDPV12</stp>
        <stp xml:space="preserve">25919 HK Equity     </stp>
        <stp>RT_PX_CHG_PCT_1D</stp>
        <stp>[XLSpdmV8.xls]XLSpdmV8!R24C7</stp>
        <tr r="G24" s="1"/>
      </tp>
      <tp>
        <v>-13.333299999999999</v>
        <stp/>
        <stp>##V3_BDPV12</stp>
        <stp xml:space="preserve">26704 HK Equity     </stp>
        <stp>RT_PX_CHG_PCT_1D</stp>
        <stp>[XLSpdmV8.xls]XLSpdmV8!R35C7</stp>
        <tr r="G35" s="1"/>
      </tp>
      <tp>
        <v>-9.3495899999999992</v>
        <stp/>
        <stp>##V3_BDPV12</stp>
        <stp xml:space="preserve">24831 HK Equity     </stp>
        <stp>RT_PX_CHG_PCT_1D</stp>
        <stp>[XLSpdmV8.xls]XLSpdmV8!R76C7</stp>
        <tr r="G76" s="1"/>
      </tp>
      <tp>
        <v>-7.2289199999999996</v>
        <stp/>
        <stp>##V3_BDPV12</stp>
        <stp xml:space="preserve">24830 HK Equity     </stp>
        <stp>RT_PX_CHG_PCT_1D</stp>
        <stp>[XLSpdmV8.xls]XLSpdmV8!R16C7</stp>
        <tr r="G16" s="1"/>
      </tp>
      <tp>
        <v>1.7000000000000001E-2</v>
        <stp/>
        <stp>##V3_BDPV12</stp>
        <stp xml:space="preserve">12276 HK Equity     </stp>
        <stp>ASK</stp>
        <stp>[XLSpdmV8.xls]XLSpdmV8!R4C11</stp>
        <tr r="K4" s="1"/>
      </tp>
      <tp>
        <v>0.10299999999999999</v>
        <stp/>
        <stp>##V3_BDPV12</stp>
        <stp xml:space="preserve">25600 HK Equity     </stp>
        <stp>ASK</stp>
        <stp>[XLSpdmV8.xls]XLSpdmV8!R83C11</stp>
        <tr r="K83" s="1"/>
      </tp>
      <tp>
        <v>5.2999999999999999E-2</v>
        <stp/>
        <stp>##V3_BDPV12</stp>
        <stp xml:space="preserve">26704 HK Equity     </stp>
        <stp>ASK</stp>
        <stp>[XLSpdmV8.xls]XLSpdmV8!R35C11</stp>
        <tr r="K35" s="1"/>
      </tp>
      <tp>
        <v>0.02</v>
        <stp/>
        <stp>##V3_BDPV12</stp>
        <stp xml:space="preserve">24107 HK Equity     </stp>
        <stp>ASK</stp>
        <stp>[XLSpdmV8.xls]XLSpdmV8!R11C11</stp>
        <tr r="K11" s="1"/>
      </tp>
      <tp>
        <v>0.192</v>
        <stp/>
        <stp>##V3_BDPV12</stp>
        <stp xml:space="preserve">27608 HK Equity     </stp>
        <stp>ASK</stp>
        <stp>[XLSpdmV8.xls]XLSpdmV8!R51C11</stp>
        <tr r="K51" s="1"/>
      </tp>
      <tp>
        <v>0.02</v>
        <stp/>
        <stp>##V3_BDPV12</stp>
        <stp xml:space="preserve">24108 HK Equity     </stp>
        <stp>ASK</stp>
        <stp>[XLSpdmV8.xls]XLSpdmV8!R70C11</stp>
        <tr r="K70" s="1"/>
      </tp>
      <tp t="s">
        <v>#N/A N/A</v>
        <stp/>
        <stp>##V3_BDPV12</stp>
        <stp xml:space="preserve">25909 HK Equity     </stp>
        <stp>ASK</stp>
        <stp>[XLSpdmV8.xls]XLSpdmV8!R89C11</stp>
        <tr r="K89" s="1"/>
      </tp>
      <tp>
        <v>0.4</v>
        <stp/>
        <stp>##V3_BDPV12</stp>
        <stp xml:space="preserve">21009 HK Equity     </stp>
        <stp>ASK</stp>
        <stp>[XLSpdmV8.xls]XLSpdmV8!R64C11</stp>
        <tr r="K64" s="1"/>
      </tp>
      <tp>
        <v>-13.071899999999999</v>
        <stp/>
        <stp>##V3_BDPV12</stp>
        <stp xml:space="preserve">24425 HK Equity     </stp>
        <stp>RT_PX_CHG_PCT_1D</stp>
        <stp>[XLSpdmV8.xls]XLSpdmV8!R14C7</stp>
        <tr r="G14" s="1"/>
      </tp>
      <tp>
        <v>-9.8039199999999997</v>
        <stp/>
        <stp>##V3_BDPV12</stp>
        <stp xml:space="preserve">24427 HK Equity     </stp>
        <stp>RT_PX_CHG_PCT_1D</stp>
        <stp>[XLSpdmV8.xls]XLSpdmV8!R74C7</stp>
        <tr r="G74" s="1"/>
      </tp>
      <tp>
        <v>20.967699</v>
        <stp/>
        <stp>##V3_BDPV12</stp>
        <stp xml:space="preserve">25473 HK Equity     </stp>
        <stp>RT_PX_CHG_PCT_1D</stp>
        <stp>[XLSpdmV8.xls]XLSpdmV8!R81C7</stp>
        <tr r="G81" s="1"/>
      </tp>
      <tp>
        <v>6.5000000000000002E-2</v>
        <stp/>
        <stp>##V3_BDPV12</stp>
        <stp xml:space="preserve">26511 HK Equity     </stp>
        <stp>ASK</stp>
        <stp>[XLSpdmV8.xls]XLSpdmV8!R99C11</stp>
        <tr r="K99" s="1"/>
      </tp>
      <tp t="s">
        <v>#N/A N/A</v>
        <stp/>
        <stp>##V3_BDPV12</stp>
        <stp xml:space="preserve">20411 HK Equity     </stp>
        <stp>ASK</stp>
        <stp>[XLSpdmV8.xls]XLSpdmV8!R61C11</stp>
        <tr r="K61" s="1"/>
      </tp>
      <tp>
        <v>9.9000000000000005E-2</v>
        <stp/>
        <stp>##V3_BDPV12</stp>
        <stp xml:space="preserve">25712 HK Equity     </stp>
        <stp>ASK</stp>
        <stp>[XLSpdmV8.xls]XLSpdmV8!R86C11</stp>
        <tr r="K86" s="1"/>
      </tp>
      <tp>
        <v>6.0999999999999999E-2</v>
        <stp/>
        <stp>##V3_BDPV12</stp>
        <stp xml:space="preserve">26712 HK Equity     </stp>
        <stp>ASK</stp>
        <stp>[XLSpdmV8.xls]XLSpdmV8!R36C11</stp>
        <tr r="K36" s="1"/>
      </tp>
      <tp>
        <v>0.18</v>
        <stp/>
        <stp>##V3_BDPV12</stp>
        <stp xml:space="preserve">25915 HK Equity     </stp>
        <stp>ASK</stp>
        <stp>[XLSpdmV8.xls]XLSpdmV8!R90C11</stp>
        <tr r="K90" s="1"/>
      </tp>
      <tp>
        <v>7.3999999999999996E-2</v>
        <stp/>
        <stp>##V3_BDPV12</stp>
        <stp xml:space="preserve">24315 HK Equity     </stp>
        <stp>ASK</stp>
        <stp>[XLSpdmV8.xls]XLSpdmV8!R73C11</stp>
        <tr r="K73" s="1"/>
      </tp>
      <tp>
        <v>0.21</v>
        <stp/>
        <stp>##V3_BDPV12</stp>
        <stp xml:space="preserve">26319 HK Equity     </stp>
        <stp>ASK</stp>
        <stp>[XLSpdmV8.xls]XLSpdmV8!R95C11</stp>
        <tr r="K95" s="1"/>
      </tp>
      <tp>
        <v>0.193</v>
        <stp/>
        <stp>##V3_BDPV12</stp>
        <stp xml:space="preserve">25919 HK Equity     </stp>
        <stp>ASK</stp>
        <stp>[XLSpdmV8.xls]XLSpdmV8!R24C11</stp>
        <tr r="K24" s="1"/>
      </tp>
      <tp>
        <v>0</v>
        <stp/>
        <stp>##V3_BDPV12</stp>
        <stp xml:space="preserve">23975 HK Equity     </stp>
        <stp>RT_PX_CHG_PCT_1D</stp>
        <stp>[XLSpdmV8.xls]XLSpdmV8!R10C7</stp>
        <tr r="G10" s="1"/>
      </tp>
      <tp>
        <v>-15.517200000000001</v>
        <stp/>
        <stp>##V3_BDPV12</stp>
        <stp xml:space="preserve">26147 HK Equity     </stp>
        <stp>RT_PX_CHG_PCT_1D</stp>
        <stp>[XLSpdmV8.xls]XLSpdmV8!R93C7</stp>
        <tr r="G93" s="1"/>
      </tp>
      <tp>
        <v>0</v>
        <stp/>
        <stp>##V3_BDPV12</stp>
        <stp xml:space="preserve">25376 HK Equity     </stp>
        <stp>RT_PX_CHG_PCT_1D</stp>
        <stp>[XLSpdmV8.xls]XLSpdmV8!R80C7</stp>
        <tr r="G80" s="1"/>
      </tp>
      <tp>
        <v>0</v>
        <stp/>
        <stp>##V3_BDPV12</stp>
        <stp xml:space="preserve">24166 HK Equity     </stp>
        <stp>RT_PX_CHG_PCT_1D</stp>
        <stp>[XLSpdmV8.xls]XLSpdmV8!R71C7</stp>
        <tr r="G71" s="1"/>
      </tp>
      <tp>
        <v>8.8082899999999995</v>
        <stp/>
        <stp>##V3_BDPV12</stp>
        <stp xml:space="preserve">25660 HK Equity     </stp>
        <stp>RT_PX_CHG_PCT_1D</stp>
        <stp>[XLSpdmV8.xls]XLSpdmV8!R21C7</stp>
        <tr r="G21" s="1"/>
      </tp>
      <tp>
        <v>13.793100000000001</v>
        <stp/>
        <stp>##V3_BDPV12</stp>
        <stp xml:space="preserve">25712 HK Equity     </stp>
        <stp>RT_PX_CHG_PCT_1D</stp>
        <stp>[XLSpdmV8.xls]XLSpdmV8!R86C7</stp>
        <tr r="G86" s="1"/>
      </tp>
      <tp>
        <v>-10.447800000000001</v>
        <stp/>
        <stp>##V3_BDPV12</stp>
        <stp xml:space="preserve">26712 HK Equity     </stp>
        <stp>RT_PX_CHG_PCT_1D</stp>
        <stp>[XLSpdmV8.xls]XLSpdmV8!R36C7</stp>
        <tr r="G36" s="1"/>
      </tp>
      <tp t="s">
        <v>#N/A N/A</v>
        <stp/>
        <stp>##V3_BDPV12</stp>
        <stp xml:space="preserve">11062 HK Equity     </stp>
        <stp>ASK</stp>
        <stp>[XLSpdmV8.xls]XLSpdmV8!R3C11</stp>
        <tr r="K3" s="1"/>
      </tp>
      <tp>
        <v>0.01</v>
        <stp/>
        <stp>##V3_BDPV12</stp>
        <stp xml:space="preserve">25090 HK Equity     </stp>
        <stp>ASK</stp>
        <stp>[XLSpdmV8.xls]XLSpdmV8!R2C11</stp>
        <tr r="K2" s="1"/>
      </tp>
      <tp>
        <v>19600</v>
        <stp/>
        <stp>##V3_BDPV12</stp>
        <stp xml:space="preserve">11062 HK Equity     </stp>
        <stp>WRT_EXER_PX</stp>
        <stp>[XLSpdmV8.xls]XLSpdmV8!R3C2</stp>
        <tr r="B3" s="1"/>
      </tp>
      <tp t="s">
        <v>30/5/2016</v>
        <stp/>
        <stp>##V3_BDPV12</stp>
        <stp xml:space="preserve">11062 HK Equity     </stp>
        <stp>WRT_EXER_DT</stp>
        <stp>[XLSpdmV8.xls]XLSpdmV8!R3C4</stp>
        <tr r="D3" s="1"/>
      </tp>
      <tp t="s">
        <v>27/5/2016</v>
        <stp/>
        <stp>##V3_BDPV12</stp>
        <stp xml:space="preserve">23383 HK Equity     </stp>
        <stp>TIME</stp>
        <stp>[XLSpdmV8.xls]XLSpdmV8!R7C6</stp>
        <tr r="F7" s="1"/>
      </tp>
      <tp>
        <v>6.4000000000000001E-2</v>
        <stp/>
        <stp>##V3_BDPV12</stp>
        <stp xml:space="preserve">26511 HK Equity     </stp>
        <stp>BID</stp>
        <stp>[XLSpdmV8.xls]XLSpdmV8!R99C10</stp>
        <tr r="J99" s="1"/>
      </tp>
      <tp t="s">
        <v>#N/A N/A</v>
        <stp/>
        <stp>##V3_BDPV12</stp>
        <stp xml:space="preserve">20411 HK Equity     </stp>
        <stp>BID</stp>
        <stp>[XLSpdmV8.xls]XLSpdmV8!R61C10</stp>
        <tr r="J61" s="1"/>
      </tp>
      <tp>
        <v>9.7000000000000003E-2</v>
        <stp/>
        <stp>##V3_BDPV12</stp>
        <stp xml:space="preserve">25712 HK Equity     </stp>
        <stp>BID</stp>
        <stp>[XLSpdmV8.xls]XLSpdmV8!R86C10</stp>
        <tr r="J86" s="1"/>
      </tp>
      <tp>
        <v>0.06</v>
        <stp/>
        <stp>##V3_BDPV12</stp>
        <stp xml:space="preserve">26712 HK Equity     </stp>
        <stp>BID</stp>
        <stp>[XLSpdmV8.xls]XLSpdmV8!R36C10</stp>
        <tr r="J36" s="1"/>
      </tp>
      <tp>
        <v>0.17499999999999999</v>
        <stp/>
        <stp>##V3_BDPV12</stp>
        <stp xml:space="preserve">25915 HK Equity     </stp>
        <stp>BID</stp>
        <stp>[XLSpdmV8.xls]XLSpdmV8!R90C10</stp>
        <tr r="J90" s="1"/>
      </tp>
      <tp>
        <v>6.9000000000000006E-2</v>
        <stp/>
        <stp>##V3_BDPV12</stp>
        <stp xml:space="preserve">24315 HK Equity     </stp>
        <stp>BID</stp>
        <stp>[XLSpdmV8.xls]XLSpdmV8!R73C10</stp>
        <tr r="J73" s="1"/>
      </tp>
      <tp>
        <v>0.20499999999999999</v>
        <stp/>
        <stp>##V3_BDPV12</stp>
        <stp xml:space="preserve">26319 HK Equity     </stp>
        <stp>BID</stp>
        <stp>[XLSpdmV8.xls]XLSpdmV8!R95C10</stp>
        <tr r="J95" s="1"/>
      </tp>
      <tp>
        <v>0.191</v>
        <stp/>
        <stp>##V3_BDPV12</stp>
        <stp xml:space="preserve">25919 HK Equity     </stp>
        <stp>BID</stp>
        <stp>[XLSpdmV8.xls]XLSpdmV8!R24C10</stp>
        <tr r="J24" s="1"/>
      </tp>
      <tp>
        <v>0</v>
        <stp/>
        <stp>##V3_BDPV12</stp>
        <stp xml:space="preserve">19187 HK Equity     </stp>
        <stp>RT_PX_CHG_PCT_1D</stp>
        <stp>[XLSpdmV8.xls]XLSpdmV8!R60C7</stp>
        <tr r="G60" s="1"/>
      </tp>
      <tp>
        <v>-8.4506999999999994</v>
        <stp/>
        <stp>##V3_BDPV12</stp>
        <stp xml:space="preserve">26511 HK Equity     </stp>
        <stp>RT_PX_CHG_PCT_1D</stp>
        <stp>[XLSpdmV8.xls]XLSpdmV8!R99C7</stp>
        <tr r="G99" s="1"/>
      </tp>
      <tp>
        <v>0</v>
        <stp/>
        <stp>##V3_BDPV12</stp>
        <stp xml:space="preserve">26190 HK Equity     </stp>
        <stp>RT_PX_CHG_PCT_1D</stp>
        <stp>[XLSpdmV8.xls]XLSpdmV8!R31C7</stp>
        <tr r="G31" s="1"/>
      </tp>
      <tp>
        <v>0.10199999999999999</v>
        <stp/>
        <stp>##V3_BDPV12</stp>
        <stp xml:space="preserve">25600 HK Equity     </stp>
        <stp>BID</stp>
        <stp>[XLSpdmV8.xls]XLSpdmV8!R83C10</stp>
        <tr r="J83" s="1"/>
      </tp>
      <tp>
        <v>5.1999999999999998E-2</v>
        <stp/>
        <stp>##V3_BDPV12</stp>
        <stp xml:space="preserve">26704 HK Equity     </stp>
        <stp>BID</stp>
        <stp>[XLSpdmV8.xls]XLSpdmV8!R35C10</stp>
        <tr r="J35" s="1"/>
      </tp>
      <tp>
        <v>1.9E-2</v>
        <stp/>
        <stp>##V3_BDPV12</stp>
        <stp xml:space="preserve">24107 HK Equity     </stp>
        <stp>BID</stp>
        <stp>[XLSpdmV8.xls]XLSpdmV8!R11C10</stp>
        <tr r="J11" s="1"/>
      </tp>
      <tp>
        <v>0.19</v>
        <stp/>
        <stp>##V3_BDPV12</stp>
        <stp xml:space="preserve">27608 HK Equity     </stp>
        <stp>BID</stp>
        <stp>[XLSpdmV8.xls]XLSpdmV8!R51C10</stp>
        <tr r="J51" s="1"/>
      </tp>
      <tp>
        <v>1.4999999999999999E-2</v>
        <stp/>
        <stp>##V3_BDPV12</stp>
        <stp xml:space="preserve">24108 HK Equity     </stp>
        <stp>BID</stp>
        <stp>[XLSpdmV8.xls]XLSpdmV8!R70C10</stp>
        <tr r="J70" s="1"/>
      </tp>
      <tp t="s">
        <v>#N/A N/A</v>
        <stp/>
        <stp>##V3_BDPV12</stp>
        <stp xml:space="preserve">25909 HK Equity     </stp>
        <stp>BID</stp>
        <stp>[XLSpdmV8.xls]XLSpdmV8!R89C10</stp>
        <tr r="J89" s="1"/>
      </tp>
      <tp>
        <v>0.375</v>
        <stp/>
        <stp>##V3_BDPV12</stp>
        <stp xml:space="preserve">21009 HK Equity     </stp>
        <stp>BID</stp>
        <stp>[XLSpdmV8.xls]XLSpdmV8!R64C10</stp>
        <tr r="J64" s="1"/>
      </tp>
      <tp>
        <v>0</v>
        <stp/>
        <stp>##V3_BDPV12</stp>
        <stp xml:space="preserve">25909 HK Equity     </stp>
        <stp>RT_PX_CHG_PCT_1D</stp>
        <stp>[XLSpdmV8.xls]XLSpdmV8!R89C7</stp>
        <tr r="G89" s="1"/>
      </tp>
      <tp>
        <v>-9.3137299999999996</v>
        <stp/>
        <stp>##V3_BDPV12</stp>
        <stp xml:space="preserve">27594 HK Equity     </stp>
        <stp>RT_PX_CHG_PCT_1D</stp>
        <stp>[XLSpdmV8.xls]XLSpdmV8!R50C7</stp>
        <tr r="G50" s="1"/>
      </tp>
      <tp t="s">
        <v>27/5/2016</v>
        <stp/>
        <stp>##V3_BDPV12</stp>
        <stp xml:space="preserve">12276 HK Equity     </stp>
        <stp>TIME</stp>
        <stp>[XLSpdmV8.xls]XLSpdmV8!R4C6</stp>
        <tr r="F4" s="1"/>
      </tp>
      <tp>
        <v>0.152</v>
        <stp/>
        <stp>##V3_BDPV12</stp>
        <stp xml:space="preserve">24830 HK Equity     </stp>
        <stp>BID</stp>
        <stp>[XLSpdmV8.xls]XLSpdmV8!R16C10</stp>
        <tr r="J16" s="1"/>
      </tp>
      <tp>
        <v>0.222</v>
        <stp/>
        <stp>##V3_BDPV12</stp>
        <stp xml:space="preserve">24831 HK Equity     </stp>
        <stp>BID</stp>
        <stp>[XLSpdmV8.xls]XLSpdmV8!R76C10</stp>
        <tr r="J76" s="1"/>
      </tp>
      <tp t="s">
        <v>#N/A N/A</v>
        <stp/>
        <stp>##V3_BDPV12</stp>
        <stp xml:space="preserve">20537 HK Equity     </stp>
        <stp>BID</stp>
        <stp>[XLSpdmV8.xls]XLSpdmV8!R62C10</stp>
        <tr r="J62" s="1"/>
      </tp>
      <tp t="s">
        <v>#N/A N/A</v>
        <stp/>
        <stp>##V3_BDPV12</stp>
        <stp xml:space="preserve">24137 HK Equity     </stp>
        <stp>BID</stp>
        <stp>[XLSpdmV8.xls]XLSpdmV8!R12C10</stp>
        <tr r="J12" s="1"/>
      </tp>
      <tp>
        <v>6.7000000000000004E-2</v>
        <stp/>
        <stp>##V3_BDPV12</stp>
        <stp xml:space="preserve">27438 HK Equity     </stp>
        <stp>BID</stp>
        <stp>[XLSpdmV8.xls]XLSpdmV8!R48C10</stp>
        <tr r="J48" s="1"/>
      </tp>
      <tp>
        <v>0.17100000000000001</v>
        <stp/>
        <stp>##V3_BDPV12</stp>
        <stp xml:space="preserve">23538 HK Equity     </stp>
        <stp>BID</stp>
        <stp>[XLSpdmV8.xls]XLSpdmV8!R69C10</stp>
        <tr r="J69" s="1"/>
      </tp>
      <tp>
        <v>0.06</v>
        <stp/>
        <stp>##V3_BDPV12</stp>
        <stp xml:space="preserve">26939 HK Equity     </stp>
        <stp>BID</stp>
        <stp>[XLSpdmV8.xls]XLSpdmV8!R42C10</stp>
        <tr r="J42" s="1"/>
      </tp>
      <tp>
        <v>-7.9365100000000002</v>
        <stp/>
        <stp>##V3_BDPV12</stp>
        <stp xml:space="preserve">23538 HK Equity     </stp>
        <stp>RT_PX_CHG_PCT_1D</stp>
        <stp>[XLSpdmV8.xls]XLSpdmV8!R69C7</stp>
        <tr r="G69" s="1"/>
      </tp>
      <tp>
        <v>13.333299999999999</v>
        <stp/>
        <stp>##V3_BDPV12</stp>
        <stp xml:space="preserve">23522 HK Equity     </stp>
        <stp>RT_PX_CHG_PCT_1D</stp>
        <stp>[XLSpdmV8.xls]XLSpdmV8!R68C7</stp>
        <tr r="G68" s="1"/>
      </tp>
      <tp>
        <v>5.2999999999999999E-2</v>
        <stp/>
        <stp>##V3_BDPV12</stp>
        <stp xml:space="preserve">26121 HK Equity     </stp>
        <stp>BID</stp>
        <stp>[XLSpdmV8.xls]XLSpdmV8!R92C10</stp>
        <tr r="J92" s="1"/>
      </tp>
      <tp t="s">
        <v>#N/A N/A</v>
        <stp/>
        <stp>##V3_BDPV12</stp>
        <stp xml:space="preserve">26921 HK Equity     </stp>
        <stp>BID</stp>
        <stp>[XLSpdmV8.xls]XLSpdmV8!R41C10</stp>
        <tr r="J41" s="1"/>
      </tp>
      <tp t="s">
        <v>#N/A N/A</v>
        <stp/>
        <stp>##V3_BDPV12</stp>
        <stp xml:space="preserve">25722 HK Equity     </stp>
        <stp>BID</stp>
        <stp>[XLSpdmV8.xls]XLSpdmV8!R23C10</stp>
        <tr r="J23" s="1"/>
      </tp>
      <tp>
        <v>5.0999999999999997E-2</v>
        <stp/>
        <stp>##V3_BDPV12</stp>
        <stp xml:space="preserve">22822 HK Equity     </stp>
        <stp>BID</stp>
        <stp>[XLSpdmV8.xls]XLSpdmV8!R66C10</stp>
        <tr r="J66" s="1"/>
      </tp>
      <tp t="s">
        <v>#N/A N/A</v>
        <stp/>
        <stp>##V3_BDPV12</stp>
        <stp xml:space="preserve">23522 HK Equity     </stp>
        <stp>BID</stp>
        <stp>[XLSpdmV8.xls]XLSpdmV8!R68C10</stp>
        <tr r="J68" s="1"/>
      </tp>
      <tp t="s">
        <v>#N/A N/A</v>
        <stp/>
        <stp>##V3_BDPV12</stp>
        <stp xml:space="preserve">25625 HK Equity     </stp>
        <stp>BID</stp>
        <stp>[XLSpdmV8.xls]XLSpdmV8!R20C10</stp>
        <tr r="J20" s="1"/>
      </tp>
      <tp>
        <v>0.128</v>
        <stp/>
        <stp>##V3_BDPV12</stp>
        <stp xml:space="preserve">24425 HK Equity     </stp>
        <stp>BID</stp>
        <stp>[XLSpdmV8.xls]XLSpdmV8!R14C10</stp>
        <tr r="J14" s="1"/>
      </tp>
      <tp>
        <v>6.4000000000000001E-2</v>
        <stp/>
        <stp>##V3_BDPV12</stp>
        <stp xml:space="preserve">26225 HK Equity     </stp>
        <stp>BID</stp>
        <stp>[XLSpdmV8.xls]XLSpdmV8!R32C10</stp>
        <tr r="J32" s="1"/>
      </tp>
      <tp>
        <v>8.4000000000000005E-2</v>
        <stp/>
        <stp>##V3_BDPV12</stp>
        <stp xml:space="preserve">25326 HK Equity     </stp>
        <stp>BID</stp>
        <stp>[XLSpdmV8.xls]XLSpdmV8!R79C10</stp>
        <tr r="J79" s="1"/>
      </tp>
      <tp>
        <v>0.17899999999999999</v>
        <stp/>
        <stp>##V3_BDPV12</stp>
        <stp xml:space="preserve">24427 HK Equity     </stp>
        <stp>BID</stp>
        <stp>[XLSpdmV8.xls]XLSpdmV8!R74C10</stp>
        <tr r="J74" s="1"/>
      </tp>
      <tp t="s">
        <v>#N/A N/A</v>
        <stp/>
        <stp>##V3_BDPV12</stp>
        <stp xml:space="preserve">27828 HK Equity     </stp>
        <stp>BID</stp>
        <stp>[XLSpdmV8.xls]XLSpdmV8!R53C10</stp>
        <tr r="J53" s="1"/>
      </tp>
      <tp>
        <v>-11.764699999999999</v>
        <stp/>
        <stp>##V3_BDPV12</stp>
        <stp xml:space="preserve">25698 HK Equity     </stp>
        <stp>RT_PX_CHG_PCT_1D</stp>
        <stp>[XLSpdmV8.xls]XLSpdmV8!R22C7</stp>
        <tr r="G22" s="1"/>
      </tp>
      <tp>
        <v>6.3492100000000002</v>
        <stp/>
        <stp>##V3_BDPV12</stp>
        <stp xml:space="preserve">27438 HK Equity     </stp>
        <stp>RT_PX_CHG_PCT_1D</stp>
        <stp>[XLSpdmV8.xls]XLSpdmV8!R48C7</stp>
        <tr r="G48" s="1"/>
      </tp>
      <tp>
        <v>18.75</v>
        <stp/>
        <stp>##V3_BDPV12</stp>
        <stp xml:space="preserve">26488 HK Equity     </stp>
        <stp>RT_PX_CHG_PCT_1D</stp>
        <stp>[XLSpdmV8.xls]XLSpdmV8!R33C7</stp>
        <tr r="G33" s="1"/>
      </tp>
      <tp t="s">
        <v>#N/A N/A</v>
        <stp/>
        <stp>##V3_BDPV12</stp>
        <stp xml:space="preserve">20588 HK Equity     </stp>
        <stp>RT_PX_CHG_PCT_1D</stp>
        <stp>[XLSpdmV8.xls]XLSpdmV8!R63C7</stp>
        <tr r="G63" s="1"/>
      </tp>
      <tp>
        <v>14.583299999999999</v>
        <stp/>
        <stp>##V3_BDPV12</stp>
        <stp xml:space="preserve">26987 HK Equity     </stp>
        <stp>RT_PX_CHG_PCT_1D</stp>
        <stp>[XLSpdmV8.xls]XLSpdmV8!R43C7</stp>
        <tr r="G43" s="1"/>
      </tp>
      <tp>
        <v>20.833300000000001</v>
        <stp/>
        <stp>##V3_BDPV12</stp>
        <stp xml:space="preserve">25326 HK Equity     </stp>
        <stp>RT_PX_CHG_PCT_1D</stp>
        <stp>[XLSpdmV8.xls]XLSpdmV8!R79C7</stp>
        <tr r="G79" s="1"/>
      </tp>
      <tp>
        <v>0.111</v>
        <stp/>
        <stp>##V3_BDPV12</stp>
        <stp xml:space="preserve">24451 HK Equity     </stp>
        <stp>BID</stp>
        <stp>[XLSpdmV8.xls]XLSpdmV8!R56C10</stp>
        <tr r="J56" s="1"/>
      </tp>
      <tp>
        <v>3.5999999999999997E-2</v>
        <stp/>
        <stp>##V3_BDPV12</stp>
        <stp xml:space="preserve">26052 HK Equity     </stp>
        <stp>BID</stp>
        <stp>[XLSpdmV8.xls]XLSpdmV8!R28C10</stp>
        <tr r="J28" s="1"/>
      </tp>
      <tp t="s">
        <v>#N/A N/A</v>
        <stp/>
        <stp>##V3_BDPV12</stp>
        <stp xml:space="preserve">18856 HK Equity     </stp>
        <stp>BID</stp>
        <stp>[XLSpdmV8.xls]XLSpdmV8!R59C10</stp>
        <tr r="J59" s="1"/>
      </tp>
      <tp>
        <v>6.0999999999999999E-2</v>
        <stp/>
        <stp>##V3_BDPV12</stp>
        <stp xml:space="preserve">27157 HK Equity     </stp>
        <stp>BID</stp>
        <stp>[XLSpdmV8.xls]XLSpdmV8!R44C10</stp>
        <tr r="J44" s="1"/>
      </tp>
      <tp>
        <v>7.1999999999999995E-2</v>
        <stp/>
        <stp>##V3_BDPV12</stp>
        <stp xml:space="preserve">25959 HK Equity     </stp>
        <stp>BID</stp>
        <stp>[XLSpdmV8.xls]XLSpdmV8!R91C10</stp>
        <tr r="J91" s="1"/>
      </tp>
      <tp>
        <v>-8.1081099999999999</v>
        <stp/>
        <stp>##V3_BDPV12</stp>
        <stp xml:space="preserve">25548 HK Equity     </stp>
        <stp>RT_PX_CHG_PCT_1D</stp>
        <stp>[XLSpdmV8.xls]XLSpdmV8!R18C7</stp>
        <tr r="G18" s="1"/>
      </tp>
      <tp>
        <v>0</v>
        <stp/>
        <stp>##V3_BDPV12</stp>
        <stp xml:space="preserve">18856 HK Equity     </stp>
        <stp>RT_PX_CHG_PCT_1D</stp>
        <stp>[XLSpdmV8.xls]XLSpdmV8!R59C7</stp>
        <tr r="G59" s="1"/>
      </tp>
      <tp>
        <v>-3.125</v>
        <stp/>
        <stp>##V3_BDPV12</stp>
        <stp xml:space="preserve">26444 HK Equity     </stp>
        <stp>RT_PX_CHG_PCT_1D</stp>
        <stp>[XLSpdmV8.xls]XLSpdmV8!R98C7</stp>
        <tr r="G98" s="1"/>
      </tp>
      <tp t="s">
        <v>#N/A N/A</v>
        <stp/>
        <stp>##V3_BDPV12</stp>
        <stp xml:space="preserve">26143 HK Equity     </stp>
        <stp>BID</stp>
        <stp>[XLSpdmV8.xls]XLSpdmV8!R30C10</stp>
        <tr r="J30" s="1"/>
      </tp>
      <tp>
        <v>2.9000000000000001E-2</v>
        <stp/>
        <stp>##V3_BDPV12</stp>
        <stp xml:space="preserve">26444 HK Equity     </stp>
        <stp>BID</stp>
        <stp>[XLSpdmV8.xls]XLSpdmV8!R98C10</stp>
        <tr r="J98" s="1"/>
      </tp>
      <tp>
        <v>2.9000000000000001E-2</v>
        <stp/>
        <stp>##V3_BDPV12</stp>
        <stp xml:space="preserve">25946 HK Equity     </stp>
        <stp>BID</stp>
        <stp>[XLSpdmV8.xls]XLSpdmV8!R25C10</stp>
        <tr r="J25" s="1"/>
      </tp>
      <tp>
        <v>4.9000000000000002E-2</v>
        <stp/>
        <stp>##V3_BDPV12</stp>
        <stp xml:space="preserve">26147 HK Equity     </stp>
        <stp>BID</stp>
        <stp>[XLSpdmV8.xls]XLSpdmV8!R93C10</stp>
        <tr r="J93" s="1"/>
      </tp>
      <tp>
        <v>1.7999999999999999E-2</v>
        <stp/>
        <stp>##V3_BDPV12</stp>
        <stp xml:space="preserve">25447 HK Equity     </stp>
        <stp>BID</stp>
        <stp>[XLSpdmV8.xls]XLSpdmV8!R17C10</stp>
        <tr r="J17" s="1"/>
      </tp>
      <tp>
        <v>8.5999999999999993E-2</v>
        <stp/>
        <stp>##V3_BDPV12</stp>
        <stp xml:space="preserve">26747 HK Equity     </stp>
        <stp>BID</stp>
        <stp>[XLSpdmV8.xls]XLSpdmV8!R37C10</stp>
        <tr r="J37" s="1"/>
      </tp>
      <tp>
        <v>6.7000000000000004E-2</v>
        <stp/>
        <stp>##V3_BDPV12</stp>
        <stp xml:space="preserve">25548 HK Equity     </stp>
        <stp>BID</stp>
        <stp>[XLSpdmV8.xls]XLSpdmV8!R18C10</stp>
        <tr r="J18" s="1"/>
      </tp>
      <tp>
        <v>6.8000000000000005E-2</v>
        <stp/>
        <stp>##V3_BDPV12</stp>
        <stp xml:space="preserve">26849 HK Equity     </stp>
        <stp>BID</stp>
        <stp>[XLSpdmV8.xls]XLSpdmV8!R40C10</stp>
        <tr r="J40" s="1"/>
      </tp>
      <tp>
        <v>0</v>
        <stp/>
        <stp>##V3_BDPV12</stp>
        <stp xml:space="preserve">24688 HK Equity     </stp>
        <stp>RT_PX_CHG_PCT_1D</stp>
        <stp>[XLSpdmV8.xls]XLSpdmV8!R75C7</stp>
        <tr r="G75" s="1"/>
      </tp>
      <tp>
        <v>-19.718299999999999</v>
        <stp/>
        <stp>##V3_BDPV12</stp>
        <stp xml:space="preserve">24684 HK Equity     </stp>
        <stp>RT_PX_CHG_PCT_1D</stp>
        <stp>[XLSpdmV8.xls]XLSpdmV8!R15C7</stp>
        <tr r="G15" s="1"/>
      </tp>
      <tp t="s">
        <v>#N/A N/A</v>
        <stp/>
        <stp>##V3_BDPV12</stp>
        <stp xml:space="preserve">27894 HK Equity     </stp>
        <stp>RT_PX_CHG_PCT_1D</stp>
        <stp>[XLSpdmV8.xls]XLSpdmV8!R54C7</stp>
        <tr r="G54" s="1"/>
      </tp>
      <tp>
        <v>0</v>
        <stp/>
        <stp>##V3_BDPV12</stp>
        <stp xml:space="preserve">26191 HK Equity     </stp>
        <stp>RT_PX_CHG_PCT_1D</stp>
        <stp>[XLSpdmV8.xls]XLSpdmV8!R94C7</stp>
        <tr r="G94" s="1"/>
      </tp>
      <tp>
        <v>-11.6279</v>
        <stp/>
        <stp>##V3_BDPV12</stp>
        <stp xml:space="preserve">26052 HK Equity     </stp>
        <stp>RT_PX_CHG_PCT_1D</stp>
        <stp>[XLSpdmV8.xls]XLSpdmV8!R28C7</stp>
        <tr r="G28" s="1"/>
      </tp>
      <tp t="s">
        <v>27/5/2016</v>
        <stp/>
        <stp>##V3_BDPV12</stp>
        <stp xml:space="preserve">25090 HK Equity     </stp>
        <stp>TIME</stp>
        <stp>[XLSpdmV8.xls]XLSpdmV8!R2C6</stp>
        <tr r="F2" s="1"/>
      </tp>
      <tp>
        <v>0.05</v>
        <stp/>
        <stp>##V3_BDPV12</stp>
        <stp xml:space="preserve">25270 HK Equity     </stp>
        <stp>BID</stp>
        <stp>[XLSpdmV8.xls]XLSpdmV8!R78C10</stp>
        <tr r="J78" s="1"/>
      </tp>
      <tp t="s">
        <v>#N/A N/A</v>
        <stp/>
        <stp>##V3_BDPV12</stp>
        <stp xml:space="preserve">23970 HK Equity     </stp>
        <stp>BID</stp>
        <stp>[XLSpdmV8.xls]XLSpdmV8!R55C10</stp>
        <tr r="J55" s="1"/>
      </tp>
      <tp>
        <v>7.2999999999999995E-2</v>
        <stp/>
        <stp>##V3_BDPV12</stp>
        <stp xml:space="preserve">25473 HK Equity     </stp>
        <stp>BID</stp>
        <stp>[XLSpdmV8.xls]XLSpdmV8!R81C10</stp>
        <tr r="J81" s="1"/>
      </tp>
      <tp t="s">
        <v>#N/A N/A</v>
        <stp/>
        <stp>##V3_BDPV12</stp>
        <stp xml:space="preserve">19187 HK Equity     </stp>
        <stp>ASK</stp>
        <stp>[XLSpdmV8.xls]XLSpdmV8!R60C11</stp>
        <tr r="K60" s="1"/>
      </tp>
      <tp>
        <v>5.8999999999999997E-2</v>
        <stp/>
        <stp>##V3_BDPV12</stp>
        <stp xml:space="preserve">24684 HK Equity     </stp>
        <stp>ASK</stp>
        <stp>[XLSpdmV8.xls]XLSpdmV8!R15C11</stp>
        <tr r="K15" s="1"/>
      </tp>
      <tp>
        <v>0.219</v>
        <stp/>
        <stp>##V3_BDPV12</stp>
        <stp xml:space="preserve">25984 HK Equity     </stp>
        <stp>ASK</stp>
        <stp>[XLSpdmV8.xls]XLSpdmV8!R26C11</stp>
        <tr r="K26" s="1"/>
      </tp>
      <tp t="s">
        <v>#N/A N/A</v>
        <stp/>
        <stp>##V3_BDPV12</stp>
        <stp xml:space="preserve">23975 HK Equity     </stp>
        <stp>BID</stp>
        <stp>[XLSpdmV8.xls]XLSpdmV8!R10C10</stp>
        <tr r="J10" s="1"/>
      </tp>
      <tp t="s">
        <v>#N/A N/A</v>
        <stp/>
        <stp>##V3_BDPV12</stp>
        <stp xml:space="preserve">21875 HK Equity     </stp>
        <stp>BID</stp>
        <stp>[XLSpdmV8.xls]XLSpdmV8!R65C10</stp>
        <tr r="J65" s="1"/>
      </tp>
      <tp t="s">
        <v>#N/A N/A</v>
        <stp/>
        <stp>##V3_BDPV12</stp>
        <stp xml:space="preserve">25376 HK Equity     </stp>
        <stp>BID</stp>
        <stp>[XLSpdmV8.xls]XLSpdmV8!R80C10</stp>
        <tr r="J80" s="1"/>
      </tp>
      <tp>
        <v>0.14399999999999999</v>
        <stp/>
        <stp>##V3_BDPV12</stp>
        <stp xml:space="preserve">27286 HK Equity     </stp>
        <stp>ASK</stp>
        <stp>[XLSpdmV8.xls]XLSpdmV8!R46C11</stp>
        <tr r="K46" s="1"/>
      </tp>
      <tp>
        <v>1.4E-2</v>
        <stp/>
        <stp>##V3_BDPV12</stp>
        <stp xml:space="preserve">24376 HK Equity     </stp>
        <stp>BID</stp>
        <stp>[XLSpdmV8.xls]XLSpdmV8!R13C10</stp>
        <tr r="J13" s="1"/>
      </tp>
      <tp t="s">
        <v>#N/A N/A</v>
        <stp/>
        <stp>##V3_BDPV12</stp>
        <stp xml:space="preserve">25787 HK Equity     </stp>
        <stp>ASK</stp>
        <stp>[XLSpdmV8.xls]XLSpdmV8!R87C11</stp>
        <tr r="K87" s="1"/>
      </tp>
      <tp t="s">
        <v>#N/A N/A</v>
        <stp/>
        <stp>##V3_BDPV12</stp>
        <stp xml:space="preserve">27177 HK Equity     </stp>
        <stp>BID</stp>
        <stp>[XLSpdmV8.xls]XLSpdmV8!R45C10</stp>
        <tr r="J45" s="1"/>
      </tp>
      <tp>
        <v>5.5E-2</v>
        <stp/>
        <stp>##V3_BDPV12</stp>
        <stp xml:space="preserve">26987 HK Equity     </stp>
        <stp>ASK</stp>
        <stp>[XLSpdmV8.xls]XLSpdmV8!R43C11</stp>
        <tr r="K43" s="1"/>
      </tp>
      <tp t="s">
        <v>#N/A N/A</v>
        <stp/>
        <stp>##V3_BDPV12</stp>
        <stp xml:space="preserve">23287 HK Equity     </stp>
        <stp>ASK</stp>
        <stp>[XLSpdmV8.xls]XLSpdmV8!R67C11</stp>
        <tr r="K67" s="1"/>
      </tp>
      <tp>
        <v>0.01</v>
        <stp/>
        <stp>##V3_BDPV12</stp>
        <stp xml:space="preserve">24688 HK Equity     </stp>
        <stp>ASK</stp>
        <stp>[XLSpdmV8.xls]XLSpdmV8!R75C11</stp>
        <tr r="K75" s="1"/>
      </tp>
      <tp>
        <v>5.7000000000000002E-2</v>
        <stp/>
        <stp>##V3_BDPV12</stp>
        <stp xml:space="preserve">26488 HK Equity     </stp>
        <stp>ASK</stp>
        <stp>[XLSpdmV8.xls]XLSpdmV8!R33C11</stp>
        <tr r="K33" s="1"/>
      </tp>
      <tp>
        <v>8.7999999999999995E-2</v>
        <stp/>
        <stp>##V3_BDPV12</stp>
        <stp xml:space="preserve">26788 HK Equity     </stp>
        <stp>ASK</stp>
        <stp>[XLSpdmV8.xls]XLSpdmV8!R39C11</stp>
        <tr r="K39" s="1"/>
      </tp>
      <tp t="s">
        <v>#N/A N/A</v>
        <stp/>
        <stp>##V3_BDPV12</stp>
        <stp xml:space="preserve">20588 HK Equity     </stp>
        <stp>ASK</stp>
        <stp>[XLSpdmV8.xls]XLSpdmV8!R63C11</stp>
        <tr r="K63" s="1"/>
      </tp>
      <tp>
        <v>5.8999999999999997E-2</v>
        <stp/>
        <stp>##V3_BDPV12</stp>
        <stp xml:space="preserve">25579 HK Equity     </stp>
        <stp>BID</stp>
        <stp>[XLSpdmV8.xls]XLSpdmV8!R82C10</stp>
        <tr r="J82" s="1"/>
      </tp>
      <tp t="s">
        <v>#N/A N/A</v>
        <stp/>
        <stp>##V3_BDPV12</stp>
        <stp xml:space="preserve">25679 HK Equity     </stp>
        <stp>BID</stp>
        <stp>[XLSpdmV8.xls]XLSpdmV8!R85C10</stp>
        <tr r="J85" s="1"/>
      </tp>
      <tp>
        <v>-9.0909099999999992</v>
        <stp/>
        <stp>##V3_BDPV12</stp>
        <stp xml:space="preserve">26399 HK Equity     </stp>
        <stp>RT_PX_CHG_PCT_1D</stp>
        <stp>[XLSpdmV8.xls]XLSpdmV8!R97C7</stp>
        <tr r="G97" s="1"/>
      </tp>
      <tp>
        <v>-2.9850699999999999</v>
        <stp/>
        <stp>##V3_BDPV12</stp>
        <stp xml:space="preserve">22799 HK Equity     </stp>
        <stp>RT_PX_CHG_PCT_1D</stp>
        <stp>[XLSpdmV8.xls]XLSpdmV8!R57C7</stp>
        <tr r="G57" s="1"/>
      </tp>
      <tp>
        <v>0</v>
        <stp/>
        <stp>##V3_BDPV12</stp>
        <stp xml:space="preserve">11069 HK Equity     </stp>
        <stp>RT_PX_CHG_PCT_1D</stp>
        <stp>[XLSpdmV8.xls]XLSpdmV8!R58C7</stp>
        <tr r="G58" s="1"/>
      </tp>
      <tp>
        <v>-21.739100000000001</v>
        <stp/>
        <stp>##V3_BDPV12</stp>
        <stp xml:space="preserve">25195 HK Equity     </stp>
        <stp>RT_PX_CHG_PCT_1D</stp>
        <stp>[XLSpdmV8.xls]XLSpdmV8!R77C7</stp>
        <tr r="G77" s="1"/>
      </tp>
      <tp>
        <v>6.4356400000000002</v>
        <stp/>
        <stp>##V3_BDPV12</stp>
        <stp xml:space="preserve">25984 HK Equity     </stp>
        <stp>RT_PX_CHG_PCT_1D</stp>
        <stp>[XLSpdmV8.xls]XLSpdmV8!R26C7</stp>
        <tr r="G26" s="1"/>
      </tp>
      <tp>
        <v>-9.375</v>
        <stp/>
        <stp>##V3_BDPV12</stp>
        <stp xml:space="preserve">25994 HK Equity     </stp>
        <stp>RT_PX_CHG_PCT_1D</stp>
        <stp>[XLSpdmV8.xls]XLSpdmV8!R27C7</stp>
        <tr r="G27" s="1"/>
      </tp>
      <tp>
        <v>-17.391300000000001</v>
        <stp/>
        <stp>##V3_BDPV12</stp>
        <stp xml:space="preserve">26764 HK Equity     </stp>
        <stp>RT_PX_CHG_PCT_1D</stp>
        <stp>[XLSpdmV8.xls]XLSpdmV8!R38C7</stp>
        <tr r="G38" s="1"/>
      </tp>
      <tp>
        <v>12.5984</v>
        <stp/>
        <stp>##V3_BDPV12</stp>
        <stp xml:space="preserve">27286 HK Equity     </stp>
        <stp>RT_PX_CHG_PCT_1D</stp>
        <stp>[XLSpdmV8.xls]XLSpdmV8!R46C7</stp>
        <tr r="G46" s="1"/>
      </tp>
      <tp>
        <v>0.01</v>
        <stp/>
        <stp>##V3_BDPV12</stp>
        <stp xml:space="preserve">14950 HK Equity     </stp>
        <stp>ASK</stp>
        <stp>[XLSpdmV8.xls]XLSpdmV8!R5C11</stp>
        <tr r="K5" s="1"/>
      </tp>
      <tp>
        <v>22000</v>
        <stp/>
        <stp>##V3_BDPV12</stp>
        <stp xml:space="preserve">23517 HK Equity     </stp>
        <stp>WRT_EXER_PX</stp>
        <stp>[XLSpdmV8.xls]XLSpdmV8!R8C2</stp>
        <tr r="B8" s="1"/>
      </tp>
      <tp t="s">
        <v>29/6/2016</v>
        <stp/>
        <stp>##V3_BDPV12</stp>
        <stp xml:space="preserve">23517 HK Equity     </stp>
        <stp>WRT_EXER_DT</stp>
        <stp>[XLSpdmV8.xls]XLSpdmV8!R8C4</stp>
        <tr r="D8" s="1"/>
      </tp>
      <tp t="s">
        <v>27/5/2016</v>
        <stp/>
        <stp>##V3_BDPV12</stp>
        <stp xml:space="preserve">20513 HK Equity     </stp>
        <stp>TIME</stp>
        <stp>[XLSpdmV8.xls]XLSpdmV8!R6C6</stp>
        <tr r="F6" s="1"/>
      </tp>
      <tp t="s">
        <v>27/5/2016</v>
        <stp/>
        <stp>##V3_BDPV12</stp>
        <stp xml:space="preserve">11062 HK Equity     </stp>
        <stp>TIME</stp>
        <stp>[XLSpdmV8.xls]XLSpdmV8!R3C6</stp>
        <tr r="F3" s="1"/>
      </tp>
      <tp>
        <v>0.192</v>
        <stp/>
        <stp>##V3_BDPV12</stp>
        <stp xml:space="preserve">26390 HK Equity     </stp>
        <stp>ASK</stp>
        <stp>[XLSpdmV8.xls]XLSpdmV8!R96C11</stp>
        <tr r="K96" s="1"/>
      </tp>
      <tp>
        <v>0.14199999999999999</v>
        <stp/>
        <stp>##V3_BDPV12</stp>
        <stp xml:space="preserve">27360 HK Equity     </stp>
        <stp>BID</stp>
        <stp>[XLSpdmV8.xls]XLSpdmV8!R47C10</stp>
        <tr r="J47" s="1"/>
      </tp>
      <tp>
        <v>0.20899999999999999</v>
        <stp/>
        <stp>##V3_BDPV12</stp>
        <stp xml:space="preserve">25660 HK Equity     </stp>
        <stp>BID</stp>
        <stp>[XLSpdmV8.xls]XLSpdmV8!R21C10</stp>
        <tr r="J21" s="1"/>
      </tp>
      <tp t="s">
        <v>#N/A N/A</v>
        <stp/>
        <stp>##V3_BDPV12</stp>
        <stp xml:space="preserve">26190 HK Equity     </stp>
        <stp>ASK</stp>
        <stp>[XLSpdmV8.xls]XLSpdmV8!R31C11</stp>
        <tr r="K31" s="1"/>
      </tp>
      <tp t="s">
        <v>#N/A N/A</v>
        <stp/>
        <stp>##V3_BDPV12</stp>
        <stp xml:space="preserve">26191 HK Equity     </stp>
        <stp>ASK</stp>
        <stp>[XLSpdmV8.xls]XLSpdmV8!R94C11</stp>
        <tr r="K94" s="1"/>
      </tp>
      <tp>
        <v>0.16200000000000001</v>
        <stp/>
        <stp>##V3_BDPV12</stp>
        <stp xml:space="preserve">25662 HK Equity     </stp>
        <stp>BID</stp>
        <stp>[XLSpdmV8.xls]XLSpdmV8!R84C10</stp>
        <tr r="J84" s="1"/>
      </tp>
      <tp>
        <v>1.2E-2</v>
        <stp/>
        <stp>##V3_BDPV12</stp>
        <stp xml:space="preserve">24262 HK Equity     </stp>
        <stp>BID</stp>
        <stp>[XLSpdmV8.xls]XLSpdmV8!R72C10</stp>
        <tr r="J72" s="1"/>
      </tp>
      <tp>
        <v>0.16</v>
        <stp/>
        <stp>##V3_BDPV12</stp>
        <stp xml:space="preserve">26092 HK Equity     </stp>
        <stp>ASK</stp>
        <stp>[XLSpdmV8.xls]XLSpdmV8!R29C11</stp>
        <tr r="K29" s="1"/>
      </tp>
      <tp>
        <v>0.186</v>
        <stp/>
        <stp>##V3_BDPV12</stp>
        <stp xml:space="preserve">27594 HK Equity     </stp>
        <stp>ASK</stp>
        <stp>[XLSpdmV8.xls]XLSpdmV8!R50C11</stp>
        <tr r="K50" s="1"/>
      </tp>
      <tp>
        <v>6.9000000000000006E-2</v>
        <stp/>
        <stp>##V3_BDPV12</stp>
        <stp xml:space="preserve">27894 HK Equity     </stp>
        <stp>ASK</stp>
        <stp>[XLSpdmV8.xls]XLSpdmV8!R54C11</stp>
        <tr r="K54" s="1"/>
      </tp>
      <tp>
        <v>1.7999999999999999E-2</v>
        <stp/>
        <stp>##V3_BDPV12</stp>
        <stp xml:space="preserve">26764 HK Equity     </stp>
        <stp>BID</stp>
        <stp>[XLSpdmV8.xls]XLSpdmV8!R38C10</stp>
        <tr r="J38" s="1"/>
      </tp>
      <tp>
        <v>3.1E-2</v>
        <stp/>
        <stp>##V3_BDPV12</stp>
        <stp xml:space="preserve">25994 HK Equity     </stp>
        <stp>ASK</stp>
        <stp>[XLSpdmV8.xls]XLSpdmV8!R27C11</stp>
        <tr r="K27" s="1"/>
      </tp>
      <tp>
        <v>0.20899999999999999</v>
        <stp/>
        <stp>##V3_BDPV12</stp>
        <stp xml:space="preserve">27465 HK Equity     </stp>
        <stp>BID</stp>
        <stp>[XLSpdmV8.xls]XLSpdmV8!R49C10</stp>
        <tr r="J49" s="1"/>
      </tp>
      <tp>
        <v>3.5000000000000003E-2</v>
        <stp/>
        <stp>##V3_BDPV12</stp>
        <stp xml:space="preserve">25195 HK Equity     </stp>
        <stp>ASK</stp>
        <stp>[XLSpdmV8.xls]XLSpdmV8!R77C11</stp>
        <tr r="K77" s="1"/>
      </tp>
      <tp>
        <v>0.19700000000000001</v>
        <stp/>
        <stp>##V3_BDPV12</stp>
        <stp xml:space="preserve">27666 HK Equity     </stp>
        <stp>BID</stp>
        <stp>[XLSpdmV8.xls]XLSpdmV8!R52C10</stp>
        <tr r="J52" s="1"/>
      </tp>
      <tp t="s">
        <v>#N/A N/A</v>
        <stp/>
        <stp>##V3_BDPV12</stp>
        <stp xml:space="preserve">24166 HK Equity     </stp>
        <stp>BID</stp>
        <stp>[XLSpdmV8.xls]XLSpdmV8!R71C10</stp>
        <tr r="J71" s="1"/>
      </tp>
      <tp t="s">
        <v>#N/A N/A</v>
        <stp/>
        <stp>##V3_BDPV12</stp>
        <stp xml:space="preserve">25898 HK Equity     </stp>
        <stp>ASK</stp>
        <stp>[XLSpdmV8.xls]XLSpdmV8!R88C11</stp>
        <tr r="K88" s="1"/>
      </tp>
      <tp t="s">
        <v>#N/A N/A</v>
        <stp/>
        <stp>##V3_BDPV12</stp>
        <stp xml:space="preserve">26668 HK Equity     </stp>
        <stp>BID</stp>
        <stp>[XLSpdmV8.xls]XLSpdmV8!R34C10</stp>
        <tr r="J34" s="1"/>
      </tp>
      <tp>
        <v>4.5999999999999999E-2</v>
        <stp/>
        <stp>##V3_BDPV12</stp>
        <stp xml:space="preserve">25698 HK Equity     </stp>
        <stp>ASK</stp>
        <stp>[XLSpdmV8.xls]XLSpdmV8!R22C11</stp>
        <tr r="K22" s="1"/>
      </tp>
      <tp>
        <v>3.1E-2</v>
        <stp/>
        <stp>##V3_BDPV12</stp>
        <stp xml:space="preserve">26399 HK Equity     </stp>
        <stp>ASK</stp>
        <stp>[XLSpdmV8.xls]XLSpdmV8!R97C11</stp>
        <tr r="K97" s="1"/>
      </tp>
      <tp>
        <v>7.8E-2</v>
        <stp/>
        <stp>##V3_BDPV12</stp>
        <stp xml:space="preserve">25599 HK Equity     </stp>
        <stp>ASK</stp>
        <stp>[XLSpdmV8.xls]XLSpdmV8!R19C11</stp>
        <tr r="K19" s="1"/>
      </tp>
      <tp>
        <v>0.65</v>
        <stp/>
        <stp>##V3_BDPV12</stp>
        <stp xml:space="preserve">22799 HK Equity     </stp>
        <stp>ASK</stp>
        <stp>[XLSpdmV8.xls]XLSpdmV8!R57C11</stp>
        <tr r="K57" s="1"/>
      </tp>
      <tp t="s">
        <v>#N/A N/A</v>
        <stp/>
        <stp>##V3_BDPV12</stp>
        <stp xml:space="preserve">11069 HK Equity     </stp>
        <stp>BID</stp>
        <stp>[XLSpdmV8.xls]XLSpdmV8!R58C10</stp>
        <tr r="J58" s="1"/>
      </tp>
      <tp>
        <v>-6.6666699999999999</v>
        <stp/>
        <stp>##V3_BDPV12</stp>
        <stp xml:space="preserve">27465 HK Equity     </stp>
        <stp>RT_PX_CHG_PCT_1D</stp>
        <stp>[XLSpdmV8.xls]XLSpdmV8!R49C7</stp>
        <tr r="G49" s="1"/>
      </tp>
      <tp>
        <v>12.782</v>
        <stp/>
        <stp>##V3_BDPV12</stp>
        <stp xml:space="preserve">25787 HK Equity     </stp>
        <stp>RT_PX_CHG_PCT_1D</stp>
        <stp>[XLSpdmV8.xls]XLSpdmV8!R87C7</stp>
        <tr r="G87" s="1"/>
      </tp>
      <tp>
        <v>0</v>
        <stp/>
        <stp>##V3_BDPV12</stp>
        <stp xml:space="preserve">23287 HK Equity     </stp>
        <stp>RT_PX_CHG_PCT_1D</stp>
        <stp>[XLSpdmV8.xls]XLSpdmV8!R67C7</stp>
        <tr r="G67" s="1"/>
      </tp>
      <tp>
        <v>24.528299000000001</v>
        <stp/>
        <stp>##V3_BDPV12</stp>
        <stp xml:space="preserve">25270 HK Equity     </stp>
        <stp>RT_PX_CHG_PCT_1D</stp>
        <stp>[XLSpdmV8.xls]XLSpdmV8!R78C7</stp>
        <tr r="G78" s="1"/>
      </tp>
      <tp>
        <v>7.3033700000000001</v>
        <stp/>
        <stp>##V3_BDPV12</stp>
        <stp xml:space="preserve">26390 HK Equity     </stp>
        <stp>RT_PX_CHG_PCT_1D</stp>
        <stp>[XLSpdmV8.xls]XLSpdmV8!R96C7</stp>
        <tr r="G96" s="1"/>
      </tp>
      <tp>
        <v>21000</v>
        <stp/>
        <stp>##V3_BDPV12</stp>
        <stp xml:space="preserve">23535 HK Equity     </stp>
        <stp>WRT_EXER_PX</stp>
        <stp>[XLSpdmV8.xls]XLSpdmV8!R9C2</stp>
        <tr r="B9" s="1"/>
      </tp>
      <tp t="s">
        <v>30/8/2016</v>
        <stp/>
        <stp>##V3_BDPV12</stp>
        <stp xml:space="preserve">23535 HK Equity     </stp>
        <stp>WRT_EXER_DT</stp>
        <stp>[XLSpdmV8.xls]XLSpdmV8!R9C4</stp>
        <tr r="D9" s="1"/>
      </tp>
      <tp>
        <v>0</v>
        <stp/>
        <stp>##V3_BDPV12</stp>
        <stp xml:space="preserve">20431 HK Equity     </stp>
        <stp>RT_PX_CHG_NET_1D</stp>
        <stp>[XLSpdmV8.xls]XLSpdmV8!R179C8</stp>
        <tr r="H179" s="1"/>
      </tp>
      <tp>
        <v>0.01</v>
        <stp/>
        <stp>##V3_BDPV12</stp>
        <stp xml:space="preserve">25949 HK Equity     </stp>
        <stp>RT_PX_CHG_NET_1D</stp>
        <stp>[XLSpdmV8.xls]XLSpdmV8!R201C8</stp>
        <tr r="H201" s="1"/>
      </tp>
      <tp>
        <v>12.987</v>
        <stp/>
        <stp>##V3_BDPV12</stp>
        <stp xml:space="preserve">26206 HK Equity     </stp>
        <stp>RT_PX_CHG_PCT_1D</stp>
        <stp>[XLSpdmV8.xls]XLSpdmV8!R158C7</stp>
        <tr r="G158" s="1"/>
      </tp>
      <tp>
        <v>-1.7000000000000001E-2</v>
        <stp/>
        <stp>##V3_BDPV12</stp>
        <stp xml:space="preserve">27459 HK Equity     </stp>
        <stp>RT_PX_CHG_NET_1D</stp>
        <stp>[XLSpdmV8.xls]XLSpdmV8!R221C8</stp>
        <tr r="H221" s="1"/>
      </tp>
      <tp>
        <v>7.0000000000000001E-3</v>
        <stp/>
        <stp>##V3_BDPV12</stp>
        <stp xml:space="preserve">27280 HK Equity     </stp>
        <stp>RT_PX_CHG_NET_1D</stp>
        <stp>[XLSpdmV8.xls]XLSpdmV8!R168C8</stp>
        <tr r="H168" s="1"/>
      </tp>
      <tp t="s">
        <v>#N/A N/A</v>
        <stp/>
        <stp>##V3_BDPV12</stp>
        <stp xml:space="preserve">27351 HK Equity     </stp>
        <stp>RT_PX_CHG_NET_1D</stp>
        <stp>[XLSpdmV8.xls]XLSpdmV8!R219C8</stp>
        <tr r="H219" s="1"/>
      </tp>
      <tp>
        <v>-12.345700000000001</v>
        <stp/>
        <stp>##V3_BDPV12</stp>
        <stp xml:space="preserve">27129 HK Equity     </stp>
        <stp>RT_PX_CHG_PCT_1D</stp>
        <stp>[XLSpdmV8.xls]XLSpdmV8!R217C7</stp>
        <tr r="G217" s="1"/>
      </tp>
      <tp>
        <v>0</v>
        <stp/>
        <stp>##V3_BDPV12</stp>
        <stp xml:space="preserve">11069 HK Equity     </stp>
        <stp>RT_PX_CHG_NET_1D</stp>
        <stp>[XLSpdmV8.xls]XLSpdmV8!R58C8</stp>
        <tr r="H58" s="1"/>
      </tp>
      <tp>
        <v>-0.02</v>
        <stp/>
        <stp>##V3_BDPV12</stp>
        <stp xml:space="preserve">22799 HK Equity     </stp>
        <stp>RT_PX_CHG_NET_1D</stp>
        <stp>[XLSpdmV8.xls]XLSpdmV8!R57C8</stp>
        <tr r="H57" s="1"/>
      </tp>
      <tp>
        <v>-3.0000000000000001E-3</v>
        <stp/>
        <stp>##V3_BDPV12</stp>
        <stp xml:space="preserve">26399 HK Equity     </stp>
        <stp>RT_PX_CHG_NET_1D</stp>
        <stp>[XLSpdmV8.xls]XLSpdmV8!R97C8</stp>
        <tr r="H97" s="1"/>
      </tp>
      <tp>
        <v>1.6E-2</v>
        <stp/>
        <stp>##V3_BDPV12</stp>
        <stp xml:space="preserve">27286 HK Equity     </stp>
        <stp>RT_PX_CHG_NET_1D</stp>
        <stp>[XLSpdmV8.xls]XLSpdmV8!R46C8</stp>
        <tr r="H46" s="1"/>
      </tp>
      <tp>
        <v>-5.0000000000000001E-3</v>
        <stp/>
        <stp>##V3_BDPV12</stp>
        <stp xml:space="preserve">25195 HK Equity     </stp>
        <stp>RT_PX_CHG_NET_1D</stp>
        <stp>[XLSpdmV8.xls]XLSpdmV8!R77C8</stp>
        <tr r="H77" s="1"/>
      </tp>
      <tp>
        <v>-4.0000000000000001E-3</v>
        <stp/>
        <stp>##V3_BDPV12</stp>
        <stp xml:space="preserve">26764 HK Equity     </stp>
        <stp>RT_PX_CHG_NET_1D</stp>
        <stp>[XLSpdmV8.xls]XLSpdmV8!R38C8</stp>
        <tr r="H38" s="1"/>
      </tp>
      <tp>
        <v>1.2999999999999999E-2</v>
        <stp/>
        <stp>##V3_BDPV12</stp>
        <stp xml:space="preserve">25984 HK Equity     </stp>
        <stp>RT_PX_CHG_NET_1D</stp>
        <stp>[XLSpdmV8.xls]XLSpdmV8!R26C8</stp>
        <tr r="H26" s="1"/>
      </tp>
      <tp>
        <v>-3.0000000000000001E-3</v>
        <stp/>
        <stp>##V3_BDPV12</stp>
        <stp xml:space="preserve">25994 HK Equity     </stp>
        <stp>RT_PX_CHG_NET_1D</stp>
        <stp>[XLSpdmV8.xls]XLSpdmV8!R27C8</stp>
        <tr r="H27" s="1"/>
      </tp>
      <tp>
        <v>-1.7000000000000001E-2</v>
        <stp/>
        <stp>##V3_BDPV12</stp>
        <stp xml:space="preserve">22990 HK Equity     </stp>
        <stp>RT_PX_CHG_NET_1D</stp>
        <stp>[XLSpdmV8.xls]XLSpdmV8!R129C8</stp>
        <tr r="H129" s="1"/>
      </tp>
      <tp>
        <v>6.0000000000000001E-3</v>
        <stp/>
        <stp>##V3_BDPV12</stp>
        <stp xml:space="preserve">24680 HK Equity     </stp>
        <stp>RT_PX_CHG_NET_1D</stp>
        <stp>[XLSpdmV8.xls]XLSpdmV8!R189C8</stp>
        <tr r="H189" s="1"/>
      </tp>
      <tp>
        <v>-7.16981</v>
        <stp/>
        <stp>##V3_BDPV12</stp>
        <stp xml:space="preserve">24429 HK Equity     </stp>
        <stp>RT_PX_CHG_PCT_1D</stp>
        <stp>[XLSpdmV8.xls]XLSpdmV8!R136C7</stp>
        <tr r="G136" s="1"/>
      </tp>
      <tp t="s">
        <v>#N/A N/A</v>
        <stp/>
        <stp>##V3_BDPV12</stp>
        <stp xml:space="preserve">24821 HK Equity     </stp>
        <stp>RT_PX_CHG_NET_1D</stp>
        <stp>[XLSpdmV8.xls]XLSpdmV8!R138C8</stp>
        <tr r="H138" s="1"/>
      </tp>
      <tp>
        <v>30</v>
        <stp/>
        <stp>##V3_BDPV12</stp>
        <stp xml:space="preserve">25146 HK Equity     </stp>
        <stp>RT_PX_CHG_PCT_1D</stp>
        <stp>[XLSpdmV8.xls]XLSpdmV8!R139C7</stp>
        <tr r="G139" s="1"/>
      </tp>
      <tp>
        <v>12.782</v>
        <stp/>
        <stp>##V3_BDPV12</stp>
        <stp xml:space="preserve">25479 HK Equity     </stp>
        <stp>RT_PX_CHG_PCT_1D</stp>
        <stp>[XLSpdmV8.xls]XLSpdmV8!R146C7</stp>
        <tr r="G146" s="1"/>
      </tp>
      <tp>
        <v>19.354799</v>
        <stp/>
        <stp>##V3_BDPV12</stp>
        <stp xml:space="preserve">25618 HK Equity     </stp>
        <stp>RT_PX_CHG_PCT_1D</stp>
        <stp>[XLSpdmV8.xls]XLSpdmV8!R147C7</stp>
        <tr r="G147" s="1"/>
      </tp>
      <tp>
        <v>0</v>
        <stp/>
        <stp>##V3_BDPV12</stp>
        <stp xml:space="preserve">26320 HK Equity     </stp>
        <stp>RT_PX_CHG_NET_1D</stp>
        <stp>[XLSpdmV8.xls]XLSpdmV8!R159C8</stp>
        <tr r="H159" s="1"/>
      </tp>
      <tp>
        <v>7.0000000000000001E-3</v>
        <stp/>
        <stp>##V3_BDPV12</stp>
        <stp xml:space="preserve">27321 HK Equity     </stp>
        <stp>RT_PX_CHG_NET_1D</stp>
        <stp>[XLSpdmV8.xls]XLSpdmV8!R108C8</stp>
        <tr r="H108" s="1"/>
      </tp>
      <tp>
        <v>-8.9999999999999993E-3</v>
        <stp/>
        <stp>##V3_BDPV12</stp>
        <stp xml:space="preserve">27359 HK Equity     </stp>
        <stp>RT_PX_CHG_NET_1D</stp>
        <stp>[XLSpdmV8.xls]XLSpdmV8!R220C8</stp>
        <tr r="H220" s="1"/>
      </tp>
      <tp>
        <v>-9.2307699999999997</v>
        <stp/>
        <stp>##V3_BDPV12</stp>
        <stp xml:space="preserve">27188 HK Equity     </stp>
        <stp>RT_PX_CHG_PCT_1D</stp>
        <stp>[XLSpdmV8.xls]XLSpdmV8!R167C7</stp>
        <tr r="G167" s="1"/>
      </tp>
      <tp>
        <v>1660</v>
        <stp/>
        <stp>##V3_BDPV12</stp>
        <stp xml:space="preserve">27356 HK Equity     </stp>
        <stp>RT_PX_CHG_PCT_1D</stp>
        <stp>[XLSpdmV8.xls]XLSpdmV8!R109C7</stp>
        <tr r="G109" s="1"/>
      </tp>
      <tp t="s">
        <v>#N/A N/A</v>
        <stp/>
        <stp>##V3_BDPV12</stp>
        <stp xml:space="preserve">28120 HK Equity     </stp>
        <stp>RT_PX_CHG_NET_1D</stp>
        <stp>[XLSpdmV8.xls]XLSpdmV8!R229C8</stp>
        <tr r="H229" s="1"/>
      </tp>
      <tp>
        <v>-8.60215</v>
        <stp/>
        <stp>##V3_BDPV12</stp>
        <stp xml:space="preserve">28129 HK Equity     </stp>
        <stp>RT_PX_CHG_PCT_1D</stp>
        <stp>[XLSpdmV8.xls]XLSpdmV8!R116C7</stp>
        <tr r="G116" s="1"/>
      </tp>
      <tp>
        <v>0</v>
        <stp/>
        <stp>##V3_BDPV12</stp>
        <stp xml:space="preserve">29179 HK Equity     </stp>
        <stp>RT_PX_CHG_PCT_1D</stp>
        <stp>[XLSpdmV8.xls]XLSpdmV8!R176C7</stp>
        <tr r="G176" s="1"/>
      </tp>
      <tp>
        <v>1.2999999999999999E-2</v>
        <stp/>
        <stp>##V3_BDPV12</stp>
        <stp xml:space="preserve">26390 HK Equity     </stp>
        <stp>RT_PX_CHG_NET_1D</stp>
        <stp>[XLSpdmV8.xls]XLSpdmV8!R96C8</stp>
        <tr r="H96" s="1"/>
      </tp>
      <tp>
        <v>1.2999999999999999E-2</v>
        <stp/>
        <stp>##V3_BDPV12</stp>
        <stp xml:space="preserve">25270 HK Equity     </stp>
        <stp>RT_PX_CHG_NET_1D</stp>
        <stp>[XLSpdmV8.xls]XLSpdmV8!R78C8</stp>
        <tr r="H78" s="1"/>
      </tp>
      <tp>
        <v>0</v>
        <stp/>
        <stp>##V3_BDPV12</stp>
        <stp xml:space="preserve">23287 HK Equity     </stp>
        <stp>RT_PX_CHG_NET_1D</stp>
        <stp>[XLSpdmV8.xls]XLSpdmV8!R67C8</stp>
        <tr r="H67" s="1"/>
      </tp>
      <tp>
        <v>1.7000000000000001E-2</v>
        <stp/>
        <stp>##V3_BDPV12</stp>
        <stp xml:space="preserve">25787 HK Equity     </stp>
        <stp>RT_PX_CHG_NET_1D</stp>
        <stp>[XLSpdmV8.xls]XLSpdmV8!R87C8</stp>
        <tr r="H87" s="1"/>
      </tp>
      <tp>
        <v>-1.4999999999999999E-2</v>
        <stp/>
        <stp>##V3_BDPV12</stp>
        <stp xml:space="preserve">27465 HK Equity     </stp>
        <stp>RT_PX_CHG_NET_1D</stp>
        <stp>[XLSpdmV8.xls]XLSpdmV8!R49C8</stp>
        <tr r="H49" s="1"/>
      </tp>
      <tp>
        <v>-13.0435</v>
        <stp/>
        <stp>##V3_BDPV12</stp>
        <stp xml:space="preserve">11158 HK Equity     </stp>
        <stp>RT_PX_CHG_PCT_1D</stp>
        <stp>[XLSpdmV8.xls]XLSpdmV8!R177C7</stp>
        <tr r="G177" s="1"/>
      </tp>
      <tp>
        <v>1.2999999999999999E-2</v>
        <stp/>
        <stp>##V3_BDPV12</stp>
        <stp xml:space="preserve">25803 HK Equity     </stp>
        <stp>RT_PX_CHG_NET_1D</stp>
        <stp>[XLSpdmV8.xls]XLSpdmV8!R149C8</stp>
        <tr r="H149" s="1"/>
      </tp>
      <tp>
        <v>8.9999999999999993E-3</v>
        <stp/>
        <stp>##V3_BDPV12</stp>
        <stp xml:space="preserve">26748 HK Equity     </stp>
        <stp>RT_PX_CHG_NET_1D</stp>
        <stp>[XLSpdmV8.xls]XLSpdmV8!R102C8</stp>
        <tr r="H102" s="1"/>
      </tp>
      <tp>
        <v>1.4E-2</v>
        <stp/>
        <stp>##V3_BDPV12</stp>
        <stp xml:space="preserve">26559 HK Equity     </stp>
        <stp>RT_PX_CHG_NET_1D</stp>
        <stp>[XLSpdmV8.xls]XLSpdmV8!R163C8</stp>
        <tr r="H163" s="1"/>
      </tp>
      <tp>
        <v>-6.0000000000000001E-3</v>
        <stp/>
        <stp>##V3_BDPV12</stp>
        <stp xml:space="preserve">25548 HK Equity     </stp>
        <stp>RT_PX_CHG_NET_1D</stp>
        <stp>[XLSpdmV8.xls]XLSpdmV8!R18C8</stp>
        <tr r="H18" s="1"/>
      </tp>
      <tp>
        <v>0</v>
        <stp/>
        <stp>##V3_BDPV12</stp>
        <stp xml:space="preserve">18856 HK Equity     </stp>
        <stp>RT_PX_CHG_NET_1D</stp>
        <stp>[XLSpdmV8.xls]XLSpdmV8!R59C8</stp>
        <tr r="H59" s="1"/>
      </tp>
      <tp>
        <v>-1E-3</v>
        <stp/>
        <stp>##V3_BDPV12</stp>
        <stp xml:space="preserve">26444 HK Equity     </stp>
        <stp>RT_PX_CHG_NET_1D</stp>
        <stp>[XLSpdmV8.xls]XLSpdmV8!R98C8</stp>
        <tr r="H98" s="1"/>
      </tp>
      <tp>
        <v>0</v>
        <stp/>
        <stp>##V3_BDPV12</stp>
        <stp xml:space="preserve">21028 HK Equity     </stp>
        <stp>RT_PX_CHG_NET_1D</stp>
        <stp>[XLSpdmV8.xls]XLSpdmV8!R123C8</stp>
        <tr r="H123" s="1"/>
      </tp>
      <tp>
        <v>-10.3704</v>
        <stp/>
        <stp>##V3_BDPV12</stp>
        <stp xml:space="preserve">21729 HK Equity     </stp>
        <stp>RT_PX_CHG_PCT_1D</stp>
        <stp>[XLSpdmV8.xls]XLSpdmV8!R124C7</stp>
        <tr r="G124" s="1"/>
      </tp>
      <tp>
        <v>0</v>
        <stp/>
        <stp>##V3_BDPV12</stp>
        <stp xml:space="preserve">22353 HK Equity     </stp>
        <stp>RT_PX_CHG_NET_1D</stp>
        <stp>[XLSpdmV8.xls]XLSpdmV8!R128C8</stp>
        <tr r="H128" s="1"/>
      </tp>
      <tp>
        <v>0</v>
        <stp/>
        <stp>##V3_BDPV12</stp>
        <stp xml:space="preserve">24663 HK Equity     </stp>
        <stp>RT_PX_CHG_NET_1D</stp>
        <stp>[XLSpdmV8.xls]XLSpdmV8!R188C8</stp>
        <tr r="H188" s="1"/>
      </tp>
      <tp>
        <v>-8.9999999999999993E-3</v>
        <stp/>
        <stp>##V3_BDPV12</stp>
        <stp xml:space="preserve">25713 HK Equity     </stp>
        <stp>RT_PX_CHG_NET_1D</stp>
        <stp>[XLSpdmV8.xls]XLSpdmV8!R148C8</stp>
        <tr r="H148" s="1"/>
      </tp>
      <tp>
        <v>0</v>
        <stp/>
        <stp>##V3_BDPV12</stp>
        <stp xml:space="preserve">25969 HK Equity     </stp>
        <stp>RT_PX_CHG_NET_1D</stp>
        <stp>[XLSpdmV8.xls]XLSpdmV8!R202C8</stp>
        <tr r="H202" s="1"/>
      </tp>
      <tp>
        <v>1.4999999999999999E-2</v>
        <stp/>
        <stp>##V3_BDPV12</stp>
        <stp xml:space="preserve">25902 HK Equity     </stp>
        <stp>RT_PX_CHG_NET_1D</stp>
        <stp>[XLSpdmV8.xls]XLSpdmV8!R199C8</stp>
        <tr r="H199" s="1"/>
      </tp>
      <tp>
        <v>0.02</v>
        <stp/>
        <stp>##V3_BDPV12</stp>
        <stp xml:space="preserve">25948 HK Equity     </stp>
        <stp>RT_PX_CHG_NET_1D</stp>
        <stp>[XLSpdmV8.xls]XLSpdmV8!R153C8</stp>
        <tr r="H153" s="1"/>
      </tp>
      <tp>
        <v>0.01</v>
        <stp/>
        <stp>##V3_BDPV12</stp>
        <stp xml:space="preserve">26589 HK Equity     </stp>
        <stp>RT_PX_CHG_NET_1D</stp>
        <stp>[XLSpdmV8.xls]XLSpdmV8!R212C8</stp>
        <tr r="H212" s="1"/>
      </tp>
      <tp>
        <v>-19.047599999999999</v>
        <stp/>
        <stp>##V3_BDPV12</stp>
        <stp xml:space="preserve">26014 HK Equity     </stp>
        <stp>RT_PX_CHG_PCT_1D</stp>
        <stp>[XLSpdmV8.xls]XLSpdmV8!R119C7</stp>
        <tr r="G119" s="1"/>
      </tp>
      <tp>
        <v>-8.6206899999999997</v>
        <stp/>
        <stp>##V3_BDPV12</stp>
        <stp xml:space="preserve">26155 HK Equity     </stp>
        <stp>RT_PX_CHG_PCT_1D</stp>
        <stp>[XLSpdmV8.xls]XLSpdmV8!R208C7</stp>
        <tr r="G208" s="1"/>
      </tp>
      <tp>
        <v>7.0000000000000001E-3</v>
        <stp/>
        <stp>##V3_BDPV12</stp>
        <stp xml:space="preserve">27559 HK Equity     </stp>
        <stp>RT_PX_CHG_NET_1D</stp>
        <stp>[XLSpdmV8.xls]XLSpdmV8!R222C8</stp>
        <tr r="H222" s="1"/>
      </tp>
      <tp>
        <v>-8.9999999999999993E-3</v>
        <stp/>
        <stp>##V3_BDPV12</stp>
        <stp xml:space="preserve">27153 HK Equity     </stp>
        <stp>RT_PX_CHG_NET_1D</stp>
        <stp>[XLSpdmV8.xls]XLSpdmV8!R218C8</stp>
        <tr r="H218" s="1"/>
      </tp>
      <tp>
        <v>-15.8537</v>
        <stp/>
        <stp>##V3_BDPV12</stp>
        <stp xml:space="preserve">27284 HK Equity     </stp>
        <stp>RT_PX_CHG_PCT_1D</stp>
        <stp>[XLSpdmV8.xls]XLSpdmV8!R169C7</stp>
        <tr r="G169" s="1"/>
      </tp>
      <tp>
        <v>10.055899999999999</v>
        <stp/>
        <stp>##V3_BDPV12</stp>
        <stp xml:space="preserve">28025 HK Equity     </stp>
        <stp>RT_PX_CHG_PCT_1D</stp>
        <stp>[XLSpdmV8.xls]XLSpdmV8!R228C7</stp>
        <tr r="G228" s="1"/>
      </tp>
      <tp>
        <v>0</v>
        <stp/>
        <stp>##V3_BDPV12</stp>
        <stp xml:space="preserve">18766 HK Equity     </stp>
        <stp>RT_PX_CHG_PCT_1D</stp>
        <stp>[XLSpdmV8.xls]XLSpdmV8!R178C7</stp>
        <tr r="G178" s="1"/>
      </tp>
      <tp>
        <v>0</v>
        <stp/>
        <stp>##V3_BDPV12</stp>
        <stp xml:space="preserve">24688 HK Equity     </stp>
        <stp>RT_PX_CHG_NET_1D</stp>
        <stp>[XLSpdmV8.xls]XLSpdmV8!R75C8</stp>
        <tr r="H75" s="1"/>
      </tp>
      <tp>
        <v>-5.0000000000000001E-3</v>
        <stp/>
        <stp>##V3_BDPV12</stp>
        <stp xml:space="preserve">26052 HK Equity     </stp>
        <stp>RT_PX_CHG_NET_1D</stp>
        <stp>[XLSpdmV8.xls]XLSpdmV8!R28C8</stp>
        <tr r="H28" s="1"/>
      </tp>
      <tp>
        <v>0</v>
        <stp/>
        <stp>##V3_BDPV12</stp>
        <stp xml:space="preserve">26191 HK Equity     </stp>
        <stp>RT_PX_CHG_NET_1D</stp>
        <stp>[XLSpdmV8.xls]XLSpdmV8!R94C8</stp>
        <tr r="H94" s="1"/>
      </tp>
      <tp t="s">
        <v>#N/A N/A</v>
        <stp/>
        <stp>##V3_BDPV12</stp>
        <stp xml:space="preserve">27894 HK Equity     </stp>
        <stp>RT_PX_CHG_NET_1D</stp>
        <stp>[XLSpdmV8.xls]XLSpdmV8!R54C8</stp>
        <tr r="H54" s="1"/>
      </tp>
      <tp>
        <v>-1.4E-2</v>
        <stp/>
        <stp>##V3_BDPV12</stp>
        <stp xml:space="preserve">24684 HK Equity     </stp>
        <stp>RT_PX_CHG_NET_1D</stp>
        <stp>[XLSpdmV8.xls]XLSpdmV8!R15C8</stp>
        <tr r="H15" s="1"/>
      </tp>
      <tp>
        <v>-3.0000000000000001E-3</v>
        <stp/>
        <stp>##V3_BDPV12</stp>
        <stp xml:space="preserve">11158 HK Equity     </stp>
        <stp>RT_PX_CHG_NET_1D</stp>
        <stp>[XLSpdmV8.xls]XLSpdmV8!R177C8</stp>
        <tr r="H177" s="1"/>
      </tp>
      <tp>
        <v>13.402100000000001</v>
        <stp/>
        <stp>##V3_BDPV12</stp>
        <stp xml:space="preserve">25803 HK Equity     </stp>
        <stp>RT_PX_CHG_PCT_1D</stp>
        <stp>[XLSpdmV8.xls]XLSpdmV8!R149C7</stp>
        <tr r="G149" s="1"/>
      </tp>
      <tp>
        <v>11.2903</v>
        <stp/>
        <stp>##V3_BDPV12</stp>
        <stp xml:space="preserve">26559 HK Equity     </stp>
        <stp>RT_PX_CHG_PCT_1D</stp>
        <stp>[XLSpdmV8.xls]XLSpdmV8!R163C7</stp>
        <tr r="G163" s="1"/>
      </tp>
      <tp>
        <v>12.5</v>
        <stp/>
        <stp>##V3_BDPV12</stp>
        <stp xml:space="preserve">26748 HK Equity     </stp>
        <stp>RT_PX_CHG_PCT_1D</stp>
        <stp>[XLSpdmV8.xls]XLSpdmV8!R102C7</stp>
        <tr r="G102" s="1"/>
      </tp>
      <tp>
        <v>-1.4999999999999999E-2</v>
        <stp/>
        <stp>##V3_BDPV12</stp>
        <stp xml:space="preserve">23538 HK Equity     </stp>
        <stp>RT_PX_CHG_NET_1D</stp>
        <stp>[XLSpdmV8.xls]XLSpdmV8!R69C8</stp>
        <tr r="H69" s="1"/>
      </tp>
      <tp>
        <v>2E-3</v>
        <stp/>
        <stp>##V3_BDPV12</stp>
        <stp xml:space="preserve">23522 HK Equity     </stp>
        <stp>RT_PX_CHG_NET_1D</stp>
        <stp>[XLSpdmV8.xls]XLSpdmV8!R68C8</stp>
        <tr r="H68" s="1"/>
      </tp>
      <tp t="s">
        <v>#N/A N/A</v>
        <stp/>
        <stp>##V3_BDPV12</stp>
        <stp xml:space="preserve">14950 HK Equity     </stp>
        <stp>BID</stp>
        <stp>[XLSpdmV8.xls]XLSpdmV8!R5C10</stp>
        <tr r="J5" s="1"/>
      </tp>
      <tp>
        <v>-2.8000000000000001E-2</v>
        <stp/>
        <stp>##V3_BDPV12</stp>
        <stp xml:space="preserve">21729 HK Equity     </stp>
        <stp>RT_PX_CHG_NET_1D</stp>
        <stp>[XLSpdmV8.xls]XLSpdmV8!R124C8</stp>
        <tr r="H124" s="1"/>
      </tp>
      <tp>
        <v>0</v>
        <stp/>
        <stp>##V3_BDPV12</stp>
        <stp xml:space="preserve">21028 HK Equity     </stp>
        <stp>RT_PX_CHG_PCT_1D</stp>
        <stp>[XLSpdmV8.xls]XLSpdmV8!R123C7</stp>
        <tr r="G123" s="1"/>
      </tp>
      <tp>
        <v>0</v>
        <stp/>
        <stp>##V3_BDPV12</stp>
        <stp xml:space="preserve">22353 HK Equity     </stp>
        <stp>RT_PX_CHG_PCT_1D</stp>
        <stp>[XLSpdmV8.xls]XLSpdmV8!R128C7</stp>
        <tr r="G128" s="1"/>
      </tp>
      <tp>
        <v>0</v>
        <stp/>
        <stp>##V3_BDPV12</stp>
        <stp xml:space="preserve">24663 HK Equity     </stp>
        <stp>RT_PX_CHG_PCT_1D</stp>
        <stp>[XLSpdmV8.xls]XLSpdmV8!R188C7</stp>
        <tr r="G188" s="1"/>
      </tp>
      <tp>
        <v>7.69231</v>
        <stp/>
        <stp>##V3_BDPV12</stp>
        <stp xml:space="preserve">25948 HK Equity     </stp>
        <stp>RT_PX_CHG_PCT_1D</stp>
        <stp>[XLSpdmV8.xls]XLSpdmV8!R153C7</stp>
        <tr r="G153" s="1"/>
      </tp>
      <tp>
        <v>8.1081099999999999</v>
        <stp/>
        <stp>##V3_BDPV12</stp>
        <stp xml:space="preserve">25902 HK Equity     </stp>
        <stp>RT_PX_CHG_PCT_1D</stp>
        <stp>[XLSpdmV8.xls]XLSpdmV8!R199C7</stp>
        <tr r="G199" s="1"/>
      </tp>
      <tp>
        <v>0</v>
        <stp/>
        <stp>##V3_BDPV12</stp>
        <stp xml:space="preserve">25969 HK Equity     </stp>
        <stp>RT_PX_CHG_PCT_1D</stp>
        <stp>[XLSpdmV8.xls]XLSpdmV8!R202C7</stp>
        <tr r="G202" s="1"/>
      </tp>
      <tp>
        <v>-8.5714299999999994</v>
        <stp/>
        <stp>##V3_BDPV12</stp>
        <stp xml:space="preserve">25713 HK Equity     </stp>
        <stp>RT_PX_CHG_PCT_1D</stp>
        <stp>[XLSpdmV8.xls]XLSpdmV8!R148C7</stp>
        <tr r="G148" s="1"/>
      </tp>
      <tp>
        <v>-5.0000000000000001E-3</v>
        <stp/>
        <stp>##V3_BDPV12</stp>
        <stp xml:space="preserve">26155 HK Equity     </stp>
        <stp>RT_PX_CHG_NET_1D</stp>
        <stp>[XLSpdmV8.xls]XLSpdmV8!R208C8</stp>
        <tr r="H208" s="1"/>
      </tp>
      <tp>
        <v>-1.2E-2</v>
        <stp/>
        <stp>##V3_BDPV12</stp>
        <stp xml:space="preserve">26014 HK Equity     </stp>
        <stp>RT_PX_CHG_NET_1D</stp>
        <stp>[XLSpdmV8.xls]XLSpdmV8!R119C8</stp>
        <tr r="H119" s="1"/>
      </tp>
      <tp>
        <v>9.9009900000000002</v>
        <stp/>
        <stp>##V3_BDPV12</stp>
        <stp xml:space="preserve">26589 HK Equity     </stp>
        <stp>RT_PX_CHG_PCT_1D</stp>
        <stp>[XLSpdmV8.xls]XLSpdmV8!R212C7</stp>
        <tr r="G212" s="1"/>
      </tp>
      <tp>
        <v>-1.2999999999999999E-2</v>
        <stp/>
        <stp>##V3_BDPV12</stp>
        <stp xml:space="preserve">27284 HK Equity     </stp>
        <stp>RT_PX_CHG_NET_1D</stp>
        <stp>[XLSpdmV8.xls]XLSpdmV8!R169C8</stp>
        <tr r="H169" s="1"/>
      </tp>
      <tp>
        <v>-10.112399999999999</v>
        <stp/>
        <stp>##V3_BDPV12</stp>
        <stp xml:space="preserve">27153 HK Equity     </stp>
        <stp>RT_PX_CHG_PCT_1D</stp>
        <stp>[XLSpdmV8.xls]XLSpdmV8!R218C7</stp>
        <tr r="G218" s="1"/>
      </tp>
      <tp>
        <v>12.069000000000001</v>
        <stp/>
        <stp>##V3_BDPV12</stp>
        <stp xml:space="preserve">27559 HK Equity     </stp>
        <stp>RT_PX_CHG_PCT_1D</stp>
        <stp>[XLSpdmV8.xls]XLSpdmV8!R222C7</stp>
        <tr r="G222" s="1"/>
      </tp>
      <tp>
        <v>0</v>
        <stp/>
        <stp>##V3_BDPV12</stp>
        <stp xml:space="preserve">18766 HK Equity     </stp>
        <stp>RT_PX_CHG_NET_1D</stp>
        <stp>[XLSpdmV8.xls]XLSpdmV8!R178C8</stp>
        <tr r="H178" s="1"/>
      </tp>
      <tp>
        <v>1.7999999999999999E-2</v>
        <stp/>
        <stp>##V3_BDPV12</stp>
        <stp xml:space="preserve">28025 HK Equity     </stp>
        <stp>RT_PX_CHG_NET_1D</stp>
        <stp>[XLSpdmV8.xls]XLSpdmV8!R228C8</stp>
        <tr r="H228" s="1"/>
      </tp>
      <tp t="s">
        <v>#N/A N/A</v>
        <stp/>
        <stp>##V3_BDPV12</stp>
        <stp xml:space="preserve">20588 HK Equity     </stp>
        <stp>RT_PX_CHG_NET_1D</stp>
        <stp>[XLSpdmV8.xls]XLSpdmV8!R63C8</stp>
        <tr r="H63" s="1"/>
      </tp>
      <tp>
        <v>8.9999999999999993E-3</v>
        <stp/>
        <stp>##V3_BDPV12</stp>
        <stp xml:space="preserve">26488 HK Equity     </stp>
        <stp>RT_PX_CHG_NET_1D</stp>
        <stp>[XLSpdmV8.xls]XLSpdmV8!R33C8</stp>
        <tr r="H33" s="1"/>
      </tp>
      <tp>
        <v>4.0000000000000001E-3</v>
        <stp/>
        <stp>##V3_BDPV12</stp>
        <stp xml:space="preserve">27438 HK Equity     </stp>
        <stp>RT_PX_CHG_NET_1D</stp>
        <stp>[XLSpdmV8.xls]XLSpdmV8!R48C8</stp>
        <tr r="H48" s="1"/>
      </tp>
      <tp>
        <v>-6.0000000000000001E-3</v>
        <stp/>
        <stp>##V3_BDPV12</stp>
        <stp xml:space="preserve">25698 HK Equity     </stp>
        <stp>RT_PX_CHG_NET_1D</stp>
        <stp>[XLSpdmV8.xls]XLSpdmV8!R22C8</stp>
        <tr r="H22" s="1"/>
      </tp>
      <tp>
        <v>7.0000000000000001E-3</v>
        <stp/>
        <stp>##V3_BDPV12</stp>
        <stp xml:space="preserve">26987 HK Equity     </stp>
        <stp>RT_PX_CHG_NET_1D</stp>
        <stp>[XLSpdmV8.xls]XLSpdmV8!R43C8</stp>
        <tr r="H43" s="1"/>
      </tp>
      <tp>
        <v>1.4999999999999999E-2</v>
        <stp/>
        <stp>##V3_BDPV12</stp>
        <stp xml:space="preserve">25326 HK Equity     </stp>
        <stp>RT_PX_CHG_NET_1D</stp>
        <stp>[XLSpdmV8.xls]XLSpdmV8!R79C8</stp>
        <tr r="H79" s="1"/>
      </tp>
      <tp>
        <v>0</v>
        <stp/>
        <stp>##V3_BDPV12</stp>
        <stp xml:space="preserve">20431 HK Equity     </stp>
        <stp>RT_PX_CHG_PCT_1D</stp>
        <stp>[XLSpdmV8.xls]XLSpdmV8!R179C7</stp>
        <tr r="G179" s="1"/>
      </tp>
      <tp>
        <v>12.0482</v>
        <stp/>
        <stp>##V3_BDPV12</stp>
        <stp xml:space="preserve">25949 HK Equity     </stp>
        <stp>RT_PX_CHG_PCT_1D</stp>
        <stp>[XLSpdmV8.xls]XLSpdmV8!R201C7</stp>
        <tr r="G201" s="1"/>
      </tp>
      <tp>
        <v>0.01</v>
        <stp/>
        <stp>##V3_BDPV12</stp>
        <stp xml:space="preserve">26206 HK Equity     </stp>
        <stp>RT_PX_CHG_NET_1D</stp>
        <stp>[XLSpdmV8.xls]XLSpdmV8!R158C8</stp>
        <tr r="H158" s="1"/>
      </tp>
      <tp>
        <v>-0.01</v>
        <stp/>
        <stp>##V3_BDPV12</stp>
        <stp xml:space="preserve">27129 HK Equity     </stp>
        <stp>RT_PX_CHG_NET_1D</stp>
        <stp>[XLSpdmV8.xls]XLSpdmV8!R217C8</stp>
        <tr r="H217" s="1"/>
      </tp>
      <tp t="s">
        <v>#N/A N/A</v>
        <stp/>
        <stp>##V3_BDPV12</stp>
        <stp xml:space="preserve">27351 HK Equity     </stp>
        <stp>RT_PX_CHG_PCT_1D</stp>
        <stp>[XLSpdmV8.xls]XLSpdmV8!R219C7</stp>
        <tr r="G219" s="1"/>
      </tp>
      <tp>
        <v>7.86517</v>
        <stp/>
        <stp>##V3_BDPV12</stp>
        <stp xml:space="preserve">27280 HK Equity     </stp>
        <stp>RT_PX_CHG_PCT_1D</stp>
        <stp>[XLSpdmV8.xls]XLSpdmV8!R168C7</stp>
        <tr r="G168" s="1"/>
      </tp>
      <tp>
        <v>-9.0909099999999992</v>
        <stp/>
        <stp>##V3_BDPV12</stp>
        <stp xml:space="preserve">27459 HK Equity     </stp>
        <stp>RT_PX_CHG_PCT_1D</stp>
        <stp>[XLSpdmV8.xls]XLSpdmV8!R221C7</stp>
        <tr r="G221" s="1"/>
      </tp>
      <tp>
        <v>-6.0000000000000001E-3</v>
        <stp/>
        <stp>##V3_BDPV12</stp>
        <stp xml:space="preserve">26511 HK Equity     </stp>
        <stp>RT_PX_CHG_NET_1D</stp>
        <stp>[XLSpdmV8.xls]XLSpdmV8!R99C8</stp>
        <tr r="H99" s="1"/>
      </tp>
      <tp>
        <v>0</v>
        <stp/>
        <stp>##V3_BDPV12</stp>
        <stp xml:space="preserve">26190 HK Equity     </stp>
        <stp>RT_PX_CHG_NET_1D</stp>
        <stp>[XLSpdmV8.xls]XLSpdmV8!R31C8</stp>
        <tr r="H31" s="1"/>
      </tp>
      <tp>
        <v>0</v>
        <stp/>
        <stp>##V3_BDPV12</stp>
        <stp xml:space="preserve">19187 HK Equity     </stp>
        <stp>RT_PX_CHG_NET_1D</stp>
        <stp>[XLSpdmV8.xls]XLSpdmV8!R60C8</stp>
        <tr r="H60" s="1"/>
      </tp>
      <tp>
        <v>-22.368400999999999</v>
        <stp/>
        <stp>##V3_BDPV12</stp>
        <stp xml:space="preserve">22990 HK Equity     </stp>
        <stp>RT_PX_CHG_PCT_1D</stp>
        <stp>[XLSpdmV8.xls]XLSpdmV8!R129C7</stp>
        <tr r="G129" s="1"/>
      </tp>
      <tp t="s">
        <v>#N/A N/A</v>
        <stp/>
        <stp>##V3_BDPV12</stp>
        <stp xml:space="preserve">24821 HK Equity     </stp>
        <stp>RT_PX_CHG_PCT_1D</stp>
        <stp>[XLSpdmV8.xls]XLSpdmV8!R138C7</stp>
        <tr r="G138" s="1"/>
      </tp>
      <tp>
        <v>-1.9E-2</v>
        <stp/>
        <stp>##V3_BDPV12</stp>
        <stp xml:space="preserve">24429 HK Equity     </stp>
        <stp>RT_PX_CHG_NET_1D</stp>
        <stp>[XLSpdmV8.xls]XLSpdmV8!R136C8</stp>
        <tr r="H136" s="1"/>
      </tp>
      <tp>
        <v>50</v>
        <stp/>
        <stp>##V3_BDPV12</stp>
        <stp xml:space="preserve">24680 HK Equity     </stp>
        <stp>RT_PX_CHG_PCT_1D</stp>
        <stp>[XLSpdmV8.xls]XLSpdmV8!R189C7</stp>
        <tr r="G189" s="1"/>
      </tp>
      <tp>
        <v>1.2E-2</v>
        <stp/>
        <stp>##V3_BDPV12</stp>
        <stp xml:space="preserve">25618 HK Equity     </stp>
        <stp>RT_PX_CHG_NET_1D</stp>
        <stp>[XLSpdmV8.xls]XLSpdmV8!R147C8</stp>
        <tr r="H147" s="1"/>
      </tp>
      <tp>
        <v>1.7000000000000001E-2</v>
        <stp/>
        <stp>##V3_BDPV12</stp>
        <stp xml:space="preserve">25479 HK Equity     </stp>
        <stp>RT_PX_CHG_NET_1D</stp>
        <stp>[XLSpdmV8.xls]XLSpdmV8!R146C8</stp>
        <tr r="H146" s="1"/>
      </tp>
      <tp>
        <v>3.0000000000000001E-3</v>
        <stp/>
        <stp>##V3_BDPV12</stp>
        <stp xml:space="preserve">25146 HK Equity     </stp>
        <stp>RT_PX_CHG_NET_1D</stp>
        <stp>[XLSpdmV8.xls]XLSpdmV8!R139C8</stp>
        <tr r="H139" s="1"/>
      </tp>
      <tp>
        <v>0</v>
        <stp/>
        <stp>##V3_BDPV12</stp>
        <stp xml:space="preserve">26320 HK Equity     </stp>
        <stp>RT_PX_CHG_PCT_1D</stp>
        <stp>[XLSpdmV8.xls]XLSpdmV8!R159C7</stp>
        <tr r="G159" s="1"/>
      </tp>
      <tp>
        <v>0.16600000000000001</v>
        <stp/>
        <stp>##V3_BDPV12</stp>
        <stp xml:space="preserve">27356 HK Equity     </stp>
        <stp>RT_PX_CHG_NET_1D</stp>
        <stp>[XLSpdmV8.xls]XLSpdmV8!R109C8</stp>
        <tr r="H109" s="1"/>
      </tp>
      <tp>
        <v>-1.7999999999999999E-2</v>
        <stp/>
        <stp>##V3_BDPV12</stp>
        <stp xml:space="preserve">27188 HK Equity     </stp>
        <stp>RT_PX_CHG_NET_1D</stp>
        <stp>[XLSpdmV8.xls]XLSpdmV8!R167C8</stp>
        <tr r="H167" s="1"/>
      </tp>
      <tp>
        <v>-9.89011</v>
        <stp/>
        <stp>##V3_BDPV12</stp>
        <stp xml:space="preserve">27359 HK Equity     </stp>
        <stp>RT_PX_CHG_PCT_1D</stp>
        <stp>[XLSpdmV8.xls]XLSpdmV8!R220C7</stp>
        <tr r="G220" s="1"/>
      </tp>
      <tp>
        <v>11.2903</v>
        <stp/>
        <stp>##V3_BDPV12</stp>
        <stp xml:space="preserve">27321 HK Equity     </stp>
        <stp>RT_PX_CHG_PCT_1D</stp>
        <stp>[XLSpdmV8.xls]XLSpdmV8!R108C7</stp>
        <tr r="G108" s="1"/>
      </tp>
      <tp>
        <v>-8.0000000000000002E-3</v>
        <stp/>
        <stp>##V3_BDPV12</stp>
        <stp xml:space="preserve">28129 HK Equity     </stp>
        <stp>RT_PX_CHG_NET_1D</stp>
        <stp>[XLSpdmV8.xls]XLSpdmV8!R116C8</stp>
        <tr r="H116" s="1"/>
      </tp>
      <tp t="s">
        <v>#N/A N/A</v>
        <stp/>
        <stp>##V3_BDPV12</stp>
        <stp xml:space="preserve">28120 HK Equity     </stp>
        <stp>RT_PX_CHG_PCT_1D</stp>
        <stp>[XLSpdmV8.xls]XLSpdmV8!R229C7</stp>
        <tr r="G229" s="1"/>
      </tp>
      <tp>
        <v>0</v>
        <stp/>
        <stp>##V3_BDPV12</stp>
        <stp xml:space="preserve">29179 HK Equity     </stp>
        <stp>RT_PX_CHG_NET_1D</stp>
        <stp>[XLSpdmV8.xls]XLSpdmV8!R176C8</stp>
        <tr r="H176" s="1"/>
      </tp>
      <tp>
        <v>0</v>
        <stp/>
        <stp>##V3_BDPV12</stp>
        <stp xml:space="preserve">25909 HK Equity     </stp>
        <stp>RT_PX_CHG_NET_1D</stp>
        <stp>[XLSpdmV8.xls]XLSpdmV8!R89C8</stp>
        <tr r="H89" s="1"/>
      </tp>
      <tp>
        <v>-1.9E-2</v>
        <stp/>
        <stp>##V3_BDPV12</stp>
        <stp xml:space="preserve">27594 HK Equity     </stp>
        <stp>RT_PX_CHG_NET_1D</stp>
        <stp>[XLSpdmV8.xls]XLSpdmV8!R50C8</stp>
        <tr r="H50" s="1"/>
      </tp>
      <tp>
        <v>1.4E-2</v>
        <stp/>
        <stp>##V3_BDPV12</stp>
        <stp xml:space="preserve">11153 HK Equity     </stp>
        <stp>RT_PX_CHG_NET_1D</stp>
        <stp>[XLSpdmV8.xls]XLSpdmV8!R120C8</stp>
        <tr r="H120" s="1"/>
      </tp>
      <tp>
        <v>0</v>
        <stp/>
        <stp>##V3_BDPV12</stp>
        <stp xml:space="preserve">22156 HK Equity     </stp>
        <stp>RT_PX_CHG_NET_1D</stp>
        <stp>[XLSpdmV8.xls]XLSpdmV8!R126C8</stp>
        <tr r="H126" s="1"/>
      </tp>
      <tp>
        <v>0</v>
        <stp/>
        <stp>##V3_BDPV12</stp>
        <stp xml:space="preserve">22993 HK Equity     </stp>
        <stp>RT_PX_CHG_NET_1D</stp>
        <stp>[XLSpdmV8.xls]XLSpdmV8!R183C8</stp>
        <tr r="H183" s="1"/>
      </tp>
      <tp t="s">
        <v>#N/A N/A</v>
        <stp/>
        <stp>##V3_BDPV12</stp>
        <stp xml:space="preserve">23683 HK Equity     </stp>
        <stp>RT_PX_CHG_NET_1D</stp>
        <stp>[XLSpdmV8.xls]XLSpdmV8!R133C8</stp>
        <tr r="H133" s="1"/>
      </tp>
      <tp>
        <v>-2.3E-2</v>
        <stp/>
        <stp>##V3_BDPV12</stp>
        <stp xml:space="preserve">23524 HK Equity     </stp>
        <stp>RT_PX_CHG_NET_1D</stp>
        <stp>[XLSpdmV8.xls]XLSpdmV8!R184C8</stp>
        <tr r="H184" s="1"/>
      </tp>
      <tp>
        <v>-2.1000000000000001E-2</v>
        <stp/>
        <stp>##V3_BDPV12</stp>
        <stp xml:space="preserve">23885 HK Equity     </stp>
        <stp>RT_PX_CHG_NET_1D</stp>
        <stp>[XLSpdmV8.xls]XLSpdmV8!R185C8</stp>
        <tr r="H185" s="1"/>
      </tp>
      <tp>
        <v>25</v>
        <stp/>
        <stp>##V3_BDPV12</stp>
        <stp xml:space="preserve">24984 HK Equity     </stp>
        <stp>RT_PX_CHG_PCT_1D</stp>
        <stp>[XLSpdmV8.xls]XLSpdmV8!R192C7</stp>
        <tr r="G192" s="1"/>
      </tp>
      <tp>
        <v>0</v>
        <stp/>
        <stp>##V3_BDPV12</stp>
        <stp xml:space="preserve">24106 HK Equity     </stp>
        <stp>RT_PX_CHG_NET_1D</stp>
        <stp>[XLSpdmV8.xls]XLSpdmV8!R186C8</stp>
        <tr r="H186" s="1"/>
      </tp>
      <tp>
        <v>-13.6364</v>
        <stp/>
        <stp>##V3_BDPV12</stp>
        <stp xml:space="preserve">24691 HK Equity     </stp>
        <stp>RT_PX_CHG_PCT_1D</stp>
        <stp>[XLSpdmV8.xls]XLSpdmV8!R137C7</stp>
        <tr r="G137" s="1"/>
      </tp>
      <tp>
        <v>1.4999999999999999E-2</v>
        <stp/>
        <stp>##V3_BDPV12</stp>
        <stp xml:space="preserve">25483 HK Equity     </stp>
        <stp>RT_PX_CHG_NET_1D</stp>
        <stp>[XLSpdmV8.xls]XLSpdmV8!R193C8</stp>
        <tr r="H193" s="1"/>
      </tp>
      <tp>
        <v>23.684200000000001</v>
        <stp/>
        <stp>##V3_BDPV12</stp>
        <stp xml:space="preserve">25236 HK Equity     </stp>
        <stp>RT_PX_CHG_PCT_1D</stp>
        <stp>[XLSpdmV8.xls]XLSpdmV8!R140C7</stp>
        <tr r="G140" s="1"/>
      </tp>
      <tp>
        <v>0</v>
        <stp/>
        <stp>##V3_BDPV12</stp>
        <stp xml:space="preserve">25720 HK Equity     </stp>
        <stp>RT_PX_CHG_PCT_1D</stp>
        <stp>[XLSpdmV8.xls]XLSpdmV8!R196C7</stp>
        <tr r="G196" s="1"/>
      </tp>
      <tp>
        <v>-2E-3</v>
        <stp/>
        <stp>##V3_BDPV12</stp>
        <stp xml:space="preserve">25808 HK Equity     </stp>
        <stp>RT_PX_CHG_NET_1D</stp>
        <stp>[XLSpdmV8.xls]XLSpdmV8!R198C8</stp>
        <tr r="H198" s="1"/>
      </tp>
      <tp>
        <v>-8.0000000000000002E-3</v>
        <stp/>
        <stp>##V3_BDPV12</stp>
        <stp xml:space="preserve">26491 HK Equity     </stp>
        <stp>RT_PX_CHG_NET_1D</stp>
        <stp>[XLSpdmV8.xls]XLSpdmV8!R211C8</stp>
        <tr r="H211" s="1"/>
      </tp>
      <tp>
        <v>-6.0000000000000001E-3</v>
        <stp/>
        <stp>##V3_BDPV12</stp>
        <stp xml:space="preserve">26540 HK Equity     </stp>
        <stp>RT_PX_CHG_NET_1D</stp>
        <stp>[XLSpdmV8.xls]XLSpdmV8!R100C8</stp>
        <tr r="H100" s="1"/>
      </tp>
      <tp>
        <v>-2E-3</v>
        <stp/>
        <stp>##V3_BDPV12</stp>
        <stp xml:space="preserve">26532 HK Equity     </stp>
        <stp>RT_PX_CHG_NET_1D</stp>
        <stp>[XLSpdmV8.xls]XLSpdmV8!R162C8</stp>
        <tr r="H162" s="1"/>
      </tp>
      <tp>
        <v>0</v>
        <stp/>
        <stp>##V3_BDPV12</stp>
        <stp xml:space="preserve">26106 HK Equity     </stp>
        <stp>RT_PX_CHG_NET_1D</stp>
        <stp>[XLSpdmV8.xls]XLSpdmV8!R206C8</stp>
        <tr r="H206" s="1"/>
      </tp>
      <tp>
        <v>-3.0000000000000001E-3</v>
        <stp/>
        <stp>##V3_BDPV12</stp>
        <stp xml:space="preserve">26036 HK Equity     </stp>
        <stp>RT_PX_CHG_NET_1D</stp>
        <stp>[XLSpdmV8.xls]XLSpdmV8!R156C8</stp>
        <tr r="H156" s="1"/>
      </tp>
      <tp t="s">
        <v>#N/A N/A</v>
        <stp/>
        <stp>##V3_BDPV12</stp>
        <stp xml:space="preserve">26329 HK Equity     </stp>
        <stp>RT_PX_CHG_NET_1D</stp>
        <stp>[XLSpdmV8.xls]XLSpdmV8!R209C8</stp>
        <tr r="H209" s="1"/>
      </tp>
      <tp>
        <v>0</v>
        <stp/>
        <stp>##V3_BDPV12</stp>
        <stp xml:space="preserve">26201 HK Equity     </stp>
        <stp>RT_PX_CHG_PCT_1D</stp>
        <stp>[XLSpdmV8.xls]XLSpdmV8!R157C7</stp>
        <tr r="G157" s="1"/>
      </tp>
      <tp>
        <v>17.307699</v>
        <stp/>
        <stp>##V3_BDPV12</stp>
        <stp xml:space="preserve">26753 HK Equity     </stp>
        <stp>RT_PX_CHG_PCT_1D</stp>
        <stp>[XLSpdmV8.xls]XLSpdmV8!R165C7</stp>
        <tr r="G165" s="1"/>
      </tp>
      <tp>
        <v>-7.0000000000000001E-3</v>
        <stp/>
        <stp>##V3_BDPV12</stp>
        <stp xml:space="preserve">26874 HK Equity     </stp>
        <stp>RT_PX_CHG_NET_1D</stp>
        <stp>[XLSpdmV8.xls]XLSpdmV8!R104C8</stp>
        <tr r="H104" s="1"/>
      </tp>
      <tp>
        <v>-12.328799999999999</v>
        <stp/>
        <stp>##V3_BDPV12</stp>
        <stp xml:space="preserve">27111 HK Equity     </stp>
        <stp>RT_PX_CHG_PCT_1D</stp>
        <stp>[XLSpdmV8.xls]XLSpdmV8!R107C7</stp>
        <tr r="G107" s="1"/>
      </tp>
      <tp t="s">
        <v>#N/A N/A</v>
        <stp/>
        <stp>##V3_BDPV12</stp>
        <stp xml:space="preserve">27592 HK Equity     </stp>
        <stp>RT_PX_CHG_PCT_1D</stp>
        <stp>[XLSpdmV8.xls]XLSpdmV8!R224C7</stp>
        <tr r="G224" s="1"/>
      </tp>
      <tp>
        <v>1.6E-2</v>
        <stp/>
        <stp>##V3_BDPV12</stp>
        <stp xml:space="preserve">27914 HK Equity     </stp>
        <stp>RT_PX_CHG_NET_1D</stp>
        <stp>[XLSpdmV8.xls]XLSpdmV8!R114C8</stp>
        <tr r="H114" s="1"/>
      </tp>
      <tp>
        <v>1.6E-2</v>
        <stp/>
        <stp>##V3_BDPV12</stp>
        <stp xml:space="preserve">28167 HK Equity     </stp>
        <stp>RT_PX_CHG_NET_1D</stp>
        <stp>[XLSpdmV8.xls]XLSpdmV8!R117C8</stp>
        <tr r="H117" s="1"/>
      </tp>
      <tp>
        <v>1.2999999999999999E-2</v>
        <stp/>
        <stp>##V3_BDPV12</stp>
        <stp xml:space="preserve">25473 HK Equity     </stp>
        <stp>RT_PX_CHG_NET_1D</stp>
        <stp>[XLSpdmV8.xls]XLSpdmV8!R81C8</stp>
        <tr r="H81" s="1"/>
      </tp>
      <tp>
        <v>-0.02</v>
        <stp/>
        <stp>##V3_BDPV12</stp>
        <stp xml:space="preserve">24427 HK Equity     </stp>
        <stp>RT_PX_CHG_NET_1D</stp>
        <stp>[XLSpdmV8.xls]XLSpdmV8!R74C8</stp>
        <tr r="H74" s="1"/>
      </tp>
      <tp>
        <v>-0.02</v>
        <stp/>
        <stp>##V3_BDPV12</stp>
        <stp xml:space="preserve">24425 HK Equity     </stp>
        <stp>RT_PX_CHG_NET_1D</stp>
        <stp>[XLSpdmV8.xls]XLSpdmV8!R14C8</stp>
        <tr r="H14" s="1"/>
      </tp>
      <tp>
        <v>0.17899999999999999</v>
        <stp/>
        <stp>##V3_BDPV12</stp>
        <stp xml:space="preserve">23535 HK Equity     </stp>
        <stp>BID</stp>
        <stp>[XLSpdmV8.xls]XLSpdmV8!R9C10</stp>
        <tr r="J9" s="1"/>
      </tp>
      <tp t="s">
        <v>#N/A N/A</v>
        <stp/>
        <stp>##V3_BDPV12</stp>
        <stp xml:space="preserve">20513 HK Equity     </stp>
        <stp>BID</stp>
        <stp>[XLSpdmV8.xls]XLSpdmV8!R6C10</stp>
        <tr r="J6" s="1"/>
      </tp>
      <tp t="s">
        <v>#N/A N/A</v>
        <stp/>
        <stp>##V3_BDPV12</stp>
        <stp xml:space="preserve">23517 HK Equity     </stp>
        <stp>BID</stp>
        <stp>[XLSpdmV8.xls]XLSpdmV8!R8C10</stp>
        <tr r="J8" s="1"/>
      </tp>
      <tp>
        <v>0</v>
        <stp/>
        <stp>##V3_BDPV12</stp>
        <stp xml:space="preserve">21852 HK Equity     </stp>
        <stp>RT_PX_CHG_PCT_1D</stp>
        <stp>[XLSpdmV8.xls]XLSpdmV8!R125C7</stp>
        <tr r="G125" s="1"/>
      </tp>
      <tp>
        <v>-15.972200000000001</v>
        <stp/>
        <stp>##V3_BDPV12</stp>
        <stp xml:space="preserve">22997 HK Equity     </stp>
        <stp>RT_PX_CHG_PCT_1D</stp>
        <stp>[XLSpdmV8.xls]XLSpdmV8!R130C7</stp>
        <tr r="G130" s="1"/>
      </tp>
      <tp>
        <v>0</v>
        <stp/>
        <stp>##V3_BDPV12</stp>
        <stp xml:space="preserve">22320 HK Equity     </stp>
        <stp>RT_PX_CHG_NET_1D</stp>
        <stp>[XLSpdmV8.xls]XLSpdmV8!R181C8</stp>
        <tr r="H181" s="1"/>
      </tp>
      <tp>
        <v>2E-3</v>
        <stp/>
        <stp>##V3_BDPV12</stp>
        <stp xml:space="preserve">23523 HK Equity     </stp>
        <stp>RT_PX_CHG_NET_1D</stp>
        <stp>[XLSpdmV8.xls]XLSpdmV8!R132C8</stp>
        <tr r="H132" s="1"/>
      </tp>
      <tp>
        <v>-9.7222200000000001</v>
        <stp/>
        <stp>##V3_BDPV12</stp>
        <stp xml:space="preserve">24452 HK Equity     </stp>
        <stp>RT_PX_CHG_PCT_1D</stp>
        <stp>[XLSpdmV8.xls]XLSpdmV8!R175C7</stp>
        <tr r="G175" s="1"/>
      </tp>
      <tp>
        <v>-14.583299999999999</v>
        <stp/>
        <stp>##V3_BDPV12</stp>
        <stp xml:space="preserve">25917 HK Equity     </stp>
        <stp>RT_PX_CHG_PCT_1D</stp>
        <stp>[XLSpdmV8.xls]XLSpdmV8!R200C7</stp>
        <tr r="G200" s="1"/>
      </tp>
      <tp>
        <v>6.0000000000000001E-3</v>
        <stp/>
        <stp>##V3_BDPV12</stp>
        <stp xml:space="preserve">25489 HK Equity     </stp>
        <stp>RT_PX_CHG_NET_1D</stp>
        <stp>[XLSpdmV8.xls]XLSpdmV8!R118C8</stp>
        <tr r="H118" s="1"/>
      </tp>
      <tp>
        <v>2.1000000000000001E-2</v>
        <stp/>
        <stp>##V3_BDPV12</stp>
        <stp xml:space="preserve">25910 HK Equity     </stp>
        <stp>RT_PX_CHG_NET_1D</stp>
        <stp>[XLSpdmV8.xls]XLSpdmV8!R151C8</stp>
        <tr r="H151" s="1"/>
      </tp>
      <tp>
        <v>1.6E-2</v>
        <stp/>
        <stp>##V3_BDPV12</stp>
        <stp xml:space="preserve">25901 HK Equity     </stp>
        <stp>RT_PX_CHG_NET_1D</stp>
        <stp>[XLSpdmV8.xls]XLSpdmV8!R150C8</stp>
        <tr r="H150" s="1"/>
      </tp>
      <tp>
        <v>1.7000000000000001E-2</v>
        <stp/>
        <stp>##V3_BDPV12</stp>
        <stp xml:space="preserve">26585 HK Equity     </stp>
        <stp>RT_PX_CHG_NET_1D</stp>
        <stp>[XLSpdmV8.xls]XLSpdmV8!R164C8</stp>
        <tr r="H164" s="1"/>
      </tp>
      <tp>
        <v>1.2999999999999999E-2</v>
        <stp/>
        <stp>##V3_BDPV12</stp>
        <stp xml:space="preserve">26064 HK Equity     </stp>
        <stp>RT_PX_CHG_NET_1D</stp>
        <stp>[XLSpdmV8.xls]XLSpdmV8!R205C8</stp>
        <tr r="H205" s="1"/>
      </tp>
      <tp>
        <v>-4.1095899999999999</v>
        <stp/>
        <stp>##V3_BDPV12</stp>
        <stp xml:space="preserve">26703 HK Equity     </stp>
        <stp>RT_PX_CHG_PCT_1D</stp>
        <stp>[XLSpdmV8.xls]XLSpdmV8!R214C7</stp>
        <tr r="G214" s="1"/>
      </tp>
      <tp>
        <v>0</v>
        <stp/>
        <stp>##V3_BDPV12</stp>
        <stp xml:space="preserve">26487 HK Equity     </stp>
        <stp>RT_PX_CHG_PCT_1D</stp>
        <stp>[XLSpdmV8.xls]XLSpdmV8!R210C7</stp>
        <tr r="G210" s="1"/>
      </tp>
      <tp>
        <v>8.0000000000000002E-3</v>
        <stp/>
        <stp>##V3_BDPV12</stp>
        <stp xml:space="preserve">27077 HK Equity     </stp>
        <stp>RT_PX_CHG_NET_1D</stp>
        <stp>[XLSpdmV8.xls]XLSpdmV8!R106C8</stp>
        <tr r="H106" s="1"/>
      </tp>
      <tp>
        <v>-1.0999999999999999E-2</v>
        <stp/>
        <stp>##V3_BDPV12</stp>
        <stp xml:space="preserve">27827 HK Equity     </stp>
        <stp>RT_PX_CHG_NET_1D</stp>
        <stp>[XLSpdmV8.xls]XLSpdmV8!R226C8</stp>
        <tr r="H226" s="1"/>
      </tp>
      <tp>
        <v>0</v>
        <stp/>
        <stp>##V3_BDPV12</stp>
        <stp xml:space="preserve">27564 HK Equity     </stp>
        <stp>RT_PX_CHG_PCT_1D</stp>
        <stp>[XLSpdmV8.xls]XLSpdmV8!R223C7</stp>
        <tr r="G223" s="1"/>
      </tp>
      <tp t="s">
        <v>#N/A N/A</v>
        <stp/>
        <stp>##V3_BDPV12</stp>
        <stp xml:space="preserve">28393 HK Equity     </stp>
        <stp>RT_PX_CHG_NET_1D</stp>
        <stp>[XLSpdmV8.xls]XLSpdmV8!R232C8</stp>
        <tr r="H232" s="1"/>
      </tp>
      <tp>
        <v>-7.0000000000000001E-3</v>
        <stp/>
        <stp>##V3_BDPV12</stp>
        <stp xml:space="preserve">26712 HK Equity     </stp>
        <stp>RT_PX_CHG_NET_1D</stp>
        <stp>[XLSpdmV8.xls]XLSpdmV8!R36C8</stp>
        <tr r="H36" s="1"/>
      </tp>
      <tp>
        <v>1.2E-2</v>
        <stp/>
        <stp>##V3_BDPV12</stp>
        <stp xml:space="preserve">25712 HK Equity     </stp>
        <stp>RT_PX_CHG_NET_1D</stp>
        <stp>[XLSpdmV8.xls]XLSpdmV8!R86C8</stp>
        <tr r="H86" s="1"/>
      </tp>
      <tp>
        <v>1.7000000000000001E-2</v>
        <stp/>
        <stp>##V3_BDPV12</stp>
        <stp xml:space="preserve">25660 HK Equity     </stp>
        <stp>RT_PX_CHG_NET_1D</stp>
        <stp>[XLSpdmV8.xls]XLSpdmV8!R21C8</stp>
        <tr r="H21" s="1"/>
      </tp>
      <tp>
        <v>-8.9999999999999993E-3</v>
        <stp/>
        <stp>##V3_BDPV12</stp>
        <stp xml:space="preserve">26147 HK Equity     </stp>
        <stp>RT_PX_CHG_NET_1D</stp>
        <stp>[XLSpdmV8.xls]XLSpdmV8!R93C8</stp>
        <tr r="H93" s="1"/>
      </tp>
      <tp>
        <v>0</v>
        <stp/>
        <stp>##V3_BDPV12</stp>
        <stp xml:space="preserve">24166 HK Equity     </stp>
        <stp>RT_PX_CHG_NET_1D</stp>
        <stp>[XLSpdmV8.xls]XLSpdmV8!R71C8</stp>
        <tr r="H71" s="1"/>
      </tp>
      <tp>
        <v>0</v>
        <stp/>
        <stp>##V3_BDPV12</stp>
        <stp xml:space="preserve">25376 HK Equity     </stp>
        <stp>RT_PX_CHG_NET_1D</stp>
        <stp>[XLSpdmV8.xls]XLSpdmV8!R80C8</stp>
        <tr r="H80" s="1"/>
      </tp>
      <tp>
        <v>0</v>
        <stp/>
        <stp>##V3_BDPV12</stp>
        <stp xml:space="preserve">23975 HK Equity     </stp>
        <stp>RT_PX_CHG_NET_1D</stp>
        <stp>[XLSpdmV8.xls]XLSpdmV8!R10C8</stp>
        <tr r="H10" s="1"/>
      </tp>
      <tp>
        <v>-10.7143</v>
        <stp/>
        <stp>##V3_BDPV12</stp>
        <stp xml:space="preserve">20546 HK Equity     </stp>
        <stp>RT_PX_CHG_PCT_1D</stp>
        <stp>[XLSpdmV8.xls]XLSpdmV8!R122C7</stp>
        <tr r="G122" s="1"/>
      </tp>
      <tp>
        <v>0</v>
        <stp/>
        <stp>##V3_BDPV12</stp>
        <stp xml:space="preserve">22313 HK Equity     </stp>
        <stp>RT_PX_CHG_PCT_1D</stp>
        <stp>[XLSpdmV8.xls]XLSpdmV8!R127C7</stp>
        <tr r="G127" s="1"/>
      </tp>
      <tp>
        <v>0</v>
        <stp/>
        <stp>##V3_BDPV12</stp>
        <stp xml:space="preserve">23055 HK Equity     </stp>
        <stp>RT_PX_CHG_PCT_1D</stp>
        <stp>[XLSpdmV8.xls]XLSpdmV8!R131C7</stp>
        <tr r="G131" s="1"/>
      </tp>
      <tp t="s">
        <v>#N/A N/A</v>
        <stp/>
        <stp>##V3_BDPV12</stp>
        <stp xml:space="preserve">24825 HK Equity     </stp>
        <stp>RT_PX_CHG_PCT_1D</stp>
        <stp>[XLSpdmV8.xls]XLSpdmV8!R191C7</stp>
        <tr r="G191" s="1"/>
      </tp>
      <tp>
        <v>0</v>
        <stp/>
        <stp>##V3_BDPV12</stp>
        <stp xml:space="preserve">24712 HK Equity     </stp>
        <stp>RT_PX_CHG_NET_1D</stp>
        <stp>[XLSpdmV8.xls]XLSpdmV8!R190C8</stp>
        <tr r="H190" s="1"/>
      </tp>
      <tp>
        <v>4.0000000000000001E-3</v>
        <stp/>
        <stp>##V3_BDPV12</stp>
        <stp xml:space="preserve">24167 HK Equity     </stp>
        <stp>RT_PX_CHG_NET_1D</stp>
        <stp>[XLSpdmV8.xls]XLSpdmV8!R135C8</stp>
        <tr r="H135" s="1"/>
      </tp>
      <tp>
        <v>18.571400000000001</v>
        <stp/>
        <stp>##V3_BDPV12</stp>
        <stp xml:space="preserve">25960 HK Equity     </stp>
        <stp>RT_PX_CHG_PCT_1D</stp>
        <stp>[XLSpdmV8.xls]XLSpdmV8!R154C7</stp>
        <tr r="G154" s="1"/>
      </tp>
      <tp>
        <v>-10.2041</v>
        <stp/>
        <stp>##V3_BDPV12</stp>
        <stp xml:space="preserve">25916 HK Equity     </stp>
        <stp>RT_PX_CHG_PCT_1D</stp>
        <stp>[XLSpdmV8.xls]XLSpdmV8!R152C7</stp>
        <tr r="G152" s="1"/>
      </tp>
      <tp>
        <v>1.0999999999999999E-2</v>
        <stp/>
        <stp>##V3_BDPV12</stp>
        <stp xml:space="preserve">25457 HK Equity     </stp>
        <stp>RT_PX_CHG_NET_1D</stp>
        <stp>[XLSpdmV8.xls]XLSpdmV8!R145C8</stp>
        <tr r="H145" s="1"/>
      </tp>
      <tp>
        <v>-15.306100000000001</v>
        <stp/>
        <stp>##V3_BDPV12</stp>
        <stp xml:space="preserve">25357 HK Equity     </stp>
        <stp>RT_PX_CHG_PCT_1D</stp>
        <stp>[XLSpdmV8.xls]XLSpdmV8!R143C7</stp>
        <tr r="G143" s="1"/>
      </tp>
      <tp>
        <v>-15.1515</v>
        <stp/>
        <stp>##V3_BDPV12</stp>
        <stp xml:space="preserve">25306 HK Equity     </stp>
        <stp>RT_PX_CHG_PCT_1D</stp>
        <stp>[XLSpdmV8.xls]XLSpdmV8!R142C7</stp>
        <tr r="G142" s="1"/>
      </tp>
      <tp>
        <v>1.6E-2</v>
        <stp/>
        <stp>##V3_BDPV12</stp>
        <stp xml:space="preserve">26583 HK Equity     </stp>
        <stp>RT_PX_CHG_NET_1D</stp>
        <stp>[XLSpdmV8.xls]XLSpdmV8!R101C8</stp>
        <tr r="H101" s="1"/>
      </tp>
      <tp>
        <v>-6.0000000000000001E-3</v>
        <stp/>
        <stp>##V3_BDPV12</stp>
        <stp xml:space="preserve">26717 HK Equity     </stp>
        <stp>RT_PX_CHG_NET_1D</stp>
        <stp>[XLSpdmV8.xls]XLSpdmV8!R215C8</stp>
        <tr r="H215" s="1"/>
      </tp>
      <tp>
        <v>-5.0000000000000001E-3</v>
        <stp/>
        <stp>##V3_BDPV12</stp>
        <stp xml:space="preserve">26362 HK Equity     </stp>
        <stp>RT_PX_CHG_NET_1D</stp>
        <stp>[XLSpdmV8.xls]XLSpdmV8!R160C8</stp>
        <tr r="H160" s="1"/>
      </tp>
      <tp>
        <v>-10.2041</v>
        <stp/>
        <stp>##V3_BDPV12</stp>
        <stp xml:space="preserve">26485 HK Equity     </stp>
        <stp>RT_PX_CHG_PCT_1D</stp>
        <stp>[XLSpdmV8.xls]XLSpdmV8!R161C7</stp>
        <tr r="G161" s="1"/>
      </tp>
      <tp t="s">
        <v>#N/A N/A</v>
        <stp/>
        <stp>##V3_BDPV12</stp>
        <stp xml:space="preserve">26667 HK Equity     </stp>
        <stp>RT_PX_CHG_PCT_1D</stp>
        <stp>[XLSpdmV8.xls]XLSpdmV8!R213C7</stp>
        <tr r="G213" s="1"/>
      </tp>
      <tp>
        <v>-9.1603100000000008</v>
        <stp/>
        <stp>##V3_BDPV12</stp>
        <stp xml:space="preserve">27893 HK Equity     </stp>
        <stp>RT_PX_CHG_PCT_1D</stp>
        <stp>[XLSpdmV8.xls]XLSpdmV8!R227C7</stp>
        <tr r="G227" s="1"/>
      </tp>
      <tp>
        <v>-1.4999999999999999E-2</v>
        <stp/>
        <stp>##V3_BDPV12</stp>
        <stp xml:space="preserve">27422 HK Equity     </stp>
        <stp>RT_PX_CHG_NET_1D</stp>
        <stp>[XLSpdmV8.xls]XLSpdmV8!R170C8</stp>
        <tr r="H170" s="1"/>
      </tp>
      <tp>
        <v>-7.0000000000000001E-3</v>
        <stp/>
        <stp>##V3_BDPV12</stp>
        <stp xml:space="preserve">27382 HK Equity     </stp>
        <stp>RT_PX_CHG_NET_1D</stp>
        <stp>[XLSpdmV8.xls]XLSpdmV8!R110C8</stp>
        <tr r="H110" s="1"/>
      </tp>
      <tp>
        <v>-11.940300000000001</v>
        <stp/>
        <stp>##V3_BDPV12</stp>
        <stp xml:space="preserve">27112 HK Equity     </stp>
        <stp>RT_PX_CHG_PCT_1D</stp>
        <stp>[XLSpdmV8.xls]XLSpdmV8!R166C7</stp>
        <tr r="G166" s="1"/>
      </tp>
      <tp>
        <v>-8.0952400000000004</v>
        <stp/>
        <stp>##V3_BDPV12</stp>
        <stp xml:space="preserve">27596 HK Equity     </stp>
        <stp>RT_PX_CHG_PCT_1D</stp>
        <stp>[XLSpdmV8.xls]XLSpdmV8!R112C7</stp>
        <tr r="G112" s="1"/>
      </tp>
      <tp>
        <v>-1.9E-2</v>
        <stp/>
        <stp>##V3_BDPV12</stp>
        <stp xml:space="preserve">27821 HK Equity     </stp>
        <stp>RT_PX_CHG_NET_1D</stp>
        <stp>[XLSpdmV8.xls]XLSpdmV8!R113C8</stp>
        <tr r="H113" s="1"/>
      </tp>
      <tp t="s">
        <v>#N/A N/A</v>
        <stp/>
        <stp>##V3_BDPV12</stp>
        <stp xml:space="preserve">28172 HK Equity     </stp>
        <stp>RT_PX_CHG_NET_1D</stp>
        <stp>[XLSpdmV8.xls]XLSpdmV8!R230C8</stp>
        <tr r="H230" s="1"/>
      </tp>
      <tp t="s">
        <v>#N/A N/A</v>
        <stp/>
        <stp>##V3_BDPV12</stp>
        <stp xml:space="preserve">28081 HK Equity     </stp>
        <stp>RT_PX_CHG_NET_1D</stp>
        <stp>[XLSpdmV8.xls]XLSpdmV8!R173C8</stp>
        <tr r="H173" s="1"/>
      </tp>
      <tp>
        <v>-2.5000000000000001E-2</v>
        <stp/>
        <stp>##V3_BDPV12</stp>
        <stp xml:space="preserve">21009 HK Equity     </stp>
        <stp>RT_PX_CHG_NET_1D</stp>
        <stp>[XLSpdmV8.xls]XLSpdmV8!R64C8</stp>
        <tr r="H64" s="1"/>
      </tp>
      <tp>
        <v>-7.0000000000000001E-3</v>
        <stp/>
        <stp>##V3_BDPV12</stp>
        <stp xml:space="preserve">26849 HK Equity     </stp>
        <stp>RT_PX_CHG_NET_1D</stp>
        <stp>[XLSpdmV8.xls]XLSpdmV8!R40C8</stp>
        <tr r="H40" s="1"/>
      </tp>
      <tp>
        <v>1.2999999999999999E-2</v>
        <stp/>
        <stp>##V3_BDPV12</stp>
        <stp xml:space="preserve">26319 HK Equity     </stp>
        <stp>RT_PX_CHG_NET_1D</stp>
        <stp>[XLSpdmV8.xls]XLSpdmV8!R95C8</stp>
        <tr r="H95" s="1"/>
      </tp>
      <tp>
        <v>1.0999999999999999E-2</v>
        <stp/>
        <stp>##V3_BDPV12</stp>
        <stp xml:space="preserve">25959 HK Equity     </stp>
        <stp>RT_PX_CHG_NET_1D</stp>
        <stp>[XLSpdmV8.xls]XLSpdmV8!R91C8</stp>
        <tr r="H91" s="1"/>
      </tp>
      <tp>
        <v>0</v>
        <stp/>
        <stp>##V3_BDPV12</stp>
        <stp xml:space="preserve">26143 HK Equity     </stp>
        <stp>RT_PX_CHG_NET_1D</stp>
        <stp>[XLSpdmV8.xls]XLSpdmV8!R30C8</stp>
        <tr r="H30" s="1"/>
      </tp>
      <tp>
        <v>-1.0999999999999999E-2</v>
        <stp/>
        <stp>##V3_BDPV12</stp>
        <stp xml:space="preserve">22822 HK Equity     </stp>
        <stp>RT_PX_CHG_NET_1D</stp>
        <stp>[XLSpdmV8.xls]XLSpdmV8!R66C8</stp>
        <tr r="H66" s="1"/>
      </tp>
      <tp>
        <v>5.0000000000000001E-3</v>
        <stp/>
        <stp>##V3_BDPV12</stp>
        <stp xml:space="preserve">24262 HK Equity     </stp>
        <stp>RT_PX_CHG_NET_1D</stp>
        <stp>[XLSpdmV8.xls]XLSpdmV8!R72C8</stp>
        <tr r="H72" s="1"/>
      </tp>
      <tp>
        <v>-1.7999999999999999E-2</v>
        <stp/>
        <stp>##V3_BDPV12</stp>
        <stp xml:space="preserve">27666 HK Equity     </stp>
        <stp>RT_PX_CHG_NET_1D</stp>
        <stp>[XLSpdmV8.xls]XLSpdmV8!R52C8</stp>
        <tr r="H52" s="1"/>
      </tp>
      <tp>
        <v>4.0000000000000001E-3</v>
        <stp/>
        <stp>##V3_BDPV12</stp>
        <stp xml:space="preserve">24376 HK Equity     </stp>
        <stp>RT_PX_CHG_NET_1D</stp>
        <stp>[XLSpdmV8.xls]XLSpdmV8!R13C8</stp>
        <tr r="H13" s="1"/>
      </tp>
      <tp>
        <v>0</v>
        <stp/>
        <stp>##V3_BDPV12</stp>
        <stp xml:space="preserve">11321 HK Equity     </stp>
        <stp>RT_PX_CHG_NET_1D</stp>
        <stp>[XLSpdmV8.xls]XLSpdmV8!R121C8</stp>
        <tr r="H121" s="1"/>
      </tp>
      <tp>
        <v>0</v>
        <stp/>
        <stp>##V3_BDPV12</stp>
        <stp xml:space="preserve">22947 HK Equity     </stp>
        <stp>RT_PX_CHG_PCT_1D</stp>
        <stp>[XLSpdmV8.xls]XLSpdmV8!R182C7</stp>
        <tr r="G182" s="1"/>
      </tp>
      <tp>
        <v>0</v>
        <stp/>
        <stp>##V3_BDPV12</stp>
        <stp xml:space="preserve">22235 HK Equity     </stp>
        <stp>RT_PX_CHG_PCT_1D</stp>
        <stp>[XLSpdmV8.xls]XLSpdmV8!R180C7</stp>
        <tr r="G180" s="1"/>
      </tp>
      <tp>
        <v>0</v>
        <stp/>
        <stp>##V3_BDPV12</stp>
        <stp xml:space="preserve">23841 HK Equity     </stp>
        <stp>RT_PX_CHG_PCT_1D</stp>
        <stp>[XLSpdmV8.xls]XLSpdmV8!R134C7</stp>
        <tr r="G134" s="1"/>
      </tp>
      <tp>
        <v>0</v>
        <stp/>
        <stp>##V3_BDPV12</stp>
        <stp xml:space="preserve">24374 HK Equity     </stp>
        <stp>RT_PX_CHG_NET_1D</stp>
        <stp>[XLSpdmV8.xls]XLSpdmV8!R187C8</stp>
        <tr r="H187" s="1"/>
      </tp>
      <tp>
        <v>1.2999999999999999E-2</v>
        <stp/>
        <stp>##V3_BDPV12</stp>
        <stp xml:space="preserve">25686 HK Equity     </stp>
        <stp>RT_PX_CHG_NET_1D</stp>
        <stp>[XLSpdmV8.xls]XLSpdmV8!R195C8</stp>
        <tr r="H195" s="1"/>
      </tp>
      <tp>
        <v>-7.0000000000000001E-3</v>
        <stp/>
        <stp>##V3_BDPV12</stp>
        <stp xml:space="preserve">25377 HK Equity     </stp>
        <stp>RT_PX_CHG_NET_1D</stp>
        <stp>[XLSpdmV8.xls]XLSpdmV8!R144C8</stp>
        <tr r="H144" s="1"/>
      </tp>
      <tp>
        <v>-8.9999999999999993E-3</v>
        <stp/>
        <stp>##V3_BDPV12</stp>
        <stp xml:space="preserve">25272 HK Equity     </stp>
        <stp>RT_PX_CHG_NET_1D</stp>
        <stp>[XLSpdmV8.xls]XLSpdmV8!R141C8</stp>
        <tr r="H141" s="1"/>
      </tp>
      <tp>
        <v>9.8765400000000003</v>
        <stp/>
        <stp>##V3_BDPV12</stp>
        <stp xml:space="preserve">25561 HK Equity     </stp>
        <stp>RT_PX_CHG_PCT_1D</stp>
        <stp>[XLSpdmV8.xls]XLSpdmV8!R194C7</stp>
        <tr r="G194" s="1"/>
      </tp>
      <tp>
        <v>0.01</v>
        <stp/>
        <stp>##V3_BDPV12</stp>
        <stp xml:space="preserve">25986 HK Equity     </stp>
        <stp>RT_PX_CHG_NET_1D</stp>
        <stp>[XLSpdmV8.xls]XLSpdmV8!R155C8</stp>
        <tr r="H155" s="1"/>
      </tp>
      <tp>
        <v>1.6E-2</v>
        <stp/>
        <stp>##V3_BDPV12</stp>
        <stp xml:space="preserve">25804 HK Equity     </stp>
        <stp>RT_PX_CHG_NET_1D</stp>
        <stp>[XLSpdmV8.xls]XLSpdmV8!R197C8</stp>
        <tr r="H197" s="1"/>
      </tp>
      <tp>
        <v>1.4999999999999999E-2</v>
        <stp/>
        <stp>##V3_BDPV12</stp>
        <stp xml:space="preserve">26020 HK Equity     </stp>
        <stp>RT_PX_CHG_NET_1D</stp>
        <stp>[XLSpdmV8.xls]XLSpdmV8!R203C8</stp>
        <tr r="H203" s="1"/>
      </tp>
      <tp>
        <v>-3.0000000000000001E-3</v>
        <stp/>
        <stp>##V3_BDPV12</stp>
        <stp xml:space="preserve">26037 HK Equity     </stp>
        <stp>RT_PX_CHG_NET_1D</stp>
        <stp>[XLSpdmV8.xls]XLSpdmV8!R204C8</stp>
        <tr r="H204" s="1"/>
      </tp>
      <tp>
        <v>-12.9032</v>
        <stp/>
        <stp>##V3_BDPV12</stp>
        <stp xml:space="preserve">26142 HK Equity     </stp>
        <stp>RT_PX_CHG_PCT_1D</stp>
        <stp>[XLSpdmV8.xls]XLSpdmV8!R207C7</stp>
        <tr r="G207" s="1"/>
      </tp>
      <tp>
        <v>-1.4999999999999999E-2</v>
        <stp/>
        <stp>##V3_BDPV12</stp>
        <stp xml:space="preserve">26915 HK Equity     </stp>
        <stp>RT_PX_CHG_NET_1D</stp>
        <stp>[XLSpdmV8.xls]XLSpdmV8!R216C8</stp>
        <tr r="H216" s="1"/>
      </tp>
      <tp>
        <v>14.545500000000001</v>
        <stp/>
        <stp>##V3_BDPV12</stp>
        <stp xml:space="preserve">26756 HK Equity     </stp>
        <stp>RT_PX_CHG_PCT_1D</stp>
        <stp>[XLSpdmV8.xls]XLSpdmV8!R103C7</stp>
        <tr r="G103" s="1"/>
      </tp>
      <tp>
        <v>-6.0000000000000001E-3</v>
        <stp/>
        <stp>##V3_BDPV12</stp>
        <stp xml:space="preserve">26896 HK Equity     </stp>
        <stp>RT_PX_CHG_NET_1D</stp>
        <stp>[XLSpdmV8.xls]XLSpdmV8!R105C8</stp>
        <tr r="H105" s="1"/>
      </tp>
      <tp>
        <v>0</v>
        <stp/>
        <stp>##V3_BDPV12</stp>
        <stp xml:space="preserve">27562 HK Equity     </stp>
        <stp>RT_PX_CHG_NET_1D</stp>
        <stp>[XLSpdmV8.xls]XLSpdmV8!R171C8</stp>
        <tr r="H171" s="1"/>
      </tp>
      <tp>
        <v>-10.071899999999999</v>
        <stp/>
        <stp>##V3_BDPV12</stp>
        <stp xml:space="preserve">27394 HK Equity     </stp>
        <stp>RT_PX_CHG_PCT_1D</stp>
        <stp>[XLSpdmV8.xls]XLSpdmV8!R111C7</stp>
        <tr r="G111" s="1"/>
      </tp>
      <tp>
        <v>22.857099999999999</v>
        <stp/>
        <stp>##V3_BDPV12</stp>
        <stp xml:space="preserve">27760 HK Equity     </stp>
        <stp>RT_PX_CHG_PCT_1D</stp>
        <stp>[XLSpdmV8.xls]XLSpdmV8!R225C7</stp>
        <tr r="G225" s="1"/>
      </tp>
      <tp>
        <v>-1.2E-2</v>
        <stp/>
        <stp>##V3_BDPV12</stp>
        <stp xml:space="preserve">27891 HK Equity     </stp>
        <stp>RT_PX_CHG_NET_1D</stp>
        <stp>[XLSpdmV8.xls]XLSpdmV8!R172C8</stp>
        <tr r="H172" s="1"/>
      </tp>
      <tp t="s">
        <v>#N/A N/A</v>
        <stp/>
        <stp>##V3_BDPV12</stp>
        <stp xml:space="preserve">28374 HK Equity     </stp>
        <stp>RT_PX_CHG_PCT_1D</stp>
        <stp>[XLSpdmV8.xls]XLSpdmV8!R231C7</stp>
        <tr r="G231" s="1"/>
      </tp>
      <tp>
        <v>0</v>
        <stp/>
        <stp>##V3_BDPV12</stp>
        <stp xml:space="preserve">28080 HK Equity     </stp>
        <stp>RT_PX_CHG_PCT_1D</stp>
        <stp>[XLSpdmV8.xls]XLSpdmV8!R115C7</stp>
        <tr r="G115" s="1"/>
      </tp>
      <tp t="s">
        <v>#N/A N/A</v>
        <stp/>
        <stp>##V3_BDPV12</stp>
        <stp xml:space="preserve">28131 HK Equity     </stp>
        <stp>RT_PX_CHG_PCT_1D</stp>
        <stp>[XLSpdmV8.xls]XLSpdmV8!R174C7</stp>
        <tr r="G174" s="1"/>
      </tp>
      <tp>
        <v>-7.0000000000000001E-3</v>
        <stp/>
        <stp>##V3_BDPV12</stp>
        <stp xml:space="preserve">25579 HK Equity     </stp>
        <stp>RT_PX_CHG_NET_1D</stp>
        <stp>[XLSpdmV8.xls]XLSpdmV8!R82C8</stp>
        <tr r="H82" s="1"/>
      </tp>
      <tp>
        <v>1.4999999999999999E-2</v>
        <stp/>
        <stp>##V3_BDPV12</stp>
        <stp xml:space="preserve">25919 HK Equity     </stp>
        <stp>RT_PX_CHG_NET_1D</stp>
        <stp>[XLSpdmV8.xls]XLSpdmV8!R24C8</stp>
        <tr r="H24" s="1"/>
      </tp>
      <tp>
        <v>-2.3E-2</v>
        <stp/>
        <stp>##V3_BDPV12</stp>
        <stp xml:space="preserve">24831 HK Equity     </stp>
        <stp>RT_PX_CHG_NET_1D</stp>
        <stp>[XLSpdmV8.xls]XLSpdmV8!R76C8</stp>
        <tr r="H76" s="1"/>
      </tp>
      <tp>
        <v>-1.2E-2</v>
        <stp/>
        <stp>##V3_BDPV12</stp>
        <stp xml:space="preserve">24830 HK Equity     </stp>
        <stp>RT_PX_CHG_NET_1D</stp>
        <stp>[XLSpdmV8.xls]XLSpdmV8!R16C8</stp>
        <tr r="H16" s="1"/>
      </tp>
      <tp>
        <v>-8.0000000000000002E-3</v>
        <stp/>
        <stp>##V3_BDPV12</stp>
        <stp xml:space="preserve">26704 HK Equity     </stp>
        <stp>RT_PX_CHG_NET_1D</stp>
        <stp>[XLSpdmV8.xls]XLSpdmV8!R35C8</stp>
        <tr r="H35" s="1"/>
      </tp>
      <tp>
        <v>-0.03</v>
        <stp/>
        <stp>##V3_BDPV12</stp>
        <stp xml:space="preserve">20546 HK Equity     </stp>
        <stp>RT_PX_CHG_NET_1D</stp>
        <stp>[XLSpdmV8.xls]XLSpdmV8!R122C8</stp>
        <tr r="H122" s="1"/>
      </tp>
      <tp>
        <v>0</v>
        <stp/>
        <stp>##V3_BDPV12</stp>
        <stp xml:space="preserve">22313 HK Equity     </stp>
        <stp>RT_PX_CHG_NET_1D</stp>
        <stp>[XLSpdmV8.xls]XLSpdmV8!R127C8</stp>
        <tr r="H127" s="1"/>
      </tp>
      <tp>
        <v>0</v>
        <stp/>
        <stp>##V3_BDPV12</stp>
        <stp xml:space="preserve">23055 HK Equity     </stp>
        <stp>RT_PX_CHG_NET_1D</stp>
        <stp>[XLSpdmV8.xls]XLSpdmV8!R131C8</stp>
        <tr r="H131" s="1"/>
      </tp>
      <tp>
        <v>20</v>
        <stp/>
        <stp>##V3_BDPV12</stp>
        <stp xml:space="preserve">24167 HK Equity     </stp>
        <stp>RT_PX_CHG_PCT_1D</stp>
        <stp>[XLSpdmV8.xls]XLSpdmV8!R135C7</stp>
        <tr r="G135" s="1"/>
      </tp>
      <tp>
        <v>0</v>
        <stp/>
        <stp>##V3_BDPV12</stp>
        <stp xml:space="preserve">24712 HK Equity     </stp>
        <stp>RT_PX_CHG_PCT_1D</stp>
        <stp>[XLSpdmV8.xls]XLSpdmV8!R190C7</stp>
        <tr r="G190" s="1"/>
      </tp>
      <tp t="s">
        <v>#N/A N/A</v>
        <stp/>
        <stp>##V3_BDPV12</stp>
        <stp xml:space="preserve">24825 HK Equity     </stp>
        <stp>RT_PX_CHG_NET_1D</stp>
        <stp>[XLSpdmV8.xls]XLSpdmV8!R191C8</stp>
        <tr r="H191" s="1"/>
      </tp>
      <tp>
        <v>-0.01</v>
        <stp/>
        <stp>##V3_BDPV12</stp>
        <stp xml:space="preserve">25306 HK Equity     </stp>
        <stp>RT_PX_CHG_NET_1D</stp>
        <stp>[XLSpdmV8.xls]XLSpdmV8!R142C8</stp>
        <tr r="H142" s="1"/>
      </tp>
      <tp>
        <v>-1.4999999999999999E-2</v>
        <stp/>
        <stp>##V3_BDPV12</stp>
        <stp xml:space="preserve">25357 HK Equity     </stp>
        <stp>RT_PX_CHG_NET_1D</stp>
        <stp>[XLSpdmV8.xls]XLSpdmV8!R143C8</stp>
        <tr r="H143" s="1"/>
      </tp>
      <tp>
        <v>22.448999000000001</v>
        <stp/>
        <stp>##V3_BDPV12</stp>
        <stp xml:space="preserve">25457 HK Equity     </stp>
        <stp>RT_PX_CHG_PCT_1D</stp>
        <stp>[XLSpdmV8.xls]XLSpdmV8!R145C7</stp>
        <tr r="G145" s="1"/>
      </tp>
      <tp>
        <v>-5.0000000000000001E-3</v>
        <stp/>
        <stp>##V3_BDPV12</stp>
        <stp xml:space="preserve">25916 HK Equity     </stp>
        <stp>RT_PX_CHG_NET_1D</stp>
        <stp>[XLSpdmV8.xls]XLSpdmV8!R152C8</stp>
        <tr r="H152" s="1"/>
      </tp>
      <tp>
        <v>1.2999999999999999E-2</v>
        <stp/>
        <stp>##V3_BDPV12</stp>
        <stp xml:space="preserve">25960 HK Equity     </stp>
        <stp>RT_PX_CHG_NET_1D</stp>
        <stp>[XLSpdmV8.xls]XLSpdmV8!R154C8</stp>
        <tr r="H154" s="1"/>
      </tp>
      <tp t="s">
        <v>#N/A N/A</v>
        <stp/>
        <stp>##V3_BDPV12</stp>
        <stp xml:space="preserve">26667 HK Equity     </stp>
        <stp>RT_PX_CHG_NET_1D</stp>
        <stp>[XLSpdmV8.xls]XLSpdmV8!R213C8</stp>
        <tr r="H213" s="1"/>
      </tp>
      <tp>
        <v>-5.0000000000000001E-3</v>
        <stp/>
        <stp>##V3_BDPV12</stp>
        <stp xml:space="preserve">26485 HK Equity     </stp>
        <stp>RT_PX_CHG_NET_1D</stp>
        <stp>[XLSpdmV8.xls]XLSpdmV8!R161C8</stp>
        <tr r="H161" s="1"/>
      </tp>
      <tp>
        <v>-9.6153899999999997</v>
        <stp/>
        <stp>##V3_BDPV12</stp>
        <stp xml:space="preserve">26362 HK Equity     </stp>
        <stp>RT_PX_CHG_PCT_1D</stp>
        <stp>[XLSpdmV8.xls]XLSpdmV8!R160C7</stp>
        <tr r="G160" s="1"/>
      </tp>
      <tp>
        <v>-8.5714299999999994</v>
        <stp/>
        <stp>##V3_BDPV12</stp>
        <stp xml:space="preserve">26717 HK Equity     </stp>
        <stp>RT_PX_CHG_PCT_1D</stp>
        <stp>[XLSpdmV8.xls]XLSpdmV8!R215C7</stp>
        <tr r="G215" s="1"/>
      </tp>
      <tp>
        <v>11.0345</v>
        <stp/>
        <stp>##V3_BDPV12</stp>
        <stp xml:space="preserve">26583 HK Equity     </stp>
        <stp>RT_PX_CHG_PCT_1D</stp>
        <stp>[XLSpdmV8.xls]XLSpdmV8!R101C7</stp>
        <tr r="G101" s="1"/>
      </tp>
      <tp>
        <v>-9.5959599999999998</v>
        <stp/>
        <stp>##V3_BDPV12</stp>
        <stp xml:space="preserve">27821 HK Equity     </stp>
        <stp>RT_PX_CHG_PCT_1D</stp>
        <stp>[XLSpdmV8.xls]XLSpdmV8!R113C7</stp>
        <tr r="G113" s="1"/>
      </tp>
      <tp>
        <v>-1.7000000000000001E-2</v>
        <stp/>
        <stp>##V3_BDPV12</stp>
        <stp xml:space="preserve">27596 HK Equity     </stp>
        <stp>RT_PX_CHG_NET_1D</stp>
        <stp>[XLSpdmV8.xls]XLSpdmV8!R112C8</stp>
        <tr r="H112" s="1"/>
      </tp>
      <tp>
        <v>-8.0000000000000002E-3</v>
        <stp/>
        <stp>##V3_BDPV12</stp>
        <stp xml:space="preserve">27112 HK Equity     </stp>
        <stp>RT_PX_CHG_NET_1D</stp>
        <stp>[XLSpdmV8.xls]XLSpdmV8!R166C8</stp>
        <tr r="H166" s="1"/>
      </tp>
      <tp>
        <v>-7.6086999999999998</v>
        <stp/>
        <stp>##V3_BDPV12</stp>
        <stp xml:space="preserve">27382 HK Equity     </stp>
        <stp>RT_PX_CHG_PCT_1D</stp>
        <stp>[XLSpdmV8.xls]XLSpdmV8!R110C7</stp>
        <tr r="G110" s="1"/>
      </tp>
      <tp>
        <v>-7.3170700000000002</v>
        <stp/>
        <stp>##V3_BDPV12</stp>
        <stp xml:space="preserve">27422 HK Equity     </stp>
        <stp>RT_PX_CHG_PCT_1D</stp>
        <stp>[XLSpdmV8.xls]XLSpdmV8!R170C7</stp>
        <tr r="G170" s="1"/>
      </tp>
      <tp>
        <v>-1.2E-2</v>
        <stp/>
        <stp>##V3_BDPV12</stp>
        <stp xml:space="preserve">27893 HK Equity     </stp>
        <stp>RT_PX_CHG_NET_1D</stp>
        <stp>[XLSpdmV8.xls]XLSpdmV8!R227C8</stp>
        <tr r="H227" s="1"/>
      </tp>
      <tp t="s">
        <v>#N/A N/A</v>
        <stp/>
        <stp>##V3_BDPV12</stp>
        <stp xml:space="preserve">28081 HK Equity     </stp>
        <stp>RT_PX_CHG_PCT_1D</stp>
        <stp>[XLSpdmV8.xls]XLSpdmV8!R173C7</stp>
        <tr r="G173" s="1"/>
      </tp>
      <tp t="s">
        <v>#N/A N/A</v>
        <stp/>
        <stp>##V3_BDPV12</stp>
        <stp xml:space="preserve">28172 HK Equity     </stp>
        <stp>RT_PX_CHG_PCT_1D</stp>
        <stp>[XLSpdmV8.xls]XLSpdmV8!R230C7</stp>
        <tr r="G230" s="1"/>
      </tp>
      <tp t="s">
        <v>#N/A N/A</v>
        <stp/>
        <stp>##V3_BDPV12</stp>
        <stp xml:space="preserve">25679 HK Equity     </stp>
        <stp>RT_PX_CHG_NET_1D</stp>
        <stp>[XLSpdmV8.xls]XLSpdmV8!R85C8</stp>
        <tr r="H85" s="1"/>
      </tp>
      <tp>
        <v>-6.0000000000000001E-3</v>
        <stp/>
        <stp>##V3_BDPV12</stp>
        <stp xml:space="preserve">26668 HK Equity     </stp>
        <stp>RT_PX_CHG_NET_1D</stp>
        <stp>[XLSpdmV8.xls]XLSpdmV8!R34C8</stp>
        <tr r="H34" s="1"/>
      </tp>
      <tp>
        <v>1.4E-2</v>
        <stp/>
        <stp>##V3_BDPV12</stp>
        <stp xml:space="preserve">25662 HK Equity     </stp>
        <stp>RT_PX_CHG_NET_1D</stp>
        <stp>[XLSpdmV8.xls]XLSpdmV8!R84C8</stp>
        <tr r="H84" s="1"/>
      </tp>
      <tp>
        <v>0</v>
        <stp/>
        <stp>##V3_BDPV12</stp>
        <stp xml:space="preserve">23970 HK Equity     </stp>
        <stp>RT_PX_CHG_NET_1D</stp>
        <stp>[XLSpdmV8.xls]XLSpdmV8!R55C8</stp>
        <tr r="H55" s="1"/>
      </tp>
      <tp>
        <v>0.01</v>
        <stp/>
        <stp>##V3_BDPV12</stp>
        <stp xml:space="preserve">27177 HK Equity     </stp>
        <stp>RT_PX_CHG_NET_1D</stp>
        <stp>[XLSpdmV8.xls]XLSpdmV8!R45C8</stp>
        <tr r="H45" s="1"/>
      </tp>
      <tp t="s">
        <v>#N/A N/A</v>
        <stp/>
        <stp>##V3_BDPV12</stp>
        <stp xml:space="preserve">21875 HK Equity     </stp>
        <stp>RT_PX_CHG_NET_1D</stp>
        <stp>[XLSpdmV8.xls]XLSpdmV8!R65C8</stp>
        <tr r="H65" s="1"/>
      </tp>
      <tp>
        <v>1.4E-2</v>
        <stp/>
        <stp>##V3_BDPV12</stp>
        <stp xml:space="preserve">24315 HK Equity     </stp>
        <stp>RT_PX_CHG_NET_1D</stp>
        <stp>[XLSpdmV8.xls]XLSpdmV8!R73C8</stp>
        <tr r="H73" s="1"/>
      </tp>
      <tp>
        <v>-8.0000000000000002E-3</v>
        <stp/>
        <stp>##V3_BDPV12</stp>
        <stp xml:space="preserve">25625 HK Equity     </stp>
        <stp>RT_PX_CHG_NET_1D</stp>
        <stp>[XLSpdmV8.xls]XLSpdmV8!R20C8</stp>
        <tr r="H20" s="1"/>
      </tp>
      <tp>
        <v>0</v>
        <stp/>
        <stp>##V3_BDPV12</stp>
        <stp xml:space="preserve">11321 HK Equity     </stp>
        <stp>RT_PX_CHG_PCT_1D</stp>
        <stp>[XLSpdmV8.xls]XLSpdmV8!R121C7</stp>
        <tr r="G121" s="1"/>
      </tp>
      <tp>
        <v>0</v>
        <stp/>
        <stp>##V3_BDPV12</stp>
        <stp xml:space="preserve">22235 HK Equity     </stp>
        <stp>RT_PX_CHG_NET_1D</stp>
        <stp>[XLSpdmV8.xls]XLSpdmV8!R180C8</stp>
        <tr r="H180" s="1"/>
      </tp>
      <tp>
        <v>0</v>
        <stp/>
        <stp>##V3_BDPV12</stp>
        <stp xml:space="preserve">22947 HK Equity     </stp>
        <stp>RT_PX_CHG_NET_1D</stp>
        <stp>[XLSpdmV8.xls]XLSpdmV8!R182C8</stp>
        <tr r="H182" s="1"/>
      </tp>
      <tp>
        <v>0</v>
        <stp/>
        <stp>##V3_BDPV12</stp>
        <stp xml:space="preserve">23841 HK Equity     </stp>
        <stp>RT_PX_CHG_NET_1D</stp>
        <stp>[XLSpdmV8.xls]XLSpdmV8!R134C8</stp>
        <tr r="H134" s="1"/>
      </tp>
      <tp>
        <v>0</v>
        <stp/>
        <stp>##V3_BDPV12</stp>
        <stp xml:space="preserve">24374 HK Equity     </stp>
        <stp>RT_PX_CHG_PCT_1D</stp>
        <stp>[XLSpdmV8.xls]XLSpdmV8!R187C7</stp>
        <tr r="G187" s="1"/>
      </tp>
      <tp>
        <v>13.008100000000001</v>
        <stp/>
        <stp>##V3_BDPV12</stp>
        <stp xml:space="preserve">25804 HK Equity     </stp>
        <stp>RT_PX_CHG_PCT_1D</stp>
        <stp>[XLSpdmV8.xls]XLSpdmV8!R197C7</stp>
        <tr r="G197" s="1"/>
      </tp>
      <tp>
        <v>3.7037</v>
        <stp/>
        <stp>##V3_BDPV12</stp>
        <stp xml:space="preserve">25986 HK Equity     </stp>
        <stp>RT_PX_CHG_PCT_1D</stp>
        <stp>[XLSpdmV8.xls]XLSpdmV8!R155C7</stp>
        <tr r="G155" s="1"/>
      </tp>
      <tp>
        <v>1.6E-2</v>
        <stp/>
        <stp>##V3_BDPV12</stp>
        <stp xml:space="preserve">25561 HK Equity     </stp>
        <stp>RT_PX_CHG_NET_1D</stp>
        <stp>[XLSpdmV8.xls]XLSpdmV8!R194C8</stp>
        <tr r="H194" s="1"/>
      </tp>
      <tp>
        <v>-10.9756</v>
        <stp/>
        <stp>##V3_BDPV12</stp>
        <stp xml:space="preserve">25272 HK Equity     </stp>
        <stp>RT_PX_CHG_PCT_1D</stp>
        <stp>[XLSpdmV8.xls]XLSpdmV8!R141C7</stp>
        <tr r="G141" s="1"/>
      </tp>
      <tp>
        <v>-11.2903</v>
        <stp/>
        <stp>##V3_BDPV12</stp>
        <stp xml:space="preserve">25377 HK Equity     </stp>
        <stp>RT_PX_CHG_PCT_1D</stp>
        <stp>[XLSpdmV8.xls]XLSpdmV8!R144C7</stp>
        <tr r="G144" s="1"/>
      </tp>
      <tp>
        <v>5.99078</v>
        <stp/>
        <stp>##V3_BDPV12</stp>
        <stp xml:space="preserve">25686 HK Equity     </stp>
        <stp>RT_PX_CHG_PCT_1D</stp>
        <stp>[XLSpdmV8.xls]XLSpdmV8!R195C7</stp>
        <tr r="G195" s="1"/>
      </tp>
      <tp>
        <v>-7.69231</v>
        <stp/>
        <stp>##V3_BDPV12</stp>
        <stp xml:space="preserve">26896 HK Equity     </stp>
        <stp>RT_PX_CHG_PCT_1D</stp>
        <stp>[XLSpdmV8.xls]XLSpdmV8!R105C7</stp>
        <tr r="G105" s="1"/>
      </tp>
      <tp>
        <v>8.0000000000000002E-3</v>
        <stp/>
        <stp>##V3_BDPV12</stp>
        <stp xml:space="preserve">26756 HK Equity     </stp>
        <stp>RT_PX_CHG_NET_1D</stp>
        <stp>[XLSpdmV8.xls]XLSpdmV8!R103C8</stp>
        <tr r="H103" s="1"/>
      </tp>
      <tp>
        <v>-8.6705199999999998</v>
        <stp/>
        <stp>##V3_BDPV12</stp>
        <stp xml:space="preserve">26915 HK Equity     </stp>
        <stp>RT_PX_CHG_PCT_1D</stp>
        <stp>[XLSpdmV8.xls]XLSpdmV8!R216C7</stp>
        <tr r="G216" s="1"/>
      </tp>
      <tp>
        <v>-4.0000000000000001E-3</v>
        <stp/>
        <stp>##V3_BDPV12</stp>
        <stp xml:space="preserve">26142 HK Equity     </stp>
        <stp>RT_PX_CHG_NET_1D</stp>
        <stp>[XLSpdmV8.xls]XLSpdmV8!R207C8</stp>
        <tr r="H207" s="1"/>
      </tp>
      <tp>
        <v>5.3571400000000002</v>
        <stp/>
        <stp>##V3_BDPV12</stp>
        <stp xml:space="preserve">26020 HK Equity     </stp>
        <stp>RT_PX_CHG_PCT_1D</stp>
        <stp>[XLSpdmV8.xls]XLSpdmV8!R203C7</stp>
        <tr r="G203" s="1"/>
      </tp>
      <tp>
        <v>-6.9767400000000004</v>
        <stp/>
        <stp>##V3_BDPV12</stp>
        <stp xml:space="preserve">26037 HK Equity     </stp>
        <stp>RT_PX_CHG_PCT_1D</stp>
        <stp>[XLSpdmV8.xls]XLSpdmV8!R204C7</stp>
        <tr r="G204" s="1"/>
      </tp>
      <tp>
        <v>-8</v>
        <stp/>
        <stp>##V3_BDPV12</stp>
        <stp xml:space="preserve">27891 HK Equity     </stp>
        <stp>RT_PX_CHG_PCT_1D</stp>
        <stp>[XLSpdmV8.xls]XLSpdmV8!R172C7</stp>
        <tr r="G172" s="1"/>
      </tp>
      <tp>
        <v>8.0000000000000002E-3</v>
        <stp/>
        <stp>##V3_BDPV12</stp>
        <stp xml:space="preserve">27760 HK Equity     </stp>
        <stp>RT_PX_CHG_NET_1D</stp>
        <stp>[XLSpdmV8.xls]XLSpdmV8!R225C8</stp>
        <tr r="H225" s="1"/>
      </tp>
      <tp>
        <v>-1.4E-2</v>
        <stp/>
        <stp>##V3_BDPV12</stp>
        <stp xml:space="preserve">27394 HK Equity     </stp>
        <stp>RT_PX_CHG_NET_1D</stp>
        <stp>[XLSpdmV8.xls]XLSpdmV8!R111C8</stp>
        <tr r="H111" s="1"/>
      </tp>
      <tp>
        <v>0</v>
        <stp/>
        <stp>##V3_BDPV12</stp>
        <stp xml:space="preserve">27562 HK Equity     </stp>
        <stp>RT_PX_CHG_PCT_1D</stp>
        <stp>[XLSpdmV8.xls]XLSpdmV8!R171C7</stp>
        <tr r="G171" s="1"/>
      </tp>
      <tp t="s">
        <v>#N/A N/A</v>
        <stp/>
        <stp>##V3_BDPV12</stp>
        <stp xml:space="preserve">28131 HK Equity     </stp>
        <stp>RT_PX_CHG_NET_1D</stp>
        <stp>[XLSpdmV8.xls]XLSpdmV8!R174C8</stp>
        <tr r="H174" s="1"/>
      </tp>
      <tp>
        <v>0</v>
        <stp/>
        <stp>##V3_BDPV12</stp>
        <stp xml:space="preserve">28080 HK Equity     </stp>
        <stp>RT_PX_CHG_NET_1D</stp>
        <stp>[XLSpdmV8.xls]XLSpdmV8!R115C8</stp>
        <tr r="H115" s="1"/>
      </tp>
      <tp t="s">
        <v>#N/A N/A</v>
        <stp/>
        <stp>##V3_BDPV12</stp>
        <stp xml:space="preserve">28374 HK Equity     </stp>
        <stp>RT_PX_CHG_NET_1D</stp>
        <stp>[XLSpdmV8.xls]XLSpdmV8!R231C8</stp>
        <tr r="H231" s="1"/>
      </tp>
      <tp>
        <v>-1.4E-2</v>
        <stp/>
        <stp>##V3_BDPV12</stp>
        <stp xml:space="preserve">26921 HK Equity     </stp>
        <stp>RT_PX_CHG_NET_1D</stp>
        <stp>[XLSpdmV8.xls]XLSpdmV8!R41C8</stp>
        <tr r="H41" s="1"/>
      </tp>
      <tp>
        <v>-2.1999999999999999E-2</v>
        <stp/>
        <stp>##V3_BDPV12</stp>
        <stp xml:space="preserve">24451 HK Equity     </stp>
        <stp>RT_PX_CHG_NET_1D</stp>
        <stp>[XLSpdmV8.xls]XLSpdmV8!R56C8</stp>
        <tr r="H56" s="1"/>
      </tp>
      <tp>
        <v>0.01</v>
        <stp/>
        <stp>##V3_BDPV12</stp>
        <stp xml:space="preserve">25600 HK Equity     </stp>
        <stp>RT_PX_CHG_NET_1D</stp>
        <stp>[XLSpdmV8.xls]XLSpdmV8!R83C8</stp>
        <tr r="H83" s="1"/>
      </tp>
      <tp>
        <v>1.0999999999999999E-2</v>
        <stp/>
        <stp>##V3_BDPV12</stp>
        <stp xml:space="preserve">26747 HK Equity     </stp>
        <stp>RT_PX_CHG_NET_1D</stp>
        <stp>[XLSpdmV8.xls]XLSpdmV8!R37C8</stp>
        <tr r="H37" s="1"/>
      </tp>
      <tp>
        <v>1E-3</v>
        <stp/>
        <stp>##V3_BDPV12</stp>
        <stp xml:space="preserve">25447 HK Equity     </stp>
        <stp>RT_PX_CHG_NET_1D</stp>
        <stp>[XLSpdmV8.xls]XLSpdmV8!R17C8</stp>
        <tr r="H17" s="1"/>
      </tp>
      <tp t="s">
        <v>#N/A N/A</v>
        <stp/>
        <stp>##V3_BDPV12</stp>
        <stp xml:space="preserve">25090 HK Equity     </stp>
        <stp>BID</stp>
        <stp>[XLSpdmV8.xls]XLSpdmV8!R2C10</stp>
        <tr r="J2" s="1"/>
      </tp>
      <tp t="s">
        <v>#N/A N/A</v>
        <stp/>
        <stp>##V3_BDPV12</stp>
        <stp xml:space="preserve">11062 HK Equity     </stp>
        <stp>BID</stp>
        <stp>[XLSpdmV8.xls]XLSpdmV8!R3C10</stp>
        <tr r="J3" s="1"/>
      </tp>
      <tp>
        <v>24.561399000000002</v>
        <stp/>
        <stp>##V3_BDPV12</stp>
        <stp xml:space="preserve">11153 HK Equity     </stp>
        <stp>RT_PX_CHG_PCT_1D</stp>
        <stp>[XLSpdmV8.xls]XLSpdmV8!R120C7</stp>
        <tr r="G120" s="1"/>
      </tp>
      <tp>
        <v>0</v>
        <stp/>
        <stp>##V3_BDPV12</stp>
        <stp xml:space="preserve">22993 HK Equity     </stp>
        <stp>RT_PX_CHG_PCT_1D</stp>
        <stp>[XLSpdmV8.xls]XLSpdmV8!R183C7</stp>
        <tr r="G183" s="1"/>
      </tp>
      <tp>
        <v>0</v>
        <stp/>
        <stp>##V3_BDPV12</stp>
        <stp xml:space="preserve">22156 HK Equity     </stp>
        <stp>RT_PX_CHG_PCT_1D</stp>
        <stp>[XLSpdmV8.xls]XLSpdmV8!R126C7</stp>
        <tr r="G126" s="1"/>
      </tp>
      <tp>
        <v>-10.1449</v>
        <stp/>
        <stp>##V3_BDPV12</stp>
        <stp xml:space="preserve">23885 HK Equity     </stp>
        <stp>RT_PX_CHG_PCT_1D</stp>
        <stp>[XLSpdmV8.xls]XLSpdmV8!R185C7</stp>
        <tr r="G185" s="1"/>
      </tp>
      <tp>
        <v>-10.222200000000001</v>
        <stp/>
        <stp>##V3_BDPV12</stp>
        <stp xml:space="preserve">23524 HK Equity     </stp>
        <stp>RT_PX_CHG_PCT_1D</stp>
        <stp>[XLSpdmV8.xls]XLSpdmV8!R184C7</stp>
        <tr r="G184" s="1"/>
      </tp>
      <tp t="s">
        <v>#N/A N/A</v>
        <stp/>
        <stp>##V3_BDPV12</stp>
        <stp xml:space="preserve">23683 HK Equity     </stp>
        <stp>RT_PX_CHG_PCT_1D</stp>
        <stp>[XLSpdmV8.xls]XLSpdmV8!R133C7</stp>
        <tr r="G133" s="1"/>
      </tp>
      <tp>
        <v>-3.0000000000000001E-3</v>
        <stp/>
        <stp>##V3_BDPV12</stp>
        <stp xml:space="preserve">24691 HK Equity     </stp>
        <stp>RT_PX_CHG_NET_1D</stp>
        <stp>[XLSpdmV8.xls]XLSpdmV8!R137C8</stp>
        <tr r="H137" s="1"/>
      </tp>
      <tp>
        <v>0</v>
        <stp/>
        <stp>##V3_BDPV12</stp>
        <stp xml:space="preserve">24106 HK Equity     </stp>
        <stp>RT_PX_CHG_PCT_1D</stp>
        <stp>[XLSpdmV8.xls]XLSpdmV8!R186C7</stp>
        <tr r="G186" s="1"/>
      </tp>
      <tp>
        <v>4.0000000000000001E-3</v>
        <stp/>
        <stp>##V3_BDPV12</stp>
        <stp xml:space="preserve">24984 HK Equity     </stp>
        <stp>RT_PX_CHG_NET_1D</stp>
        <stp>[XLSpdmV8.xls]XLSpdmV8!R192C8</stp>
        <tr r="H192" s="1"/>
      </tp>
      <tp>
        <v>-9.0909099999999992</v>
        <stp/>
        <stp>##V3_BDPV12</stp>
        <stp xml:space="preserve">25808 HK Equity     </stp>
        <stp>RT_PX_CHG_PCT_1D</stp>
        <stp>[XLSpdmV8.xls]XLSpdmV8!R198C7</stp>
        <tr r="G198" s="1"/>
      </tp>
      <tp>
        <v>0</v>
        <stp/>
        <stp>##V3_BDPV12</stp>
        <stp xml:space="preserve">25720 HK Equity     </stp>
        <stp>RT_PX_CHG_NET_1D</stp>
        <stp>[XLSpdmV8.xls]XLSpdmV8!R196C8</stp>
        <tr r="H196" s="1"/>
      </tp>
      <tp>
        <v>8.9999999999999993E-3</v>
        <stp/>
        <stp>##V3_BDPV12</stp>
        <stp xml:space="preserve">25236 HK Equity     </stp>
        <stp>RT_PX_CHG_NET_1D</stp>
        <stp>[XLSpdmV8.xls]XLSpdmV8!R140C8</stp>
        <tr r="H140" s="1"/>
      </tp>
      <tp>
        <v>23.4375</v>
        <stp/>
        <stp>##V3_BDPV12</stp>
        <stp xml:space="preserve">25483 HK Equity     </stp>
        <stp>RT_PX_CHG_PCT_1D</stp>
        <stp>[XLSpdmV8.xls]XLSpdmV8!R193C7</stp>
        <tr r="G193" s="1"/>
      </tp>
      <tp>
        <v>-9.3333300000000001</v>
        <stp/>
        <stp>##V3_BDPV12</stp>
        <stp xml:space="preserve">26874 HK Equity     </stp>
        <stp>RT_PX_CHG_PCT_1D</stp>
        <stp>[XLSpdmV8.xls]XLSpdmV8!R104C7</stp>
        <tr r="G104" s="1"/>
      </tp>
      <tp>
        <v>8.9999999999999993E-3</v>
        <stp/>
        <stp>##V3_BDPV12</stp>
        <stp xml:space="preserve">26753 HK Equity     </stp>
        <stp>RT_PX_CHG_NET_1D</stp>
        <stp>[XLSpdmV8.xls]XLSpdmV8!R165C8</stp>
        <tr r="H165" s="1"/>
      </tp>
      <tp>
        <v>0</v>
        <stp/>
        <stp>##V3_BDPV12</stp>
        <stp xml:space="preserve">26201 HK Equity     </stp>
        <stp>RT_PX_CHG_NET_1D</stp>
        <stp>[XLSpdmV8.xls]XLSpdmV8!R157C8</stp>
        <tr r="H157" s="1"/>
      </tp>
      <tp t="s">
        <v>#N/A N/A</v>
        <stp/>
        <stp>##V3_BDPV12</stp>
        <stp xml:space="preserve">26329 HK Equity     </stp>
        <stp>RT_PX_CHG_PCT_1D</stp>
        <stp>[XLSpdmV8.xls]XLSpdmV8!R209C7</stp>
        <tr r="G209" s="1"/>
      </tp>
      <tp>
        <v>-9.0909099999999992</v>
        <stp/>
        <stp>##V3_BDPV12</stp>
        <stp xml:space="preserve">26036 HK Equity     </stp>
        <stp>RT_PX_CHG_PCT_1D</stp>
        <stp>[XLSpdmV8.xls]XLSpdmV8!R156C7</stp>
        <tr r="G156" s="1"/>
      </tp>
      <tp>
        <v>0</v>
        <stp/>
        <stp>##V3_BDPV12</stp>
        <stp xml:space="preserve">26106 HK Equity     </stp>
        <stp>RT_PX_CHG_PCT_1D</stp>
        <stp>[XLSpdmV8.xls]XLSpdmV8!R206C7</stp>
        <tr r="G206" s="1"/>
      </tp>
      <tp>
        <v>-11.1111</v>
        <stp/>
        <stp>##V3_BDPV12</stp>
        <stp xml:space="preserve">26540 HK Equity     </stp>
        <stp>RT_PX_CHG_PCT_1D</stp>
        <stp>[XLSpdmV8.xls]XLSpdmV8!R100C7</stp>
        <tr r="G100" s="1"/>
      </tp>
      <tp>
        <v>-5.5555599999999998</v>
        <stp/>
        <stp>##V3_BDPV12</stp>
        <stp xml:space="preserve">26532 HK Equity     </stp>
        <stp>RT_PX_CHG_PCT_1D</stp>
        <stp>[XLSpdmV8.xls]XLSpdmV8!R162C7</stp>
        <tr r="G162" s="1"/>
      </tp>
      <tp>
        <v>-15.384600000000001</v>
        <stp/>
        <stp>##V3_BDPV12</stp>
        <stp xml:space="preserve">26491 HK Equity     </stp>
        <stp>RT_PX_CHG_PCT_1D</stp>
        <stp>[XLSpdmV8.xls]XLSpdmV8!R211C7</stp>
        <tr r="G211" s="1"/>
      </tp>
      <tp>
        <v>20</v>
        <stp/>
        <stp>##V3_BDPV12</stp>
        <stp xml:space="preserve">27914 HK Equity     </stp>
        <stp>RT_PX_CHG_PCT_1D</stp>
        <stp>[XLSpdmV8.xls]XLSpdmV8!R114C7</stp>
        <tr r="G114" s="1"/>
      </tp>
      <tp t="s">
        <v>#N/A N/A</v>
        <stp/>
        <stp>##V3_BDPV12</stp>
        <stp xml:space="preserve">27592 HK Equity     </stp>
        <stp>RT_PX_CHG_NET_1D</stp>
        <stp>[XLSpdmV8.xls]XLSpdmV8!R224C8</stp>
        <tr r="H224" s="1"/>
      </tp>
      <tp>
        <v>-8.9999999999999993E-3</v>
        <stp/>
        <stp>##V3_BDPV12</stp>
        <stp xml:space="preserve">27111 HK Equity     </stp>
        <stp>RT_PX_CHG_NET_1D</stp>
        <stp>[XLSpdmV8.xls]XLSpdmV8!R107C8</stp>
        <tr r="H107" s="1"/>
      </tp>
      <tp>
        <v>8.6486499999999999</v>
        <stp/>
        <stp>##V3_BDPV12</stp>
        <stp xml:space="preserve">28167 HK Equity     </stp>
        <stp>RT_PX_CHG_PCT_1D</stp>
        <stp>[XLSpdmV8.xls]XLSpdmV8!R117C7</stp>
        <tr r="G117" s="1"/>
      </tp>
      <tp>
        <v>1.4E-2</v>
        <stp/>
        <stp>##V3_BDPV12</stp>
        <stp xml:space="preserve">25599 HK Equity     </stp>
        <stp>RT_PX_CHG_NET_1D</stp>
        <stp>[XLSpdmV8.xls]XLSpdmV8!R19C8</stp>
        <tr r="H19" s="1"/>
      </tp>
      <tp>
        <v>2E-3</v>
        <stp/>
        <stp>##V3_BDPV12</stp>
        <stp xml:space="preserve">24108 HK Equity     </stp>
        <stp>RT_PX_CHG_NET_1D</stp>
        <stp>[XLSpdmV8.xls]XLSpdmV8!R70C8</stp>
        <tr r="H70" s="1"/>
      </tp>
      <tp>
        <v>1.4999999999999999E-2</v>
        <stp/>
        <stp>##V3_BDPV12</stp>
        <stp xml:space="preserve">26092 HK Equity     </stp>
        <stp>RT_PX_CHG_NET_1D</stp>
        <stp>[XLSpdmV8.xls]XLSpdmV8!R29C8</stp>
        <tr r="H29" s="1"/>
      </tp>
      <tp>
        <v>0</v>
        <stp/>
        <stp>##V3_BDPV12</stp>
        <stp xml:space="preserve">20411 HK Equity     </stp>
        <stp>RT_PX_CHG_NET_1D</stp>
        <stp>[XLSpdmV8.xls]XLSpdmV8!R61C8</stp>
        <tr r="H61" s="1"/>
      </tp>
      <tp>
        <v>7.0000000000000001E-3</v>
        <stp/>
        <stp>##V3_BDPV12</stp>
        <stp xml:space="preserve">26121 HK Equity     </stp>
        <stp>RT_PX_CHG_NET_1D</stp>
        <stp>[XLSpdmV8.xls]XLSpdmV8!R92C8</stp>
        <tr r="H92" s="1"/>
      </tp>
      <tp>
        <v>1.4999999999999999E-2</v>
        <stp/>
        <stp>##V3_BDPV12</stp>
        <stp xml:space="preserve">26225 HK Equity     </stp>
        <stp>RT_PX_CHG_NET_1D</stp>
        <stp>[XLSpdmV8.xls]XLSpdmV8!R32C8</stp>
        <tr r="H32" s="1"/>
      </tp>
      <tp t="s">
        <v>#N/A N/A</v>
        <stp/>
        <stp>##V3_BDPV12</stp>
        <stp xml:space="preserve">23383 HK Equity     </stp>
        <stp>BID</stp>
        <stp>[XLSpdmV8.xls]XLSpdmV8!R7C10</stp>
        <tr r="J7" s="1"/>
      </tp>
      <tp>
        <v>0</v>
        <stp/>
        <stp>##V3_BDPV12</stp>
        <stp xml:space="preserve">21852 HK Equity     </stp>
        <stp>RT_PX_CHG_NET_1D</stp>
        <stp>[XLSpdmV8.xls]XLSpdmV8!R125C8</stp>
        <tr r="H125" s="1"/>
      </tp>
      <tp>
        <v>0</v>
        <stp/>
        <stp>##V3_BDPV12</stp>
        <stp xml:space="preserve">22320 HK Equity     </stp>
        <stp>RT_PX_CHG_PCT_1D</stp>
        <stp>[XLSpdmV8.xls]XLSpdmV8!R181C7</stp>
        <tr r="G181" s="1"/>
      </tp>
      <tp>
        <v>-2.3E-2</v>
        <stp/>
        <stp>##V3_BDPV12</stp>
        <stp xml:space="preserve">22997 HK Equity     </stp>
        <stp>RT_PX_CHG_NET_1D</stp>
        <stp>[XLSpdmV8.xls]XLSpdmV8!R130C8</stp>
        <tr r="H130" s="1"/>
      </tp>
      <tp>
        <v>14.2857</v>
        <stp/>
        <stp>##V3_BDPV12</stp>
        <stp xml:space="preserve">23523 HK Equity     </stp>
        <stp>RT_PX_CHG_PCT_1D</stp>
        <stp>[XLSpdmV8.xls]XLSpdmV8!R132C7</stp>
        <tr r="G132" s="1"/>
      </tp>
      <tp>
        <v>-1.4E-2</v>
        <stp/>
        <stp>##V3_BDPV12</stp>
        <stp xml:space="preserve">24452 HK Equity     </stp>
        <stp>RT_PX_CHG_NET_1D</stp>
        <stp>[XLSpdmV8.xls]XLSpdmV8!R175C8</stp>
        <tr r="H175" s="1"/>
      </tp>
      <tp>
        <v>14.6853</v>
        <stp/>
        <stp>##V3_BDPV12</stp>
        <stp xml:space="preserve">25910 HK Equity     </stp>
        <stp>RT_PX_CHG_PCT_1D</stp>
        <stp>[XLSpdmV8.xls]XLSpdmV8!R151C7</stp>
        <tr r="G151" s="1"/>
      </tp>
      <tp>
        <v>8.5561500000000006</v>
        <stp/>
        <stp>##V3_BDPV12</stp>
        <stp xml:space="preserve">25901 HK Equity     </stp>
        <stp>RT_PX_CHG_PCT_1D</stp>
        <stp>[XLSpdmV8.xls]XLSpdmV8!R150C7</stp>
        <tr r="G150" s="1"/>
      </tp>
      <tp>
        <v>50</v>
        <stp/>
        <stp>##V3_BDPV12</stp>
        <stp xml:space="preserve">25489 HK Equity     </stp>
        <stp>RT_PX_CHG_PCT_1D</stp>
        <stp>[XLSpdmV8.xls]XLSpdmV8!R118C7</stp>
        <tr r="G118" s="1"/>
      </tp>
      <tp>
        <v>-7.0000000000000001E-3</v>
        <stp/>
        <stp>##V3_BDPV12</stp>
        <stp xml:space="preserve">25917 HK Equity     </stp>
        <stp>RT_PX_CHG_NET_1D</stp>
        <stp>[XLSpdmV8.xls]XLSpdmV8!R200C8</stp>
        <tr r="H200" s="1"/>
      </tp>
      <tp>
        <v>0</v>
        <stp/>
        <stp>##V3_BDPV12</stp>
        <stp xml:space="preserve">26487 HK Equity     </stp>
        <stp>RT_PX_CHG_NET_1D</stp>
        <stp>[XLSpdmV8.xls]XLSpdmV8!R210C8</stp>
        <tr r="H210" s="1"/>
      </tp>
      <tp>
        <v>-3.0000000000000001E-3</v>
        <stp/>
        <stp>##V3_BDPV12</stp>
        <stp xml:space="preserve">26703 HK Equity     </stp>
        <stp>RT_PX_CHG_NET_1D</stp>
        <stp>[XLSpdmV8.xls]XLSpdmV8!R214C8</stp>
        <tr r="H214" s="1"/>
      </tp>
      <tp>
        <v>5.93607</v>
        <stp/>
        <stp>##V3_BDPV12</stp>
        <stp xml:space="preserve">26064 HK Equity     </stp>
        <stp>RT_PX_CHG_PCT_1D</stp>
        <stp>[XLSpdmV8.xls]XLSpdmV8!R205C7</stp>
        <tr r="G205" s="1"/>
      </tp>
      <tp>
        <v>12.3188</v>
        <stp/>
        <stp>##V3_BDPV12</stp>
        <stp xml:space="preserve">26585 HK Equity     </stp>
        <stp>RT_PX_CHG_PCT_1D</stp>
        <stp>[XLSpdmV8.xls]XLSpdmV8!R164C7</stp>
        <tr r="G164" s="1"/>
      </tp>
      <tp>
        <v>0</v>
        <stp/>
        <stp>##V3_BDPV12</stp>
        <stp xml:space="preserve">27564 HK Equity     </stp>
        <stp>RT_PX_CHG_NET_1D</stp>
        <stp>[XLSpdmV8.xls]XLSpdmV8!R223C8</stp>
        <tr r="H223" s="1"/>
      </tp>
      <tp>
        <v>-8.6614199999999997</v>
        <stp/>
        <stp>##V3_BDPV12</stp>
        <stp xml:space="preserve">27827 HK Equity     </stp>
        <stp>RT_PX_CHG_PCT_1D</stp>
        <stp>[XLSpdmV8.xls]XLSpdmV8!R226C7</stp>
        <tr r="G226" s="1"/>
      </tp>
      <tp>
        <v>11.594200000000001</v>
        <stp/>
        <stp>##V3_BDPV12</stp>
        <stp xml:space="preserve">27077 HK Equity     </stp>
        <stp>RT_PX_CHG_PCT_1D</stp>
        <stp>[XLSpdmV8.xls]XLSpdmV8!R106C7</stp>
        <tr r="G106" s="1"/>
      </tp>
      <tp t="s">
        <v>#N/A N/A</v>
        <stp/>
        <stp>##V3_BDPV12</stp>
        <stp xml:space="preserve">28393 HK Equity     </stp>
        <stp>RT_PX_CHG_PCT_1D</stp>
        <stp>[XLSpdmV8.xls]XLSpdmV8!R232C7</stp>
        <tr r="G232" s="1"/>
      </tp>
      <tp>
        <v>-6.0000000000000001E-3</v>
        <stp/>
        <stp>##V3_BDPV12</stp>
        <stp xml:space="preserve">26939 HK Equity     </stp>
        <stp>RT_PX_CHG_NET_1D</stp>
        <stp>[XLSpdmV8.xls]XLSpdmV8!R42C8</stp>
        <tr r="H42" s="1"/>
      </tp>
      <tp>
        <v>1.0999999999999999E-2</v>
        <stp/>
        <stp>##V3_BDPV12</stp>
        <stp xml:space="preserve">26788 HK Equity     </stp>
        <stp>RT_PX_CHG_NET_1D</stp>
        <stp>[XLSpdmV8.xls]XLSpdmV8!R39C8</stp>
        <tr r="H39" s="1"/>
      </tp>
      <tp t="s">
        <v>#N/A N/A</v>
        <stp/>
        <stp>##V3_BDPV12</stp>
        <stp xml:space="preserve">27828 HK Equity     </stp>
        <stp>RT_PX_CHG_NET_1D</stp>
        <stp>[XLSpdmV8.xls]XLSpdmV8!R53C8</stp>
        <tr r="H53" s="1"/>
      </tp>
      <tp>
        <v>-2.1000000000000001E-2</v>
        <stp/>
        <stp>##V3_BDPV12</stp>
        <stp xml:space="preserve">27608 HK Equity     </stp>
        <stp>RT_PX_CHG_NET_1D</stp>
        <stp>[XLSpdmV8.xls]XLSpdmV8!R51C8</stp>
        <tr r="H51" s="1"/>
      </tp>
      <tp>
        <v>1.2E-2</v>
        <stp/>
        <stp>##V3_BDPV12</stp>
        <stp xml:space="preserve">25898 HK Equity     </stp>
        <stp>RT_PX_CHG_NET_1D</stp>
        <stp>[XLSpdmV8.xls]XLSpdmV8!R88C8</stp>
        <tr r="H88" s="1"/>
      </tp>
      <tp>
        <v>1.6E-2</v>
        <stp/>
        <stp>##V3_BDPV12</stp>
        <stp xml:space="preserve">25722 HK Equity     </stp>
        <stp>RT_PX_CHG_NET_1D</stp>
        <stp>[XLSpdmV8.xls]XLSpdmV8!R23C8</stp>
        <tr r="H23" s="1"/>
      </tp>
      <tp>
        <v>-1.4999999999999999E-2</v>
        <stp/>
        <stp>##V3_BDPV12</stp>
        <stp xml:space="preserve">27360 HK Equity     </stp>
        <stp>RT_PX_CHG_NET_1D</stp>
        <stp>[XLSpdmV8.xls]XLSpdmV8!R47C8</stp>
        <tr r="H47" s="1"/>
      </tp>
      <tp>
        <v>0</v>
        <stp/>
        <stp>##V3_BDPV12</stp>
        <stp xml:space="preserve">20537 HK Equity     </stp>
        <stp>RT_PX_CHG_NET_1D</stp>
        <stp>[XLSpdmV8.xls]XLSpdmV8!R62C8</stp>
        <tr r="H62" s="1"/>
      </tp>
      <tp>
        <v>7.0000000000000001E-3</v>
        <stp/>
        <stp>##V3_BDPV12</stp>
        <stp xml:space="preserve">27157 HK Equity     </stp>
        <stp>RT_PX_CHG_NET_1D</stp>
        <stp>[XLSpdmV8.xls]XLSpdmV8!R44C8</stp>
        <tr r="H44" s="1"/>
      </tp>
      <tp>
        <v>4.0000000000000001E-3</v>
        <stp/>
        <stp>##V3_BDPV12</stp>
        <stp xml:space="preserve">24107 HK Equity     </stp>
        <stp>RT_PX_CHG_NET_1D</stp>
        <stp>[XLSpdmV8.xls]XLSpdmV8!R11C8</stp>
        <tr r="H11" s="1"/>
      </tp>
      <tp>
        <v>0</v>
        <stp/>
        <stp>##V3_BDPV12</stp>
        <stp xml:space="preserve">24137 HK Equity     </stp>
        <stp>RT_PX_CHG_NET_1D</stp>
        <stp>[XLSpdmV8.xls]XLSpdmV8!R12C8</stp>
        <tr r="H12" s="1"/>
      </tp>
      <tp>
        <v>-3.0000000000000001E-3</v>
        <stp/>
        <stp>##V3_BDPV12</stp>
        <stp xml:space="preserve">25946 HK Equity     </stp>
        <stp>RT_PX_CHG_NET_1D</stp>
        <stp>[XLSpdmV8.xls]XLSpdmV8!R25C8</stp>
        <tr r="H25" s="1"/>
      </tp>
      <tp>
        <v>1.7999999999999999E-2</v>
        <stp/>
        <stp>##V3_BDPV12</stp>
        <stp xml:space="preserve">25915 HK Equity     </stp>
        <stp>RT_PX_CHG_NET_1D</stp>
        <stp>[XLSpdmV8.xls]XLSpdmV8!R90C8</stp>
        <tr r="H90" s="1"/>
      </tp>
      <tp>
        <v>1.6E-2</v>
        <stp/>
        <stp>##V3_BDPV12</stp>
        <stp xml:space="preserve">12276 HK Equity     </stp>
        <stp>BID</stp>
        <stp>[XLSpdmV8.xls]XLSpdmV8!R4C10</stp>
        <tr r="J4" s="1"/>
      </tp>
      <tp t="s">
        <v>Put</v>
        <stp/>
        <stp>##V3_BDPV12</stp>
        <stp xml:space="preserve">26155 HK Equity     </stp>
        <stp>WRT_PUT_OR_CALL</stp>
        <stp>[XLSpdmV8.xls]XLSpdmV8!R208C5</stp>
        <tr r="E208" s="1"/>
      </tp>
      <tp t="s">
        <v>Put</v>
        <stp/>
        <stp>##V3_BDPV12</stp>
        <stp xml:space="preserve">23885 HK Equity     </stp>
        <stp>WRT_PUT_OR_CALL</stp>
        <stp>[XLSpdmV8.xls]XLSpdmV8!R185C5</stp>
        <tr r="E185" s="1"/>
      </tp>
      <tp t="s">
        <v>Call</v>
        <stp/>
        <stp>##V3_BDPV12</stp>
        <stp xml:space="preserve">25686 HK Equity     </stp>
        <stp>WRT_PUT_OR_CALL</stp>
        <stp>[XLSpdmV8.xls]XLSpdmV8!R195C5</stp>
        <tr r="E195" s="1"/>
      </tp>
      <tp t="s">
        <v>Call</v>
        <stp/>
        <stp>##V3_BDPV12</stp>
        <stp xml:space="preserve">25986 HK Equity     </stp>
        <stp>WRT_PUT_OR_CALL</stp>
        <stp>[XLSpdmV8.xls]XLSpdmV8!R155C5</stp>
        <tr r="E155" s="1"/>
      </tp>
      <tp t="s">
        <v>Call</v>
        <stp/>
        <stp>##V3_BDPV12</stp>
        <stp xml:space="preserve">25146 HK Equity     </stp>
        <stp>WRT_PUT_OR_CALL</stp>
        <stp>[XLSpdmV8.xls]XLSpdmV8!R139C5</stp>
        <tr r="E139" s="1"/>
      </tp>
      <tp t="s">
        <v>Call</v>
        <stp/>
        <stp>##V3_BDPV12</stp>
        <stp xml:space="preserve">28080 HK Equity     </stp>
        <stp>WRT_PUT_OR_CALL</stp>
        <stp>[XLSpdmV8.xls]XLSpdmV8!R115C5</stp>
        <tr r="E115" s="1"/>
      </tp>
      <tp t="s">
        <v>Put</v>
        <stp/>
        <stp>##V3_BDPV12</stp>
        <stp xml:space="preserve">27153 HK Equity     </stp>
        <stp>WRT_PUT_OR_CALL</stp>
        <stp>[XLSpdmV8.xls]XLSpdmV8!R218C5</stp>
        <tr r="E218" s="1"/>
      </tp>
      <tp t="s">
        <v>Call</v>
        <stp/>
        <stp>##V3_BDPV12</stp>
        <stp xml:space="preserve">22353 HK Equity     </stp>
        <stp>WRT_PUT_OR_CALL</stp>
        <stp>[XLSpdmV8.xls]XLSpdmV8!R128C5</stp>
        <tr r="E128" s="1"/>
      </tp>
      <tp t="s">
        <v>Put</v>
        <stp/>
        <stp>##V3_BDPV12</stp>
        <stp xml:space="preserve">27592 HK Equity     </stp>
        <stp>WRT_PUT_OR_CALL</stp>
        <stp>[XLSpdmV8.xls]XLSpdmV8!R224C5</stp>
        <tr r="E224" s="1"/>
      </tp>
      <tp t="s">
        <v>#N/A N/A</v>
        <stp/>
        <stp>##V3_BDPV12</stp>
        <stp xml:space="preserve">28081 HK Equity     </stp>
        <stp>ASK</stp>
        <stp>[XLSpdmV8.xls]XLSpdmV8!R173C11</stp>
        <tr r="K173" s="1"/>
      </tp>
      <tp>
        <v>9.9000000000000005E-2</v>
        <stp/>
        <stp>##V3_BDPV12</stp>
        <stp xml:space="preserve">28131 HK Equity     </stp>
        <stp>ASK</stp>
        <stp>[XLSpdmV8.xls]XLSpdmV8!R174C11</stp>
        <tr r="K174" s="1"/>
      </tp>
      <tp>
        <v>9.8000000000000004E-2</v>
        <stp/>
        <stp>##V3_BDPV12</stp>
        <stp xml:space="preserve">28131 HK Equity     </stp>
        <stp>BID</stp>
        <stp>[XLSpdmV8.xls]XLSpdmV8!R174C10</stp>
        <tr r="J174" s="1"/>
      </tp>
      <tp t="s">
        <v>#N/A N/A</v>
        <stp/>
        <stp>##V3_BDPV12</stp>
        <stp xml:space="preserve">28081 HK Equity     </stp>
        <stp>BID</stp>
        <stp>[XLSpdmV8.xls]XLSpdmV8!R173C10</stp>
        <tr r="J173" s="1"/>
      </tp>
      <tp t="s">
        <v>#N/A N/A</v>
        <stp/>
        <stp>##V3_BDPV12</stp>
        <stp xml:space="preserve">20431 HK Equity     </stp>
        <stp>ASK</stp>
        <stp>[XLSpdmV8.xls]XLSpdmV8!R179C11</stp>
        <tr r="K179" s="1"/>
      </tp>
      <tp t="s">
        <v>#N/A N/A</v>
        <stp/>
        <stp>##V3_BDPV12</stp>
        <stp xml:space="preserve">23841 HK Equity     </stp>
        <stp>BID</stp>
        <stp>[XLSpdmV8.xls]XLSpdmV8!R134C10</stp>
        <tr r="J134" s="1"/>
      </tp>
      <tp t="s">
        <v>#N/A N/A</v>
        <stp/>
        <stp>##V3_BDPV12</stp>
        <stp xml:space="preserve">23841 HK Equity     </stp>
        <stp>ASK</stp>
        <stp>[XLSpdmV8.xls]XLSpdmV8!R134C11</stp>
        <tr r="K134" s="1"/>
      </tp>
      <tp t="s">
        <v>#N/A N/A</v>
        <stp/>
        <stp>##V3_BDPV12</stp>
        <stp xml:space="preserve">20431 HK Equity     </stp>
        <stp>BID</stp>
        <stp>[XLSpdmV8.xls]XLSpdmV8!R179C10</stp>
        <tr r="J179" s="1"/>
      </tp>
      <tp>
        <v>4.4999999999999998E-2</v>
        <stp/>
        <stp>##V3_BDPV12</stp>
        <stp xml:space="preserve">26491 HK Equity     </stp>
        <stp>ASK</stp>
        <stp>[XLSpdmV8.xls]XLSpdmV8!R211C11</stp>
        <tr r="K211" s="1"/>
      </tp>
      <tp t="s">
        <v>#N/A N/A</v>
        <stp/>
        <stp>##V3_BDPV12</stp>
        <stp xml:space="preserve">25901 HK Equity     </stp>
        <stp>ASK</stp>
        <stp>[XLSpdmV8.xls]XLSpdmV8!R150C11</stp>
        <tr r="K150" s="1"/>
      </tp>
      <tp>
        <v>0.183</v>
        <stp/>
        <stp>##V3_BDPV12</stp>
        <stp xml:space="preserve">25561 HK Equity     </stp>
        <stp>ASK</stp>
        <stp>[XLSpdmV8.xls]XLSpdmV8!R194C11</stp>
        <tr r="K194" s="1"/>
      </tp>
      <tp t="s">
        <v>#N/A N/A</v>
        <stp/>
        <stp>##V3_BDPV12</stp>
        <stp xml:space="preserve">26201 HK Equity     </stp>
        <stp>BID</stp>
        <stp>[XLSpdmV8.xls]XLSpdmV8!R157C10</stp>
        <tr r="J157" s="1"/>
      </tp>
      <tp>
        <v>2.1999999999999999E-2</v>
        <stp/>
        <stp>##V3_BDPV12</stp>
        <stp xml:space="preserve">24691 HK Equity     </stp>
        <stp>ASK</stp>
        <stp>[XLSpdmV8.xls]XLSpdmV8!R137C11</stp>
        <tr r="K137" s="1"/>
      </tp>
      <tp t="s">
        <v>#N/A N/A</v>
        <stp/>
        <stp>##V3_BDPV12</stp>
        <stp xml:space="preserve">27351 HK Equity     </stp>
        <stp>ASK</stp>
        <stp>[XLSpdmV8.xls]XLSpdmV8!R219C11</stp>
        <tr r="K219" s="1"/>
      </tp>
      <tp>
        <v>6.2E-2</v>
        <stp/>
        <stp>##V3_BDPV12</stp>
        <stp xml:space="preserve">24821 HK Equity     </stp>
        <stp>ASK</stp>
        <stp>[XLSpdmV8.xls]XLSpdmV8!R138C11</stp>
        <tr r="K138" s="1"/>
      </tp>
      <tp>
        <v>0.13700000000000001</v>
        <stp/>
        <stp>##V3_BDPV12</stp>
        <stp xml:space="preserve">27891 HK Equity     </stp>
        <stp>BID</stp>
        <stp>[XLSpdmV8.xls]XLSpdmV8!R172C10</stp>
        <tr r="J172" s="1"/>
      </tp>
      <tp>
        <v>0.17799999999999999</v>
        <stp/>
        <stp>##V3_BDPV12</stp>
        <stp xml:space="preserve">27821 HK Equity     </stp>
        <stp>BID</stp>
        <stp>[XLSpdmV8.xls]XLSpdmV8!R113C10</stp>
        <tr r="J113" s="1"/>
      </tp>
      <tp>
        <v>6.7000000000000004E-2</v>
        <stp/>
        <stp>##V3_BDPV12</stp>
        <stp xml:space="preserve">27321 HK Equity     </stp>
        <stp>BID</stp>
        <stp>[XLSpdmV8.xls]XLSpdmV8!R108C10</stp>
        <tr r="J108" s="1"/>
      </tp>
      <tp>
        <v>6.4000000000000001E-2</v>
        <stp/>
        <stp>##V3_BDPV12</stp>
        <stp xml:space="preserve">27111 HK Equity     </stp>
        <stp>BID</stp>
        <stp>[XLSpdmV8.xls]XLSpdmV8!R107C10</stp>
        <tr r="J107" s="1"/>
      </tp>
      <tp>
        <v>8.5000000000000006E-2</v>
        <stp/>
        <stp>##V3_BDPV12</stp>
        <stp xml:space="preserve">27111 HK Equity     </stp>
        <stp>ASK</stp>
        <stp>[XLSpdmV8.xls]XLSpdmV8!R107C11</stp>
        <tr r="K107" s="1"/>
      </tp>
      <tp>
        <v>7.1999999999999995E-2</v>
        <stp/>
        <stp>##V3_BDPV12</stp>
        <stp xml:space="preserve">27321 HK Equity     </stp>
        <stp>ASK</stp>
        <stp>[XLSpdmV8.xls]XLSpdmV8!R108C11</stp>
        <tr r="K108" s="1"/>
      </tp>
      <tp>
        <v>0.13900000000000001</v>
        <stp/>
        <stp>##V3_BDPV12</stp>
        <stp xml:space="preserve">27891 HK Equity     </stp>
        <stp>ASK</stp>
        <stp>[XLSpdmV8.xls]XLSpdmV8!R172C11</stp>
        <tr r="K172" s="1"/>
      </tp>
      <tp>
        <v>0.18</v>
        <stp/>
        <stp>##V3_BDPV12</stp>
        <stp xml:space="preserve">27821 HK Equity     </stp>
        <stp>ASK</stp>
        <stp>[XLSpdmV8.xls]XLSpdmV8!R113C11</stp>
        <tr r="K113" s="1"/>
      </tp>
      <tp>
        <v>0.06</v>
        <stp/>
        <stp>##V3_BDPV12</stp>
        <stp xml:space="preserve">24821 HK Equity     </stp>
        <stp>BID</stp>
        <stp>[XLSpdmV8.xls]XLSpdmV8!R138C10</stp>
        <tr r="J138" s="1"/>
      </tp>
      <tp>
        <v>1.7000000000000001E-2</v>
        <stp/>
        <stp>##V3_BDPV12</stp>
        <stp xml:space="preserve">24691 HK Equity     </stp>
        <stp>BID</stp>
        <stp>[XLSpdmV8.xls]XLSpdmV8!R137C10</stp>
        <tr r="J137" s="1"/>
      </tp>
      <tp t="s">
        <v>#N/A N/A</v>
        <stp/>
        <stp>##V3_BDPV12</stp>
        <stp xml:space="preserve">27351 HK Equity     </stp>
        <stp>BID</stp>
        <stp>[XLSpdmV8.xls]XLSpdmV8!R219C10</stp>
        <tr r="J219" s="1"/>
      </tp>
      <tp t="s">
        <v>#N/A N/A</v>
        <stp/>
        <stp>##V3_BDPV12</stp>
        <stp xml:space="preserve">26201 HK Equity     </stp>
        <stp>ASK</stp>
        <stp>[XLSpdmV8.xls]XLSpdmV8!R157C11</stp>
        <tr r="K157" s="1"/>
      </tp>
      <tp>
        <v>0.17699999999999999</v>
        <stp/>
        <stp>##V3_BDPV12</stp>
        <stp xml:space="preserve">25561 HK Equity     </stp>
        <stp>BID</stp>
        <stp>[XLSpdmV8.xls]XLSpdmV8!R194C10</stp>
        <tr r="J194" s="1"/>
      </tp>
      <tp>
        <v>0.20200000000000001</v>
        <stp/>
        <stp>##V3_BDPV12</stp>
        <stp xml:space="preserve">25901 HK Equity     </stp>
        <stp>BID</stp>
        <stp>[XLSpdmV8.xls]XLSpdmV8!R150C10</stp>
        <tr r="J150" s="1"/>
      </tp>
      <tp t="s">
        <v>#N/A N/A</v>
        <stp/>
        <stp>##V3_BDPV12</stp>
        <stp xml:space="preserve">26491 HK Equity     </stp>
        <stp>BID</stp>
        <stp>[XLSpdmV8.xls]XLSpdmV8!R211C10</stp>
        <tr r="J211" s="1"/>
      </tp>
      <tp t="s">
        <v>Call</v>
        <stp/>
        <stp>##V3_BDPV12</stp>
        <stp xml:space="preserve">26585 HK Equity     </stp>
        <stp>WRT_PUT_OR_CALL</stp>
        <stp>[XLSpdmV8.xls]XLSpdmV8!R164C5</stp>
        <tr r="E164" s="1"/>
      </tp>
      <tp t="s">
        <v>Put</v>
        <stp/>
        <stp>##V3_BDPV12</stp>
        <stp xml:space="preserve">27356 HK Equity     </stp>
        <stp>WRT_PUT_OR_CALL</stp>
        <stp>[XLSpdmV8.xls]XLSpdmV8!R109C5</stp>
        <tr r="E109" s="1"/>
      </tp>
      <tp t="s">
        <v>Put</v>
        <stp/>
        <stp>##V3_BDPV12</stp>
        <stp xml:space="preserve">26896 HK Equity     </stp>
        <stp>WRT_PUT_OR_CALL</stp>
        <stp>[XLSpdmV8.xls]XLSpdmV8!R105C5</stp>
        <tr r="E105" s="1"/>
      </tp>
      <tp t="s">
        <v>Call</v>
        <stp/>
        <stp>##V3_BDPV12</stp>
        <stp xml:space="preserve">27351 HK Equity     </stp>
        <stp>WRT_PUT_OR_CALL</stp>
        <stp>[XLSpdmV8.xls]XLSpdmV8!R219C5</stp>
        <tr r="E219" s="1"/>
      </tp>
      <tp>
        <v>0.01</v>
        <stp/>
        <stp>##V3_BDPV12</stp>
        <stp xml:space="preserve">14950 HK Equity     </stp>
        <stp>LAST_PRICE</stp>
        <stp>[XLSpdmV8.xls]XLSpdmV8!R5C3</stp>
        <tr r="C5" s="1"/>
      </tp>
      <tp t="s">
        <v>#N/A N/A</v>
        <stp/>
        <stp>##V3_BDPV12</stp>
        <stp xml:space="preserve">28080 HK Equity     </stp>
        <stp>ASK</stp>
        <stp>[XLSpdmV8.xls]XLSpdmV8!R115C11</stp>
        <tr r="K115" s="1"/>
      </tp>
      <tp>
        <v>0.19600000000000001</v>
        <stp/>
        <stp>##V3_BDPV12</stp>
        <stp xml:space="preserve">28120 HK Equity     </stp>
        <stp>BID</stp>
        <stp>[XLSpdmV8.xls]XLSpdmV8!R229C10</stp>
        <tr r="J229" s="1"/>
      </tp>
      <tp>
        <v>0.19900000000000001</v>
        <stp/>
        <stp>##V3_BDPV12</stp>
        <stp xml:space="preserve">28120 HK Equity     </stp>
        <stp>ASK</stp>
        <stp>[XLSpdmV8.xls]XLSpdmV8!R229C11</stp>
        <tr r="K229" s="1"/>
      </tp>
      <tp t="s">
        <v>#N/A N/A</v>
        <stp/>
        <stp>##V3_BDPV12</stp>
        <stp xml:space="preserve">28080 HK Equity     </stp>
        <stp>BID</stp>
        <stp>[XLSpdmV8.xls]XLSpdmV8!R115C10</stp>
        <tr r="J115" s="1"/>
      </tp>
      <tp>
        <v>7.1999999999999995E-2</v>
        <stp/>
        <stp>##V3_BDPV12</stp>
        <stp xml:space="preserve">11153 HK Equity     </stp>
        <stp>ASK</stp>
        <stp>[XLSpdmV8.xls]XLSpdmV8!R120C11</stp>
        <tr r="K120" s="1"/>
      </tp>
      <tp t="s">
        <v>#N/A N/A</v>
        <stp/>
        <stp>##V3_BDPV12</stp>
        <stp xml:space="preserve">22320 HK Equity     </stp>
        <stp>BID</stp>
        <stp>[XLSpdmV8.xls]XLSpdmV8!R181C10</stp>
        <tr r="J181" s="1"/>
      </tp>
      <tp>
        <v>5.2999999999999999E-2</v>
        <stp/>
        <stp>##V3_BDPV12</stp>
        <stp xml:space="preserve">22990 HK Equity     </stp>
        <stp>BID</stp>
        <stp>[XLSpdmV8.xls]XLSpdmV8!R129C10</stp>
        <tr r="J129" s="1"/>
      </tp>
      <tp t="s">
        <v>#N/A N/A</v>
        <stp/>
        <stp>##V3_BDPV12</stp>
        <stp xml:space="preserve">22990 HK Equity     </stp>
        <stp>ASK</stp>
        <stp>[XLSpdmV8.xls]XLSpdmV8!R129C11</stp>
        <tr r="K129" s="1"/>
      </tp>
      <tp t="s">
        <v>#N/A N/A</v>
        <stp/>
        <stp>##V3_BDPV12</stp>
        <stp xml:space="preserve">22320 HK Equity     </stp>
        <stp>ASK</stp>
        <stp>[XLSpdmV8.xls]XLSpdmV8!R181C11</stp>
        <tr r="K181" s="1"/>
      </tp>
      <tp>
        <v>6.8000000000000005E-2</v>
        <stp/>
        <stp>##V3_BDPV12</stp>
        <stp xml:space="preserve">11153 HK Equity     </stp>
        <stp>BID</stp>
        <stp>[XLSpdmV8.xls]XLSpdmV8!R120C10</stp>
        <tr r="J120" s="1"/>
      </tp>
      <tp>
        <v>0.3</v>
        <stp/>
        <stp>##V3_BDPV12</stp>
        <stp xml:space="preserve">26020 HK Equity     </stp>
        <stp>ASK</stp>
        <stp>[XLSpdmV8.xls]XLSpdmV8!R203C11</stp>
        <tr r="K203" s="1"/>
      </tp>
      <tp t="s">
        <v>#N/A N/A</v>
        <stp/>
        <stp>##V3_BDPV12</stp>
        <stp xml:space="preserve">25910 HK Equity     </stp>
        <stp>ASK</stp>
        <stp>[XLSpdmV8.xls]XLSpdmV8!R151C11</stp>
        <tr r="K151" s="1"/>
      </tp>
      <tp t="s">
        <v>#N/A N/A</v>
        <stp/>
        <stp>##V3_BDPV12</stp>
        <stp xml:space="preserve">25960 HK Equity     </stp>
        <stp>ASK</stp>
        <stp>[XLSpdmV8.xls]XLSpdmV8!R154C11</stp>
        <tr r="K154" s="1"/>
      </tp>
      <tp t="s">
        <v>#N/A N/A</v>
        <stp/>
        <stp>##V3_BDPV12</stp>
        <stp xml:space="preserve">25720 HK Equity     </stp>
        <stp>ASK</stp>
        <stp>[XLSpdmV8.xls]XLSpdmV8!R196C11</stp>
        <tr r="K196" s="1"/>
      </tp>
      <tp>
        <v>2.4E-2</v>
        <stp/>
        <stp>##V3_BDPV12</stp>
        <stp xml:space="preserve">26320 HK Equity     </stp>
        <stp>BID</stp>
        <stp>[XLSpdmV8.xls]XLSpdmV8!R159C10</stp>
        <tr r="J159" s="1"/>
      </tp>
      <tp>
        <v>4.7E-2</v>
        <stp/>
        <stp>##V3_BDPV12</stp>
        <stp xml:space="preserve">26540 HK Equity     </stp>
        <stp>BID</stp>
        <stp>[XLSpdmV8.xls]XLSpdmV8!R100C10</stp>
        <tr r="J100" s="1"/>
      </tp>
      <tp>
        <v>4.4999999999999998E-2</v>
        <stp/>
        <stp>##V3_BDPV12</stp>
        <stp xml:space="preserve">27760 HK Equity     </stp>
        <stp>ASK</stp>
        <stp>[XLSpdmV8.xls]XLSpdmV8!R225C11</stp>
        <tr r="K225" s="1"/>
      </tp>
      <tp>
        <v>1.7999999999999999E-2</v>
        <stp/>
        <stp>##V3_BDPV12</stp>
        <stp xml:space="preserve">24680 HK Equity     </stp>
        <stp>ASK</stp>
        <stp>[XLSpdmV8.xls]XLSpdmV8!R189C11</stp>
        <tr r="K189" s="1"/>
      </tp>
      <tp>
        <v>9.6000000000000002E-2</v>
        <stp/>
        <stp>##V3_BDPV12</stp>
        <stp xml:space="preserve">27280 HK Equity     </stp>
        <stp>BID</stp>
        <stp>[XLSpdmV8.xls]XLSpdmV8!R168C10</stp>
        <tr r="J168" s="1"/>
      </tp>
      <tp>
        <v>9.8000000000000004E-2</v>
        <stp/>
        <stp>##V3_BDPV12</stp>
        <stp xml:space="preserve">27280 HK Equity     </stp>
        <stp>ASK</stp>
        <stp>[XLSpdmV8.xls]XLSpdmV8!R168C11</stp>
        <tr r="K168" s="1"/>
      </tp>
      <tp>
        <v>1.4999999999999999E-2</v>
        <stp/>
        <stp>##V3_BDPV12</stp>
        <stp xml:space="preserve">24680 HK Equity     </stp>
        <stp>BID</stp>
        <stp>[XLSpdmV8.xls]XLSpdmV8!R189C10</stp>
        <tr r="J189" s="1"/>
      </tp>
      <tp>
        <v>4.1000000000000002E-2</v>
        <stp/>
        <stp>##V3_BDPV12</stp>
        <stp xml:space="preserve">27760 HK Equity     </stp>
        <stp>BID</stp>
        <stp>[XLSpdmV8.xls]XLSpdmV8!R225C10</stp>
        <tr r="J225" s="1"/>
      </tp>
      <tp>
        <v>4.8000000000000001E-2</v>
        <stp/>
        <stp>##V3_BDPV12</stp>
        <stp xml:space="preserve">26540 HK Equity     </stp>
        <stp>ASK</stp>
        <stp>[XLSpdmV8.xls]XLSpdmV8!R100C11</stp>
        <tr r="K100" s="1"/>
      </tp>
      <tp>
        <v>2.8000000000000001E-2</v>
        <stp/>
        <stp>##V3_BDPV12</stp>
        <stp xml:space="preserve">26320 HK Equity     </stp>
        <stp>ASK</stp>
        <stp>[XLSpdmV8.xls]XLSpdmV8!R159C11</stp>
        <tr r="K159" s="1"/>
      </tp>
      <tp t="s">
        <v>#N/A N/A</v>
        <stp/>
        <stp>##V3_BDPV12</stp>
        <stp xml:space="preserve">25720 HK Equity     </stp>
        <stp>BID</stp>
        <stp>[XLSpdmV8.xls]XLSpdmV8!R196C10</stp>
        <tr r="J196" s="1"/>
      </tp>
      <tp t="s">
        <v>#N/A N/A</v>
        <stp/>
        <stp>##V3_BDPV12</stp>
        <stp xml:space="preserve">25960 HK Equity     </stp>
        <stp>BID</stp>
        <stp>[XLSpdmV8.xls]XLSpdmV8!R154C10</stp>
        <tr r="J154" s="1"/>
      </tp>
      <tp>
        <v>0.13800000000000001</v>
        <stp/>
        <stp>##V3_BDPV12</stp>
        <stp xml:space="preserve">25910 HK Equity     </stp>
        <stp>BID</stp>
        <stp>[XLSpdmV8.xls]XLSpdmV8!R151C10</stp>
        <tr r="J151" s="1"/>
      </tp>
      <tp>
        <v>0.29499999999999998</v>
        <stp/>
        <stp>##V3_BDPV12</stp>
        <stp xml:space="preserve">26020 HK Equity     </stp>
        <stp>BID</stp>
        <stp>[XLSpdmV8.xls]XLSpdmV8!R203C10</stp>
        <tr r="J203" s="1"/>
      </tp>
      <tp t="s">
        <v>Put</v>
        <stp/>
        <stp>##V3_BDPV12</stp>
        <stp xml:space="preserve">27188 HK Equity     </stp>
        <stp>WRT_PUT_OR_CALL</stp>
        <stp>[XLSpdmV8.xls]XLSpdmV8!R167C5</stp>
        <tr r="E167" s="1"/>
      </tp>
      <tp>
        <v>1.4999999999999999E-2</v>
        <stp/>
        <stp>##V3_BDPV12</stp>
        <stp xml:space="preserve">20513 HK Equity     </stp>
        <stp>LAST_PRICE</stp>
        <stp>[XLSpdmV8.xls]XLSpdmV8!R6C3</stp>
        <tr r="C6" s="1"/>
      </tp>
      <tp t="s">
        <v>#N/A N/A</v>
        <stp/>
        <stp>##V3_BDPV12</stp>
        <stp xml:space="preserve">28393 HK Equity     </stp>
        <stp>BID</stp>
        <stp>[XLSpdmV8.xls]XLSpdmV8!R232C10</stp>
        <tr r="J232" s="1"/>
      </tp>
      <tp t="s">
        <v>#N/A N/A</v>
        <stp/>
        <stp>##V3_BDPV12</stp>
        <stp xml:space="preserve">28393 HK Equity     </stp>
        <stp>ASK</stp>
        <stp>[XLSpdmV8.xls]XLSpdmV8!R232C11</stp>
        <tr r="K232" s="1"/>
      </tp>
      <tp t="s">
        <v>#N/A N/A</v>
        <stp/>
        <stp>##V3_BDPV12</stp>
        <stp xml:space="preserve">22993 HK Equity     </stp>
        <stp>BID</stp>
        <stp>[XLSpdmV8.xls]XLSpdmV8!R183C10</stp>
        <tr r="J183" s="1"/>
      </tp>
      <tp t="s">
        <v>#N/A N/A</v>
        <stp/>
        <stp>##V3_BDPV12</stp>
        <stp xml:space="preserve">22353 HK Equity     </stp>
        <stp>BID</stp>
        <stp>[XLSpdmV8.xls]XLSpdmV8!R128C10</stp>
        <tr r="J128" s="1"/>
      </tp>
      <tp t="s">
        <v>#N/A N/A</v>
        <stp/>
        <stp>##V3_BDPV12</stp>
        <stp xml:space="preserve">22313 HK Equity     </stp>
        <stp>BID</stp>
        <stp>[XLSpdmV8.xls]XLSpdmV8!R127C10</stp>
        <tr r="J127" s="1"/>
      </tp>
      <tp t="s">
        <v>#N/A N/A</v>
        <stp/>
        <stp>##V3_BDPV12</stp>
        <stp xml:space="preserve">23523 HK Equity     </stp>
        <stp>BID</stp>
        <stp>[XLSpdmV8.xls]XLSpdmV8!R132C10</stp>
        <tr r="J132" s="1"/>
      </tp>
      <tp t="s">
        <v>#N/A N/A</v>
        <stp/>
        <stp>##V3_BDPV12</stp>
        <stp xml:space="preserve">23683 HK Equity     </stp>
        <stp>BID</stp>
        <stp>[XLSpdmV8.xls]XLSpdmV8!R133C10</stp>
        <tr r="J133" s="1"/>
      </tp>
      <tp t="s">
        <v>#N/A N/A</v>
        <stp/>
        <stp>##V3_BDPV12</stp>
        <stp xml:space="preserve">23683 HK Equity     </stp>
        <stp>ASK</stp>
        <stp>[XLSpdmV8.xls]XLSpdmV8!R133C11</stp>
        <tr r="K133" s="1"/>
      </tp>
      <tp t="s">
        <v>#N/A N/A</v>
        <stp/>
        <stp>##V3_BDPV12</stp>
        <stp xml:space="preserve">23523 HK Equity     </stp>
        <stp>ASK</stp>
        <stp>[XLSpdmV8.xls]XLSpdmV8!R132C11</stp>
        <tr r="K132" s="1"/>
      </tp>
      <tp t="s">
        <v>#N/A N/A</v>
        <stp/>
        <stp>##V3_BDPV12</stp>
        <stp xml:space="preserve">22313 HK Equity     </stp>
        <stp>ASK</stp>
        <stp>[XLSpdmV8.xls]XLSpdmV8!R127C11</stp>
        <tr r="K127" s="1"/>
      </tp>
      <tp t="s">
        <v>#N/A N/A</v>
        <stp/>
        <stp>##V3_BDPV12</stp>
        <stp xml:space="preserve">22353 HK Equity     </stp>
        <stp>ASK</stp>
        <stp>[XLSpdmV8.xls]XLSpdmV8!R128C11</stp>
        <tr r="K128" s="1"/>
      </tp>
      <tp t="s">
        <v>#N/A N/A</v>
        <stp/>
        <stp>##V3_BDPV12</stp>
        <stp xml:space="preserve">22993 HK Equity     </stp>
        <stp>ASK</stp>
        <stp>[XLSpdmV8.xls]XLSpdmV8!R183C11</stp>
        <tr r="K183" s="1"/>
      </tp>
      <tp>
        <v>7.0999999999999994E-2</v>
        <stp/>
        <stp>##V3_BDPV12</stp>
        <stp xml:space="preserve">26703 HK Equity     </stp>
        <stp>ASK</stp>
        <stp>[XLSpdmV8.xls]XLSpdmV8!R214C11</stp>
        <tr r="K214" s="1"/>
      </tp>
      <tp>
        <v>9.7000000000000003E-2</v>
        <stp/>
        <stp>##V3_BDPV12</stp>
        <stp xml:space="preserve">25713 HK Equity     </stp>
        <stp>ASK</stp>
        <stp>[XLSpdmV8.xls]XLSpdmV8!R148C11</stp>
        <tr r="K148" s="1"/>
      </tp>
      <tp>
        <v>7.9000000000000001E-2</v>
        <stp/>
        <stp>##V3_BDPV12</stp>
        <stp xml:space="preserve">25483 HK Equity     </stp>
        <stp>ASK</stp>
        <stp>[XLSpdmV8.xls]XLSpdmV8!R193C11</stp>
        <tr r="K193" s="1"/>
      </tp>
      <tp>
        <v>0.11</v>
        <stp/>
        <stp>##V3_BDPV12</stp>
        <stp xml:space="preserve">25803 HK Equity     </stp>
        <stp>ASK</stp>
        <stp>[XLSpdmV8.xls]XLSpdmV8!R149C11</stp>
        <tr r="K149" s="1"/>
      </tp>
      <tp>
        <v>0.158</v>
        <stp/>
        <stp>##V3_BDPV12</stp>
        <stp xml:space="preserve">26583 HK Equity     </stp>
        <stp>BID</stp>
        <stp>[XLSpdmV8.xls]XLSpdmV8!R101C10</stp>
        <tr r="J101" s="1"/>
      </tp>
      <tp>
        <v>5.7000000000000002E-2</v>
        <stp/>
        <stp>##V3_BDPV12</stp>
        <stp xml:space="preserve">26753 HK Equity     </stp>
        <stp>BID</stp>
        <stp>[XLSpdmV8.xls]XLSpdmV8!R165C10</stp>
        <tr r="J165" s="1"/>
      </tp>
      <tp>
        <v>8.1000000000000003E-2</v>
        <stp/>
        <stp>##V3_BDPV12</stp>
        <stp xml:space="preserve">27153 HK Equity     </stp>
        <stp>ASK</stp>
        <stp>[XLSpdmV8.xls]XLSpdmV8!R218C11</stp>
        <tr r="K218" s="1"/>
      </tp>
      <tp t="s">
        <v>#N/A N/A</v>
        <stp/>
        <stp>##V3_BDPV12</stp>
        <stp xml:space="preserve">24663 HK Equity     </stp>
        <stp>ASK</stp>
        <stp>[XLSpdmV8.xls]XLSpdmV8!R188C11</stp>
        <tr r="K188" s="1"/>
      </tp>
      <tp>
        <v>0.121</v>
        <stp/>
        <stp>##V3_BDPV12</stp>
        <stp xml:space="preserve">27893 HK Equity     </stp>
        <stp>ASK</stp>
        <stp>[XLSpdmV8.xls]XLSpdmV8!R227C11</stp>
        <tr r="K227" s="1"/>
      </tp>
      <tp t="s">
        <v>#N/A N/A</v>
        <stp/>
        <stp>##V3_BDPV12</stp>
        <stp xml:space="preserve">24663 HK Equity     </stp>
        <stp>BID</stp>
        <stp>[XLSpdmV8.xls]XLSpdmV8!R188C10</stp>
        <tr r="J188" s="1"/>
      </tp>
      <tp>
        <v>0.11899999999999999</v>
        <stp/>
        <stp>##V3_BDPV12</stp>
        <stp xml:space="preserve">27893 HK Equity     </stp>
        <stp>BID</stp>
        <stp>[XLSpdmV8.xls]XLSpdmV8!R227C10</stp>
        <tr r="J227" s="1"/>
      </tp>
      <tp>
        <v>7.6999999999999999E-2</v>
        <stp/>
        <stp>##V3_BDPV12</stp>
        <stp xml:space="preserve">27153 HK Equity     </stp>
        <stp>BID</stp>
        <stp>[XLSpdmV8.xls]XLSpdmV8!R218C10</stp>
        <tr r="J218" s="1"/>
      </tp>
      <tp>
        <v>0.16300000000000001</v>
        <stp/>
        <stp>##V3_BDPV12</stp>
        <stp xml:space="preserve">26583 HK Equity     </stp>
        <stp>ASK</stp>
        <stp>[XLSpdmV8.xls]XLSpdmV8!R101C11</stp>
        <tr r="K101" s="1"/>
      </tp>
      <tp>
        <v>6.2E-2</v>
        <stp/>
        <stp>##V3_BDPV12</stp>
        <stp xml:space="preserve">26753 HK Equity     </stp>
        <stp>ASK</stp>
        <stp>[XLSpdmV8.xls]XLSpdmV8!R165C11</stp>
        <tr r="K165" s="1"/>
      </tp>
      <tp>
        <v>0.107</v>
        <stp/>
        <stp>##V3_BDPV12</stp>
        <stp xml:space="preserve">25803 HK Equity     </stp>
        <stp>BID</stp>
        <stp>[XLSpdmV8.xls]XLSpdmV8!R149C10</stp>
        <tr r="J149" s="1"/>
      </tp>
      <tp>
        <v>7.2999999999999995E-2</v>
        <stp/>
        <stp>##V3_BDPV12</stp>
        <stp xml:space="preserve">25483 HK Equity     </stp>
        <stp>BID</stp>
        <stp>[XLSpdmV8.xls]XLSpdmV8!R193C10</stp>
        <tr r="J193" s="1"/>
      </tp>
      <tp>
        <v>6.9000000000000006E-2</v>
        <stp/>
        <stp>##V3_BDPV12</stp>
        <stp xml:space="preserve">26703 HK Equity     </stp>
        <stp>BID</stp>
        <stp>[XLSpdmV8.xls]XLSpdmV8!R214C10</stp>
        <tr r="J214" s="1"/>
      </tp>
      <tp>
        <v>9.6000000000000002E-2</v>
        <stp/>
        <stp>##V3_BDPV12</stp>
        <stp xml:space="preserve">25713 HK Equity     </stp>
        <stp>BID</stp>
        <stp>[XLSpdmV8.xls]XLSpdmV8!R148C10</stp>
        <tr r="J148" s="1"/>
      </tp>
      <tp t="s">
        <v>Call</v>
        <stp/>
        <stp>##V3_BDPV12</stp>
        <stp xml:space="preserve">18766 HK Equity     </stp>
        <stp>WRT_PUT_OR_CALL</stp>
        <stp>[XLSpdmV8.xls]XLSpdmV8!R178C5</stp>
        <tr r="E178" s="1"/>
      </tp>
      <tp t="s">
        <v>Put</v>
        <stp/>
        <stp>##V3_BDPV12</stp>
        <stp xml:space="preserve">24691 HK Equity     </stp>
        <stp>WRT_PUT_OR_CALL</stp>
        <stp>[XLSpdmV8.xls]XLSpdmV8!R137C5</stp>
        <tr r="E137" s="1"/>
      </tp>
      <tp t="s">
        <v>Call</v>
        <stp/>
        <stp>##V3_BDPV12</stp>
        <stp xml:space="preserve">24663 HK Equity     </stp>
        <stp>WRT_PUT_OR_CALL</stp>
        <stp>[XLSpdmV8.xls]XLSpdmV8!R188C5</stp>
        <tr r="E188" s="1"/>
      </tp>
      <tp t="s">
        <v>Put</v>
        <stp/>
        <stp>##V3_BDPV12</stp>
        <stp xml:space="preserve">27893 HK Equity     </stp>
        <stp>WRT_PUT_OR_CALL</stp>
        <stp>[XLSpdmV8.xls]XLSpdmV8!R227C5</stp>
        <tr r="E227" s="1"/>
      </tp>
      <tp>
        <v>0.01</v>
        <stp/>
        <stp>##V3_BDPV12</stp>
        <stp xml:space="preserve">23383 HK Equity     </stp>
        <stp>LAST_PRICE</stp>
        <stp>[XLSpdmV8.xls]XLSpdmV8!R7C3</stp>
        <tr r="C7" s="1"/>
      </tp>
      <tp>
        <v>0.10299999999999999</v>
        <stp/>
        <stp>##V3_BDPV12</stp>
        <stp xml:space="preserve">28172 HK Equity     </stp>
        <stp>BID</stp>
        <stp>[XLSpdmV8.xls]XLSpdmV8!R230C10</stp>
        <tr r="J230" s="1"/>
      </tp>
      <tp>
        <v>0.107</v>
        <stp/>
        <stp>##V3_BDPV12</stp>
        <stp xml:space="preserve">28172 HK Equity     </stp>
        <stp>ASK</stp>
        <stp>[XLSpdmV8.xls]XLSpdmV8!R230C11</stp>
        <tr r="K230" s="1"/>
      </tp>
      <tp t="s">
        <v>#N/A N/A</v>
        <stp/>
        <stp>##V3_BDPV12</stp>
        <stp xml:space="preserve">11321 HK Equity     </stp>
        <stp>ASK</stp>
        <stp>[XLSpdmV8.xls]XLSpdmV8!R121C11</stp>
        <tr r="K121" s="1"/>
      </tp>
      <tp>
        <v>0.01</v>
        <stp/>
        <stp>##V3_BDPV12</stp>
        <stp xml:space="preserve">21852 HK Equity     </stp>
        <stp>ASK</stp>
        <stp>[XLSpdmV8.xls]XLSpdmV8!R125C11</stp>
        <tr r="K125" s="1"/>
      </tp>
      <tp t="s">
        <v>#N/A N/A</v>
        <stp/>
        <stp>##V3_BDPV12</stp>
        <stp xml:space="preserve">21852 HK Equity     </stp>
        <stp>BID</stp>
        <stp>[XLSpdmV8.xls]XLSpdmV8!R125C10</stp>
        <tr r="J125" s="1"/>
      </tp>
      <tp t="s">
        <v>#N/A N/A</v>
        <stp/>
        <stp>##V3_BDPV12</stp>
        <stp xml:space="preserve">11321 HK Equity     </stp>
        <stp>BID</stp>
        <stp>[XLSpdmV8.xls]XLSpdmV8!R121C10</stp>
        <tr r="J121" s="1"/>
      </tp>
      <tp>
        <v>8.7999999999999995E-2</v>
        <stp/>
        <stp>##V3_BDPV12</stp>
        <stp xml:space="preserve">25272 HK Equity     </stp>
        <stp>ASK</stp>
        <stp>[XLSpdmV8.xls]XLSpdmV8!R141C11</stp>
        <tr r="K141" s="1"/>
      </tp>
      <tp>
        <v>0.06</v>
        <stp/>
        <stp>##V3_BDPV12</stp>
        <stp xml:space="preserve">26142 HK Equity     </stp>
        <stp>ASK</stp>
        <stp>[XLSpdmV8.xls]XLSpdmV8!R207C11</stp>
        <tr r="K207" s="1"/>
      </tp>
      <tp>
        <v>0.2</v>
        <stp/>
        <stp>##V3_BDPV12</stp>
        <stp xml:space="preserve">25902 HK Equity     </stp>
        <stp>ASK</stp>
        <stp>[XLSpdmV8.xls]XLSpdmV8!R199C11</stp>
        <tr r="K199" s="1"/>
      </tp>
      <tp>
        <v>4.7E-2</v>
        <stp/>
        <stp>##V3_BDPV12</stp>
        <stp xml:space="preserve">26362 HK Equity     </stp>
        <stp>BID</stp>
        <stp>[XLSpdmV8.xls]XLSpdmV8!R160C10</stp>
        <tr r="J160" s="1"/>
      </tp>
      <tp>
        <v>3.2000000000000001E-2</v>
        <stp/>
        <stp>##V3_BDPV12</stp>
        <stp xml:space="preserve">26532 HK Equity     </stp>
        <stp>BID</stp>
        <stp>[XLSpdmV8.xls]XLSpdmV8!R162C10</stp>
        <tr r="J162" s="1"/>
      </tp>
      <tp>
        <v>0.183</v>
        <stp/>
        <stp>##V3_BDPV12</stp>
        <stp xml:space="preserve">27592 HK Equity     </stp>
        <stp>ASK</stp>
        <stp>[XLSpdmV8.xls]XLSpdmV8!R224C11</stp>
        <tr r="K224" s="1"/>
      </tp>
      <tp>
        <v>0.13500000000000001</v>
        <stp/>
        <stp>##V3_BDPV12</stp>
        <stp xml:space="preserve">24452 HK Equity     </stp>
        <stp>ASK</stp>
        <stp>[XLSpdmV8.xls]XLSpdmV8!R175C11</stp>
        <tr r="K175" s="1"/>
      </tp>
      <tp>
        <v>0.01</v>
        <stp/>
        <stp>##V3_BDPV12</stp>
        <stp xml:space="preserve">24712 HK Equity     </stp>
        <stp>ASK</stp>
        <stp>[XLSpdmV8.xls]XLSpdmV8!R190C11</stp>
        <tr r="K190" s="1"/>
      </tp>
      <tp t="s">
        <v>#N/A N/A</v>
        <stp/>
        <stp>##V3_BDPV12</stp>
        <stp xml:space="preserve">27112 HK Equity     </stp>
        <stp>BID</stp>
        <stp>[XLSpdmV8.xls]XLSpdmV8!R166C10</stp>
        <tr r="J166" s="1"/>
      </tp>
      <tp>
        <v>8.4000000000000005E-2</v>
        <stp/>
        <stp>##V3_BDPV12</stp>
        <stp xml:space="preserve">27382 HK Equity     </stp>
        <stp>BID</stp>
        <stp>[XLSpdmV8.xls]XLSpdmV8!R110C10</stp>
        <tr r="J110" s="1"/>
      </tp>
      <tp>
        <v>0.03</v>
        <stp/>
        <stp>##V3_BDPV12</stp>
        <stp xml:space="preserve">27562 HK Equity     </stp>
        <stp>BID</stp>
        <stp>[XLSpdmV8.xls]XLSpdmV8!R171C10</stp>
        <tr r="J171" s="1"/>
      </tp>
      <tp>
        <v>0.19</v>
        <stp/>
        <stp>##V3_BDPV12</stp>
        <stp xml:space="preserve">27422 HK Equity     </stp>
        <stp>BID</stp>
        <stp>[XLSpdmV8.xls]XLSpdmV8!R170C10</stp>
        <tr r="J170" s="1"/>
      </tp>
      <tp t="s">
        <v>#N/A N/A</v>
        <stp/>
        <stp>##V3_BDPV12</stp>
        <stp xml:space="preserve">27112 HK Equity     </stp>
        <stp>ASK</stp>
        <stp>[XLSpdmV8.xls]XLSpdmV8!R166C11</stp>
        <tr r="K166" s="1"/>
      </tp>
      <tp>
        <v>0.191</v>
        <stp/>
        <stp>##V3_BDPV12</stp>
        <stp xml:space="preserve">27422 HK Equity     </stp>
        <stp>ASK</stp>
        <stp>[XLSpdmV8.xls]XLSpdmV8!R170C11</stp>
        <tr r="K170" s="1"/>
      </tp>
      <tp t="s">
        <v>#N/A N/A</v>
        <stp/>
        <stp>##V3_BDPV12</stp>
        <stp xml:space="preserve">27562 HK Equity     </stp>
        <stp>ASK</stp>
        <stp>[XLSpdmV8.xls]XLSpdmV8!R171C11</stp>
        <tr r="K171" s="1"/>
      </tp>
      <tp>
        <v>8.5000000000000006E-2</v>
        <stp/>
        <stp>##V3_BDPV12</stp>
        <stp xml:space="preserve">27382 HK Equity     </stp>
        <stp>ASK</stp>
        <stp>[XLSpdmV8.xls]XLSpdmV8!R110C11</stp>
        <tr r="K110" s="1"/>
      </tp>
      <tp t="s">
        <v>#N/A N/A</v>
        <stp/>
        <stp>##V3_BDPV12</stp>
        <stp xml:space="preserve">24712 HK Equity     </stp>
        <stp>BID</stp>
        <stp>[XLSpdmV8.xls]XLSpdmV8!R190C10</stp>
        <tr r="J190" s="1"/>
      </tp>
      <tp>
        <v>0.18099999999999999</v>
        <stp/>
        <stp>##V3_BDPV12</stp>
        <stp xml:space="preserve">27592 HK Equity     </stp>
        <stp>BID</stp>
        <stp>[XLSpdmV8.xls]XLSpdmV8!R224C10</stp>
        <tr r="J224" s="1"/>
      </tp>
      <tp>
        <v>0.13</v>
        <stp/>
        <stp>##V3_BDPV12</stp>
        <stp xml:space="preserve">24452 HK Equity     </stp>
        <stp>BID</stp>
        <stp>[XLSpdmV8.xls]XLSpdmV8!R175C10</stp>
        <tr r="J175" s="1"/>
      </tp>
      <tp>
        <v>4.8000000000000001E-2</v>
        <stp/>
        <stp>##V3_BDPV12</stp>
        <stp xml:space="preserve">26362 HK Equity     </stp>
        <stp>ASK</stp>
        <stp>[XLSpdmV8.xls]XLSpdmV8!R160C11</stp>
        <tr r="K160" s="1"/>
      </tp>
      <tp>
        <v>3.4000000000000002E-2</v>
        <stp/>
        <stp>##V3_BDPV12</stp>
        <stp xml:space="preserve">26532 HK Equity     </stp>
        <stp>ASK</stp>
        <stp>[XLSpdmV8.xls]XLSpdmV8!R162C11</stp>
        <tr r="K162" s="1"/>
      </tp>
      <tp>
        <v>7.0000000000000007E-2</v>
        <stp/>
        <stp>##V3_BDPV12</stp>
        <stp xml:space="preserve">25272 HK Equity     </stp>
        <stp>BID</stp>
        <stp>[XLSpdmV8.xls]XLSpdmV8!R141C10</stp>
        <tr r="J141" s="1"/>
      </tp>
      <tp>
        <v>0.19900000000000001</v>
        <stp/>
        <stp>##V3_BDPV12</stp>
        <stp xml:space="preserve">25902 HK Equity     </stp>
        <stp>BID</stp>
        <stp>[XLSpdmV8.xls]XLSpdmV8!R199C10</stp>
        <tr r="J199" s="1"/>
      </tp>
      <tp>
        <v>2.7E-2</v>
        <stp/>
        <stp>##V3_BDPV12</stp>
        <stp xml:space="preserve">26142 HK Equity     </stp>
        <stp>BID</stp>
        <stp>[XLSpdmV8.xls]XLSpdmV8!R207C10</stp>
        <tr r="J207" s="1"/>
      </tp>
      <tp t="s">
        <v>Put</v>
        <stp/>
        <stp>##V3_BDPV12</stp>
        <stp xml:space="preserve">26485 HK Equity     </stp>
        <stp>WRT_PUT_OR_CALL</stp>
        <stp>[XLSpdmV8.xls]XLSpdmV8!R161C5</stp>
        <tr r="E161" s="1"/>
      </tp>
      <tp t="s">
        <v>Put</v>
        <stp/>
        <stp>##V3_BDPV12</stp>
        <stp xml:space="preserve">22997 HK Equity     </stp>
        <stp>WRT_PUT_OR_CALL</stp>
        <stp>[XLSpdmV8.xls]XLSpdmV8!R130C5</stp>
        <tr r="E130" s="1"/>
      </tp>
      <tp t="s">
        <v>Call</v>
        <stp/>
        <stp>##V3_BDPV12</stp>
        <stp xml:space="preserve">25803 HK Equity     </stp>
        <stp>WRT_PUT_OR_CALL</stp>
        <stp>[XLSpdmV8.xls]XLSpdmV8!R149C5</stp>
        <tr r="E149" s="1"/>
      </tp>
      <tp t="s">
        <v>Put</v>
        <stp/>
        <stp>##V3_BDPV12</stp>
        <stp xml:space="preserve">25713 HK Equity     </stp>
        <stp>WRT_PUT_OR_CALL</stp>
        <stp>[XLSpdmV8.xls]XLSpdmV8!R148C5</stp>
        <tr r="E148" s="1"/>
      </tp>
      <tp t="s">
        <v>Call</v>
        <stp/>
        <stp>##V3_BDPV12</stp>
        <stp xml:space="preserve">26583 HK Equity     </stp>
        <stp>WRT_PUT_OR_CALL</stp>
        <stp>[XLSpdmV8.xls]XLSpdmV8!R101C5</stp>
        <tr r="E101" s="1"/>
      </tp>
      <tp t="s">
        <v>Call</v>
        <stp/>
        <stp>##V3_BDPV12</stp>
        <stp xml:space="preserve">25902 HK Equity     </stp>
        <stp>WRT_PUT_OR_CALL</stp>
        <stp>[XLSpdmV8.xls]XLSpdmV8!R199C5</stp>
        <tr r="E199" s="1"/>
      </tp>
      <tp t="s">
        <v>#N/A N/A</v>
        <stp/>
        <stp>##V3_BDPV12</stp>
        <stp xml:space="preserve">18766 HK Equity     </stp>
        <stp>ASK</stp>
        <stp>[XLSpdmV8.xls]XLSpdmV8!R178C11</stp>
        <tr r="K178" s="1"/>
      </tp>
      <tp>
        <v>0.19700000000000001</v>
        <stp/>
        <stp>##V3_BDPV12</stp>
        <stp xml:space="preserve">28025 HK Equity     </stp>
        <stp>BID</stp>
        <stp>[XLSpdmV8.xls]XLSpdmV8!R228C10</stp>
        <tr r="J228" s="1"/>
      </tp>
      <tp>
        <v>0.19900000000000001</v>
        <stp/>
        <stp>##V3_BDPV12</stp>
        <stp xml:space="preserve">28025 HK Equity     </stp>
        <stp>ASK</stp>
        <stp>[XLSpdmV8.xls]XLSpdmV8!R228C11</stp>
        <tr r="K228" s="1"/>
      </tp>
      <tp t="s">
        <v>#N/A N/A</v>
        <stp/>
        <stp>##V3_BDPV12</stp>
        <stp xml:space="preserve">18766 HK Equity     </stp>
        <stp>BID</stp>
        <stp>[XLSpdmV8.xls]XLSpdmV8!R178C10</stp>
        <tr r="J178" s="1"/>
      </tp>
      <tp t="s">
        <v>#N/A N/A</v>
        <stp/>
        <stp>##V3_BDPV12</stp>
        <stp xml:space="preserve">22235 HK Equity     </stp>
        <stp>BID</stp>
        <stp>[XLSpdmV8.xls]XLSpdmV8!R180C10</stp>
        <tr r="J180" s="1"/>
      </tp>
      <tp t="s">
        <v>#N/A N/A</v>
        <stp/>
        <stp>##V3_BDPV12</stp>
        <stp xml:space="preserve">23055 HK Equity     </stp>
        <stp>BID</stp>
        <stp>[XLSpdmV8.xls]XLSpdmV8!R131C10</stp>
        <tr r="J131" s="1"/>
      </tp>
      <tp>
        <v>0.183</v>
        <stp/>
        <stp>##V3_BDPV12</stp>
        <stp xml:space="preserve">23885 HK Equity     </stp>
        <stp>BID</stp>
        <stp>[XLSpdmV8.xls]XLSpdmV8!R185C10</stp>
        <tr r="J185" s="1"/>
      </tp>
      <tp>
        <v>0.187</v>
        <stp/>
        <stp>##V3_BDPV12</stp>
        <stp xml:space="preserve">23885 HK Equity     </stp>
        <stp>ASK</stp>
        <stp>[XLSpdmV8.xls]XLSpdmV8!R185C11</stp>
        <tr r="K185" s="1"/>
      </tp>
      <tp t="s">
        <v>#N/A N/A</v>
        <stp/>
        <stp>##V3_BDPV12</stp>
        <stp xml:space="preserve">23055 HK Equity     </stp>
        <stp>ASK</stp>
        <stp>[XLSpdmV8.xls]XLSpdmV8!R131C11</stp>
        <tr r="K131" s="1"/>
      </tp>
      <tp t="s">
        <v>#N/A N/A</v>
        <stp/>
        <stp>##V3_BDPV12</stp>
        <stp xml:space="preserve">22235 HK Equity     </stp>
        <stp>ASK</stp>
        <stp>[XLSpdmV8.xls]XLSpdmV8!R180C11</stp>
        <tr r="K180" s="1"/>
      </tp>
      <tp>
        <v>5.2999999999999999E-2</v>
        <stp/>
        <stp>##V3_BDPV12</stp>
        <stp xml:space="preserve">26155 HK Equity     </stp>
        <stp>ASK</stp>
        <stp>[XLSpdmV8.xls]XLSpdmV8!R208C11</stp>
        <tr r="K208" s="1"/>
      </tp>
      <tp>
        <v>0.18</v>
        <stp/>
        <stp>##V3_BDPV12</stp>
        <stp xml:space="preserve">26915 HK Equity     </stp>
        <stp>ASK</stp>
        <stp>[XLSpdmV8.xls]XLSpdmV8!R216C11</stp>
        <tr r="K216" s="1"/>
      </tp>
      <tp t="s">
        <v>#N/A N/A</v>
        <stp/>
        <stp>##V3_BDPV12</stp>
        <stp xml:space="preserve">26485 HK Equity     </stp>
        <stp>BID</stp>
        <stp>[XLSpdmV8.xls]XLSpdmV8!R161C10</stp>
        <tr r="J161" s="1"/>
      </tp>
      <tp>
        <v>0.152</v>
        <stp/>
        <stp>##V3_BDPV12</stp>
        <stp xml:space="preserve">26585 HK Equity     </stp>
        <stp>BID</stp>
        <stp>[XLSpdmV8.xls]XLSpdmV8!R164C10</stp>
        <tr r="J164" s="1"/>
      </tp>
      <tp>
        <v>2.1000000000000001E-2</v>
        <stp/>
        <stp>##V3_BDPV12</stp>
        <stp xml:space="preserve">24825 HK Equity     </stp>
        <stp>ASK</stp>
        <stp>[XLSpdmV8.xls]XLSpdmV8!R191C11</stp>
        <tr r="K191" s="1"/>
      </tp>
      <tp>
        <v>1.9E-2</v>
        <stp/>
        <stp>##V3_BDPV12</stp>
        <stp xml:space="preserve">24825 HK Equity     </stp>
        <stp>BID</stp>
        <stp>[XLSpdmV8.xls]XLSpdmV8!R191C10</stp>
        <tr r="J191" s="1"/>
      </tp>
      <tp>
        <v>0.157</v>
        <stp/>
        <stp>##V3_BDPV12</stp>
        <stp xml:space="preserve">26585 HK Equity     </stp>
        <stp>ASK</stp>
        <stp>[XLSpdmV8.xls]XLSpdmV8!R164C11</stp>
        <tr r="K164" s="1"/>
      </tp>
      <tp t="s">
        <v>#N/A N/A</v>
        <stp/>
        <stp>##V3_BDPV12</stp>
        <stp xml:space="preserve">26485 HK Equity     </stp>
        <stp>ASK</stp>
        <stp>[XLSpdmV8.xls]XLSpdmV8!R161C11</stp>
        <tr r="K161" s="1"/>
      </tp>
      <tp>
        <v>0.155</v>
        <stp/>
        <stp>##V3_BDPV12</stp>
        <stp xml:space="preserve">26915 HK Equity     </stp>
        <stp>BID</stp>
        <stp>[XLSpdmV8.xls]XLSpdmV8!R216C10</stp>
        <tr r="J216" s="1"/>
      </tp>
      <tp>
        <v>5.0999999999999997E-2</v>
        <stp/>
        <stp>##V3_BDPV12</stp>
        <stp xml:space="preserve">26155 HK Equity     </stp>
        <stp>BID</stp>
        <stp>[XLSpdmV8.xls]XLSpdmV8!R208C10</stp>
        <tr r="J208" s="1"/>
      </tp>
      <tp t="s">
        <v>Put</v>
        <stp/>
        <stp>##V3_BDPV12</stp>
        <stp xml:space="preserve">25808 HK Equity     </stp>
        <stp>WRT_PUT_OR_CALL</stp>
        <stp>[XLSpdmV8.xls]XLSpdmV8!R198C5</stp>
        <tr r="E198" s="1"/>
      </tp>
      <tp t="s">
        <v>Put</v>
        <stp/>
        <stp>##V3_BDPV12</stp>
        <stp xml:space="preserve">27394 HK Equity     </stp>
        <stp>WRT_PUT_OR_CALL</stp>
        <stp>[XLSpdmV8.xls]XLSpdmV8!R111C5</stp>
        <tr r="E111" s="1"/>
      </tp>
      <tp t="s">
        <v>Put</v>
        <stp/>
        <stp>##V3_BDPV12</stp>
        <stp xml:space="preserve">26014 HK Equity     </stp>
        <stp>WRT_PUT_OR_CALL</stp>
        <stp>[XLSpdmV8.xls]XLSpdmV8!R119C5</stp>
        <tr r="E119" s="1"/>
      </tp>
      <tp t="s">
        <v>Call</v>
        <stp/>
        <stp>##V3_BDPV12</stp>
        <stp xml:space="preserve">26487 HK Equity     </stp>
        <stp>WRT_PUT_OR_CALL</stp>
        <stp>[XLSpdmV8.xls]XLSpdmV8!R210C5</stp>
        <tr r="E210" s="1"/>
      </tp>
      <tp t="s">
        <v>Call</v>
        <stp/>
        <stp>##V3_BDPV12</stp>
        <stp xml:space="preserve">26206 HK Equity     </stp>
        <stp>WRT_PUT_OR_CALL</stp>
        <stp>[XLSpdmV8.xls]XLSpdmV8!R158C5</stp>
        <tr r="E158" s="1"/>
      </tp>
      <tp t="s">
        <v>Put</v>
        <stp/>
        <stp>##V3_BDPV12</stp>
        <stp xml:space="preserve">26491 HK Equity     </stp>
        <stp>WRT_PUT_OR_CALL</stp>
        <stp>[XLSpdmV8.xls]XLSpdmV8!R211C5</stp>
        <tr r="E211" s="1"/>
      </tp>
      <tp t="s">
        <v>Put</v>
        <stp/>
        <stp>##V3_BDPV12</stp>
        <stp xml:space="preserve">27382 HK Equity     </stp>
        <stp>WRT_PUT_OR_CALL</stp>
        <stp>[XLSpdmV8.xls]XLSpdmV8!R110C5</stp>
        <tr r="E110" s="1"/>
      </tp>
      <tp>
        <v>3.1E-2</v>
        <stp/>
        <stp>##V3_BDPV12</stp>
        <stp xml:space="preserve">11062 HK Equity     </stp>
        <stp>LAST_PRICE</stp>
        <stp>[XLSpdmV8.xls]XLSpdmV8!R3C3</stp>
        <tr r="C3" s="1"/>
      </tp>
      <tp>
        <v>0.01</v>
        <stp/>
        <stp>##V3_BDPV12</stp>
        <stp xml:space="preserve">25090 HK Equity     </stp>
        <stp>LAST_PRICE</stp>
        <stp>[XLSpdmV8.xls]XLSpdmV8!R2C3</stp>
        <tr r="C2" s="1"/>
      </tp>
      <tp t="s">
        <v>#N/A N/A</v>
        <stp/>
        <stp>##V3_BDPV12</stp>
        <stp xml:space="preserve">28374 HK Equity     </stp>
        <stp>BID</stp>
        <stp>[XLSpdmV8.xls]XLSpdmV8!R231C10</stp>
        <tr r="J231" s="1"/>
      </tp>
      <tp t="s">
        <v>#N/A N/A</v>
        <stp/>
        <stp>##V3_BDPV12</stp>
        <stp xml:space="preserve">28374 HK Equity     </stp>
        <stp>ASK</stp>
        <stp>[XLSpdmV8.xls]XLSpdmV8!R231C11</stp>
        <tr r="K231" s="1"/>
      </tp>
      <tp t="s">
        <v>#N/A N/A</v>
        <stp/>
        <stp>##V3_BDPV12</stp>
        <stp xml:space="preserve">23524 HK Equity     </stp>
        <stp>BID</stp>
        <stp>[XLSpdmV8.xls]XLSpdmV8!R184C10</stp>
        <tr r="J184" s="1"/>
      </tp>
      <tp t="s">
        <v>#N/A N/A</v>
        <stp/>
        <stp>##V3_BDPV12</stp>
        <stp xml:space="preserve">23524 HK Equity     </stp>
        <stp>ASK</stp>
        <stp>[XLSpdmV8.xls]XLSpdmV8!R184C11</stp>
        <tr r="K184" s="1"/>
      </tp>
      <tp>
        <v>0.13900000000000001</v>
        <stp/>
        <stp>##V3_BDPV12</stp>
        <stp xml:space="preserve">25804 HK Equity     </stp>
        <stp>ASK</stp>
        <stp>[XLSpdmV8.xls]XLSpdmV8!R197C11</stp>
        <tr r="K197" s="1"/>
      </tp>
      <tp>
        <v>0.23499999999999999</v>
        <stp/>
        <stp>##V3_BDPV12</stp>
        <stp xml:space="preserve">26064 HK Equity     </stp>
        <stp>ASK</stp>
        <stp>[XLSpdmV8.xls]XLSpdmV8!R205C11</stp>
        <tr r="K205" s="1"/>
      </tp>
      <tp>
        <v>6.8000000000000005E-2</v>
        <stp/>
        <stp>##V3_BDPV12</stp>
        <stp xml:space="preserve">26874 HK Equity     </stp>
        <stp>BID</stp>
        <stp>[XLSpdmV8.xls]XLSpdmV8!R104C10</stp>
        <tr r="J104" s="1"/>
      </tp>
      <tp>
        <v>4.9000000000000002E-2</v>
        <stp/>
        <stp>##V3_BDPV12</stp>
        <stp xml:space="preserve">26014 HK Equity     </stp>
        <stp>BID</stp>
        <stp>[XLSpdmV8.xls]XLSpdmV8!R119C10</stp>
        <tr r="J119" s="1"/>
      </tp>
      <tp t="s">
        <v>#N/A N/A</v>
        <stp/>
        <stp>##V3_BDPV12</stp>
        <stp xml:space="preserve">27564 HK Equity     </stp>
        <stp>ASK</stp>
        <stp>[XLSpdmV8.xls]XLSpdmV8!R223C11</stp>
        <tr r="K223" s="1"/>
      </tp>
      <tp>
        <v>2.1000000000000001E-2</v>
        <stp/>
        <stp>##V3_BDPV12</stp>
        <stp xml:space="preserve">24984 HK Equity     </stp>
        <stp>ASK</stp>
        <stp>[XLSpdmV8.xls]XLSpdmV8!R192C11</stp>
        <tr r="K192" s="1"/>
      </tp>
      <tp>
        <v>0.01</v>
        <stp/>
        <stp>##V3_BDPV12</stp>
        <stp xml:space="preserve">24374 HK Equity     </stp>
        <stp>ASK</stp>
        <stp>[XLSpdmV8.xls]XLSpdmV8!R187C11</stp>
        <tr r="K187" s="1"/>
      </tp>
      <tp>
        <v>9.4E-2</v>
        <stp/>
        <stp>##V3_BDPV12</stp>
        <stp xml:space="preserve">27914 HK Equity     </stp>
        <stp>BID</stp>
        <stp>[XLSpdmV8.xls]XLSpdmV8!R114C10</stp>
        <tr r="J114" s="1"/>
      </tp>
      <tp>
        <v>6.9000000000000006E-2</v>
        <stp/>
        <stp>##V3_BDPV12</stp>
        <stp xml:space="preserve">27284 HK Equity     </stp>
        <stp>BID</stp>
        <stp>[XLSpdmV8.xls]XLSpdmV8!R169C10</stp>
        <tr r="J169" s="1"/>
      </tp>
      <tp>
        <v>0.124</v>
        <stp/>
        <stp>##V3_BDPV12</stp>
        <stp xml:space="preserve">27394 HK Equity     </stp>
        <stp>BID</stp>
        <stp>[XLSpdmV8.xls]XLSpdmV8!R111C10</stp>
        <tr r="J111" s="1"/>
      </tp>
      <tp>
        <v>7.0000000000000007E-2</v>
        <stp/>
        <stp>##V3_BDPV12</stp>
        <stp xml:space="preserve">27284 HK Equity     </stp>
        <stp>ASK</stp>
        <stp>[XLSpdmV8.xls]XLSpdmV8!R169C11</stp>
        <tr r="K169" s="1"/>
      </tp>
      <tp>
        <v>0.125</v>
        <stp/>
        <stp>##V3_BDPV12</stp>
        <stp xml:space="preserve">27394 HK Equity     </stp>
        <stp>ASK</stp>
        <stp>[XLSpdmV8.xls]XLSpdmV8!R111C11</stp>
        <tr r="K111" s="1"/>
      </tp>
      <tp>
        <v>9.5000000000000001E-2</v>
        <stp/>
        <stp>##V3_BDPV12</stp>
        <stp xml:space="preserve">27914 HK Equity     </stp>
        <stp>ASK</stp>
        <stp>[XLSpdmV8.xls]XLSpdmV8!R114C11</stp>
        <tr r="K114" s="1"/>
      </tp>
      <tp t="s">
        <v>#N/A N/A</v>
        <stp/>
        <stp>##V3_BDPV12</stp>
        <stp xml:space="preserve">24374 HK Equity     </stp>
        <stp>BID</stp>
        <stp>[XLSpdmV8.xls]XLSpdmV8!R187C10</stp>
        <tr r="J187" s="1"/>
      </tp>
      <tp t="s">
        <v>#N/A N/A</v>
        <stp/>
        <stp>##V3_BDPV12</stp>
        <stp xml:space="preserve">27564 HK Equity     </stp>
        <stp>BID</stp>
        <stp>[XLSpdmV8.xls]XLSpdmV8!R223C10</stp>
        <tr r="J223" s="1"/>
      </tp>
      <tp>
        <v>1.9E-2</v>
        <stp/>
        <stp>##V3_BDPV12</stp>
        <stp xml:space="preserve">24984 HK Equity     </stp>
        <stp>BID</stp>
        <stp>[XLSpdmV8.xls]XLSpdmV8!R192C10</stp>
        <tr r="J192" s="1"/>
      </tp>
      <tp>
        <v>5.3999999999999999E-2</v>
        <stp/>
        <stp>##V3_BDPV12</stp>
        <stp xml:space="preserve">26014 HK Equity     </stp>
        <stp>ASK</stp>
        <stp>[XLSpdmV8.xls]XLSpdmV8!R119C11</stp>
        <tr r="K119" s="1"/>
      </tp>
      <tp>
        <v>6.9000000000000006E-2</v>
        <stp/>
        <stp>##V3_BDPV12</stp>
        <stp xml:space="preserve">26874 HK Equity     </stp>
        <stp>ASK</stp>
        <stp>[XLSpdmV8.xls]XLSpdmV8!R104C11</stp>
        <tr r="K104" s="1"/>
      </tp>
      <tp>
        <v>0.23</v>
        <stp/>
        <stp>##V3_BDPV12</stp>
        <stp xml:space="preserve">26064 HK Equity     </stp>
        <stp>BID</stp>
        <stp>[XLSpdmV8.xls]XLSpdmV8!R205C10</stp>
        <tr r="J205" s="1"/>
      </tp>
      <tp>
        <v>0.13300000000000001</v>
        <stp/>
        <stp>##V3_BDPV12</stp>
        <stp xml:space="preserve">25804 HK Equity     </stp>
        <stp>BID</stp>
        <stp>[XLSpdmV8.xls]XLSpdmV8!R197C10</stp>
        <tr r="J197" s="1"/>
      </tp>
      <tp t="s">
        <v>Call</v>
        <stp/>
        <stp>##V3_BDPV12</stp>
        <stp xml:space="preserve">26329 HK Equity     </stp>
        <stp>WRT_PUT_OR_CALL</stp>
        <stp>[XLSpdmV8.xls]XLSpdmV8!R209C5</stp>
        <tr r="E209" s="1"/>
      </tp>
      <tp t="s">
        <v>Put</v>
        <stp/>
        <stp>##V3_BDPV12</stp>
        <stp xml:space="preserve">27596 HK Equity     </stp>
        <stp>WRT_PUT_OR_CALL</stp>
        <stp>[XLSpdmV8.xls]XLSpdmV8!R112C5</stp>
        <tr r="E112" s="1"/>
      </tp>
      <tp t="s">
        <v>Put</v>
        <stp/>
        <stp>##V3_BDPV12</stp>
        <stp xml:space="preserve">27891 HK Equity     </stp>
        <stp>WRT_PUT_OR_CALL</stp>
        <stp>[XLSpdmV8.xls]XLSpdmV8!R172C5</stp>
        <tr r="E172" s="1"/>
      </tp>
      <tp t="s">
        <v>Call</v>
        <stp/>
        <stp>##V3_BDPV12</stp>
        <stp xml:space="preserve">28081 HK Equity     </stp>
        <stp>WRT_PUT_OR_CALL</stp>
        <stp>[XLSpdmV8.xls]XLSpdmV8!R173C5</stp>
        <tr r="E173" s="1"/>
      </tp>
      <tp t="s">
        <v>Put</v>
        <stp/>
        <stp>##V3_BDPV12</stp>
        <stp xml:space="preserve">26320 HK Equity     </stp>
        <stp>WRT_PUT_OR_CALL</stp>
        <stp>[XLSpdmV8.xls]XLSpdmV8!R159C5</stp>
        <tr r="E159" s="1"/>
      </tp>
      <tp t="s">
        <v>Call</v>
        <stp/>
        <stp>##V3_BDPV12</stp>
        <stp xml:space="preserve">28120 HK Equity     </stp>
        <stp>WRT_PUT_OR_CALL</stp>
        <stp>[XLSpdmV8.xls]XLSpdmV8!R229C5</stp>
        <tr r="E229" s="1"/>
      </tp>
      <tp t="s">
        <v>Call</v>
        <stp/>
        <stp>##V3_BDPV12</stp>
        <stp xml:space="preserve">25483 HK Equity     </stp>
        <stp>WRT_PUT_OR_CALL</stp>
        <stp>[XLSpdmV8.xls]XLSpdmV8!R193C5</stp>
        <tr r="E193" s="1"/>
      </tp>
      <tp t="s">
        <v>Call</v>
        <stp/>
        <stp>##V3_BDPV12</stp>
        <stp xml:space="preserve">23683 HK Equity     </stp>
        <stp>WRT_PUT_OR_CALL</stp>
        <stp>[XLSpdmV8.xls]XLSpdmV8!R133C5</stp>
        <tr r="E133" s="1"/>
      </tp>
      <tp t="s">
        <v>Put</v>
        <stp/>
        <stp>##V3_BDPV12</stp>
        <stp xml:space="preserve">28393 HK Equity     </stp>
        <stp>WRT_PUT_OR_CALL</stp>
        <stp>[XLSpdmV8.xls]XLSpdmV8!R232C5</stp>
        <tr r="E232" s="1"/>
      </tp>
      <tp>
        <v>1.7000000000000001E-2</v>
        <stp/>
        <stp>##V3_BDPV12</stp>
        <stp xml:space="preserve">12276 HK Equity     </stp>
        <stp>LAST_PRICE</stp>
        <stp>[XLSpdmV8.xls]XLSpdmV8!R4C3</stp>
        <tr r="C4" s="1"/>
      </tp>
      <tp>
        <v>0.20300000000000001</v>
        <stp/>
        <stp>##V3_BDPV12</stp>
        <stp xml:space="preserve">28167 HK Equity     </stp>
        <stp>ASK</stp>
        <stp>[XLSpdmV8.xls]XLSpdmV8!R117C11</stp>
        <tr r="K117" s="1"/>
      </tp>
      <tp>
        <v>0.2</v>
        <stp/>
        <stp>##V3_BDPV12</stp>
        <stp xml:space="preserve">28167 HK Equity     </stp>
        <stp>BID</stp>
        <stp>[XLSpdmV8.xls]XLSpdmV8!R117C10</stp>
        <tr r="J117" s="1"/>
      </tp>
      <tp>
        <v>0.122</v>
        <stp/>
        <stp>##V3_BDPV12</stp>
        <stp xml:space="preserve">22997 HK Equity     </stp>
        <stp>BID</stp>
        <stp>[XLSpdmV8.xls]XLSpdmV8!R130C10</stp>
        <tr r="J130" s="1"/>
      </tp>
      <tp t="s">
        <v>#N/A N/A</v>
        <stp/>
        <stp>##V3_BDPV12</stp>
        <stp xml:space="preserve">22947 HK Equity     </stp>
        <stp>BID</stp>
        <stp>[XLSpdmV8.xls]XLSpdmV8!R182C10</stp>
        <tr r="J182" s="1"/>
      </tp>
      <tp t="s">
        <v>#N/A N/A</v>
        <stp/>
        <stp>##V3_BDPV12</stp>
        <stp xml:space="preserve">22947 HK Equity     </stp>
        <stp>ASK</stp>
        <stp>[XLSpdmV8.xls]XLSpdmV8!R182C11</stp>
        <tr r="K182" s="1"/>
      </tp>
      <tp>
        <v>0.127</v>
        <stp/>
        <stp>##V3_BDPV12</stp>
        <stp xml:space="preserve">22997 HK Equity     </stp>
        <stp>ASK</stp>
        <stp>[XLSpdmV8.xls]XLSpdmV8!R130C11</stp>
        <tr r="K130" s="1"/>
      </tp>
      <tp t="s">
        <v>#N/A N/A</v>
        <stp/>
        <stp>##V3_BDPV12</stp>
        <stp xml:space="preserve">26487 HK Equity     </stp>
        <stp>ASK</stp>
        <stp>[XLSpdmV8.xls]XLSpdmV8!R210C11</stp>
        <tr r="K210" s="1"/>
      </tp>
      <tp t="s">
        <v>#N/A N/A</v>
        <stp/>
        <stp>##V3_BDPV12</stp>
        <stp xml:space="preserve">26667 HK Equity     </stp>
        <stp>ASK</stp>
        <stp>[XLSpdmV8.xls]XLSpdmV8!R213C11</stp>
        <tr r="K213" s="1"/>
      </tp>
      <tp t="s">
        <v>#N/A N/A</v>
        <stp/>
        <stp>##V3_BDPV12</stp>
        <stp xml:space="preserve">25357 HK Equity     </stp>
        <stp>ASK</stp>
        <stp>[XLSpdmV8.xls]XLSpdmV8!R143C11</stp>
        <tr r="K143" s="1"/>
      </tp>
      <tp>
        <v>5.7000000000000002E-2</v>
        <stp/>
        <stp>##V3_BDPV12</stp>
        <stp xml:space="preserve">25377 HK Equity     </stp>
        <stp>ASK</stp>
        <stp>[XLSpdmV8.xls]XLSpdmV8!R144C11</stp>
        <tr r="K144" s="1"/>
      </tp>
      <tp>
        <v>6.4000000000000001E-2</v>
        <stp/>
        <stp>##V3_BDPV12</stp>
        <stp xml:space="preserve">26717 HK Equity     </stp>
        <stp>ASK</stp>
        <stp>[XLSpdmV8.xls]XLSpdmV8!R215C11</stp>
        <tr r="K215" s="1"/>
      </tp>
      <tp>
        <v>4.1000000000000002E-2</v>
        <stp/>
        <stp>##V3_BDPV12</stp>
        <stp xml:space="preserve">26037 HK Equity     </stp>
        <stp>ASK</stp>
        <stp>[XLSpdmV8.xls]XLSpdmV8!R204C11</stp>
        <tr r="K204" s="1"/>
      </tp>
      <tp>
        <v>6.2E-2</v>
        <stp/>
        <stp>##V3_BDPV12</stp>
        <stp xml:space="preserve">25457 HK Equity     </stp>
        <stp>ASK</stp>
        <stp>[XLSpdmV8.xls]XLSpdmV8!R145C11</stp>
        <tr r="K145" s="1"/>
      </tp>
      <tp>
        <v>0.04</v>
        <stp/>
        <stp>##V3_BDPV12</stp>
        <stp xml:space="preserve">25917 HK Equity     </stp>
        <stp>BID</stp>
        <stp>[XLSpdmV8.xls]XLSpdmV8!R200C10</stp>
        <tr r="J200" s="1"/>
      </tp>
      <tp>
        <v>2.5000000000000001E-2</v>
        <stp/>
        <stp>##V3_BDPV12</stp>
        <stp xml:space="preserve">24167 HK Equity     </stp>
        <stp>ASK</stp>
        <stp>[XLSpdmV8.xls]XLSpdmV8!R135C11</stp>
        <tr r="K135" s="1"/>
      </tp>
      <tp>
        <v>0.13200000000000001</v>
        <stp/>
        <stp>##V3_BDPV12</stp>
        <stp xml:space="preserve">27827 HK Equity     </stp>
        <stp>ASK</stp>
        <stp>[XLSpdmV8.xls]XLSpdmV8!R226C11</stp>
        <tr r="K226" s="1"/>
      </tp>
      <tp>
        <v>7.5999999999999998E-2</v>
        <stp/>
        <stp>##V3_BDPV12</stp>
        <stp xml:space="preserve">27077 HK Equity     </stp>
        <stp>BID</stp>
        <stp>[XLSpdmV8.xls]XLSpdmV8!R106C10</stp>
        <tr r="J106" s="1"/>
      </tp>
      <tp t="s">
        <v>#N/A N/A</v>
        <stp/>
        <stp>##V3_BDPV12</stp>
        <stp xml:space="preserve">27077 HK Equity     </stp>
        <stp>ASK</stp>
        <stp>[XLSpdmV8.xls]XLSpdmV8!R106C11</stp>
        <tr r="K106" s="1"/>
      </tp>
      <tp>
        <v>0.113</v>
        <stp/>
        <stp>##V3_BDPV12</stp>
        <stp xml:space="preserve">27827 HK Equity     </stp>
        <stp>BID</stp>
        <stp>[XLSpdmV8.xls]XLSpdmV8!R226C10</stp>
        <tr r="J226" s="1"/>
      </tp>
      <tp>
        <v>2.4E-2</v>
        <stp/>
        <stp>##V3_BDPV12</stp>
        <stp xml:space="preserve">24167 HK Equity     </stp>
        <stp>BID</stp>
        <stp>[XLSpdmV8.xls]XLSpdmV8!R135C10</stp>
        <tr r="J135" s="1"/>
      </tp>
      <tp>
        <v>4.2999999999999997E-2</v>
        <stp/>
        <stp>##V3_BDPV12</stp>
        <stp xml:space="preserve">25917 HK Equity     </stp>
        <stp>ASK</stp>
        <stp>[XLSpdmV8.xls]XLSpdmV8!R200C11</stp>
        <tr r="K200" s="1"/>
      </tp>
      <tp t="s">
        <v>#N/A N/A</v>
        <stp/>
        <stp>##V3_BDPV12</stp>
        <stp xml:space="preserve">26717 HK Equity     </stp>
        <stp>BID</stp>
        <stp>[XLSpdmV8.xls]XLSpdmV8!R215C10</stp>
        <tr r="J215" s="1"/>
      </tp>
      <tp>
        <v>5.1999999999999998E-2</v>
        <stp/>
        <stp>##V3_BDPV12</stp>
        <stp xml:space="preserve">25377 HK Equity     </stp>
        <stp>BID</stp>
        <stp>[XLSpdmV8.xls]XLSpdmV8!R144C10</stp>
        <tr r="J144" s="1"/>
      </tp>
      <tp>
        <v>8.3000000000000004E-2</v>
        <stp/>
        <stp>##V3_BDPV12</stp>
        <stp xml:space="preserve">25357 HK Equity     </stp>
        <stp>BID</stp>
        <stp>[XLSpdmV8.xls]XLSpdmV8!R143C10</stp>
        <tr r="J143" s="1"/>
      </tp>
      <tp t="s">
        <v>#N/A N/A</v>
        <stp/>
        <stp>##V3_BDPV12</stp>
        <stp xml:space="preserve">26667 HK Equity     </stp>
        <stp>BID</stp>
        <stp>[XLSpdmV8.xls]XLSpdmV8!R213C10</stp>
        <tr r="J213" s="1"/>
      </tp>
      <tp t="s">
        <v>#N/A N/A</v>
        <stp/>
        <stp>##V3_BDPV12</stp>
        <stp xml:space="preserve">26487 HK Equity     </stp>
        <stp>BID</stp>
        <stp>[XLSpdmV8.xls]XLSpdmV8!R210C10</stp>
        <tr r="J210" s="1"/>
      </tp>
      <tp>
        <v>5.8000000000000003E-2</v>
        <stp/>
        <stp>##V3_BDPV12</stp>
        <stp xml:space="preserve">25457 HK Equity     </stp>
        <stp>BID</stp>
        <stp>[XLSpdmV8.xls]XLSpdmV8!R145C10</stp>
        <tr r="J145" s="1"/>
      </tp>
      <tp>
        <v>0.04</v>
        <stp/>
        <stp>##V3_BDPV12</stp>
        <stp xml:space="preserve">26037 HK Equity     </stp>
        <stp>BID</stp>
        <stp>[XLSpdmV8.xls]XLSpdmV8!R204C10</stp>
        <tr r="J204" s="1"/>
      </tp>
      <tp t="s">
        <v>Call</v>
        <stp/>
        <stp>##V3_BDPV12</stp>
        <stp xml:space="preserve">26589 HK Equity     </stp>
        <stp>WRT_PUT_OR_CALL</stp>
        <stp>[XLSpdmV8.xls]XLSpdmV8!R212C5</stp>
        <tr r="E212" s="1"/>
      </tp>
      <tp t="s">
        <v>Call</v>
        <stp/>
        <stp>##V3_BDPV12</stp>
        <stp xml:space="preserve">28025 HK Equity     </stp>
        <stp>WRT_PUT_OR_CALL</stp>
        <stp>[XLSpdmV8.xls]XLSpdmV8!R228C5</stp>
        <tr r="E228" s="1"/>
      </tp>
      <tp t="s">
        <v>Call</v>
        <stp/>
        <stp>##V3_BDPV12</stp>
        <stp xml:space="preserve">24984 HK Equity     </stp>
        <stp>WRT_PUT_OR_CALL</stp>
        <stp>[XLSpdmV8.xls]XLSpdmV8!R192C5</stp>
        <tr r="E192" s="1"/>
      </tp>
      <tp t="s">
        <v>Call</v>
        <stp/>
        <stp>##V3_BDPV12</stp>
        <stp xml:space="preserve">24821 HK Equity     </stp>
        <stp>WRT_PUT_OR_CALL</stp>
        <stp>[XLSpdmV8.xls]XLSpdmV8!R138C5</stp>
        <tr r="E138" s="1"/>
      </tp>
      <tp t="s">
        <v>Call</v>
        <stp/>
        <stp>##V3_BDPV12</stp>
        <stp xml:space="preserve">27321 HK Equity     </stp>
        <stp>WRT_PUT_OR_CALL</stp>
        <stp>[XLSpdmV8.xls]XLSpdmV8!R108C5</stp>
        <tr r="E108" s="1"/>
      </tp>
      <tp t="s">
        <v>Put</v>
        <stp/>
        <stp>##V3_BDPV12</stp>
        <stp xml:space="preserve">20431 HK Equity     </stp>
        <stp>WRT_PUT_OR_CALL</stp>
        <stp>[XLSpdmV8.xls]XLSpdmV8!R179C5</stp>
        <tr r="E179" s="1"/>
      </tp>
      <tp t="s">
        <v>Put</v>
        <stp/>
        <stp>##V3_BDPV12</stp>
        <stp xml:space="preserve">22993 HK Equity     </stp>
        <stp>WRT_PUT_OR_CALL</stp>
        <stp>[XLSpdmV8.xls]XLSpdmV8!R183C5</stp>
        <tr r="E183" s="1"/>
      </tp>
      <tp t="s">
        <v>#N/A N/A</v>
        <stp/>
        <stp>##V3_BDPV12</stp>
        <stp xml:space="preserve">22156 HK Equity     </stp>
        <stp>BID</stp>
        <stp>[XLSpdmV8.xls]XLSpdmV8!R126C10</stp>
        <tr r="J126" s="1"/>
      </tp>
      <tp>
        <v>0.255</v>
        <stp/>
        <stp>##V3_BDPV12</stp>
        <stp xml:space="preserve">20546 HK Equity     </stp>
        <stp>ASK</stp>
        <stp>[XLSpdmV8.xls]XLSpdmV8!R122C11</stp>
        <tr r="K122" s="1"/>
      </tp>
      <tp>
        <v>0.247</v>
        <stp/>
        <stp>##V3_BDPV12</stp>
        <stp xml:space="preserve">20546 HK Equity     </stp>
        <stp>BID</stp>
        <stp>[XLSpdmV8.xls]XLSpdmV8!R122C10</stp>
        <tr r="J122" s="1"/>
      </tp>
      <tp t="s">
        <v>#N/A N/A</v>
        <stp/>
        <stp>##V3_BDPV12</stp>
        <stp xml:space="preserve">22156 HK Equity     </stp>
        <stp>ASK</stp>
        <stp>[XLSpdmV8.xls]XLSpdmV8!R126C11</stp>
        <tr r="K126" s="1"/>
      </tp>
      <tp>
        <v>5.7000000000000002E-2</v>
        <stp/>
        <stp>##V3_BDPV12</stp>
        <stp xml:space="preserve">25306 HK Equity     </stp>
        <stp>ASK</stp>
        <stp>[XLSpdmV8.xls]XLSpdmV8!R142C11</stp>
        <tr r="K142" s="1"/>
      </tp>
      <tp>
        <v>4.7E-2</v>
        <stp/>
        <stp>##V3_BDPV12</stp>
        <stp xml:space="preserve">25236 HK Equity     </stp>
        <stp>ASK</stp>
        <stp>[XLSpdmV8.xls]XLSpdmV8!R140C11</stp>
        <tr r="K140" s="1"/>
      </tp>
      <tp>
        <v>3.1E-2</v>
        <stp/>
        <stp>##V3_BDPV12</stp>
        <stp xml:space="preserve">26106 HK Equity     </stp>
        <stp>ASK</stp>
        <stp>[XLSpdmV8.xls]XLSpdmV8!R206C11</stp>
        <tr r="K206" s="1"/>
      </tp>
      <tp>
        <v>2.5000000000000001E-2</v>
        <stp/>
        <stp>##V3_BDPV12</stp>
        <stp xml:space="preserve">25146 HK Equity     </stp>
        <stp>ASK</stp>
        <stp>[XLSpdmV8.xls]XLSpdmV8!R139C11</stp>
        <tr r="K139" s="1"/>
      </tp>
      <tp>
        <v>4.4999999999999998E-2</v>
        <stp/>
        <stp>##V3_BDPV12</stp>
        <stp xml:space="preserve">25916 HK Equity     </stp>
        <stp>ASK</stp>
        <stp>[XLSpdmV8.xls]XLSpdmV8!R152C11</stp>
        <tr r="K152" s="1"/>
      </tp>
      <tp>
        <v>0.29499999999999998</v>
        <stp/>
        <stp>##V3_BDPV12</stp>
        <stp xml:space="preserve">25986 HK Equity     </stp>
        <stp>ASK</stp>
        <stp>[XLSpdmV8.xls]XLSpdmV8!R155C11</stp>
        <tr r="K155" s="1"/>
      </tp>
      <tp>
        <v>0.23100000000000001</v>
        <stp/>
        <stp>##V3_BDPV12</stp>
        <stp xml:space="preserve">25686 HK Equity     </stp>
        <stp>ASK</stp>
        <stp>[XLSpdmV8.xls]XLSpdmV8!R195C11</stp>
        <tr r="K195" s="1"/>
      </tp>
      <tp>
        <v>7.1999999999999995E-2</v>
        <stp/>
        <stp>##V3_BDPV12</stp>
        <stp xml:space="preserve">26896 HK Equity     </stp>
        <stp>BID</stp>
        <stp>[XLSpdmV8.xls]XLSpdmV8!R105C10</stp>
        <tr r="J105" s="1"/>
      </tp>
      <tp>
        <v>8.5000000000000006E-2</v>
        <stp/>
        <stp>##V3_BDPV12</stp>
        <stp xml:space="preserve">26206 HK Equity     </stp>
        <stp>BID</stp>
        <stp>[XLSpdmV8.xls]XLSpdmV8!R158C10</stp>
        <tr r="J158" s="1"/>
      </tp>
      <tp>
        <v>6.0999999999999999E-2</v>
        <stp/>
        <stp>##V3_BDPV12</stp>
        <stp xml:space="preserve">26756 HK Equity     </stp>
        <stp>BID</stp>
        <stp>[XLSpdmV8.xls]XLSpdmV8!R103C10</stp>
        <tr r="J103" s="1"/>
      </tp>
      <tp>
        <v>0.03</v>
        <stp/>
        <stp>##V3_BDPV12</stp>
        <stp xml:space="preserve">26036 HK Equity     </stp>
        <stp>BID</stp>
        <stp>[XLSpdmV8.xls]XLSpdmV8!R156C10</stp>
        <tr r="J156" s="1"/>
      </tp>
      <tp>
        <v>0.01</v>
        <stp/>
        <stp>##V3_BDPV12</stp>
        <stp xml:space="preserve">24106 HK Equity     </stp>
        <stp>ASK</stp>
        <stp>[XLSpdmV8.xls]XLSpdmV8!R186C11</stp>
        <tr r="K186" s="1"/>
      </tp>
      <tp>
        <v>0.191</v>
        <stp/>
        <stp>##V3_BDPV12</stp>
        <stp xml:space="preserve">27596 HK Equity     </stp>
        <stp>BID</stp>
        <stp>[XLSpdmV8.xls]XLSpdmV8!R112C10</stp>
        <tr r="J112" s="1"/>
      </tp>
      <tp t="s">
        <v>#N/A N/A</v>
        <stp/>
        <stp>##V3_BDPV12</stp>
        <stp xml:space="preserve">27356 HK Equity     </stp>
        <stp>BID</stp>
        <stp>[XLSpdmV8.xls]XLSpdmV8!R109C10</stp>
        <tr r="J109" s="1"/>
      </tp>
      <tp>
        <v>0.19400000000000001</v>
        <stp/>
        <stp>##V3_BDPV12</stp>
        <stp xml:space="preserve">27596 HK Equity     </stp>
        <stp>ASK</stp>
        <stp>[XLSpdmV8.xls]XLSpdmV8!R112C11</stp>
        <tr r="K112" s="1"/>
      </tp>
      <tp t="s">
        <v>#N/A N/A</v>
        <stp/>
        <stp>##V3_BDPV12</stp>
        <stp xml:space="preserve">27356 HK Equity     </stp>
        <stp>ASK</stp>
        <stp>[XLSpdmV8.xls]XLSpdmV8!R109C11</stp>
        <tr r="K109" s="1"/>
      </tp>
      <tp t="s">
        <v>#N/A N/A</v>
        <stp/>
        <stp>##V3_BDPV12</stp>
        <stp xml:space="preserve">24106 HK Equity     </stp>
        <stp>BID</stp>
        <stp>[XLSpdmV8.xls]XLSpdmV8!R186C10</stp>
        <tr r="J186" s="1"/>
      </tp>
      <tp>
        <v>3.1E-2</v>
        <stp/>
        <stp>##V3_BDPV12</stp>
        <stp xml:space="preserve">26036 HK Equity     </stp>
        <stp>ASK</stp>
        <stp>[XLSpdmV8.xls]XLSpdmV8!R156C11</stp>
        <tr r="K156" s="1"/>
      </tp>
      <tp>
        <v>6.3E-2</v>
        <stp/>
        <stp>##V3_BDPV12</stp>
        <stp xml:space="preserve">26756 HK Equity     </stp>
        <stp>ASK</stp>
        <stp>[XLSpdmV8.xls]XLSpdmV8!R103C11</stp>
        <tr r="K103" s="1"/>
      </tp>
      <tp>
        <v>8.6999999999999994E-2</v>
        <stp/>
        <stp>##V3_BDPV12</stp>
        <stp xml:space="preserve">26206 HK Equity     </stp>
        <stp>ASK</stp>
        <stp>[XLSpdmV8.xls]XLSpdmV8!R158C11</stp>
        <tr r="K158" s="1"/>
      </tp>
      <tp>
        <v>7.3999999999999996E-2</v>
        <stp/>
        <stp>##V3_BDPV12</stp>
        <stp xml:space="preserve">26896 HK Equity     </stp>
        <stp>ASK</stp>
        <stp>[XLSpdmV8.xls]XLSpdmV8!R105C11</stp>
        <tr r="K105" s="1"/>
      </tp>
      <tp>
        <v>0.23</v>
        <stp/>
        <stp>##V3_BDPV12</stp>
        <stp xml:space="preserve">25686 HK Equity     </stp>
        <stp>BID</stp>
        <stp>[XLSpdmV8.xls]XLSpdmV8!R195C10</stp>
        <tr r="J195" s="1"/>
      </tp>
      <tp>
        <v>0.28000000000000003</v>
        <stp/>
        <stp>##V3_BDPV12</stp>
        <stp xml:space="preserve">25986 HK Equity     </stp>
        <stp>BID</stp>
        <stp>[XLSpdmV8.xls]XLSpdmV8!R155C10</stp>
        <tr r="J155" s="1"/>
      </tp>
      <tp>
        <v>0.04</v>
        <stp/>
        <stp>##V3_BDPV12</stp>
        <stp xml:space="preserve">25916 HK Equity     </stp>
        <stp>BID</stp>
        <stp>[XLSpdmV8.xls]XLSpdmV8!R152C10</stp>
        <tr r="J152" s="1"/>
      </tp>
      <tp>
        <v>4.5999999999999999E-2</v>
        <stp/>
        <stp>##V3_BDPV12</stp>
        <stp xml:space="preserve">25236 HK Equity     </stp>
        <stp>BID</stp>
        <stp>[XLSpdmV8.xls]XLSpdmV8!R140C10</stp>
        <tr r="J140" s="1"/>
      </tp>
      <tp>
        <v>5.6000000000000001E-2</v>
        <stp/>
        <stp>##V3_BDPV12</stp>
        <stp xml:space="preserve">25306 HK Equity     </stp>
        <stp>BID</stp>
        <stp>[XLSpdmV8.xls]XLSpdmV8!R142C10</stp>
        <tr r="J142" s="1"/>
      </tp>
      <tp t="s">
        <v>#N/A N/A</v>
        <stp/>
        <stp>##V3_BDPV12</stp>
        <stp xml:space="preserve">25146 HK Equity     </stp>
        <stp>BID</stp>
        <stp>[XLSpdmV8.xls]XLSpdmV8!R139C10</stp>
        <tr r="J139" s="1"/>
      </tp>
      <tp>
        <v>2.5999999999999999E-2</v>
        <stp/>
        <stp>##V3_BDPV12</stp>
        <stp xml:space="preserve">26106 HK Equity     </stp>
        <stp>BID</stp>
        <stp>[XLSpdmV8.xls]XLSpdmV8!R206C10</stp>
        <tr r="J206" s="1"/>
      </tp>
      <tp t="s">
        <v>Put</v>
        <stp/>
        <stp>##V3_BDPV12</stp>
        <stp xml:space="preserve">27129 HK Equity     </stp>
        <stp>WRT_PUT_OR_CALL</stp>
        <stp>[XLSpdmV8.xls]XLSpdmV8!R217C5</stp>
        <tr r="E217" s="1"/>
      </tp>
      <tp t="s">
        <v>Put</v>
        <stp/>
        <stp>##V3_BDPV12</stp>
        <stp xml:space="preserve">27359 HK Equity     </stp>
        <stp>WRT_PUT_OR_CALL</stp>
        <stp>[XLSpdmV8.xls]XLSpdmV8!R220C5</stp>
        <tr r="E220" s="1"/>
      </tp>
      <tp t="s">
        <v>Call</v>
        <stp/>
        <stp>##V3_BDPV12</stp>
        <stp xml:space="preserve">25949 HK Equity     </stp>
        <stp>WRT_PUT_OR_CALL</stp>
        <stp>[XLSpdmV8.xls]XLSpdmV8!R201C5</stp>
        <tr r="E201" s="1"/>
      </tp>
      <tp t="s">
        <v>Put</v>
        <stp/>
        <stp>##V3_BDPV12</stp>
        <stp xml:space="preserve">27564 HK Equity     </stp>
        <stp>WRT_PUT_OR_CALL</stp>
        <stp>[XLSpdmV8.xls]XLSpdmV8!R223C5</stp>
        <tr r="E223" s="1"/>
      </tp>
      <tp t="s">
        <v>Call</v>
        <stp/>
        <stp>##V3_BDPV12</stp>
        <stp xml:space="preserve">27914 HK Equity     </stp>
        <stp>WRT_PUT_OR_CALL</stp>
        <stp>[XLSpdmV8.xls]XLSpdmV8!R114C5</stp>
        <tr r="E114" s="1"/>
      </tp>
      <tp t="s">
        <v>Call</v>
        <stp/>
        <stp>##V3_BDPV12</stp>
        <stp xml:space="preserve">26667 HK Equity     </stp>
        <stp>WRT_PUT_OR_CALL</stp>
        <stp>[XLSpdmV8.xls]XLSpdmV8!R213C5</stp>
        <tr r="E213" s="1"/>
      </tp>
      <tp t="s">
        <v>Put</v>
        <stp/>
        <stp>##V3_BDPV12</stp>
        <stp xml:space="preserve">26036 HK Equity     </stp>
        <stp>WRT_PUT_OR_CALL</stp>
        <stp>[XLSpdmV8.xls]XLSpdmV8!R156C5</stp>
        <tr r="E156" s="1"/>
      </tp>
      <tp t="s">
        <v>Call</v>
        <stp/>
        <stp>##V3_BDPV12</stp>
        <stp xml:space="preserve">11153 HK Equity     </stp>
        <stp>WRT_PUT_OR_CALL</stp>
        <stp>[XLSpdmV8.xls]XLSpdmV8!R120C5</stp>
        <tr r="E120" s="1"/>
      </tp>
      <tp>
        <v>0.01</v>
        <stp/>
        <stp>##V3_BDPV12</stp>
        <stp xml:space="preserve">23517 HK Equity     </stp>
        <stp>LAST_PRICE</stp>
        <stp>[XLSpdmV8.xls]XLSpdmV8!R8C3</stp>
        <tr r="C8" s="1"/>
      </tp>
      <tp t="s">
        <v>#N/A N/A</v>
        <stp/>
        <stp>##V3_BDPV12</stp>
        <stp xml:space="preserve">29179 HK Equity     </stp>
        <stp>ASK</stp>
        <stp>[XLSpdmV8.xls]XLSpdmV8!R176C11</stp>
        <tr r="K176" s="1"/>
      </tp>
      <tp>
        <v>8.5000000000000006E-2</v>
        <stp/>
        <stp>##V3_BDPV12</stp>
        <stp xml:space="preserve">28129 HK Equity     </stp>
        <stp>ASK</stp>
        <stp>[XLSpdmV8.xls]XLSpdmV8!R116C11</stp>
        <tr r="K116" s="1"/>
      </tp>
      <tp>
        <v>8.4000000000000005E-2</v>
        <stp/>
        <stp>##V3_BDPV12</stp>
        <stp xml:space="preserve">28129 HK Equity     </stp>
        <stp>BID</stp>
        <stp>[XLSpdmV8.xls]XLSpdmV8!R116C10</stp>
        <tr r="J116" s="1"/>
      </tp>
      <tp t="s">
        <v>#N/A N/A</v>
        <stp/>
        <stp>##V3_BDPV12</stp>
        <stp xml:space="preserve">29179 HK Equity     </stp>
        <stp>BID</stp>
        <stp>[XLSpdmV8.xls]XLSpdmV8!R176C10</stp>
        <tr r="J176" s="1"/>
      </tp>
      <tp>
        <v>0.24399999999999999</v>
        <stp/>
        <stp>##V3_BDPV12</stp>
        <stp xml:space="preserve">21729 HK Equity     </stp>
        <stp>ASK</stp>
        <stp>[XLSpdmV8.xls]XLSpdmV8!R124C11</stp>
        <tr r="K124" s="1"/>
      </tp>
      <tp>
        <v>0.23899999999999999</v>
        <stp/>
        <stp>##V3_BDPV12</stp>
        <stp xml:space="preserve">21729 HK Equity     </stp>
        <stp>BID</stp>
        <stp>[XLSpdmV8.xls]XLSpdmV8!R124C10</stp>
        <tr r="J124" s="1"/>
      </tp>
      <tp>
        <v>1.7999999999999999E-2</v>
        <stp/>
        <stp>##V3_BDPV12</stp>
        <stp xml:space="preserve">25489 HK Equity     </stp>
        <stp>ASK</stp>
        <stp>[XLSpdmV8.xls]XLSpdmV8!R118C11</stp>
        <tr r="K118" s="1"/>
      </tp>
      <tp>
        <v>0.115</v>
        <stp/>
        <stp>##V3_BDPV12</stp>
        <stp xml:space="preserve">26589 HK Equity     </stp>
        <stp>ASK</stp>
        <stp>[XLSpdmV8.xls]XLSpdmV8!R212C11</stp>
        <tr r="K212" s="1"/>
      </tp>
      <tp>
        <v>0.154</v>
        <stp/>
        <stp>##V3_BDPV12</stp>
        <stp xml:space="preserve">25479 HK Equity     </stp>
        <stp>ASK</stp>
        <stp>[XLSpdmV8.xls]XLSpdmV8!R146C11</stp>
        <tr r="K146" s="1"/>
      </tp>
      <tp>
        <v>0.27</v>
        <stp/>
        <stp>##V3_BDPV12</stp>
        <stp xml:space="preserve">26329 HK Equity     </stp>
        <stp>ASK</stp>
        <stp>[XLSpdmV8.xls]XLSpdmV8!R209C11</stp>
        <tr r="K209" s="1"/>
      </tp>
      <tp t="s">
        <v>#N/A N/A</v>
        <stp/>
        <stp>##V3_BDPV12</stp>
        <stp xml:space="preserve">25969 HK Equity     </stp>
        <stp>BID</stp>
        <stp>[XLSpdmV8.xls]XLSpdmV8!R202C10</stp>
        <tr r="J202" s="1"/>
      </tp>
      <tp>
        <v>9.1999999999999998E-2</v>
        <stp/>
        <stp>##V3_BDPV12</stp>
        <stp xml:space="preserve">25949 HK Equity     </stp>
        <stp>BID</stp>
        <stp>[XLSpdmV8.xls]XLSpdmV8!R201C10</stp>
        <tr r="J201" s="1"/>
      </tp>
      <tp>
        <v>0.114</v>
        <stp/>
        <stp>##V3_BDPV12</stp>
        <stp xml:space="preserve">26559 HK Equity     </stp>
        <stp>BID</stp>
        <stp>[XLSpdmV8.xls]XLSpdmV8!R163C10</stp>
        <tr r="J163" s="1"/>
      </tp>
      <tp>
        <v>0.246</v>
        <stp/>
        <stp>##V3_BDPV12</stp>
        <stp xml:space="preserve">24429 HK Equity     </stp>
        <stp>ASK</stp>
        <stp>[XLSpdmV8.xls]XLSpdmV8!R136C11</stp>
        <tr r="K136" s="1"/>
      </tp>
      <tp t="s">
        <v>#N/A N/A</v>
        <stp/>
        <stp>##V3_BDPV12</stp>
        <stp xml:space="preserve">27559 HK Equity     </stp>
        <stp>ASK</stp>
        <stp>[XLSpdmV8.xls]XLSpdmV8!R222C11</stp>
        <tr r="K222" s="1"/>
      </tp>
      <tp>
        <v>0.17199999999999999</v>
        <stp/>
        <stp>##V3_BDPV12</stp>
        <stp xml:space="preserve">27459 HK Equity     </stp>
        <stp>ASK</stp>
        <stp>[XLSpdmV8.xls]XLSpdmV8!R221C11</stp>
        <tr r="K221" s="1"/>
      </tp>
      <tp>
        <v>8.4000000000000005E-2</v>
        <stp/>
        <stp>##V3_BDPV12</stp>
        <stp xml:space="preserve">27359 HK Equity     </stp>
        <stp>ASK</stp>
        <stp>[XLSpdmV8.xls]XLSpdmV8!R220C11</stp>
        <tr r="K220" s="1"/>
      </tp>
      <tp>
        <v>7.2999999999999995E-2</v>
        <stp/>
        <stp>##V3_BDPV12</stp>
        <stp xml:space="preserve">27129 HK Equity     </stp>
        <stp>ASK</stp>
        <stp>[XLSpdmV8.xls]XLSpdmV8!R217C11</stp>
        <tr r="K217" s="1"/>
      </tp>
      <tp>
        <v>0.17</v>
        <stp/>
        <stp>##V3_BDPV12</stp>
        <stp xml:space="preserve">27459 HK Equity     </stp>
        <stp>BID</stp>
        <stp>[XLSpdmV8.xls]XLSpdmV8!R221C10</stp>
        <tr r="J221" s="1"/>
      </tp>
      <tp t="s">
        <v>#N/A N/A</v>
        <stp/>
        <stp>##V3_BDPV12</stp>
        <stp xml:space="preserve">27559 HK Equity     </stp>
        <stp>BID</stp>
        <stp>[XLSpdmV8.xls]XLSpdmV8!R222C10</stp>
        <tr r="J222" s="1"/>
      </tp>
      <tp>
        <v>0.24099999999999999</v>
        <stp/>
        <stp>##V3_BDPV12</stp>
        <stp xml:space="preserve">24429 HK Equity     </stp>
        <stp>BID</stp>
        <stp>[XLSpdmV8.xls]XLSpdmV8!R136C10</stp>
        <tr r="J136" s="1"/>
      </tp>
      <tp>
        <v>7.0999999999999994E-2</v>
        <stp/>
        <stp>##V3_BDPV12</stp>
        <stp xml:space="preserve">27129 HK Equity     </stp>
        <stp>BID</stp>
        <stp>[XLSpdmV8.xls]XLSpdmV8!R217C10</stp>
        <tr r="J217" s="1"/>
      </tp>
      <tp>
        <v>7.9000000000000001E-2</v>
        <stp/>
        <stp>##V3_BDPV12</stp>
        <stp xml:space="preserve">27359 HK Equity     </stp>
        <stp>BID</stp>
        <stp>[XLSpdmV8.xls]XLSpdmV8!R220C10</stp>
        <tr r="J220" s="1"/>
      </tp>
      <tp t="s">
        <v>#N/A N/A</v>
        <stp/>
        <stp>##V3_BDPV12</stp>
        <stp xml:space="preserve">26559 HK Equity     </stp>
        <stp>ASK</stp>
        <stp>[XLSpdmV8.xls]XLSpdmV8!R163C11</stp>
        <tr r="K163" s="1"/>
      </tp>
      <tp>
        <v>9.2999999999999999E-2</v>
        <stp/>
        <stp>##V3_BDPV12</stp>
        <stp xml:space="preserve">25949 HK Equity     </stp>
        <stp>ASK</stp>
        <stp>[XLSpdmV8.xls]XLSpdmV8!R201C11</stp>
        <tr r="K201" s="1"/>
      </tp>
      <tp t="s">
        <v>#N/A N/A</v>
        <stp/>
        <stp>##V3_BDPV12</stp>
        <stp xml:space="preserve">25969 HK Equity     </stp>
        <stp>ASK</stp>
        <stp>[XLSpdmV8.xls]XLSpdmV8!R202C11</stp>
        <tr r="K202" s="1"/>
      </tp>
      <tp>
        <v>0.11</v>
        <stp/>
        <stp>##V3_BDPV12</stp>
        <stp xml:space="preserve">26589 HK Equity     </stp>
        <stp>BID</stp>
        <stp>[XLSpdmV8.xls]XLSpdmV8!R212C10</stp>
        <tr r="J212" s="1"/>
      </tp>
      <tp>
        <v>1.6E-2</v>
        <stp/>
        <stp>##V3_BDPV12</stp>
        <stp xml:space="preserve">25489 HK Equity     </stp>
        <stp>BID</stp>
        <stp>[XLSpdmV8.xls]XLSpdmV8!R118C10</stp>
        <tr r="J118" s="1"/>
      </tp>
      <tp>
        <v>0.25</v>
        <stp/>
        <stp>##V3_BDPV12</stp>
        <stp xml:space="preserve">26329 HK Equity     </stp>
        <stp>BID</stp>
        <stp>[XLSpdmV8.xls]XLSpdmV8!R209C10</stp>
        <tr r="J209" s="1"/>
      </tp>
      <tp>
        <v>0.14899999999999999</v>
        <stp/>
        <stp>##V3_BDPV12</stp>
        <stp xml:space="preserve">25479 HK Equity     </stp>
        <stp>BID</stp>
        <stp>[XLSpdmV8.xls]XLSpdmV8!R146C10</stp>
        <tr r="J146" s="1"/>
      </tp>
      <tp t="s">
        <v>Put</v>
        <stp/>
        <stp>##V3_BDPV12</stp>
        <stp xml:space="preserve">27459 HK Equity     </stp>
        <stp>WRT_PUT_OR_CALL</stp>
        <stp>[XLSpdmV8.xls]XLSpdmV8!R221C5</stp>
        <tr r="E221" s="1"/>
      </tp>
      <tp t="s">
        <v>Put</v>
        <stp/>
        <stp>##V3_BDPV12</stp>
        <stp xml:space="preserve">24429 HK Equity     </stp>
        <stp>WRT_PUT_OR_CALL</stp>
        <stp>[XLSpdmV8.xls]XLSpdmV8!R136C5</stp>
        <tr r="E136" s="1"/>
      </tp>
      <tp t="s">
        <v>Put</v>
        <stp/>
        <stp>##V3_BDPV12</stp>
        <stp xml:space="preserve">25969 HK Equity     </stp>
        <stp>WRT_PUT_OR_CALL</stp>
        <stp>[XLSpdmV8.xls]XLSpdmV8!R202C5</stp>
        <tr r="E202" s="1"/>
      </tp>
      <tp t="s">
        <v>Put</v>
        <stp/>
        <stp>##V3_BDPV12</stp>
        <stp xml:space="preserve">28129 HK Equity     </stp>
        <stp>WRT_PUT_OR_CALL</stp>
        <stp>[XLSpdmV8.xls]XLSpdmV8!R116C5</stp>
        <tr r="E116" s="1"/>
      </tp>
      <tp t="s">
        <v>Call</v>
        <stp/>
        <stp>##V3_BDPV12</stp>
        <stp xml:space="preserve">23055 HK Equity     </stp>
        <stp>WRT_PUT_OR_CALL</stp>
        <stp>[XLSpdmV8.xls]XLSpdmV8!R131C5</stp>
        <tr r="E131" s="1"/>
      </tp>
      <tp t="s">
        <v>Put</v>
        <stp/>
        <stp>##V3_BDPV12</stp>
        <stp xml:space="preserve">26717 HK Equity     </stp>
        <stp>WRT_PUT_OR_CALL</stp>
        <stp>[XLSpdmV8.xls]XLSpdmV8!R215C5</stp>
        <tr r="E215" s="1"/>
      </tp>
      <tp t="s">
        <v>Put</v>
        <stp/>
        <stp>##V3_BDPV12</stp>
        <stp xml:space="preserve">27827 HK Equity     </stp>
        <stp>WRT_PUT_OR_CALL</stp>
        <stp>[XLSpdmV8.xls]XLSpdmV8!R226C5</stp>
        <tr r="E226" s="1"/>
      </tp>
      <tp t="s">
        <v>Call</v>
        <stp/>
        <stp>##V3_BDPV12</stp>
        <stp xml:space="preserve">25720 HK Equity     </stp>
        <stp>WRT_PUT_OR_CALL</stp>
        <stp>[XLSpdmV8.xls]XLSpdmV8!R196C5</stp>
        <tr r="E196" s="1"/>
      </tp>
      <tp t="s">
        <v>Put</v>
        <stp/>
        <stp>##V3_BDPV12</stp>
        <stp xml:space="preserve">26540 HK Equity     </stp>
        <stp>WRT_PUT_OR_CALL</stp>
        <stp>[XLSpdmV8.xls]XLSpdmV8!R100C5</stp>
        <tr r="E100" s="1"/>
      </tp>
      <tp t="s">
        <v>Put</v>
        <stp/>
        <stp>##V3_BDPV12</stp>
        <stp xml:space="preserve">26703 HK Equity     </stp>
        <stp>WRT_PUT_OR_CALL</stp>
        <stp>[XLSpdmV8.xls]XLSpdmV8!R214C5</stp>
        <tr r="E214" s="1"/>
      </tp>
      <tp t="s">
        <v>#N/A N/A</v>
        <stp/>
        <stp>##V3_BDPV12</stp>
        <stp xml:space="preserve">21028 HK Equity     </stp>
        <stp>ASK</stp>
        <stp>[XLSpdmV8.xls]XLSpdmV8!R123C11</stp>
        <tr r="K123" s="1"/>
      </tp>
      <tp t="s">
        <v>#N/A N/A</v>
        <stp/>
        <stp>##V3_BDPV12</stp>
        <stp xml:space="preserve">21028 HK Equity     </stp>
        <stp>BID</stp>
        <stp>[XLSpdmV8.xls]XLSpdmV8!R123C10</stp>
        <tr r="J123" s="1"/>
      </tp>
      <tp>
        <v>0.02</v>
        <stp/>
        <stp>##V3_BDPV12</stp>
        <stp xml:space="preserve">25808 HK Equity     </stp>
        <stp>ASK</stp>
        <stp>[XLSpdmV8.xls]XLSpdmV8!R198C11</stp>
        <tr r="K198" s="1"/>
      </tp>
      <tp>
        <v>7.5999999999999998E-2</v>
        <stp/>
        <stp>##V3_BDPV12</stp>
        <stp xml:space="preserve">25618 HK Equity     </stp>
        <stp>ASK</stp>
        <stp>[XLSpdmV8.xls]XLSpdmV8!R147C11</stp>
        <tr r="K147" s="1"/>
      </tp>
      <tp>
        <v>0.3</v>
        <stp/>
        <stp>##V3_BDPV12</stp>
        <stp xml:space="preserve">25948 HK Equity     </stp>
        <stp>ASK</stp>
        <stp>[XLSpdmV8.xls]XLSpdmV8!R153C11</stp>
        <tr r="K153" s="1"/>
      </tp>
      <tp>
        <v>7.9000000000000001E-2</v>
        <stp/>
        <stp>##V3_BDPV12</stp>
        <stp xml:space="preserve">26748 HK Equity     </stp>
        <stp>BID</stp>
        <stp>[XLSpdmV8.xls]XLSpdmV8!R102C10</stp>
        <tr r="J102" s="1"/>
      </tp>
      <tp>
        <v>0.17299999999999999</v>
        <stp/>
        <stp>##V3_BDPV12</stp>
        <stp xml:space="preserve">27188 HK Equity     </stp>
        <stp>BID</stp>
        <stp>[XLSpdmV8.xls]XLSpdmV8!R167C10</stp>
        <tr r="J167" s="1"/>
      </tp>
      <tp>
        <v>0.17899999999999999</v>
        <stp/>
        <stp>##V3_BDPV12</stp>
        <stp xml:space="preserve">27188 HK Equity     </stp>
        <stp>ASK</stp>
        <stp>[XLSpdmV8.xls]XLSpdmV8!R167C11</stp>
        <tr r="K167" s="1"/>
      </tp>
      <tp>
        <v>8.4000000000000005E-2</v>
        <stp/>
        <stp>##V3_BDPV12</stp>
        <stp xml:space="preserve">26748 HK Equity     </stp>
        <stp>ASK</stp>
        <stp>[XLSpdmV8.xls]XLSpdmV8!R102C11</stp>
        <tr r="K102" s="1"/>
      </tp>
      <tp>
        <v>0.28000000000000003</v>
        <stp/>
        <stp>##V3_BDPV12</stp>
        <stp xml:space="preserve">25948 HK Equity     </stp>
        <stp>BID</stp>
        <stp>[XLSpdmV8.xls]XLSpdmV8!R153C10</stp>
        <tr r="J153" s="1"/>
      </tp>
      <tp>
        <v>7.1999999999999995E-2</v>
        <stp/>
        <stp>##V3_BDPV12</stp>
        <stp xml:space="preserve">25618 HK Equity     </stp>
        <stp>BID</stp>
        <stp>[XLSpdmV8.xls]XLSpdmV8!R147C10</stp>
        <tr r="J147" s="1"/>
      </tp>
      <tp>
        <v>1.7999999999999999E-2</v>
        <stp/>
        <stp>##V3_BDPV12</stp>
        <stp xml:space="preserve">25808 HK Equity     </stp>
        <stp>BID</stp>
        <stp>[XLSpdmV8.xls]XLSpdmV8!R198C10</stp>
        <tr r="J198" s="1"/>
      </tp>
      <tp t="s">
        <v>Call</v>
        <stp/>
        <stp>##V3_BDPV12</stp>
        <stp xml:space="preserve">27559 HK Equity     </stp>
        <stp>WRT_PUT_OR_CALL</stp>
        <stp>[XLSpdmV8.xls]XLSpdmV8!R222C5</stp>
        <tr r="E222" s="1"/>
      </tp>
      <tp t="s">
        <v>Call</v>
        <stp/>
        <stp>##V3_BDPV12</stp>
        <stp xml:space="preserve">25948 HK Equity     </stp>
        <stp>WRT_PUT_OR_CALL</stp>
        <stp>[XLSpdmV8.xls]XLSpdmV8!R153C5</stp>
        <tr r="E153" s="1"/>
      </tp>
      <tp t="s">
        <v>Put</v>
        <stp/>
        <stp>##V3_BDPV12</stp>
        <stp xml:space="preserve">26915 HK Equity     </stp>
        <stp>WRT_PUT_OR_CALL</stp>
        <stp>[XLSpdmV8.xls]XLSpdmV8!R216C5</stp>
        <tr r="E216" s="1"/>
      </tp>
      <tp t="s">
        <v>Call</v>
        <stp/>
        <stp>##V3_BDPV12</stp>
        <stp xml:space="preserve">25804 HK Equity     </stp>
        <stp>WRT_PUT_OR_CALL</stp>
        <stp>[XLSpdmV8.xls]XLSpdmV8!R197C5</stp>
        <tr r="E197" s="1"/>
      </tp>
      <tp t="s">
        <v>Put</v>
        <stp/>
        <stp>##V3_BDPV12</stp>
        <stp xml:space="preserve">26037 HK Equity     </stp>
        <stp>WRT_PUT_OR_CALL</stp>
        <stp>[XLSpdmV8.xls]XLSpdmV8!R204C5</stp>
        <tr r="E204" s="1"/>
      </tp>
      <tp t="s">
        <v>Call</v>
        <stp/>
        <stp>##V3_BDPV12</stp>
        <stp xml:space="preserve">26201 HK Equity     </stp>
        <stp>WRT_PUT_OR_CALL</stp>
        <stp>[XLSpdmV8.xls]XLSpdmV8!R157C5</stp>
        <tr r="E157" s="1"/>
      </tp>
      <tp t="s">
        <v>Put</v>
        <stp/>
        <stp>##V3_BDPV12</stp>
        <stp xml:space="preserve">28131 HK Equity     </stp>
        <stp>WRT_PUT_OR_CALL</stp>
        <stp>[XLSpdmV8.xls]XLSpdmV8!R174C5</stp>
        <tr r="E174" s="1"/>
      </tp>
      <tp t="s">
        <v>Put</v>
        <stp/>
        <stp>##V3_BDPV12</stp>
        <stp xml:space="preserve">27112 HK Equity     </stp>
        <stp>WRT_PUT_OR_CALL</stp>
        <stp>[XLSpdmV8.xls]XLSpdmV8!R166C5</stp>
        <tr r="E166" s="1"/>
      </tp>
      <tp t="s">
        <v>Put</v>
        <stp/>
        <stp>##V3_BDPV12</stp>
        <stp xml:space="preserve">27562 HK Equity     </stp>
        <stp>WRT_PUT_OR_CALL</stp>
        <stp>[XLSpdmV8.xls]XLSpdmV8!R171C5</stp>
        <tr r="E171" s="1"/>
      </tp>
      <tp t="s">
        <v>Put</v>
        <stp/>
        <stp>##V3_BDPV12</stp>
        <stp xml:space="preserve">28172 HK Equity     </stp>
        <stp>WRT_PUT_OR_CALL</stp>
        <stp>[XLSpdmV8.xls]XLSpdmV8!R230C5</stp>
        <tr r="E230" s="1"/>
      </tp>
      <tp>
        <v>0.02</v>
        <stp/>
        <stp>##V3_BDPV12</stp>
        <stp xml:space="preserve">11158 HK Equity     </stp>
        <stp>ASK</stp>
        <stp>[XLSpdmV8.xls]XLSpdmV8!R177C11</stp>
        <tr r="K177" s="1"/>
      </tp>
      <tp>
        <v>1.9E-2</v>
        <stp/>
        <stp>##V3_BDPV12</stp>
        <stp xml:space="preserve">11158 HK Equity     </stp>
        <stp>BID</stp>
        <stp>[XLSpdmV8.xls]XLSpdmV8!R177C10</stp>
        <tr r="J177" s="1"/>
      </tp>
      <tp t="s">
        <v>Call</v>
        <stp/>
        <stp>##V3_BDPV12</stp>
        <stp xml:space="preserve">26559 HK Equity     </stp>
        <stp>WRT_PUT_OR_CALL</stp>
        <stp>[XLSpdmV8.xls]XLSpdmV8!R163C5</stp>
        <tr r="E163" s="1"/>
      </tp>
      <tp t="s">
        <v>Put</v>
        <stp/>
        <stp>##V3_BDPV12</stp>
        <stp xml:space="preserve">21729 HK Equity     </stp>
        <stp>WRT_PUT_OR_CALL</stp>
        <stp>[XLSpdmV8.xls]XLSpdmV8!R124C5</stp>
        <tr r="E124" s="1"/>
      </tp>
      <tp t="s">
        <v>Call</v>
        <stp/>
        <stp>##V3_BDPV12</stp>
        <stp xml:space="preserve">25618 HK Equity     </stp>
        <stp>WRT_PUT_OR_CALL</stp>
        <stp>[XLSpdmV8.xls]XLSpdmV8!R147C5</stp>
        <tr r="E147" s="1"/>
      </tp>
      <tp t="s">
        <v>Call</v>
        <stp/>
        <stp>##V3_BDPV12</stp>
        <stp xml:space="preserve">26748 HK Equity     </stp>
        <stp>WRT_PUT_OR_CALL</stp>
        <stp>[XLSpdmV8.xls]XLSpdmV8!R102C5</stp>
        <tr r="E102" s="1"/>
      </tp>
      <tp t="s">
        <v>Put</v>
        <stp/>
        <stp>##V3_BDPV12</stp>
        <stp xml:space="preserve">23524 HK Equity     </stp>
        <stp>WRT_PUT_OR_CALL</stp>
        <stp>[XLSpdmV8.xls]XLSpdmV8!R184C5</stp>
        <tr r="E184" s="1"/>
      </tp>
      <tp t="s">
        <v>Call</v>
        <stp/>
        <stp>##V3_BDPV12</stp>
        <stp xml:space="preserve">28374 HK Equity     </stp>
        <stp>WRT_PUT_OR_CALL</stp>
        <stp>[XLSpdmV8.xls]XLSpdmV8!R231C5</stp>
        <tr r="E231" s="1"/>
      </tp>
      <tp t="s">
        <v>Put</v>
        <stp/>
        <stp>##V3_BDPV12</stp>
        <stp xml:space="preserve">25357 HK Equity     </stp>
        <stp>WRT_PUT_OR_CALL</stp>
        <stp>[XLSpdmV8.xls]XLSpdmV8!R143C5</stp>
        <tr r="E143" s="1"/>
      </tp>
      <tp t="s">
        <v>Call</v>
        <stp/>
        <stp>##V3_BDPV12</stp>
        <stp xml:space="preserve">22947 HK Equity     </stp>
        <stp>WRT_PUT_OR_CALL</stp>
        <stp>[XLSpdmV8.xls]XLSpdmV8!R182C5</stp>
        <tr r="E182" s="1"/>
      </tp>
      <tp t="s">
        <v>Put</v>
        <stp/>
        <stp>##V3_BDPV12</stp>
        <stp xml:space="preserve">26106 HK Equity     </stp>
        <stp>WRT_PUT_OR_CALL</stp>
        <stp>[XLSpdmV8.xls]XLSpdmV8!R206C5</stp>
        <tr r="E206" s="1"/>
      </tp>
      <tp t="s">
        <v>Call</v>
        <stp/>
        <stp>##V3_BDPV12</stp>
        <stp xml:space="preserve">24106 HK Equity     </stp>
        <stp>WRT_PUT_OR_CALL</stp>
        <stp>[XLSpdmV8.xls]XLSpdmV8!R186C5</stp>
        <tr r="E186" s="1"/>
      </tp>
      <tp t="s">
        <v>Call</v>
        <stp/>
        <stp>##V3_BDPV12</stp>
        <stp xml:space="preserve">26756 HK Equity     </stp>
        <stp>WRT_PUT_OR_CALL</stp>
        <stp>[XLSpdmV8.xls]XLSpdmV8!R103C5</stp>
        <tr r="E103" s="1"/>
      </tp>
      <tp t="s">
        <v>Put</v>
        <stp/>
        <stp>##V3_BDPV12</stp>
        <stp xml:space="preserve">20546 HK Equity     </stp>
        <stp>WRT_PUT_OR_CALL</stp>
        <stp>[XLSpdmV8.xls]XLSpdmV8!R122C5</stp>
        <tr r="E122" s="1"/>
      </tp>
      <tp t="s">
        <v>Put</v>
        <stp/>
        <stp>##V3_BDPV12</stp>
        <stp xml:space="preserve">27111 HK Equity     </stp>
        <stp>WRT_PUT_OR_CALL</stp>
        <stp>[XLSpdmV8.xls]XLSpdmV8!R107C5</stp>
        <tr r="E107" s="1"/>
      </tp>
      <tp t="s">
        <v>Call</v>
        <stp/>
        <stp>##V3_BDPV12</stp>
        <stp xml:space="preserve">22313 HK Equity     </stp>
        <stp>WRT_PUT_OR_CALL</stp>
        <stp>[XLSpdmV8.xls]XLSpdmV8!R127C5</stp>
        <tr r="E127" s="1"/>
      </tp>
      <tp t="s">
        <v>Put</v>
        <stp/>
        <stp>##V3_BDPV12</stp>
        <stp xml:space="preserve">25272 HK Equity     </stp>
        <stp>WRT_PUT_OR_CALL</stp>
        <stp>[XLSpdmV8.xls]XLSpdmV8!R141C5</stp>
        <tr r="E141" s="1"/>
      </tp>
      <tp t="s">
        <v>Put</v>
        <stp/>
        <stp>##V3_BDPV12</stp>
        <stp xml:space="preserve">26362 HK Equity     </stp>
        <stp>WRT_PUT_OR_CALL</stp>
        <stp>[XLSpdmV8.xls]XLSpdmV8!R160C5</stp>
        <tr r="E160" s="1"/>
      </tp>
      <tp>
        <v>0.18</v>
        <stp/>
        <stp>##V3_BDPV12</stp>
        <stp xml:space="preserve">23535 HK Equity     </stp>
        <stp>LAST_PRICE</stp>
        <stp>[XLSpdmV8.xls]XLSpdmV8!R9C3</stp>
        <tr r="C9" s="1"/>
      </tp>
      <tp t="s">
        <v>Call</v>
        <stp/>
        <stp>##V3_BDPV12</stp>
        <stp xml:space="preserve">25479 HK Equity     </stp>
        <stp>WRT_PUT_OR_CALL</stp>
        <stp>[XLSpdmV8.xls]XLSpdmV8!R146C5</stp>
        <tr r="E146" s="1"/>
      </tp>
      <tp t="s">
        <v>Put</v>
        <stp/>
        <stp>##V3_BDPV12</stp>
        <stp xml:space="preserve">29179 HK Equity     </stp>
        <stp>WRT_PUT_OR_CALL</stp>
        <stp>[XLSpdmV8.xls]XLSpdmV8!R176C5</stp>
        <tr r="E176" s="1"/>
      </tp>
      <tp t="s">
        <v>Put</v>
        <stp/>
        <stp>##V3_BDPV12</stp>
        <stp xml:space="preserve">21028 HK Equity     </stp>
        <stp>WRT_PUT_OR_CALL</stp>
        <stp>[XLSpdmV8.xls]XLSpdmV8!R123C5</stp>
        <tr r="E123" s="1"/>
      </tp>
      <tp t="s">
        <v>Put</v>
        <stp/>
        <stp>##V3_BDPV12</stp>
        <stp xml:space="preserve">27284 HK Equity     </stp>
        <stp>WRT_PUT_OR_CALL</stp>
        <stp>[XLSpdmV8.xls]XLSpdmV8!R169C5</stp>
        <tr r="E169" s="1"/>
      </tp>
      <tp t="s">
        <v>Call</v>
        <stp/>
        <stp>##V3_BDPV12</stp>
        <stp xml:space="preserve">27077 HK Equity     </stp>
        <stp>WRT_PUT_OR_CALL</stp>
        <stp>[XLSpdmV8.xls]XLSpdmV8!R106C5</stp>
        <tr r="E106" s="1"/>
      </tp>
      <tp t="s">
        <v>Put</v>
        <stp/>
        <stp>##V3_BDPV12</stp>
        <stp xml:space="preserve">25917 HK Equity     </stp>
        <stp>WRT_PUT_OR_CALL</stp>
        <stp>[XLSpdmV8.xls]XLSpdmV8!R200C5</stp>
        <tr r="E200" s="1"/>
      </tp>
      <tp t="s">
        <v>Call</v>
        <stp/>
        <stp>##V3_BDPV12</stp>
        <stp xml:space="preserve">28167 HK Equity     </stp>
        <stp>WRT_PUT_OR_CALL</stp>
        <stp>[XLSpdmV8.xls]XLSpdmV8!R117C5</stp>
        <tr r="E117" s="1"/>
      </tp>
      <tp t="s">
        <v>Put</v>
        <stp/>
        <stp>##V3_BDPV12</stp>
        <stp xml:space="preserve">27821 HK Equity     </stp>
        <stp>WRT_PUT_OR_CALL</stp>
        <stp>[XLSpdmV8.xls]XLSpdmV8!R113C5</stp>
        <tr r="E113" s="1"/>
      </tp>
      <tp t="s">
        <v>Call</v>
        <stp/>
        <stp>##V3_BDPV12</stp>
        <stp xml:space="preserve">26020 HK Equity     </stp>
        <stp>WRT_PUT_OR_CALL</stp>
        <stp>[XLSpdmV8.xls]XLSpdmV8!R203C5</stp>
        <tr r="E203" s="1"/>
      </tp>
      <tp t="s">
        <v>Call</v>
        <stp/>
        <stp>##V3_BDPV12</stp>
        <stp xml:space="preserve">24680 HK Equity     </stp>
        <stp>WRT_PUT_OR_CALL</stp>
        <stp>[XLSpdmV8.xls]XLSpdmV8!R189C5</stp>
        <tr r="E189" s="1"/>
      </tp>
      <tp t="s">
        <v>Call</v>
        <stp/>
        <stp>##V3_BDPV12</stp>
        <stp xml:space="preserve">24712 HK Equity     </stp>
        <stp>WRT_PUT_OR_CALL</stp>
        <stp>[XLSpdmV8.xls]XLSpdmV8!R190C5</stp>
        <tr r="E190" s="1"/>
      </tp>
      <tp t="s">
        <v>Put</v>
        <stp/>
        <stp>##V3_BDPV12</stp>
        <stp xml:space="preserve">26532 HK Equity     </stp>
        <stp>WRT_PUT_OR_CALL</stp>
        <stp>[XLSpdmV8.xls]XLSpdmV8!R162C5</stp>
        <tr r="E162" s="1"/>
      </tp>
      <tp t="s">
        <v>Call</v>
        <stp/>
        <stp>##V3_BDPV12</stp>
        <stp xml:space="preserve">25489 HK Equity     </stp>
        <stp>WRT_PUT_OR_CALL</stp>
        <stp>[XLSpdmV8.xls]XLSpdmV8!R118C5</stp>
        <tr r="E118" s="1"/>
      </tp>
      <tp t="s">
        <v>Call</v>
        <stp/>
        <stp>##V3_BDPV12</stp>
        <stp xml:space="preserve">24374 HK Equity     </stp>
        <stp>WRT_PUT_OR_CALL</stp>
        <stp>[XLSpdmV8.xls]XLSpdmV8!R187C5</stp>
        <tr r="E187" s="1"/>
      </tp>
      <tp t="s">
        <v>Call</v>
        <stp/>
        <stp>##V3_BDPV12</stp>
        <stp xml:space="preserve">25457 HK Equity     </stp>
        <stp>WRT_PUT_OR_CALL</stp>
        <stp>[XLSpdmV8.xls]XLSpdmV8!R145C5</stp>
        <tr r="E145" s="1"/>
      </tp>
      <tp t="s">
        <v>Call</v>
        <stp/>
        <stp>##V3_BDPV12</stp>
        <stp xml:space="preserve">25901 HK Equity     </stp>
        <stp>WRT_PUT_OR_CALL</stp>
        <stp>[XLSpdmV8.xls]XLSpdmV8!R150C5</stp>
        <tr r="E150" s="1"/>
      </tp>
      <tp t="s">
        <v>Call</v>
        <stp/>
        <stp>##V3_BDPV12</stp>
        <stp xml:space="preserve">23841 HK Equity     </stp>
        <stp>WRT_PUT_OR_CALL</stp>
        <stp>[XLSpdmV8.xls]XLSpdmV8!R134C5</stp>
        <tr r="E134" s="1"/>
      </tp>
      <tp t="s">
        <v>Call</v>
        <stp/>
        <stp>##V3_BDPV12</stp>
        <stp xml:space="preserve">25910 HK Equity     </stp>
        <stp>WRT_PUT_OR_CALL</stp>
        <stp>[XLSpdmV8.xls]XLSpdmV8!R151C5</stp>
        <tr r="E151" s="1"/>
      </tp>
      <tp t="s">
        <v>Call</v>
        <stp/>
        <stp>##V3_BDPV12</stp>
        <stp xml:space="preserve">27280 HK Equity     </stp>
        <stp>WRT_PUT_OR_CALL</stp>
        <stp>[XLSpdmV8.xls]XLSpdmV8!R168C5</stp>
        <tr r="E168" s="1"/>
      </tp>
      <tp t="s">
        <v>Put</v>
        <stp/>
        <stp>##V3_BDPV12</stp>
        <stp xml:space="preserve">22990 HK Equity     </stp>
        <stp>WRT_PUT_OR_CALL</stp>
        <stp>[XLSpdmV8.xls]XLSpdmV8!R129C5</stp>
        <tr r="E129" s="1"/>
      </tp>
      <tp t="s">
        <v>Call</v>
        <stp/>
        <stp>##V3_BDPV12</stp>
        <stp xml:space="preserve">26753 HK Equity     </stp>
        <stp>WRT_PUT_OR_CALL</stp>
        <stp>[XLSpdmV8.xls]XLSpdmV8!R165C5</stp>
        <tr r="E165" s="1"/>
      </tp>
      <tp t="s">
        <v>Call</v>
        <stp/>
        <stp>##V3_BDPV12</stp>
        <stp xml:space="preserve">23523 HK Equity     </stp>
        <stp>WRT_PUT_OR_CALL</stp>
        <stp>[XLSpdmV8.xls]XLSpdmV8!R132C5</stp>
        <tr r="E132" s="1"/>
      </tp>
      <tp t="s">
        <v>Put</v>
        <stp/>
        <stp>##V3_BDPV12</stp>
        <stp xml:space="preserve">24452 HK Equity     </stp>
        <stp>WRT_PUT_OR_CALL</stp>
        <stp>[XLSpdmV8.xls]XLSpdmV8!R175C5</stp>
        <tr r="E175" s="1"/>
      </tp>
      <tp t="s">
        <v>Call</v>
        <stp/>
        <stp>##V3_BDPV12</stp>
        <stp xml:space="preserve">21852 HK Equity     </stp>
        <stp>WRT_PUT_OR_CALL</stp>
        <stp>[XLSpdmV8.xls]XLSpdmV8!R125C5</stp>
        <tr r="E125" s="1"/>
      </tp>
      <tp t="s">
        <v>Call</v>
        <stp/>
        <stp>##V3_BDPV12</stp>
        <stp xml:space="preserve">24825 HK Equity     </stp>
        <stp>WRT_PUT_OR_CALL</stp>
        <stp>[XLSpdmV8.xls]XLSpdmV8!R191C5</stp>
        <tr r="E191" s="1"/>
      </tp>
      <tp t="s">
        <v>Call</v>
        <stp/>
        <stp>##V3_BDPV12</stp>
        <stp xml:space="preserve">22235 HK Equity     </stp>
        <stp>WRT_PUT_OR_CALL</stp>
        <stp>[XLSpdmV8.xls]XLSpdmV8!R180C5</stp>
        <tr r="E180" s="1"/>
      </tp>
      <tp t="s">
        <v>Call</v>
        <stp/>
        <stp>##V3_BDPV12</stp>
        <stp xml:space="preserve">26064 HK Equity     </stp>
        <stp>WRT_PUT_OR_CALL</stp>
        <stp>[XLSpdmV8.xls]XLSpdmV8!R205C5</stp>
        <tr r="E205" s="1"/>
      </tp>
      <tp t="s">
        <v>Put</v>
        <stp/>
        <stp>##V3_BDPV12</stp>
        <stp xml:space="preserve">26874 HK Equity     </stp>
        <stp>WRT_PUT_OR_CALL</stp>
        <stp>[XLSpdmV8.xls]XLSpdmV8!R104C5</stp>
        <tr r="E104" s="1"/>
      </tp>
      <tp t="s">
        <v>Put</v>
        <stp/>
        <stp>##V3_BDPV12</stp>
        <stp xml:space="preserve">25377 HK Equity     </stp>
        <stp>WRT_PUT_OR_CALL</stp>
        <stp>[XLSpdmV8.xls]XLSpdmV8!R144C5</stp>
        <tr r="E144" s="1"/>
      </tp>
      <tp t="s">
        <v>Call</v>
        <stp/>
        <stp>##V3_BDPV12</stp>
        <stp xml:space="preserve">24167 HK Equity     </stp>
        <stp>WRT_PUT_OR_CALL</stp>
        <stp>[XLSpdmV8.xls]XLSpdmV8!R135C5</stp>
        <tr r="E135" s="1"/>
      </tp>
      <tp t="s">
        <v>Put</v>
        <stp/>
        <stp>##V3_BDPV12</stp>
        <stp xml:space="preserve">25916 HK Equity     </stp>
        <stp>WRT_PUT_OR_CALL</stp>
        <stp>[XLSpdmV8.xls]XLSpdmV8!R152C5</stp>
        <tr r="E152" s="1"/>
      </tp>
      <tp t="s">
        <v>Call</v>
        <stp/>
        <stp>##V3_BDPV12</stp>
        <stp xml:space="preserve">25236 HK Equity     </stp>
        <stp>WRT_PUT_OR_CALL</stp>
        <stp>[XLSpdmV8.xls]XLSpdmV8!R140C5</stp>
        <tr r="E140" s="1"/>
      </tp>
      <tp t="s">
        <v>Call</v>
        <stp/>
        <stp>##V3_BDPV12</stp>
        <stp xml:space="preserve">22156 HK Equity     </stp>
        <stp>WRT_PUT_OR_CALL</stp>
        <stp>[XLSpdmV8.xls]XLSpdmV8!R126C5</stp>
        <tr r="E126" s="1"/>
      </tp>
      <tp t="s">
        <v>Call</v>
        <stp/>
        <stp>##V3_BDPV12</stp>
        <stp xml:space="preserve">27760 HK Equity     </stp>
        <stp>WRT_PUT_OR_CALL</stp>
        <stp>[XLSpdmV8.xls]XLSpdmV8!R225C5</stp>
        <tr r="E225" s="1"/>
      </tp>
      <tp t="s">
        <v>Put</v>
        <stp/>
        <stp>##V3_BDPV12</stp>
        <stp xml:space="preserve">22320 HK Equity     </stp>
        <stp>WRT_PUT_OR_CALL</stp>
        <stp>[XLSpdmV8.xls]XLSpdmV8!R181C5</stp>
        <tr r="E181" s="1"/>
      </tp>
      <tp t="s">
        <v>Put</v>
        <stp/>
        <stp>##V3_BDPV12</stp>
        <stp xml:space="preserve">26142 HK Equity     </stp>
        <stp>WRT_PUT_OR_CALL</stp>
        <stp>[XLSpdmV8.xls]XLSpdmV8!R207C5</stp>
        <tr r="E207" s="1"/>
      </tp>
      <tp t="s">
        <v>Put</v>
        <stp/>
        <stp>##V3_BDPV12</stp>
        <stp xml:space="preserve">11321 HK Equity     </stp>
        <stp>WRT_PUT_OR_CALL</stp>
        <stp>[XLSpdmV8.xls]XLSpdmV8!R121C5</stp>
        <tr r="E121" s="1"/>
      </tp>
      <tp t="s">
        <v>Put</v>
        <stp/>
        <stp>##V3_BDPV12</stp>
        <stp xml:space="preserve">11158 HK Equity     </stp>
        <stp>WRT_PUT_OR_CALL</stp>
        <stp>[XLSpdmV8.xls]XLSpdmV8!R177C5</stp>
        <tr r="E177" s="1"/>
      </tp>
      <tp t="s">
        <v>Put</v>
        <stp/>
        <stp>##V3_BDPV12</stp>
        <stp xml:space="preserve">25306 HK Equity     </stp>
        <stp>WRT_PUT_OR_CALL</stp>
        <stp>[XLSpdmV8.xls]XLSpdmV8!R142C5</stp>
        <tr r="E142" s="1"/>
      </tp>
      <tp t="s">
        <v>Call</v>
        <stp/>
        <stp>##V3_BDPV12</stp>
        <stp xml:space="preserve">25561 HK Equity     </stp>
        <stp>WRT_PUT_OR_CALL</stp>
        <stp>[XLSpdmV8.xls]XLSpdmV8!R194C5</stp>
        <tr r="E194" s="1"/>
      </tp>
      <tp t="s">
        <v>Call</v>
        <stp/>
        <stp>##V3_BDPV12</stp>
        <stp xml:space="preserve">25960 HK Equity     </stp>
        <stp>WRT_PUT_OR_CALL</stp>
        <stp>[XLSpdmV8.xls]XLSpdmV8!R154C5</stp>
        <tr r="E154" s="1"/>
      </tp>
      <tp t="s">
        <v>Put</v>
        <stp/>
        <stp>##V3_BDPV12</stp>
        <stp xml:space="preserve">27422 HK Equity     </stp>
        <stp>WRT_PUT_OR_CALL</stp>
        <stp>[XLSpdmV8.xls]XLSpdmV8!R170C5</stp>
        <tr r="E170" s="1"/>
      </tp>
      <tp t="s">
        <v>Call</v>
        <stp/>
        <stp>##V3_BDPV12</stp>
        <stp xml:space="preserve">26788 HK Equity     </stp>
        <stp>WRT_PUT_OR_CALL</stp>
        <stp>[XLSpdmV8.xls]XLSpdmV8!R39C5</stp>
        <tr r="E39" s="1"/>
      </tp>
      <tp t="s">
        <v>Put</v>
        <stp/>
        <stp>##V3_BDPV12</stp>
        <stp xml:space="preserve">25994 HK Equity     </stp>
        <stp>WRT_PUT_OR_CALL</stp>
        <stp>[XLSpdmV8.xls]XLSpdmV8!R27C5</stp>
        <tr r="E27" s="1"/>
      </tp>
      <tp t="s">
        <v>Put</v>
        <stp/>
        <stp>##V3_BDPV12</stp>
        <stp xml:space="preserve">22822 HK Equity     </stp>
        <stp>WRT_PUT_OR_CALL</stp>
        <stp>[XLSpdmV8.xls]XLSpdmV8!R66C5</stp>
        <tr r="E66" s="1"/>
      </tp>
      <tp t="s">
        <v>Put</v>
        <stp/>
        <stp>##V3_BDPV12</stp>
        <stp xml:space="preserve">24830 HK Equity     </stp>
        <stp>WRT_PUT_OR_CALL</stp>
        <stp>[XLSpdmV8.xls]XLSpdmV8!R16C5</stp>
        <tr r="E16" s="1"/>
      </tp>
      <tp t="s">
        <v>Put</v>
        <stp/>
        <stp>##V3_BDPV12</stp>
        <stp xml:space="preserve">24831 HK Equity     </stp>
        <stp>WRT_PUT_OR_CALL</stp>
        <stp>[XLSpdmV8.xls]XLSpdmV8!R76C5</stp>
        <tr r="E76" s="1"/>
      </tp>
      <tp>
        <v>5.8999999999999997E-2</v>
        <stp/>
        <stp>##V3_BDPV12</stp>
        <stp xml:space="preserve">22990 HK Equity     </stp>
        <stp>LAST_PRICE</stp>
        <stp>[XLSpdmV8.xls]XLSpdmV8!R129C3</stp>
        <tr r="C129" s="1"/>
      </tp>
      <tp>
        <v>8.3000000000000004E-2</v>
        <stp/>
        <stp>##V3_BDPV12</stp>
        <stp xml:space="preserve">25357 HK Equity     </stp>
        <stp>LAST_PRICE</stp>
        <stp>[XLSpdmV8.xls]XLSpdmV8!R143C3</stp>
        <tr r="C143" s="1"/>
      </tp>
      <tp t="s">
        <v>#N/A N/A</v>
        <stp/>
        <stp>##V3_BDPV12</stp>
        <stp xml:space="preserve">24821 HK Equity     </stp>
        <stp>LAST_PRICE</stp>
        <stp>[XLSpdmV8.xls]XLSpdmV8!R138C3</stp>
        <tr r="C138" s="1"/>
      </tp>
      <tp>
        <v>0.2</v>
        <stp/>
        <stp>##V3_BDPV12</stp>
        <stp xml:space="preserve">25902 HK Equity     </stp>
        <stp>LAST_PRICE</stp>
        <stp>[XLSpdmV8.xls]XLSpdmV8!R199C3</stp>
        <tr r="C199" s="1"/>
      </tp>
      <tp>
        <v>0.02</v>
        <stp/>
        <stp>##V3_BDPV12</stp>
        <stp xml:space="preserve">25808 HK Equity     </stp>
        <stp>LAST_PRICE</stp>
        <stp>[XLSpdmV8.xls]XLSpdmV8!R198C3</stp>
        <tr r="C198" s="1"/>
      </tp>
      <tp>
        <v>0</v>
        <stp/>
        <stp>##V3_BDPV12</stp>
        <stp xml:space="preserve">25919 HK Equity     </stp>
        <stp>VOLUME</stp>
        <stp>[XLSpdmV8.xls]XLSpdmV8!R24C9</stp>
        <tr r="I24" s="1"/>
      </tp>
      <tp>
        <v>0</v>
        <stp/>
        <stp>##V3_BDPV12</stp>
        <stp xml:space="preserve">18856 HK Equity     </stp>
        <stp>VOLUME</stp>
        <stp>[XLSpdmV8.xls]XLSpdmV8!R59C9</stp>
        <tr r="I59" s="1"/>
      </tp>
      <tp>
        <v>0</v>
        <stp/>
        <stp>##V3_BDPV12</stp>
        <stp xml:space="preserve">20411 HK Equity     </stp>
        <stp>VOLUME</stp>
        <stp>[XLSpdmV8.xls]XLSpdmV8!R61C9</stp>
        <tr r="I61" s="1"/>
      </tp>
      <tp>
        <v>2460000</v>
        <stp/>
        <stp>##V3_BDPV12</stp>
        <stp xml:space="preserve">26747 HK Equity     </stp>
        <stp>VOLUME</stp>
        <stp>[XLSpdmV8.xls]XLSpdmV8!R37C9</stp>
        <tr r="I37" s="1"/>
      </tp>
      <tp>
        <v>12760000</v>
        <stp/>
        <stp>##V3_BDPV12</stp>
        <stp xml:space="preserve">24684 HK Equity     </stp>
        <stp>VOLUME</stp>
        <stp>[XLSpdmV8.xls]XLSpdmV8!R15C9</stp>
        <tr r="I15" s="1"/>
      </tp>
      <tp>
        <v>0</v>
        <stp/>
        <stp>##V3_BDPV12</stp>
        <stp xml:space="preserve">24688 HK Equity     </stp>
        <stp>VOLUME</stp>
        <stp>[XLSpdmV8.xls]XLSpdmV8!R75C9</stp>
        <tr r="I75" s="1"/>
      </tp>
      <tp>
        <v>60200000</v>
        <stp/>
        <stp>##V3_BDPV12</stp>
        <stp xml:space="preserve">25662 HK Equity     </stp>
        <stp>VOLUME</stp>
        <stp>[XLSpdmV8.xls]XLSpdmV8!R84C9</stp>
        <tr r="I84" s="1"/>
      </tp>
      <tp>
        <v>77490000</v>
        <stp/>
        <stp>##V3_BDPV12</stp>
        <stp xml:space="preserve">26399 HK Equity     </stp>
        <stp>VOLUME</stp>
        <stp>[XLSpdmV8.xls]XLSpdmV8!R97C9</stp>
        <tr r="I97" s="1"/>
      </tp>
      <tp>
        <v>60680000</v>
        <stp/>
        <stp>##V3_BDPV12</stp>
        <stp xml:space="preserve">27286 HK Equity     </stp>
        <stp>VOLUME</stp>
        <stp>[XLSpdmV8.xls]XLSpdmV8!R46C9</stp>
        <tr r="I46" s="1"/>
      </tp>
      <tp t="s">
        <v>27/5/2016</v>
        <stp/>
        <stp>##V3_BDPV12</stp>
        <stp xml:space="preserve">26092 HK Equity     </stp>
        <stp>TIME</stp>
        <stp>[XLSpdmV8.xls]XLSpdmV8!R29C6</stp>
        <tr r="F29" s="1"/>
      </tp>
      <tp t="s">
        <v>27/5/2016</v>
        <stp/>
        <stp>##V3_BDPV12</stp>
        <stp xml:space="preserve">20411 HK Equity     </stp>
        <stp>TIME</stp>
        <stp>[XLSpdmV8.xls]XLSpdmV8!R61C6</stp>
        <tr r="F61" s="1"/>
      </tp>
      <tp t="s">
        <v>27/5/2016</v>
        <stp/>
        <stp>##V3_BDPV12</stp>
        <stp xml:space="preserve">26121 HK Equity     </stp>
        <stp>TIME</stp>
        <stp>[XLSpdmV8.xls]XLSpdmV8!R92C6</stp>
        <tr r="F92" s="1"/>
      </tp>
      <tp t="s">
        <v>27/5/2016</v>
        <stp/>
        <stp>##V3_BDPV12</stp>
        <stp xml:space="preserve">26225 HK Equity     </stp>
        <stp>TIME</stp>
        <stp>[XLSpdmV8.xls]XLSpdmV8!R32C6</stp>
        <tr r="F32" s="1"/>
      </tp>
      <tp t="s">
        <v>27/5/2016</v>
        <stp/>
        <stp>##V3_BDPV12</stp>
        <stp xml:space="preserve">25599 HK Equity     </stp>
        <stp>TIME</stp>
        <stp>[XLSpdmV8.xls]XLSpdmV8!R19C6</stp>
        <tr r="F19" s="1"/>
      </tp>
      <tp t="s">
        <v>27/5/2016</v>
        <stp/>
        <stp>##V3_BDPV12</stp>
        <stp xml:space="preserve">24108 HK Equity     </stp>
        <stp>TIME</stp>
        <stp>[XLSpdmV8.xls]XLSpdmV8!R70C6</stp>
        <tr r="F70" s="1"/>
      </tp>
      <tp t="s">
        <v>Call</v>
        <stp/>
        <stp>##V3_BDPV12</stp>
        <stp xml:space="preserve">25984 HK Equity     </stp>
        <stp>WRT_PUT_OR_CALL</stp>
        <stp>[XLSpdmV8.xls]XLSpdmV8!R26C5</stp>
        <tr r="E26" s="1"/>
      </tp>
      <tp t="s">
        <v>Put</v>
        <stp/>
        <stp>##V3_BDPV12</stp>
        <stp xml:space="preserve">26764 HK Equity     </stp>
        <stp>WRT_PUT_OR_CALL</stp>
        <stp>[XLSpdmV8.xls]XLSpdmV8!R38C5</stp>
        <tr r="E38" s="1"/>
      </tp>
      <tp>
        <v>1.9E-2</v>
        <stp/>
        <stp>##V3_BDPV12</stp>
        <stp xml:space="preserve">24691 HK Equity     </stp>
        <stp>LAST_PRICE</stp>
        <stp>[XLSpdmV8.xls]XLSpdmV8!R137C3</stp>
        <tr r="C137" s="1"/>
      </tp>
      <tp t="s">
        <v>#N/A N/A</v>
        <stp/>
        <stp>##V3_BDPV12</stp>
        <stp xml:space="preserve">27592 HK Equity     </stp>
        <stp>LAST_PRICE</stp>
        <stp>[XLSpdmV8.xls]XLSpdmV8!R224C3</stp>
        <tr r="C224" s="1"/>
      </tp>
      <tp t="s">
        <v>#N/A N/A</v>
        <stp/>
        <stp>##V3_BDPV12</stp>
        <stp xml:space="preserve">28393 HK Equity     </stp>
        <stp>LAST_PRICE</stp>
        <stp>[XLSpdmV8.xls]XLSpdmV8!R232C3</stp>
        <tr r="C232" s="1"/>
      </tp>
      <tp>
        <v>0.155</v>
        <stp/>
        <stp>##V3_BDPV12</stp>
        <stp xml:space="preserve">26585 HK Equity     </stp>
        <stp>LAST_PRICE</stp>
        <stp>[XLSpdmV8.xls]XLSpdmV8!R164C3</stp>
        <tr r="C164" s="1"/>
      </tp>
      <tp t="s">
        <v>#N/A N/A</v>
        <stp/>
        <stp>##V3_BDPV12</stp>
        <stp xml:space="preserve">28172 HK Equity     </stp>
        <stp>LAST_PRICE</stp>
        <stp>[XLSpdmV8.xls]XLSpdmV8!R230C3</stp>
        <tr r="C230" s="1"/>
      </tp>
      <tp>
        <v>0.17799999999999999</v>
        <stp/>
        <stp>##V3_BDPV12</stp>
        <stp xml:space="preserve">25561 HK Equity     </stp>
        <stp>LAST_PRICE</stp>
        <stp>[XLSpdmV8.xls]XLSpdmV8!R194C3</stp>
        <tr r="C194" s="1"/>
      </tp>
      <tp>
        <v>0.01</v>
        <stp/>
        <stp>##V3_BDPV12</stp>
        <stp xml:space="preserve">23055 HK Equity     </stp>
        <stp>LAST_PRICE</stp>
        <stp>[XLSpdmV8.xls]XLSpdmV8!R131C3</stp>
        <tr r="C131" s="1"/>
      </tp>
      <tp>
        <v>0.06</v>
        <stp/>
        <stp>##V3_BDPV12</stp>
        <stp xml:space="preserve">25457 HK Equity     </stp>
        <stp>LAST_PRICE</stp>
        <stp>[XLSpdmV8.xls]XLSpdmV8!R145C3</stp>
        <tr r="C145" s="1"/>
      </tp>
      <tp>
        <v>7.0999999999999994E-2</v>
        <stp/>
        <stp>##V3_BDPV12</stp>
        <stp xml:space="preserve">11153 HK Equity     </stp>
        <stp>LAST_PRICE</stp>
        <stp>[XLSpdmV8.xls]XLSpdmV8!R120C3</stp>
        <tr r="C120" s="1"/>
      </tp>
      <tp>
        <v>0.13</v>
        <stp/>
        <stp>##V3_BDPV12</stp>
        <stp xml:space="preserve">24452 HK Equity     </stp>
        <stp>LAST_PRICE</stp>
        <stp>[XLSpdmV8.xls]XLSpdmV8!R175C3</stp>
        <tr r="C175" s="1"/>
      </tp>
      <tp>
        <v>0.20200000000000001</v>
        <stp/>
        <stp>##V3_BDPV12</stp>
        <stp xml:space="preserve">23524 HK Equity     </stp>
        <stp>LAST_PRICE</stp>
        <stp>[XLSpdmV8.xls]XLSpdmV8!R184C3</stp>
        <tr r="C184" s="1"/>
      </tp>
      <tp>
        <v>4.3999999999999997E-2</v>
        <stp/>
        <stp>##V3_BDPV12</stp>
        <stp xml:space="preserve">25720 HK Equity     </stp>
        <stp>LAST_PRICE</stp>
        <stp>[XLSpdmV8.xls]XLSpdmV8!R196C3</stp>
        <tr r="C196" s="1"/>
      </tp>
      <tp>
        <v>7.3999999999999996E-2</v>
        <stp/>
        <stp>##V3_BDPV12</stp>
        <stp xml:space="preserve">25618 HK Equity     </stp>
        <stp>LAST_PRICE</stp>
        <stp>[XLSpdmV8.xls]XLSpdmV8!R147C3</stp>
        <tr r="C147" s="1"/>
      </tp>
      <tp>
        <v>5.6000000000000001E-2</v>
        <stp/>
        <stp>##V3_BDPV12</stp>
        <stp xml:space="preserve">25306 HK Equity     </stp>
        <stp>LAST_PRICE</stp>
        <stp>[XLSpdmV8.xls]XLSpdmV8!R142C3</stp>
        <tr r="C142" s="1"/>
      </tp>
      <tp>
        <v>0.11</v>
        <stp/>
        <stp>##V3_BDPV12</stp>
        <stp xml:space="preserve">25803 HK Equity     </stp>
        <stp>LAST_PRICE</stp>
        <stp>[XLSpdmV8.xls]XLSpdmV8!R149C3</stp>
        <tr r="C149" s="1"/>
      </tp>
      <tp>
        <v>6500000</v>
        <stp/>
        <stp>##V3_BDPV12</stp>
        <stp xml:space="preserve">25946 HK Equity     </stp>
        <stp>VOLUME</stp>
        <stp>[XLSpdmV8.xls]XLSpdmV8!R25C9</stp>
        <tr r="I25" s="1"/>
      </tp>
      <tp>
        <v>0</v>
        <stp/>
        <stp>##V3_BDPV12</stp>
        <stp xml:space="preserve">24427 HK Equity     </stp>
        <stp>VOLUME</stp>
        <stp>[XLSpdmV8.xls]XLSpdmV8!R74C9</stp>
        <tr r="I74" s="1"/>
      </tp>
      <tp>
        <v>100000</v>
        <stp/>
        <stp>##V3_BDPV12</stp>
        <stp xml:space="preserve">24425 HK Equity     </stp>
        <stp>VOLUME</stp>
        <stp>[XLSpdmV8.xls]XLSpdmV8!R14C9</stp>
        <tr r="I14" s="1"/>
      </tp>
      <tp>
        <v>76030000</v>
        <stp/>
        <stp>##V3_BDPV12</stp>
        <stp xml:space="preserve">26712 HK Equity     </stp>
        <stp>VOLUME</stp>
        <stp>[XLSpdmV8.xls]XLSpdmV8!R36C9</stp>
        <tr r="I36" s="1"/>
      </tp>
      <tp t="s">
        <v>#N/A N/A</v>
        <stp/>
        <stp>##V3_BDPV12</stp>
        <stp xml:space="preserve">25679 HK Equity     </stp>
        <stp>VOLUME</stp>
        <stp>[XLSpdmV8.xls]XLSpdmV8!R85C9</stp>
        <tr r="I85" s="1"/>
      </tp>
      <tp>
        <v>0</v>
        <stp/>
        <stp>##V3_BDPV12</stp>
        <stp xml:space="preserve">26390 HK Equity     </stp>
        <stp>VOLUME</stp>
        <stp>[XLSpdmV8.xls]XLSpdmV8!R96C9</stp>
        <tr r="I96" s="1"/>
      </tp>
      <tp>
        <v>2150000</v>
        <stp/>
        <stp>##V3_BDPV12</stp>
        <stp xml:space="preserve">27360 HK Equity     </stp>
        <stp>VOLUME</stp>
        <stp>[XLSpdmV8.xls]XLSpdmV8!R47C9</stp>
        <tr r="I47" s="1"/>
      </tp>
      <tp t="s">
        <v>27/5/2016</v>
        <stp/>
        <stp>##V3_BDPV12</stp>
        <stp xml:space="preserve">25722 HK Equity     </stp>
        <stp>TIME</stp>
        <stp>[XLSpdmV8.xls]XLSpdmV8!R23C6</stp>
        <tr r="F23" s="1"/>
      </tp>
      <tp t="s">
        <v>27/5/2016</v>
        <stp/>
        <stp>##V3_BDPV12</stp>
        <stp xml:space="preserve">27360 HK Equity     </stp>
        <stp>TIME</stp>
        <stp>[XLSpdmV8.xls]XLSpdmV8!R47C6</stp>
        <tr r="F47" s="1"/>
      </tp>
      <tp t="s">
        <v>27/5/2016</v>
        <stp/>
        <stp>##V3_BDPV12</stp>
        <stp xml:space="preserve">20537 HK Equity     </stp>
        <stp>TIME</stp>
        <stp>[XLSpdmV8.xls]XLSpdmV8!R62C6</stp>
        <tr r="F62" s="1"/>
      </tp>
      <tp t="s">
        <v>27/5/2016</v>
        <stp/>
        <stp>##V3_BDPV12</stp>
        <stp xml:space="preserve">24107 HK Equity     </stp>
        <stp>TIME</stp>
        <stp>[XLSpdmV8.xls]XLSpdmV8!R11C6</stp>
        <tr r="F11" s="1"/>
      </tp>
      <tp t="s">
        <v>27/5/2016</v>
        <stp/>
        <stp>##V3_BDPV12</stp>
        <stp xml:space="preserve">24137 HK Equity     </stp>
        <stp>TIME</stp>
        <stp>[XLSpdmV8.xls]XLSpdmV8!R12C6</stp>
        <tr r="F12" s="1"/>
      </tp>
      <tp t="s">
        <v>27/5/2016</v>
        <stp/>
        <stp>##V3_BDPV12</stp>
        <stp xml:space="preserve">27157 HK Equity     </stp>
        <stp>TIME</stp>
        <stp>[XLSpdmV8.xls]XLSpdmV8!R44C6</stp>
        <tr r="F44" s="1"/>
      </tp>
      <tp t="s">
        <v>27/5/2016</v>
        <stp/>
        <stp>##V3_BDPV12</stp>
        <stp xml:space="preserve">25946 HK Equity     </stp>
        <stp>TIME</stp>
        <stp>[XLSpdmV8.xls]XLSpdmV8!R25C6</stp>
        <tr r="F25" s="1"/>
      </tp>
      <tp t="s">
        <v>27/5/2016</v>
        <stp/>
        <stp>##V3_BDPV12</stp>
        <stp xml:space="preserve">25915 HK Equity     </stp>
        <stp>TIME</stp>
        <stp>[XLSpdmV8.xls]XLSpdmV8!R90C6</stp>
        <tr r="F90" s="1"/>
      </tp>
      <tp t="s">
        <v>27/5/2016</v>
        <stp/>
        <stp>##V3_BDPV12</stp>
        <stp xml:space="preserve">26939 HK Equity     </stp>
        <stp>TIME</stp>
        <stp>[XLSpdmV8.xls]XLSpdmV8!R42C6</stp>
        <tr r="F42" s="1"/>
      </tp>
      <tp t="s">
        <v>27/5/2016</v>
        <stp/>
        <stp>##V3_BDPV12</stp>
        <stp xml:space="preserve">25898 HK Equity     </stp>
        <stp>TIME</stp>
        <stp>[XLSpdmV8.xls]XLSpdmV8!R88C6</stp>
        <tr r="F88" s="1"/>
      </tp>
      <tp t="s">
        <v>#N/A N/A</v>
        <stp/>
        <stp>##V3_BDPV12</stp>
        <stp xml:space="preserve">27828 HK Equity     </stp>
        <stp>TIME</stp>
        <stp>[XLSpdmV8.xls]XLSpdmV8!R53C6</stp>
        <tr r="F53" s="1"/>
      </tp>
      <tp t="s">
        <v>27/5/2016</v>
        <stp/>
        <stp>##V3_BDPV12</stp>
        <stp xml:space="preserve">27608 HK Equity     </stp>
        <stp>TIME</stp>
        <stp>[XLSpdmV8.xls]XLSpdmV8!R51C6</stp>
        <tr r="F51" s="1"/>
      </tp>
      <tp t="s">
        <v>27/5/2016</v>
        <stp/>
        <stp>##V3_BDPV12</stp>
        <stp xml:space="preserve">26788 HK Equity     </stp>
        <stp>TIME</stp>
        <stp>[XLSpdmV8.xls]XLSpdmV8!R39C6</stp>
        <tr r="F39" s="1"/>
      </tp>
      <tp t="s">
        <v>Call</v>
        <stp/>
        <stp>##V3_BDPV12</stp>
        <stp xml:space="preserve">25599 HK Equity     </stp>
        <stp>WRT_PUT_OR_CALL</stp>
        <stp>[XLSpdmV8.xls]XLSpdmV8!R19C5</stp>
        <tr r="E19" s="1"/>
      </tp>
      <tp t="s">
        <v>Call</v>
        <stp/>
        <stp>##V3_BDPV12</stp>
        <stp xml:space="preserve">27894 HK Equity     </stp>
        <stp>WRT_PUT_OR_CALL</stp>
        <stp>[XLSpdmV8.xls]XLSpdmV8!R54C5</stp>
        <tr r="E54" s="1"/>
      </tp>
      <tp t="s">
        <v>Call</v>
        <stp/>
        <stp>##V3_BDPV12</stp>
        <stp xml:space="preserve">23970 HK Equity     </stp>
        <stp>WRT_PUT_OR_CALL</stp>
        <stp>[XLSpdmV8.xls]XLSpdmV8!R55C5</stp>
        <tr r="E55" s="1"/>
      </tp>
      <tp t="s">
        <v>Put</v>
        <stp/>
        <stp>##V3_BDPV12</stp>
        <stp xml:space="preserve">25946 HK Equity     </stp>
        <stp>WRT_PUT_OR_CALL</stp>
        <stp>[XLSpdmV8.xls]XLSpdmV8!R25C5</stp>
        <tr r="E25" s="1"/>
      </tp>
      <tp t="s">
        <v>Put</v>
        <stp/>
        <stp>##V3_BDPV12</stp>
        <stp xml:space="preserve">26444 HK Equity     </stp>
        <stp>WRT_PUT_OR_CALL</stp>
        <stp>[XLSpdmV8.xls]XLSpdmV8!R98C5</stp>
        <tr r="E98" s="1"/>
      </tp>
      <tp t="s">
        <v>Call</v>
        <stp/>
        <stp>##V3_BDPV12</stp>
        <stp xml:space="preserve">27438 HK Equity     </stp>
        <stp>WRT_PUT_OR_CALL</stp>
        <stp>[XLSpdmV8.xls]XLSpdmV8!R48C5</stp>
        <tr r="E48" s="1"/>
      </tp>
      <tp t="s">
        <v>Put</v>
        <stp/>
        <stp>##V3_BDPV12</stp>
        <stp xml:space="preserve">23538 HK Equity     </stp>
        <stp>WRT_PUT_OR_CALL</stp>
        <stp>[XLSpdmV8.xls]XLSpdmV8!R69C5</stp>
        <tr r="E69" s="1"/>
      </tp>
      <tp t="s">
        <v>Put</v>
        <stp/>
        <stp>##V3_BDPV12</stp>
        <stp xml:space="preserve">26511 HK Equity     </stp>
        <stp>WRT_PUT_OR_CALL</stp>
        <stp>[XLSpdmV8.xls]XLSpdmV8!R99C5</stp>
        <tr r="E99" s="1"/>
      </tp>
      <tp>
        <v>0.125</v>
        <stp/>
        <stp>##V3_BDPV12</stp>
        <stp xml:space="preserve">27394 HK Equity     </stp>
        <stp>LAST_PRICE</stp>
        <stp>[XLSpdmV8.xls]XLSpdmV8!R111C3</stp>
        <tr r="C111" s="1"/>
      </tp>
      <tp t="s">
        <v>#N/A N/A</v>
        <stp/>
        <stp>##V3_BDPV12</stp>
        <stp xml:space="preserve">28374 HK Equity     </stp>
        <stp>LAST_PRICE</stp>
        <stp>[XLSpdmV8.xls]XLSpdmV8!R231C3</stp>
        <tr r="C231" s="1"/>
      </tp>
      <tp>
        <v>0.15</v>
        <stp/>
        <stp>##V3_BDPV12</stp>
        <stp xml:space="preserve">25479 HK Equity     </stp>
        <stp>LAST_PRICE</stp>
        <stp>[XLSpdmV8.xls]XLSpdmV8!R146C3</stp>
        <tr r="C146" s="1"/>
      </tp>
      <tp>
        <v>4.2999999999999997E-2</v>
        <stp/>
        <stp>##V3_BDPV12</stp>
        <stp xml:space="preserve">27760 HK Equity     </stp>
        <stp>LAST_PRICE</stp>
        <stp>[XLSpdmV8.xls]XLSpdmV8!R225C3</stp>
        <tr r="C225" s="1"/>
      </tp>
      <tp>
        <v>6.0999999999999999E-2</v>
        <stp/>
        <stp>##V3_BDPV12</stp>
        <stp xml:space="preserve">26753 HK Equity     </stp>
        <stp>LAST_PRICE</stp>
        <stp>[XLSpdmV8.xls]XLSpdmV8!R165C3</stp>
        <tr r="C165" s="1"/>
      </tp>
      <tp>
        <v>0.01</v>
        <stp/>
        <stp>##V3_BDPV12</stp>
        <stp xml:space="preserve">22235 HK Equity     </stp>
        <stp>LAST_PRICE</stp>
        <stp>[XLSpdmV8.xls]XLSpdmV8!R180C3</stp>
        <tr r="C180" s="1"/>
      </tp>
      <tp>
        <v>4.7E-2</v>
        <stp/>
        <stp>##V3_BDPV12</stp>
        <stp xml:space="preserve">25236 HK Equity     </stp>
        <stp>LAST_PRICE</stp>
        <stp>[XLSpdmV8.xls]XLSpdmV8!R140C3</stp>
        <tr r="C140" s="1"/>
      </tp>
      <tp>
        <v>0.32</v>
        <stp/>
        <stp>##V3_BDPV12</stp>
        <stp xml:space="preserve">22320 HK Equity     </stp>
        <stp>LAST_PRICE</stp>
        <stp>[XLSpdmV8.xls]XLSpdmV8!R181C3</stp>
        <tr r="C181" s="1"/>
      </tp>
      <tp>
        <v>2.9000000000000001E-2</v>
        <stp/>
        <stp>##V3_BDPV12</stp>
        <stp xml:space="preserve">11321 HK Equity     </stp>
        <stp>LAST_PRICE</stp>
        <stp>[XLSpdmV8.xls]XLSpdmV8!R121C3</stp>
        <tr r="C121" s="1"/>
      </tp>
      <tp>
        <v>0.246</v>
        <stp/>
        <stp>##V3_BDPV12</stp>
        <stp xml:space="preserve">24429 HK Equity     </stp>
        <stp>LAST_PRICE</stp>
        <stp>[XLSpdmV8.xls]XLSpdmV8!R136C3</stp>
        <tr r="C136" s="1"/>
      </tp>
      <tp>
        <v>6.4000000000000001E-2</v>
        <stp/>
        <stp>##V3_BDPV12</stp>
        <stp xml:space="preserve">26717 HK Equity     </stp>
        <stp>LAST_PRICE</stp>
        <stp>[XLSpdmV8.xls]XLSpdmV8!R215C3</stp>
        <tr r="C215" s="1"/>
      </tp>
      <tp>
        <v>0</v>
        <stp/>
        <stp>##V3_BDPV12</stp>
        <stp xml:space="preserve">25984 HK Equity     </stp>
        <stp>VOLUME</stp>
        <stp>[XLSpdmV8.xls]XLSpdmV8!R26C9</stp>
        <tr r="I26" s="1"/>
      </tp>
      <tp>
        <v>0</v>
        <stp/>
        <stp>##V3_BDPV12</stp>
        <stp xml:space="preserve">23975 HK Equity     </stp>
        <stp>VOLUME</stp>
        <stp>[XLSpdmV8.xls]XLSpdmV8!R10C9</stp>
        <tr r="I10" s="1"/>
      </tp>
      <tp t="s">
        <v>#N/A N/A</v>
        <stp/>
        <stp>##V3_BDPV12</stp>
        <stp xml:space="preserve">27894 HK Equity     </stp>
        <stp>VOLUME</stp>
        <stp>[XLSpdmV8.xls]XLSpdmV8!R54C9</stp>
        <tr r="I54" s="1"/>
      </tp>
      <tp t="s">
        <v>#N/A N/A</v>
        <stp/>
        <stp>##V3_BDPV12</stp>
        <stp xml:space="preserve">20588 HK Equity     </stp>
        <stp>VOLUME</stp>
        <stp>[XLSpdmV8.xls]XLSpdmV8!R63C9</stp>
        <tr r="I63" s="1"/>
      </tp>
      <tp>
        <v>840000</v>
        <stp/>
        <stp>##V3_BDPV12</stp>
        <stp xml:space="preserve">25712 HK Equity     </stp>
        <stp>VOLUME</stp>
        <stp>[XLSpdmV8.xls]XLSpdmV8!R86C9</stp>
        <tr r="I86" s="1"/>
      </tp>
      <tp>
        <v>5940000</v>
        <stp/>
        <stp>##V3_BDPV12</stp>
        <stp xml:space="preserve">26704 HK Equity     </stp>
        <stp>VOLUME</stp>
        <stp>[XLSpdmV8.xls]XLSpdmV8!R35C9</stp>
        <tr r="I35" s="1"/>
      </tp>
      <tp>
        <v>36100000</v>
        <stp/>
        <stp>##V3_BDPV12</stp>
        <stp xml:space="preserve">27157 HK Equity     </stp>
        <stp>VOLUME</stp>
        <stp>[XLSpdmV8.xls]XLSpdmV8!R44C9</stp>
        <tr r="I44" s="1"/>
      </tp>
      <tp>
        <v>600000</v>
        <stp/>
        <stp>##V3_BDPV12</stp>
        <stp xml:space="preserve">26319 HK Equity     </stp>
        <stp>VOLUME</stp>
        <stp>[XLSpdmV8.xls]XLSpdmV8!R95C9</stp>
        <tr r="I95" s="1"/>
      </tp>
      <tp t="s">
        <v>27/5/2016</v>
        <stp/>
        <stp>##V3_BDPV12</stp>
        <stp xml:space="preserve">25662 HK Equity     </stp>
        <stp>TIME</stp>
        <stp>[XLSpdmV8.xls]XLSpdmV8!R84C6</stp>
        <tr r="F84" s="1"/>
      </tp>
      <tp t="s">
        <v>27/5/2016</v>
        <stp/>
        <stp>##V3_BDPV12</stp>
        <stp xml:space="preserve">23970 HK Equity     </stp>
        <stp>TIME</stp>
        <stp>[XLSpdmV8.xls]XLSpdmV8!R55C6</stp>
        <tr r="F55" s="1"/>
      </tp>
      <tp t="s">
        <v>27/5/2016</v>
        <stp/>
        <stp>##V3_BDPV12</stp>
        <stp xml:space="preserve">27177 HK Equity     </stp>
        <stp>TIME</stp>
        <stp>[XLSpdmV8.xls]XLSpdmV8!R45C6</stp>
        <tr r="F45" s="1"/>
      </tp>
      <tp t="s">
        <v>#N/A N/A</v>
        <stp/>
        <stp>##V3_BDPV12</stp>
        <stp xml:space="preserve">21875 HK Equity     </stp>
        <stp>TIME</stp>
        <stp>[XLSpdmV8.xls]XLSpdmV8!R65C6</stp>
        <tr r="F65" s="1"/>
      </tp>
      <tp t="s">
        <v>27/5/2016</v>
        <stp/>
        <stp>##V3_BDPV12</stp>
        <stp xml:space="preserve">25625 HK Equity     </stp>
        <stp>TIME</stp>
        <stp>[XLSpdmV8.xls]XLSpdmV8!R20C6</stp>
        <tr r="F20" s="1"/>
      </tp>
      <tp t="s">
        <v>27/5/2016</v>
        <stp/>
        <stp>##V3_BDPV12</stp>
        <stp xml:space="preserve">24315 HK Equity     </stp>
        <stp>TIME</stp>
        <stp>[XLSpdmV8.xls]XLSpdmV8!R73C6</stp>
        <tr r="F73" s="1"/>
      </tp>
      <tp t="s">
        <v>#N/A N/A</v>
        <stp/>
        <stp>##V3_BDPV12</stp>
        <stp xml:space="preserve">25679 HK Equity     </stp>
        <stp>TIME</stp>
        <stp>[XLSpdmV8.xls]XLSpdmV8!R85C6</stp>
        <tr r="F85" s="1"/>
      </tp>
      <tp t="s">
        <v>27/5/2016</v>
        <stp/>
        <stp>##V3_BDPV12</stp>
        <stp xml:space="preserve">26668 HK Equity     </stp>
        <stp>TIME</stp>
        <stp>[XLSpdmV8.xls]XLSpdmV8!R34C6</stp>
        <tr r="F34" s="1"/>
      </tp>
      <tp t="s">
        <v>Put</v>
        <stp/>
        <stp>##V3_BDPV12</stp>
        <stp xml:space="preserve">27465 HK Equity     </stp>
        <stp>WRT_PUT_OR_CALL</stp>
        <stp>[XLSpdmV8.xls]XLSpdmV8!R49C5</stp>
        <tr r="E49" s="1"/>
      </tp>
      <tp t="s">
        <v>Call</v>
        <stp/>
        <stp>##V3_BDPV12</stp>
        <stp xml:space="preserve">21875 HK Equity     </stp>
        <stp>WRT_PUT_OR_CALL</stp>
        <stp>[XLSpdmV8.xls]XLSpdmV8!R65C5</stp>
        <tr r="E65" s="1"/>
      </tp>
      <tp t="s">
        <v>Put</v>
        <stp/>
        <stp>##V3_BDPV12</stp>
        <stp xml:space="preserve">25548 HK Equity     </stp>
        <stp>WRT_PUT_OR_CALL</stp>
        <stp>[XLSpdmV8.xls]XLSpdmV8!R18C5</stp>
        <tr r="E18" s="1"/>
      </tp>
      <tp t="s">
        <v>Call</v>
        <stp/>
        <stp>##V3_BDPV12</stp>
        <stp xml:space="preserve">23522 HK Equity     </stp>
        <stp>WRT_PUT_OR_CALL</stp>
        <stp>[XLSpdmV8.xls]XLSpdmV8!R68C5</stp>
        <tr r="E68" s="1"/>
      </tp>
      <tp t="s">
        <v>Call</v>
        <stp/>
        <stp>##V3_BDPV12</stp>
        <stp xml:space="preserve">25919 HK Equity     </stp>
        <stp>WRT_PUT_OR_CALL</stp>
        <stp>[XLSpdmV8.xls]XLSpdmV8!R24C5</stp>
        <tr r="E24" s="1"/>
      </tp>
      <tp>
        <v>0.23</v>
        <stp/>
        <stp>##V3_BDPV12</stp>
        <stp xml:space="preserve">25686 HK Equity     </stp>
        <stp>LAST_PRICE</stp>
        <stp>[XLSpdmV8.xls]XLSpdmV8!R195C3</stp>
        <tr r="C195" s="1"/>
      </tp>
      <tp t="s">
        <v>#N/A N/A</v>
        <stp/>
        <stp>##V3_BDPV12</stp>
        <stp xml:space="preserve">28081 HK Equity     </stp>
        <stp>LAST_PRICE</stp>
        <stp>[XLSpdmV8.xls]XLSpdmV8!R173C3</stp>
        <tr r="C173" s="1"/>
      </tp>
      <tp>
        <v>8.5000000000000006E-2</v>
        <stp/>
        <stp>##V3_BDPV12</stp>
        <stp xml:space="preserve">27382 HK Equity     </stp>
        <stp>LAST_PRICE</stp>
        <stp>[XLSpdmV8.xls]XLSpdmV8!R110C3</stp>
        <tr r="C110" s="1"/>
      </tp>
      <tp>
        <v>7.2999999999999995E-2</v>
        <stp/>
        <stp>##V3_BDPV12</stp>
        <stp xml:space="preserve">25272 HK Equity     </stp>
        <stp>LAST_PRICE</stp>
        <stp>[XLSpdmV8.xls]XLSpdmV8!R141C3</stp>
        <tr r="C141" s="1"/>
      </tp>
      <tp>
        <v>4.7E-2</v>
        <stp/>
        <stp>##V3_BDPV12</stp>
        <stp xml:space="preserve">26362 HK Equity     </stp>
        <stp>LAST_PRICE</stp>
        <stp>[XLSpdmV8.xls]XLSpdmV8!R160C3</stp>
        <tr r="C160" s="1"/>
      </tp>
      <tp>
        <v>8.2000000000000003E-2</v>
        <stp/>
        <stp>##V3_BDPV12</stp>
        <stp xml:space="preserve">27359 HK Equity     </stp>
        <stp>LAST_PRICE</stp>
        <stp>[XLSpdmV8.xls]XLSpdmV8!R220C3</stp>
        <tr r="C220" s="1"/>
      </tp>
      <tp>
        <v>0.29499999999999998</v>
        <stp/>
        <stp>##V3_BDPV12</stp>
        <stp xml:space="preserve">26020 HK Equity     </stp>
        <stp>LAST_PRICE</stp>
        <stp>[XLSpdmV8.xls]XLSpdmV8!R203C3</stp>
        <tr r="C203" s="1"/>
      </tp>
      <tp>
        <v>0.24199999999999999</v>
        <stp/>
        <stp>##V3_BDPV12</stp>
        <stp xml:space="preserve">21729 HK Equity     </stp>
        <stp>LAST_PRICE</stp>
        <stp>[XLSpdmV8.xls]XLSpdmV8!R124C3</stp>
        <tr r="C124" s="1"/>
      </tp>
      <tp>
        <v>0.48</v>
        <stp/>
        <stp>##V3_BDPV12</stp>
        <stp xml:space="preserve">21028 HK Equity     </stp>
        <stp>LAST_PRICE</stp>
        <stp>[XLSpdmV8.xls]XLSpdmV8!R123C3</stp>
        <tr r="C123" s="1"/>
      </tp>
      <tp>
        <v>7.0000000000000007E-2</v>
        <stp/>
        <stp>##V3_BDPV12</stp>
        <stp xml:space="preserve">26703 HK Equity     </stp>
        <stp>LAST_PRICE</stp>
        <stp>[XLSpdmV8.xls]XLSpdmV8!R214C3</stp>
        <tr r="C214" s="1"/>
      </tp>
      <tp>
        <v>3790000</v>
        <stp/>
        <stp>##V3_BDPV12</stp>
        <stp xml:space="preserve">25994 HK Equity     </stp>
        <stp>VOLUME</stp>
        <stp>[XLSpdmV8.xls]XLSpdmV8!R27C9</stp>
        <tr r="I27" s="1"/>
      </tp>
      <tp>
        <v>0</v>
        <stp/>
        <stp>##V3_BDPV12</stp>
        <stp xml:space="preserve">24830 HK Equity     </stp>
        <stp>VOLUME</stp>
        <stp>[XLSpdmV8.xls]XLSpdmV8!R16C9</stp>
        <tr r="I16" s="1"/>
      </tp>
      <tp>
        <v>0</v>
        <stp/>
        <stp>##V3_BDPV12</stp>
        <stp xml:space="preserve">24831 HK Equity     </stp>
        <stp>VOLUME</stp>
        <stp>[XLSpdmV8.xls]XLSpdmV8!R76C9</stp>
        <tr r="I76" s="1"/>
      </tp>
      <tp>
        <v>0</v>
        <stp/>
        <stp>##V3_BDPV12</stp>
        <stp xml:space="preserve">20537 HK Equity     </stp>
        <stp>VOLUME</stp>
        <stp>[XLSpdmV8.xls]XLSpdmV8!R62C9</stp>
        <tr r="I62" s="1"/>
      </tp>
      <tp>
        <v>670000</v>
        <stp/>
        <stp>##V3_BDPV12</stp>
        <stp xml:space="preserve">24451 HK Equity     </stp>
        <stp>VOLUME</stp>
        <stp>[XLSpdmV8.xls]XLSpdmV8!R56C9</stp>
        <tr r="I56" s="1"/>
      </tp>
      <tp>
        <v>0</v>
        <stp/>
        <stp>##V3_BDPV12</stp>
        <stp xml:space="preserve">25447 HK Equity     </stp>
        <stp>VOLUME</stp>
        <stp>[XLSpdmV8.xls]XLSpdmV8!R17C9</stp>
        <tr r="I17" s="1"/>
      </tp>
      <tp>
        <v>188880000</v>
        <stp/>
        <stp>##V3_BDPV12</stp>
        <stp xml:space="preserve">25787 HK Equity     </stp>
        <stp>VOLUME</stp>
        <stp>[XLSpdmV8.xls]XLSpdmV8!R87C9</stp>
        <tr r="I87" s="1"/>
      </tp>
      <tp>
        <v>0</v>
        <stp/>
        <stp>##V3_BDPV12</stp>
        <stp xml:space="preserve">26668 HK Equity     </stp>
        <stp>VOLUME</stp>
        <stp>[XLSpdmV8.xls]XLSpdmV8!R34C9</stp>
        <tr r="I34" s="1"/>
      </tp>
      <tp>
        <v>1230000</v>
        <stp/>
        <stp>##V3_BDPV12</stp>
        <stp xml:space="preserve">25195 HK Equity     </stp>
        <stp>VOLUME</stp>
        <stp>[XLSpdmV8.xls]XLSpdmV8!R77C9</stp>
        <tr r="I77" s="1"/>
      </tp>
      <tp>
        <v>0</v>
        <stp/>
        <stp>##V3_BDPV12</stp>
        <stp xml:space="preserve">26191 HK Equity     </stp>
        <stp>VOLUME</stp>
        <stp>[XLSpdmV8.xls]XLSpdmV8!R94C9</stp>
        <tr r="I94" s="1"/>
      </tp>
      <tp>
        <v>45160000</v>
        <stp/>
        <stp>##V3_BDPV12</stp>
        <stp xml:space="preserve">27177 HK Equity     </stp>
        <stp>VOLUME</stp>
        <stp>[XLSpdmV8.xls]XLSpdmV8!R45C9</stp>
        <tr r="I45" s="1"/>
      </tp>
      <tp t="s">
        <v>27/5/2016</v>
        <stp/>
        <stp>##V3_BDPV12</stp>
        <stp xml:space="preserve">24451 HK Equity     </stp>
        <stp>TIME</stp>
        <stp>[XLSpdmV8.xls]XLSpdmV8!R56C6</stp>
        <tr r="F56" s="1"/>
      </tp>
      <tp t="s">
        <v>27/5/2016</v>
        <stp/>
        <stp>##V3_BDPV12</stp>
        <stp xml:space="preserve">26921 HK Equity     </stp>
        <stp>TIME</stp>
        <stp>[XLSpdmV8.xls]XLSpdmV8!R41C6</stp>
        <tr r="F41" s="1"/>
      </tp>
      <tp t="s">
        <v>27/5/2016</v>
        <stp/>
        <stp>##V3_BDPV12</stp>
        <stp xml:space="preserve">25600 HK Equity     </stp>
        <stp>TIME</stp>
        <stp>[XLSpdmV8.xls]XLSpdmV8!R83C6</stp>
        <tr r="F83" s="1"/>
      </tp>
      <tp t="s">
        <v>27/5/2016</v>
        <stp/>
        <stp>##V3_BDPV12</stp>
        <stp xml:space="preserve">25447 HK Equity     </stp>
        <stp>TIME</stp>
        <stp>[XLSpdmV8.xls]XLSpdmV8!R17C6</stp>
        <tr r="F17" s="1"/>
      </tp>
      <tp t="s">
        <v>27/5/2016</v>
        <stp/>
        <stp>##V3_BDPV12</stp>
        <stp xml:space="preserve">26747 HK Equity     </stp>
        <stp>TIME</stp>
        <stp>[XLSpdmV8.xls]XLSpdmV8!R37C6</stp>
        <tr r="F37" s="1"/>
      </tp>
      <tp t="s">
        <v>Call</v>
        <stp/>
        <stp>##V3_BDPV12</stp>
        <stp xml:space="preserve">26987 HK Equity     </stp>
        <stp>WRT_PUT_OR_CALL</stp>
        <stp>[XLSpdmV8.xls]XLSpdmV8!R43C5</stp>
        <tr r="E43" s="1"/>
      </tp>
      <tp t="s">
        <v>Call</v>
        <stp/>
        <stp>##V3_BDPV12</stp>
        <stp xml:space="preserve">25270 HK Equity     </stp>
        <stp>WRT_PUT_OR_CALL</stp>
        <stp>[XLSpdmV8.xls]XLSpdmV8!R78C5</stp>
        <tr r="E78" s="1"/>
      </tp>
      <tp t="s">
        <v>Call</v>
        <stp/>
        <stp>##V3_BDPV12</stp>
        <stp xml:space="preserve">25326 HK Equity     </stp>
        <stp>WRT_PUT_OR_CALL</stp>
        <stp>[XLSpdmV8.xls]XLSpdmV8!R79C5</stp>
        <tr r="E79" s="1"/>
      </tp>
      <tp>
        <v>0.13300000000000001</v>
        <stp/>
        <stp>##V3_BDPV12</stp>
        <stp xml:space="preserve">26487 HK Equity     </stp>
        <stp>LAST_PRICE</stp>
        <stp>[XLSpdmV8.xls]XLSpdmV8!R210C3</stp>
        <tr r="C210" s="1"/>
      </tp>
      <tp>
        <v>0.161</v>
        <stp/>
        <stp>##V3_BDPV12</stp>
        <stp xml:space="preserve">26583 HK Equity     </stp>
        <stp>LAST_PRICE</stp>
        <stp>[XLSpdmV8.xls]XLSpdmV8!R101C3</stp>
        <tr r="C101" s="1"/>
      </tp>
      <tp>
        <v>0.01</v>
        <stp/>
        <stp>##V3_BDPV12</stp>
        <stp xml:space="preserve">24374 HK Equity     </stp>
        <stp>LAST_PRICE</stp>
        <stp>[XLSpdmV8.xls]XLSpdmV8!R187C3</stp>
        <tr r="C187" s="1"/>
      </tp>
      <tp>
        <v>2.4E-2</v>
        <stp/>
        <stp>##V3_BDPV12</stp>
        <stp xml:space="preserve">24167 HK Equity     </stp>
        <stp>LAST_PRICE</stp>
        <stp>[XLSpdmV8.xls]XLSpdmV8!R135C3</stp>
        <tr r="C135" s="1"/>
      </tp>
      <tp>
        <v>0.153</v>
        <stp/>
        <stp>##V3_BDPV12</stp>
        <stp xml:space="preserve">27562 HK Equity     </stp>
        <stp>LAST_PRICE</stp>
        <stp>[XLSpdmV8.xls]XLSpdmV8!R171C3</stp>
        <tr r="C171" s="1"/>
      </tp>
      <tp>
        <v>6.3E-2</v>
        <stp/>
        <stp>##V3_BDPV12</stp>
        <stp xml:space="preserve">26756 HK Equity     </stp>
        <stp>LAST_PRICE</stp>
        <stp>[XLSpdmV8.xls]XLSpdmV8!R103C3</stp>
        <tr r="C103" s="1"/>
      </tp>
      <tp>
        <v>0.04</v>
        <stp/>
        <stp>##V3_BDPV12</stp>
        <stp xml:space="preserve">26037 HK Equity     </stp>
        <stp>LAST_PRICE</stp>
        <stp>[XLSpdmV8.xls]XLSpdmV8!R204C3</stp>
        <tr r="C204" s="1"/>
      </tp>
      <tp>
        <v>0.19</v>
        <stp/>
        <stp>##V3_BDPV12</stp>
        <stp xml:space="preserve">27422 HK Equity     </stp>
        <stp>LAST_PRICE</stp>
        <stp>[XLSpdmV8.xls]XLSpdmV8!R170C3</stp>
        <tr r="C170" s="1"/>
      </tp>
      <tp>
        <v>1.4999999999999999E-2</v>
        <stp/>
        <stp>##V3_BDPV12</stp>
        <stp xml:space="preserve">22313 HK Equity     </stp>
        <stp>LAST_PRICE</stp>
        <stp>[XLSpdmV8.xls]XLSpdmV8!R127C3</stp>
        <tr r="C127" s="1"/>
      </tp>
      <tp>
        <v>30700000</v>
        <stp/>
        <stp>##V3_BDPV12</stp>
        <stp xml:space="preserve">26987 HK Equity     </stp>
        <stp>VOLUME</stp>
        <stp>[XLSpdmV8.xls]XLSpdmV8!R43C9</stp>
        <tr r="I43" s="1"/>
      </tp>
      <tp>
        <v>1500000</v>
        <stp/>
        <stp>##V3_BDPV12</stp>
        <stp xml:space="preserve">25915 HK Equity     </stp>
        <stp>VOLUME</stp>
        <stp>[XLSpdmV8.xls]XLSpdmV8!R90C9</stp>
        <tr r="I90" s="1"/>
      </tp>
      <tp>
        <v>54300000</v>
        <stp/>
        <stp>##V3_BDPV12</stp>
        <stp xml:space="preserve">26488 HK Equity     </stp>
        <stp>VOLUME</stp>
        <stp>[XLSpdmV8.xls]XLSpdmV8!R33C9</stp>
        <tr r="I33" s="1"/>
      </tp>
      <tp>
        <v>0</v>
        <stp/>
        <stp>##V3_BDPV12</stp>
        <stp xml:space="preserve">22799 HK Equity     </stp>
        <stp>VOLUME</stp>
        <stp>[XLSpdmV8.xls]XLSpdmV8!R57C9</stp>
        <tr r="I57" s="1"/>
      </tp>
      <tp>
        <v>30470000</v>
        <stp/>
        <stp>##V3_BDPV12</stp>
        <stp xml:space="preserve">25625 HK Equity     </stp>
        <stp>VOLUME</stp>
        <stp>[XLSpdmV8.xls]XLSpdmV8!R20C9</stp>
        <tr r="I20" s="1"/>
      </tp>
      <tp>
        <v>0</v>
        <stp/>
        <stp>##V3_BDPV12</stp>
        <stp xml:space="preserve">27666 HK Equity     </stp>
        <stp>VOLUME</stp>
        <stp>[XLSpdmV8.xls]XLSpdmV8!R52C9</stp>
        <tr r="I52" s="1"/>
      </tp>
      <tp>
        <v>2090000</v>
        <stp/>
        <stp>##V3_BDPV12</stp>
        <stp xml:space="preserve">24107 HK Equity     </stp>
        <stp>VOLUME</stp>
        <stp>[XLSpdmV8.xls]XLSpdmV8!R11C9</stp>
        <tr r="I11" s="1"/>
      </tp>
      <tp>
        <v>2900000</v>
        <stp/>
        <stp>##V3_BDPV12</stp>
        <stp xml:space="preserve">26147 HK Equity     </stp>
        <stp>VOLUME</stp>
        <stp>[XLSpdmV8.xls]XLSpdmV8!R93C9</stp>
        <tr r="I93" s="1"/>
      </tp>
      <tp>
        <v>0</v>
        <stp/>
        <stp>##V3_BDPV12</stp>
        <stp xml:space="preserve">24166 HK Equity     </stp>
        <stp>VOLUME</stp>
        <stp>[XLSpdmV8.xls]XLSpdmV8!R71C9</stp>
        <tr r="I71" s="1"/>
      </tp>
      <tp>
        <v>120000</v>
        <stp/>
        <stp>##V3_BDPV12</stp>
        <stp xml:space="preserve">21009 HK Equity     </stp>
        <stp>VOLUME</stp>
        <stp>[XLSpdmV8.xls]XLSpdmV8!R64C9</stp>
        <tr r="I64" s="1"/>
      </tp>
      <tp>
        <v>0</v>
        <stp/>
        <stp>##V3_BDPV12</stp>
        <stp xml:space="preserve">25376 HK Equity     </stp>
        <stp>VOLUME</stp>
        <stp>[XLSpdmV8.xls]XLSpdmV8!R80C9</stp>
        <tr r="I80" s="1"/>
      </tp>
      <tp t="s">
        <v>27/5/2016</v>
        <stp/>
        <stp>##V3_BDPV12</stp>
        <stp xml:space="preserve">26143 HK Equity     </stp>
        <stp>TIME</stp>
        <stp>[XLSpdmV8.xls]XLSpdmV8!R30C6</stp>
        <tr r="F30" s="1"/>
      </tp>
      <tp t="s">
        <v>27/5/2016</v>
        <stp/>
        <stp>##V3_BDPV12</stp>
        <stp xml:space="preserve">22822 HK Equity     </stp>
        <stp>TIME</stp>
        <stp>[XLSpdmV8.xls]XLSpdmV8!R66C6</stp>
        <tr r="F66" s="1"/>
      </tp>
      <tp t="s">
        <v>27/5/2016</v>
        <stp/>
        <stp>##V3_BDPV12</stp>
        <stp xml:space="preserve">24262 HK Equity     </stp>
        <stp>TIME</stp>
        <stp>[XLSpdmV8.xls]XLSpdmV8!R72C6</stp>
        <tr r="F72" s="1"/>
      </tp>
      <tp t="s">
        <v>27/5/2016</v>
        <stp/>
        <stp>##V3_BDPV12</stp>
        <stp xml:space="preserve">24376 HK Equity     </stp>
        <stp>TIME</stp>
        <stp>[XLSpdmV8.xls]XLSpdmV8!R13C6</stp>
        <tr r="F13" s="1"/>
      </tp>
      <tp t="s">
        <v>27/5/2016</v>
        <stp/>
        <stp>##V3_BDPV12</stp>
        <stp xml:space="preserve">27666 HK Equity     </stp>
        <stp>TIME</stp>
        <stp>[XLSpdmV8.xls]XLSpdmV8!R52C6</stp>
        <tr r="F52" s="1"/>
      </tp>
      <tp t="s">
        <v>27/5/2016</v>
        <stp/>
        <stp>##V3_BDPV12</stp>
        <stp xml:space="preserve">21009 HK Equity     </stp>
        <stp>TIME</stp>
        <stp>[XLSpdmV8.xls]XLSpdmV8!R64C6</stp>
        <tr r="F64" s="1"/>
      </tp>
      <tp t="s">
        <v>27/5/2016</v>
        <stp/>
        <stp>##V3_BDPV12</stp>
        <stp xml:space="preserve">25959 HK Equity     </stp>
        <stp>TIME</stp>
        <stp>[XLSpdmV8.xls]XLSpdmV8!R91C6</stp>
        <tr r="F91" s="1"/>
      </tp>
      <tp t="s">
        <v>27/5/2016</v>
        <stp/>
        <stp>##V3_BDPV12</stp>
        <stp xml:space="preserve">26849 HK Equity     </stp>
        <stp>TIME</stp>
        <stp>[XLSpdmV8.xls]XLSpdmV8!R40C6</stp>
        <tr r="F40" s="1"/>
      </tp>
      <tp t="s">
        <v>27/5/2016</v>
        <stp/>
        <stp>##V3_BDPV12</stp>
        <stp xml:space="preserve">26319 HK Equity     </stp>
        <stp>TIME</stp>
        <stp>[XLSpdmV8.xls]XLSpdmV8!R95C6</stp>
        <tr r="F95" s="1"/>
      </tp>
      <tp t="s">
        <v>Put</v>
        <stp/>
        <stp>##V3_BDPV12</stp>
        <stp xml:space="preserve">27828 HK Equity     </stp>
        <stp>WRT_PUT_OR_CALL</stp>
        <stp>[XLSpdmV8.xls]XLSpdmV8!R53C5</stp>
        <tr r="E53" s="1"/>
      </tp>
      <tp t="s">
        <v>Put</v>
        <stp/>
        <stp>##V3_BDPV12</stp>
        <stp xml:space="preserve">26939 HK Equity     </stp>
        <stp>WRT_PUT_OR_CALL</stp>
        <stp>[XLSpdmV8.xls]XLSpdmV8!R42C5</stp>
        <tr r="E42" s="1"/>
      </tp>
      <tp>
        <v>4.3999999999999997E-2</v>
        <stp/>
        <stp>##V3_BDPV12</stp>
        <stp xml:space="preserve">26491 HK Equity     </stp>
        <stp>LAST_PRICE</stp>
        <stp>[XLSpdmV8.xls]XLSpdmV8!R211C3</stp>
        <tr r="C211" s="1"/>
      </tp>
      <tp>
        <v>4.3999999999999997E-2</v>
        <stp/>
        <stp>##V3_BDPV12</stp>
        <stp xml:space="preserve">26485 HK Equity     </stp>
        <stp>LAST_PRICE</stp>
        <stp>[XLSpdmV8.xls]XLSpdmV8!R161C3</stp>
        <tr r="C161" s="1"/>
      </tp>
      <tp>
        <v>0.16600000000000001</v>
        <stp/>
        <stp>##V3_BDPV12</stp>
        <stp xml:space="preserve">28080 HK Equity     </stp>
        <stp>LAST_PRICE</stp>
        <stp>[XLSpdmV8.xls]XLSpdmV8!R115C3</stp>
        <tr r="C115" s="1"/>
      </tp>
      <tp t="s">
        <v>#N/A N/A</v>
        <stp/>
        <stp>##V3_BDPV12</stp>
        <stp xml:space="preserve">23683 HK Equity     </stp>
        <stp>LAST_PRICE</stp>
        <stp>[XLSpdmV8.xls]XLSpdmV8!R133C3</stp>
        <tr r="C133" s="1"/>
      </tp>
      <tp t="s">
        <v>#N/A N/A</v>
        <stp/>
        <stp>##V3_BDPV12</stp>
        <stp xml:space="preserve">26667 HK Equity     </stp>
        <stp>LAST_PRICE</stp>
        <stp>[XLSpdmV8.xls]XLSpdmV8!R213C3</stp>
        <tr r="C213" s="1"/>
      </tp>
      <tp>
        <v>0.23200000000000001</v>
        <stp/>
        <stp>##V3_BDPV12</stp>
        <stp xml:space="preserve">26064 HK Equity     </stp>
        <stp>LAST_PRICE</stp>
        <stp>[XLSpdmV8.xls]XLSpdmV8!R205C3</stp>
        <tr r="C205" s="1"/>
      </tp>
      <tp>
        <v>0.17</v>
        <stp/>
        <stp>##V3_BDPV12</stp>
        <stp xml:space="preserve">27459 HK Equity     </stp>
        <stp>LAST_PRICE</stp>
        <stp>[XLSpdmV8.xls]XLSpdmV8!R221C3</stp>
        <tr r="C221" s="1"/>
      </tp>
      <tp>
        <v>4.8000000000000001E-2</v>
        <stp/>
        <stp>##V3_BDPV12</stp>
        <stp xml:space="preserve">26540 HK Equity     </stp>
        <stp>LAST_PRICE</stp>
        <stp>[XLSpdmV8.xls]XLSpdmV8!R100C3</stp>
        <tr r="C100" s="1"/>
      </tp>
      <tp>
        <v>8.1000000000000003E-2</v>
        <stp/>
        <stp>##V3_BDPV12</stp>
        <stp xml:space="preserve">26748 HK Equity     </stp>
        <stp>LAST_PRICE</stp>
        <stp>[XLSpdmV8.xls]XLSpdmV8!R102C3</stp>
        <tr r="C102" s="1"/>
      </tp>
      <tp t="s">
        <v>#N/A N/A</v>
        <stp/>
        <stp>##V3_BDPV12</stp>
        <stp xml:space="preserve">28131 HK Equity     </stp>
        <stp>LAST_PRICE</stp>
        <stp>[XLSpdmV8.xls]XLSpdmV8!R174C3</stp>
        <tr r="C174" s="1"/>
      </tp>
      <tp>
        <v>0.21</v>
        <stp/>
        <stp>##V3_BDPV12</stp>
        <stp xml:space="preserve">26201 HK Equity     </stp>
        <stp>LAST_PRICE</stp>
        <stp>[XLSpdmV8.xls]XLSpdmV8!R157C3</stp>
        <tr r="C157" s="1"/>
      </tp>
      <tp>
        <v>2419450000</v>
        <stp/>
        <stp>##V3_BDPV12</stp>
        <stp xml:space="preserve">26939 HK Equity     </stp>
        <stp>VOLUME</stp>
        <stp>[XLSpdmV8.xls]XLSpdmV8!R42C9</stp>
        <tr r="I42" s="1"/>
      </tp>
      <tp>
        <v>71100000</v>
        <stp/>
        <stp>##V3_BDPV12</stp>
        <stp xml:space="preserve">25959 HK Equity     </stp>
        <stp>VOLUME</stp>
        <stp>[XLSpdmV8.xls]XLSpdmV8!R91C9</stp>
        <tr r="I91" s="1"/>
      </tp>
      <tp>
        <v>18290000</v>
        <stp/>
        <stp>##V3_BDPV12</stp>
        <stp xml:space="preserve">22822 HK Equity     </stp>
        <stp>VOLUME</stp>
        <stp>[XLSpdmV8.xls]XLSpdmV8!R66C9</stp>
        <tr r="I66" s="1"/>
      </tp>
      <tp t="s">
        <v>#N/A N/A</v>
        <stp/>
        <stp>##V3_BDPV12</stp>
        <stp xml:space="preserve">27828 HK Equity     </stp>
        <stp>VOLUME</stp>
        <stp>[XLSpdmV8.xls]XLSpdmV8!R53C9</stp>
        <tr r="I53" s="1"/>
      </tp>
      <tp t="s">
        <v>#N/A N/A</v>
        <stp/>
        <stp>##V3_BDPV12</stp>
        <stp xml:space="preserve">21875 HK Equity     </stp>
        <stp>VOLUME</stp>
        <stp>[XLSpdmV8.xls]XLSpdmV8!R65C9</stp>
        <tr r="I65" s="1"/>
      </tp>
      <tp>
        <v>30120000</v>
        <stp/>
        <stp>##V3_BDPV12</stp>
        <stp xml:space="preserve">25473 HK Equity     </stp>
        <stp>VOLUME</stp>
        <stp>[XLSpdmV8.xls]XLSpdmV8!R81C9</stp>
        <tr r="I81" s="1"/>
      </tp>
      <tp>
        <v>0</v>
        <stp/>
        <stp>##V3_BDPV12</stp>
        <stp xml:space="preserve">25660 HK Equity     </stp>
        <stp>VOLUME</stp>
        <stp>[XLSpdmV8.xls]XLSpdmV8!R21C9</stp>
        <tr r="I21" s="1"/>
      </tp>
      <tp>
        <v>1520000</v>
        <stp/>
        <stp>##V3_BDPV12</stp>
        <stp xml:space="preserve">24108 HK Equity     </stp>
        <stp>VOLUME</stp>
        <stp>[XLSpdmV8.xls]XLSpdmV8!R70C9</stp>
        <tr r="I70" s="1"/>
      </tp>
      <tp>
        <v>30480000</v>
        <stp/>
        <stp>##V3_BDPV12</stp>
        <stp xml:space="preserve">26121 HK Equity     </stp>
        <stp>VOLUME</stp>
        <stp>[XLSpdmV8.xls]XLSpdmV8!R92C9</stp>
        <tr r="I92" s="1"/>
      </tp>
      <tp>
        <v>0</v>
        <stp/>
        <stp>##V3_BDPV12</stp>
        <stp xml:space="preserve">23287 HK Equity     </stp>
        <stp>VOLUME</stp>
        <stp>[XLSpdmV8.xls]XLSpdmV8!R67C9</stp>
        <tr r="I67" s="1"/>
      </tp>
      <tp>
        <v>29810000</v>
        <stp/>
        <stp>##V3_BDPV12</stp>
        <stp xml:space="preserve">26225 HK Equity     </stp>
        <stp>VOLUME</stp>
        <stp>[XLSpdmV8.xls]XLSpdmV8!R32C9</stp>
        <tr r="I32" s="1"/>
      </tp>
      <tp t="s">
        <v>27/5/2016</v>
        <stp/>
        <stp>##V3_BDPV12</stp>
        <stp xml:space="preserve">24831 HK Equity     </stp>
        <stp>TIME</stp>
        <stp>[XLSpdmV8.xls]XLSpdmV8!R76C6</stp>
        <tr r="F76" s="1"/>
      </tp>
      <tp t="s">
        <v>27/5/2016</v>
        <stp/>
        <stp>##V3_BDPV12</stp>
        <stp xml:space="preserve">24830 HK Equity     </stp>
        <stp>TIME</stp>
        <stp>[XLSpdmV8.xls]XLSpdmV8!R16C6</stp>
        <tr r="F16" s="1"/>
      </tp>
      <tp t="s">
        <v>27/5/2016</v>
        <stp/>
        <stp>##V3_BDPV12</stp>
        <stp xml:space="preserve">26704 HK Equity     </stp>
        <stp>TIME</stp>
        <stp>[XLSpdmV8.xls]XLSpdmV8!R35C6</stp>
        <tr r="F35" s="1"/>
      </tp>
      <tp t="s">
        <v>27/5/2016</v>
        <stp/>
        <stp>##V3_BDPV12</stp>
        <stp xml:space="preserve">25579 HK Equity     </stp>
        <stp>TIME</stp>
        <stp>[XLSpdmV8.xls]XLSpdmV8!R82C6</stp>
        <tr r="F82" s="1"/>
      </tp>
      <tp t="s">
        <v>27/5/2016</v>
        <stp/>
        <stp>##V3_BDPV12</stp>
        <stp xml:space="preserve">25919 HK Equity     </stp>
        <stp>TIME</stp>
        <stp>[XLSpdmV8.xls]XLSpdmV8!R24C6</stp>
        <tr r="F24" s="1"/>
      </tp>
      <tp t="s">
        <v>Call</v>
        <stp/>
        <stp>##V3_BDPV12</stp>
        <stp xml:space="preserve">11069 HK Equity     </stp>
        <stp>WRT_PUT_OR_CALL</stp>
        <stp>[XLSpdmV8.xls]XLSpdmV8!R58C5</stp>
        <tr r="E58" s="1"/>
      </tp>
      <tp t="s">
        <v>Put</v>
        <stp/>
        <stp>##V3_BDPV12</stp>
        <stp xml:space="preserve">26849 HK Equity     </stp>
        <stp>WRT_PUT_OR_CALL</stp>
        <stp>[XLSpdmV8.xls]XLSpdmV8!R40C5</stp>
        <tr r="E40" s="1"/>
      </tp>
      <tp t="s">
        <v>Call</v>
        <stp/>
        <stp>##V3_BDPV12</stp>
        <stp xml:space="preserve">25959 HK Equity     </stp>
        <stp>WRT_PUT_OR_CALL</stp>
        <stp>[XLSpdmV8.xls]XLSpdmV8!R91C5</stp>
        <tr r="E91" s="1"/>
      </tp>
      <tp t="s">
        <v>Put</v>
        <stp/>
        <stp>##V3_BDPV12</stp>
        <stp xml:space="preserve">26052 HK Equity     </stp>
        <stp>WRT_PUT_OR_CALL</stp>
        <stp>[XLSpdmV8.xls]XLSpdmV8!R28C5</stp>
        <tr r="E28" s="1"/>
      </tp>
      <tp t="s">
        <v>Put</v>
        <stp/>
        <stp>##V3_BDPV12</stp>
        <stp xml:space="preserve">26921 HK Equity     </stp>
        <stp>WRT_PUT_OR_CALL</stp>
        <stp>[XLSpdmV8.xls]XLSpdmV8!R41C5</stp>
        <tr r="E41" s="1"/>
      </tp>
      <tp>
        <v>0.17699999999999999</v>
        <stp/>
        <stp>##V3_BDPV12</stp>
        <stp xml:space="preserve">27188 HK Equity     </stp>
        <stp>LAST_PRICE</stp>
        <stp>[XLSpdmV8.xls]XLSpdmV8!R167C3</stp>
        <tr r="C167" s="1"/>
      </tp>
      <tp>
        <v>7.6999999999999999E-2</v>
        <stp/>
        <stp>##V3_BDPV12</stp>
        <stp xml:space="preserve">27077 HK Equity     </stp>
        <stp>LAST_PRICE</stp>
        <stp>[XLSpdmV8.xls]XLSpdmV8!R106C3</stp>
        <tr r="C106" s="1"/>
      </tp>
      <tp>
        <v>0.20100000000000001</v>
        <stp/>
        <stp>##V3_BDPV12</stp>
        <stp xml:space="preserve">28167 HK Equity     </stp>
        <stp>LAST_PRICE</stp>
        <stp>[XLSpdmV8.xls]XLSpdmV8!R117C3</stp>
        <tr r="C117" s="1"/>
      </tp>
      <tp>
        <v>0.19600000000000001</v>
        <stp/>
        <stp>##V3_BDPV12</stp>
        <stp xml:space="preserve">27564 HK Equity     </stp>
        <stp>LAST_PRICE</stp>
        <stp>[XLSpdmV8.xls]XLSpdmV8!R223C3</stp>
        <tr r="C223" s="1"/>
      </tp>
      <tp>
        <v>0.13800000000000001</v>
        <stp/>
        <stp>##V3_BDPV12</stp>
        <stp xml:space="preserve">26559 HK Equity     </stp>
        <stp>LAST_PRICE</stp>
        <stp>[XLSpdmV8.xls]XLSpdmV8!R163C3</stp>
        <tr r="C163" s="1"/>
      </tp>
      <tp>
        <v>0.02</v>
        <stp/>
        <stp>##V3_BDPV12</stp>
        <stp xml:space="preserve">11158 HK Equity     </stp>
        <stp>LAST_PRICE</stp>
        <stp>[XLSpdmV8.xls]XLSpdmV8!R177C3</stp>
        <tr r="C177" s="1"/>
      </tp>
      <tp>
        <v>2.7E-2</v>
        <stp/>
        <stp>##V3_BDPV12</stp>
        <stp xml:space="preserve">26142 HK Equity     </stp>
        <stp>LAST_PRICE</stp>
        <stp>[XLSpdmV8.xls]XLSpdmV8!R207C3</stp>
        <tr r="C207" s="1"/>
      </tp>
      <tp>
        <v>0.03</v>
        <stp/>
        <stp>##V3_BDPV12</stp>
        <stp xml:space="preserve">26036 HK Equity     </stp>
        <stp>LAST_PRICE</stp>
        <stp>[XLSpdmV8.xls]XLSpdmV8!R156C3</stp>
        <tr r="C156" s="1"/>
      </tp>
      <tp>
        <v>7.0999999999999994E-2</v>
        <stp/>
        <stp>##V3_BDPV12</stp>
        <stp xml:space="preserve">27129 HK Equity     </stp>
        <stp>LAST_PRICE</stp>
        <stp>[XLSpdmV8.xls]XLSpdmV8!R217C3</stp>
        <tr r="C217" s="1"/>
      </tp>
      <tp>
        <v>6.4000000000000001E-2</v>
        <stp/>
        <stp>##V3_BDPV12</stp>
        <stp xml:space="preserve">27111 HK Equity     </stp>
        <stp>LAST_PRICE</stp>
        <stp>[XLSpdmV8.xls]XLSpdmV8!R107C3</stp>
        <tr r="C107" s="1"/>
      </tp>
      <tp>
        <v>5100000</v>
        <stp/>
        <stp>##V3_BDPV12</stp>
        <stp xml:space="preserve">26921 HK Equity     </stp>
        <stp>VOLUME</stp>
        <stp>[XLSpdmV8.xls]XLSpdmV8!R41C9</stp>
        <tr r="I41" s="1"/>
      </tp>
      <tp>
        <v>0</v>
        <stp/>
        <stp>##V3_BDPV12</stp>
        <stp xml:space="preserve">27594 HK Equity     </stp>
        <stp>VOLUME</stp>
        <stp>[XLSpdmV8.xls]XLSpdmV8!R50C9</stp>
        <tr r="I50" s="1"/>
      </tp>
      <tp>
        <v>489260000</v>
        <stp/>
        <stp>##V3_BDPV12</stp>
        <stp xml:space="preserve">25579 HK Equity     </stp>
        <stp>VOLUME</stp>
        <stp>[XLSpdmV8.xls]XLSpdmV8!R82C9</stp>
        <tr r="I82" s="1"/>
      </tp>
      <tp>
        <v>1107600000</v>
        <stp/>
        <stp>##V3_BDPV12</stp>
        <stp xml:space="preserve">25698 HK Equity     </stp>
        <stp>VOLUME</stp>
        <stp>[XLSpdmV8.xls]XLSpdmV8!R22C9</stp>
        <tr r="I22" s="1"/>
      </tp>
      <tp>
        <v>0</v>
        <stp/>
        <stp>##V3_BDPV12</stp>
        <stp xml:space="preserve">26190 HK Equity     </stp>
        <stp>VOLUME</stp>
        <stp>[XLSpdmV8.xls]XLSpdmV8!R31C9</stp>
        <tr r="I31" s="1"/>
      </tp>
      <tp>
        <v>19750000</v>
        <stp/>
        <stp>##V3_BDPV12</stp>
        <stp xml:space="preserve">24315 HK Equity     </stp>
        <stp>VOLUME</stp>
        <stp>[XLSpdmV8.xls]XLSpdmV8!R73C9</stp>
        <tr r="I73" s="1"/>
      </tp>
      <tp>
        <v>3460000</v>
        <stp/>
        <stp>##V3_BDPV12</stp>
        <stp xml:space="preserve">24376 HK Equity     </stp>
        <stp>VOLUME</stp>
        <stp>[XLSpdmV8.xls]XLSpdmV8!R13C9</stp>
        <tr r="I13" s="1"/>
      </tp>
      <tp t="s">
        <v>27/5/2016</v>
        <stp/>
        <stp>##V3_BDPV12</stp>
        <stp xml:space="preserve">25473 HK Equity     </stp>
        <stp>TIME</stp>
        <stp>[XLSpdmV8.xls]XLSpdmV8!R81C6</stp>
        <tr r="F81" s="1"/>
      </tp>
      <tp t="s">
        <v>27/5/2016</v>
        <stp/>
        <stp>##V3_BDPV12</stp>
        <stp xml:space="preserve">24427 HK Equity     </stp>
        <stp>TIME</stp>
        <stp>[XLSpdmV8.xls]XLSpdmV8!R74C6</stp>
        <tr r="F74" s="1"/>
      </tp>
      <tp t="s">
        <v>27/5/2016</v>
        <stp/>
        <stp>##V3_BDPV12</stp>
        <stp xml:space="preserve">24425 HK Equity     </stp>
        <stp>TIME</stp>
        <stp>[XLSpdmV8.xls]XLSpdmV8!R14C6</stp>
        <tr r="F14" s="1"/>
      </tp>
      <tp t="s">
        <v>Call</v>
        <stp/>
        <stp>##V3_BDPV12</stp>
        <stp xml:space="preserve">26092 HK Equity     </stp>
        <stp>WRT_PUT_OR_CALL</stp>
        <stp>[XLSpdmV8.xls]XLSpdmV8!R29C5</stp>
        <tr r="E29" s="1"/>
      </tp>
      <tp t="s">
        <v>Call</v>
        <stp/>
        <stp>##V3_BDPV12</stp>
        <stp xml:space="preserve">23975 HK Equity     </stp>
        <stp>WRT_PUT_OR_CALL</stp>
        <stp>[XLSpdmV8.xls]XLSpdmV8!R10C5</stp>
        <tr r="E10" s="1"/>
      </tp>
      <tp t="s">
        <v>Call</v>
        <stp/>
        <stp>##V3_BDPV12</stp>
        <stp xml:space="preserve">25915 HK Equity     </stp>
        <stp>WRT_PUT_OR_CALL</stp>
        <stp>[XLSpdmV8.xls]XLSpdmV8!R90C5</stp>
        <tr r="E90" s="1"/>
      </tp>
      <tp>
        <v>0.193</v>
        <stp/>
        <stp>##V3_BDPV12</stp>
        <stp xml:space="preserve">27596 HK Equity     </stp>
        <stp>LAST_PRICE</stp>
        <stp>[XLSpdmV8.xls]XLSpdmV8!R112C3</stp>
        <tr r="C112" s="1"/>
      </tp>
      <tp>
        <v>7.9000000000000001E-2</v>
        <stp/>
        <stp>##V3_BDPV12</stp>
        <stp xml:space="preserve">25483 HK Equity     </stp>
        <stp>LAST_PRICE</stp>
        <stp>[XLSpdmV8.xls]XLSpdmV8!R193C3</stp>
        <tr r="C193" s="1"/>
      </tp>
      <tp>
        <v>0.111</v>
        <stp/>
        <stp>##V3_BDPV12</stp>
        <stp xml:space="preserve">26589 HK Equity     </stp>
        <stp>LAST_PRICE</stp>
        <stp>[XLSpdmV8.xls]XLSpdmV8!R212C3</stp>
        <tr r="C212" s="1"/>
      </tp>
      <tp>
        <v>5.5E-2</v>
        <stp/>
        <stp>##V3_BDPV12</stp>
        <stp xml:space="preserve">25377 HK Equity     </stp>
        <stp>LAST_PRICE</stp>
        <stp>[XLSpdmV8.xls]XLSpdmV8!R144C3</stp>
        <tr r="C144" s="1"/>
      </tp>
      <tp>
        <v>0.01</v>
        <stp/>
        <stp>##V3_BDPV12</stp>
        <stp xml:space="preserve">29179 HK Equity     </stp>
        <stp>LAST_PRICE</stp>
        <stp>[XLSpdmV8.xls]XLSpdmV8!R176C3</stp>
        <tr r="C176" s="1"/>
      </tp>
      <tp>
        <v>1.4E-2</v>
        <stp/>
        <stp>##V3_BDPV12</stp>
        <stp xml:space="preserve">22156 HK Equity     </stp>
        <stp>LAST_PRICE</stp>
        <stp>[XLSpdmV8.xls]XLSpdmV8!R126C3</stp>
        <tr r="C126" s="1"/>
      </tp>
      <tp>
        <v>6.5000000000000002E-2</v>
        <stp/>
        <stp>##V3_BDPV12</stp>
        <stp xml:space="preserve">27559 HK Equity     </stp>
        <stp>LAST_PRICE</stp>
        <stp>[XLSpdmV8.xls]XLSpdmV8!R222C3</stp>
        <tr r="C222" s="1"/>
      </tp>
      <tp>
        <v>0.25</v>
        <stp/>
        <stp>##V3_BDPV12</stp>
        <stp xml:space="preserve">20546 HK Equity     </stp>
        <stp>LAST_PRICE</stp>
        <stp>[XLSpdmV8.xls]XLSpdmV8!R122C3</stp>
        <tr r="C122" s="1"/>
      </tp>
      <tp>
        <v>3.4000000000000002E-2</v>
        <stp/>
        <stp>##V3_BDPV12</stp>
        <stp xml:space="preserve">26532 HK Equity     </stp>
        <stp>LAST_PRICE</stp>
        <stp>[XLSpdmV8.xls]XLSpdmV8!R162C3</stp>
        <tr r="C162" s="1"/>
      </tp>
      <tp>
        <v>1.6E-2</v>
        <stp/>
        <stp>##V3_BDPV12</stp>
        <stp xml:space="preserve">23523 HK Equity     </stp>
        <stp>LAST_PRICE</stp>
        <stp>[XLSpdmV8.xls]XLSpdmV8!R132C3</stp>
        <tr r="C132" s="1"/>
      </tp>
      <tp>
        <v>8.5000000000000006E-2</v>
        <stp/>
        <stp>##V3_BDPV12</stp>
        <stp xml:space="preserve">28129 HK Equity     </stp>
        <stp>LAST_PRICE</stp>
        <stp>[XLSpdmV8.xls]XLSpdmV8!R116C3</stp>
        <tr r="C116" s="1"/>
      </tp>
      <tp>
        <v>0.01</v>
        <stp/>
        <stp>##V3_BDPV12</stp>
        <stp xml:space="preserve">24712 HK Equity     </stp>
        <stp>LAST_PRICE</stp>
        <stp>[XLSpdmV8.xls]XLSpdmV8!R190C3</stp>
        <tr r="C190" s="1"/>
      </tp>
      <tp>
        <v>5.8999999999999997E-2</v>
        <stp/>
        <stp>##V3_BDPV12</stp>
        <stp xml:space="preserve">27112 HK Equity     </stp>
        <stp>LAST_PRICE</stp>
        <stp>[XLSpdmV8.xls]XLSpdmV8!R166C3</stp>
        <tr r="C166" s="1"/>
      </tp>
      <tp>
        <v>0.03</v>
        <stp/>
        <stp>##V3_BDPV12</stp>
        <stp xml:space="preserve">26106 HK Equity     </stp>
        <stp>LAST_PRICE</stp>
        <stp>[XLSpdmV8.xls]XLSpdmV8!R206C3</stp>
        <tr r="C206" s="1"/>
      </tp>
      <tp>
        <v>0.01</v>
        <stp/>
        <stp>##V3_BDPV12</stp>
        <stp xml:space="preserve">24106 HK Equity     </stp>
        <stp>LAST_PRICE</stp>
        <stp>[XLSpdmV8.xls]XLSpdmV8!R186C3</stp>
        <tr r="C186" s="1"/>
      </tp>
      <tp>
        <v>0</v>
        <stp/>
        <stp>##V3_BDPV12</stp>
        <stp xml:space="preserve">23970 HK Equity     </stp>
        <stp>VOLUME</stp>
        <stp>[XLSpdmV8.xls]XLSpdmV8!R55C9</stp>
        <tr r="I55" s="1"/>
      </tp>
      <tp>
        <v>2590270000</v>
        <stp/>
        <stp>##V3_BDPV12</stp>
        <stp xml:space="preserve">26849 HK Equity     </stp>
        <stp>VOLUME</stp>
        <stp>[XLSpdmV8.xls]XLSpdmV8!R40C9</stp>
        <tr r="I40" s="1"/>
      </tp>
      <tp>
        <v>5790000</v>
        <stp/>
        <stp>##V3_BDPV12</stp>
        <stp xml:space="preserve">25722 HK Equity     </stp>
        <stp>VOLUME</stp>
        <stp>[XLSpdmV8.xls]XLSpdmV8!R23C9</stp>
        <tr r="I23" s="1"/>
      </tp>
      <tp>
        <v>1542270000</v>
        <stp/>
        <stp>##V3_BDPV12</stp>
        <stp xml:space="preserve">25600 HK Equity     </stp>
        <stp>VOLUME</stp>
        <stp>[XLSpdmV8.xls]XLSpdmV8!R83C9</stp>
        <tr r="I83" s="1"/>
      </tp>
      <tp>
        <v>0</v>
        <stp/>
        <stp>##V3_BDPV12</stp>
        <stp xml:space="preserve">27608 HK Equity     </stp>
        <stp>VOLUME</stp>
        <stp>[XLSpdmV8.xls]XLSpdmV8!R51C9</stp>
        <tr r="I51" s="1"/>
      </tp>
      <tp>
        <v>0</v>
        <stp/>
        <stp>##V3_BDPV12</stp>
        <stp xml:space="preserve">24137 HK Equity     </stp>
        <stp>VOLUME</stp>
        <stp>[XLSpdmV8.xls]XLSpdmV8!R12C9</stp>
        <tr r="I12" s="1"/>
      </tp>
      <tp>
        <v>0</v>
        <stp/>
        <stp>##V3_BDPV12</stp>
        <stp xml:space="preserve">26143 HK Equity     </stp>
        <stp>VOLUME</stp>
        <stp>[XLSpdmV8.xls]XLSpdmV8!R30C9</stp>
        <tr r="I30" s="1"/>
      </tp>
      <tp>
        <v>3960000</v>
        <stp/>
        <stp>##V3_BDPV12</stp>
        <stp xml:space="preserve">24262 HK Equity     </stp>
        <stp>VOLUME</stp>
        <stp>[XLSpdmV8.xls]XLSpdmV8!R72C9</stp>
        <tr r="I72" s="1"/>
      </tp>
      <tp t="s">
        <v>27/5/2016</v>
        <stp/>
        <stp>##V3_BDPV12</stp>
        <stp xml:space="preserve">25712 HK Equity     </stp>
        <stp>TIME</stp>
        <stp>[XLSpdmV8.xls]XLSpdmV8!R86C6</stp>
        <tr r="F86" s="1"/>
      </tp>
      <tp t="s">
        <v>27/5/2016</v>
        <stp/>
        <stp>##V3_BDPV12</stp>
        <stp xml:space="preserve">26712 HK Equity     </stp>
        <stp>TIME</stp>
        <stp>[XLSpdmV8.xls]XLSpdmV8!R36C6</stp>
        <tr r="F36" s="1"/>
      </tp>
      <tp t="s">
        <v>27/5/2016</v>
        <stp/>
        <stp>##V3_BDPV12</stp>
        <stp xml:space="preserve">25660 HK Equity     </stp>
        <stp>TIME</stp>
        <stp>[XLSpdmV8.xls]XLSpdmV8!R21C6</stp>
        <tr r="F21" s="1"/>
      </tp>
      <tp t="s">
        <v>27/5/2016</v>
        <stp/>
        <stp>##V3_BDPV12</stp>
        <stp xml:space="preserve">26147 HK Equity     </stp>
        <stp>TIME</stp>
        <stp>[XLSpdmV8.xls]XLSpdmV8!R93C6</stp>
        <tr r="F93" s="1"/>
      </tp>
      <tp t="s">
        <v>27/5/2016</v>
        <stp/>
        <stp>##V3_BDPV12</stp>
        <stp xml:space="preserve">25376 HK Equity     </stp>
        <stp>TIME</stp>
        <stp>[XLSpdmV8.xls]XLSpdmV8!R80C6</stp>
        <tr r="F80" s="1"/>
      </tp>
      <tp t="s">
        <v>27/5/2016</v>
        <stp/>
        <stp>##V3_BDPV12</stp>
        <stp xml:space="preserve">24166 HK Equity     </stp>
        <stp>TIME</stp>
        <stp>[XLSpdmV8.xls]XLSpdmV8!R71C6</stp>
        <tr r="F71" s="1"/>
      </tp>
      <tp t="s">
        <v>27/5/2016</v>
        <stp/>
        <stp>##V3_BDPV12</stp>
        <stp xml:space="preserve">23975 HK Equity     </stp>
        <stp>TIME</stp>
        <stp>[XLSpdmV8.xls]XLSpdmV8!R10C6</stp>
        <tr r="F10" s="1"/>
      </tp>
      <tp t="s">
        <v>Call</v>
        <stp/>
        <stp>##V3_BDPV12</stp>
        <stp xml:space="preserve">20588 HK Equity     </stp>
        <stp>WRT_PUT_OR_CALL</stp>
        <stp>[XLSpdmV8.xls]XLSpdmV8!R63C5</stp>
        <tr r="E63" s="1"/>
      </tp>
      <tp t="s">
        <v>Put</v>
        <stp/>
        <stp>##V3_BDPV12</stp>
        <stp xml:space="preserve">25195 HK Equity     </stp>
        <stp>WRT_PUT_OR_CALL</stp>
        <stp>[XLSpdmV8.xls]XLSpdmV8!R77C5</stp>
        <tr r="E77" s="1"/>
      </tp>
      <tp t="s">
        <v>Put</v>
        <stp/>
        <stp>##V3_BDPV12</stp>
        <stp xml:space="preserve">25625 HK Equity     </stp>
        <stp>WRT_PUT_OR_CALL</stp>
        <stp>[XLSpdmV8.xls]XLSpdmV8!R20C5</stp>
        <tr r="E20" s="1"/>
      </tp>
      <tp t="s">
        <v>Call</v>
        <stp/>
        <stp>##V3_BDPV12</stp>
        <stp xml:space="preserve">26319 HK Equity     </stp>
        <stp>WRT_PUT_OR_CALL</stp>
        <stp>[XLSpdmV8.xls]XLSpdmV8!R95C5</stp>
        <tr r="E95" s="1"/>
      </tp>
      <tp>
        <v>1.2999999999999999E-2</v>
        <stp/>
        <stp>##V3_BDPV12</stp>
        <stp xml:space="preserve">25146 HK Equity     </stp>
        <stp>LAST_PRICE</stp>
        <stp>[XLSpdmV8.xls]XLSpdmV8!R139C3</stp>
        <tr r="C139" s="1"/>
      </tp>
      <tp>
        <v>9.2999999999999999E-2</v>
        <stp/>
        <stp>##V3_BDPV12</stp>
        <stp xml:space="preserve">25949 HK Equity     </stp>
        <stp>LAST_PRICE</stp>
        <stp>[XLSpdmV8.xls]XLSpdmV8!R201C3</stp>
        <tr r="C201" s="1"/>
      </tp>
      <tp>
        <v>0.19700000000000001</v>
        <stp/>
        <stp>##V3_BDPV12</stp>
        <stp xml:space="preserve">28025 HK Equity     </stp>
        <stp>LAST_PRICE</stp>
        <stp>[XLSpdmV8.xls]XLSpdmV8!R228C3</stp>
        <tr r="C228" s="1"/>
      </tp>
      <tp t="s">
        <v>#N/A N/A</v>
        <stp/>
        <stp>##V3_BDPV12</stp>
        <stp xml:space="preserve">28120 HK Equity     </stp>
        <stp>LAST_PRICE</stp>
        <stp>[XLSpdmV8.xls]XLSpdmV8!R229C3</stp>
        <tr r="C229" s="1"/>
      </tp>
      <tp>
        <v>0.16400000000000001</v>
        <stp/>
        <stp>##V3_BDPV12</stp>
        <stp xml:space="preserve">25910 HK Equity     </stp>
        <stp>LAST_PRICE</stp>
        <stp>[XLSpdmV8.xls]XLSpdmV8!R151C3</stp>
        <tr r="C151" s="1"/>
      </tp>
      <tp>
        <v>0</v>
        <stp/>
        <stp>##V3_BDPV12</stp>
        <stp xml:space="preserve">19187 HK Equity     </stp>
        <stp>VOLUME</stp>
        <stp>[XLSpdmV8.xls]XLSpdmV8!R60C9</stp>
        <tr r="I60" s="1"/>
      </tp>
      <tp>
        <v>0</v>
        <stp/>
        <stp>##V3_BDPV12</stp>
        <stp xml:space="preserve">11069 HK Equity     </stp>
        <stp>VOLUME</stp>
        <stp>[XLSpdmV8.xls]XLSpdmV8!R58C9</stp>
        <tr r="I58" s="1"/>
      </tp>
      <tp t="s">
        <v>27/5/2016</v>
        <stp/>
        <stp>##V3_BDPV12</stp>
        <stp xml:space="preserve">26511 HK Equity     </stp>
        <stp>TIME</stp>
        <stp>[XLSpdmV8.xls]XLSpdmV8!R99C6</stp>
        <tr r="F99" s="1"/>
      </tp>
      <tp t="s">
        <v>27/5/2016</v>
        <stp/>
        <stp>##V3_BDPV12</stp>
        <stp xml:space="preserve">26190 HK Equity     </stp>
        <stp>TIME</stp>
        <stp>[XLSpdmV8.xls]XLSpdmV8!R31C6</stp>
        <tr r="F31" s="1"/>
      </tp>
      <tp t="s">
        <v>27/5/2016</v>
        <stp/>
        <stp>##V3_BDPV12</stp>
        <stp xml:space="preserve">19187 HK Equity     </stp>
        <stp>TIME</stp>
        <stp>[XLSpdmV8.xls]XLSpdmV8!R60C6</stp>
        <tr r="F60" s="1"/>
      </tp>
      <tp t="s">
        <v>Call</v>
        <stp/>
        <stp>##V3_BDPV12</stp>
        <stp xml:space="preserve">26488 HK Equity     </stp>
        <stp>WRT_PUT_OR_CALL</stp>
        <stp>[XLSpdmV8.xls]XLSpdmV8!R33C5</stp>
        <tr r="E33" s="1"/>
      </tp>
      <tp t="s">
        <v>Call</v>
        <stp/>
        <stp>##V3_BDPV12</stp>
        <stp xml:space="preserve">25660 HK Equity     </stp>
        <stp>WRT_PUT_OR_CALL</stp>
        <stp>[XLSpdmV8.xls]XLSpdmV8!R21C5</stp>
        <tr r="E21" s="1"/>
      </tp>
      <tp t="s">
        <v>Put</v>
        <stp/>
        <stp>##V3_BDPV12</stp>
        <stp xml:space="preserve">25579 HK Equity     </stp>
        <stp>WRT_PUT_OR_CALL</stp>
        <stp>[XLSpdmV8.xls]XLSpdmV8!R82C5</stp>
        <tr r="E82" s="1"/>
      </tp>
      <tp t="s">
        <v>Call</v>
        <stp/>
        <stp>##V3_BDPV12</stp>
        <stp xml:space="preserve">20537 HK Equity     </stp>
        <stp>WRT_PUT_OR_CALL</stp>
        <stp>[XLSpdmV8.xls]XLSpdmV8!R62C5</stp>
        <tr r="E62" s="1"/>
      </tp>
      <tp t="s">
        <v>Put</v>
        <stp/>
        <stp>##V3_BDPV12</stp>
        <stp xml:space="preserve">27608 HK Equity     </stp>
        <stp>WRT_PUT_OR_CALL</stp>
        <stp>[XLSpdmV8.xls]XLSpdmV8!R51C5</stp>
        <tr r="E51" s="1"/>
      </tp>
      <tp>
        <v>0.121</v>
        <stp/>
        <stp>##V3_BDPV12</stp>
        <stp xml:space="preserve">22997 HK Equity     </stp>
        <stp>LAST_PRICE</stp>
        <stp>[XLSpdmV8.xls]XLSpdmV8!R130C3</stp>
        <tr r="C130" s="1"/>
      </tp>
      <tp>
        <v>5.2999999999999999E-2</v>
        <stp/>
        <stp>##V3_BDPV12</stp>
        <stp xml:space="preserve">26155 HK Equity     </stp>
        <stp>LAST_PRICE</stp>
        <stp>[XLSpdmV8.xls]XLSpdmV8!R208C3</stp>
        <tr r="C208" s="1"/>
      </tp>
      <tp>
        <v>0.08</v>
        <stp/>
        <stp>##V3_BDPV12</stp>
        <stp xml:space="preserve">27153 HK Equity     </stp>
        <stp>LAST_PRICE</stp>
        <stp>[XLSpdmV8.xls]XLSpdmV8!R218C3</stp>
        <tr r="C218" s="1"/>
      </tp>
      <tp t="s">
        <v>#N/A N/A</v>
        <stp/>
        <stp>##V3_BDPV12</stp>
        <stp xml:space="preserve">24825 HK Equity     </stp>
        <stp>LAST_PRICE</stp>
        <stp>[XLSpdmV8.xls]XLSpdmV8!R191C3</stp>
        <tr r="C191" s="1"/>
      </tp>
      <tp>
        <v>5.0999999999999997E-2</v>
        <stp/>
        <stp>##V3_BDPV12</stp>
        <stp xml:space="preserve">26014 HK Equity     </stp>
        <stp>LAST_PRICE</stp>
        <stp>[XLSpdmV8.xls]XLSpdmV8!R119C3</stp>
        <tr r="C119" s="1"/>
      </tp>
      <tp>
        <v>4.1000000000000002E-2</v>
        <stp/>
        <stp>##V3_BDPV12</stp>
        <stp xml:space="preserve">25917 HK Equity     </stp>
        <stp>LAST_PRICE</stp>
        <stp>[XLSpdmV8.xls]XLSpdmV8!R200C3</stp>
        <tr r="C200" s="1"/>
      </tp>
      <tp>
        <v>0.20300000000000001</v>
        <stp/>
        <stp>##V3_BDPV12</stp>
        <stp xml:space="preserve">25901 HK Equity     </stp>
        <stp>LAST_PRICE</stp>
        <stp>[XLSpdmV8.xls]XLSpdmV8!R150C3</stp>
        <tr r="C150" s="1"/>
      </tp>
      <tp t="s">
        <v>27/5/2016</v>
        <stp/>
        <stp>##V3_BDPV12</stp>
        <stp xml:space="preserve">27594 HK Equity     </stp>
        <stp>TIME</stp>
        <stp>[XLSpdmV8.xls]XLSpdmV8!R50C6</stp>
        <tr r="F50" s="1"/>
      </tp>
      <tp t="s">
        <v>27/5/2016</v>
        <stp/>
        <stp>##V3_BDPV12</stp>
        <stp xml:space="preserve">25909 HK Equity     </stp>
        <stp>TIME</stp>
        <stp>[XLSpdmV8.xls]XLSpdmV8!R89C6</stp>
        <tr r="F89" s="1"/>
      </tp>
      <tp t="s">
        <v>Call</v>
        <stp/>
        <stp>##V3_BDPV12</stp>
        <stp xml:space="preserve">27286 HK Equity     </stp>
        <stp>WRT_PUT_OR_CALL</stp>
        <stp>[XLSpdmV8.xls]XLSpdmV8!R46C5</stp>
        <tr r="E46" s="1"/>
      </tp>
      <tp t="s">
        <v>Put</v>
        <stp/>
        <stp>##V3_BDPV12</stp>
        <stp xml:space="preserve">25698 HK Equity     </stp>
        <stp>WRT_PUT_OR_CALL</stp>
        <stp>[XLSpdmV8.xls]XLSpdmV8!R22C5</stp>
        <tr r="E22" s="1"/>
      </tp>
      <tp t="s">
        <v>Put</v>
        <stp/>
        <stp>##V3_BDPV12</stp>
        <stp xml:space="preserve">26399 HK Equity     </stp>
        <stp>WRT_PUT_OR_CALL</stp>
        <stp>[XLSpdmV8.xls]XLSpdmV8!R97C5</stp>
        <tr r="E97" s="1"/>
      </tp>
      <tp t="s">
        <v>Put</v>
        <stp/>
        <stp>##V3_BDPV12</stp>
        <stp xml:space="preserve">27360 HK Equity     </stp>
        <stp>WRT_PUT_OR_CALL</stp>
        <stp>[XLSpdmV8.xls]XLSpdmV8!R47C5</stp>
        <tr r="E47" s="1"/>
      </tp>
      <tp t="s">
        <v>Put</v>
        <stp/>
        <stp>##V3_BDPV12</stp>
        <stp xml:space="preserve">27666 HK Equity     </stp>
        <stp>WRT_PUT_OR_CALL</stp>
        <stp>[XLSpdmV8.xls]XLSpdmV8!R52C5</stp>
        <tr r="E52" s="1"/>
      </tp>
      <tp t="s">
        <v>Call</v>
        <stp/>
        <stp>##V3_BDPV12</stp>
        <stp xml:space="preserve">27177 HK Equity     </stp>
        <stp>WRT_PUT_OR_CALL</stp>
        <stp>[XLSpdmV8.xls]XLSpdmV8!R45C5</stp>
        <tr r="E45" s="1"/>
      </tp>
      <tp t="s">
        <v>Call</v>
        <stp/>
        <stp>##V3_BDPV12</stp>
        <stp xml:space="preserve">25722 HK Equity     </stp>
        <stp>WRT_PUT_OR_CALL</stp>
        <stp>[XLSpdmV8.xls]XLSpdmV8!R23C5</stp>
        <tr r="E23" s="1"/>
      </tp>
      <tp t="s">
        <v>Put</v>
        <stp/>
        <stp>##V3_BDPV12</stp>
        <stp xml:space="preserve">21009 HK Equity     </stp>
        <stp>WRT_PUT_OR_CALL</stp>
        <stp>[XLSpdmV8.xls]XLSpdmV8!R64C5</stp>
        <tr r="E64" s="1"/>
      </tp>
      <tp>
        <v>0.13800000000000001</v>
        <stp/>
        <stp>##V3_BDPV12</stp>
        <stp xml:space="preserve">27891 HK Equity     </stp>
        <stp>LAST_PRICE</stp>
        <stp>[XLSpdmV8.xls]XLSpdmV8!R172C3</stp>
        <tr r="C172" s="1"/>
      </tp>
      <tp>
        <v>0.31</v>
        <stp/>
        <stp>##V3_BDPV12</stp>
        <stp xml:space="preserve">22993 HK Equity     </stp>
        <stp>LAST_PRICE</stp>
        <stp>[XLSpdmV8.xls]XLSpdmV8!R183C3</stp>
        <tr r="C183" s="1"/>
      </tp>
      <tp>
        <v>9.6000000000000002E-2</v>
        <stp/>
        <stp>##V3_BDPV12</stp>
        <stp xml:space="preserve">27280 HK Equity     </stp>
        <stp>LAST_PRICE</stp>
        <stp>[XLSpdmV8.xls]XLSpdmV8!R168C3</stp>
        <tr r="C168" s="1"/>
      </tp>
      <tp>
        <v>0.17599999999999999</v>
        <stp/>
        <stp>##V3_BDPV12</stp>
        <stp xml:space="preserve">27356 HK Equity     </stp>
        <stp>LAST_PRICE</stp>
        <stp>[XLSpdmV8.xls]XLSpdmV8!R109C3</stp>
        <tr r="C109" s="1"/>
      </tp>
      <tp t="s">
        <v>#N/A N/A</v>
        <stp/>
        <stp>##V3_BDPV12</stp>
        <stp xml:space="preserve">27351 HK Equity     </stp>
        <stp>LAST_PRICE</stp>
        <stp>[XLSpdmV8.xls]XLSpdmV8!R219C3</stp>
        <tr r="C219" s="1"/>
      </tp>
      <tp>
        <v>0.28000000000000003</v>
        <stp/>
        <stp>##V3_BDPV12</stp>
        <stp xml:space="preserve">25948 HK Equity     </stp>
        <stp>LAST_PRICE</stp>
        <stp>[XLSpdmV8.xls]XLSpdmV8!R153C3</stp>
        <tr r="C153" s="1"/>
      </tp>
      <tp>
        <v>2.7E-2</v>
        <stp/>
        <stp>##V3_BDPV12</stp>
        <stp xml:space="preserve">26320 HK Equity     </stp>
        <stp>LAST_PRICE</stp>
        <stp>[XLSpdmV8.xls]XLSpdmV8!R159C3</stp>
        <tr r="C159" s="1"/>
      </tp>
      <tp t="s">
        <v>#N/A N/A</v>
        <stp/>
        <stp>##V3_BDPV12</stp>
        <stp xml:space="preserve">26329 HK Equity     </stp>
        <stp>LAST_PRICE</stp>
        <stp>[XLSpdmV8.xls]XLSpdmV8!R209C3</stp>
        <tr r="C209" s="1"/>
      </tp>
      <tp>
        <v>8.6999999999999994E-2</v>
        <stp/>
        <stp>##V3_BDPV12</stp>
        <stp xml:space="preserve">26206 HK Equity     </stp>
        <stp>LAST_PRICE</stp>
        <stp>[XLSpdmV8.xls]XLSpdmV8!R158C3</stp>
        <tr r="C158" s="1"/>
      </tp>
      <tp>
        <v>0</v>
        <stp/>
        <stp>##V3_BDPV12</stp>
        <stp xml:space="preserve">23522 HK Equity     </stp>
        <stp>VOLUME</stp>
        <stp>[XLSpdmV8.xls]XLSpdmV8!R68C9</stp>
        <tr r="I68" s="1"/>
      </tp>
      <tp t="s">
        <v>27/5/2016</v>
        <stp/>
        <stp>##V3_BDPV12</stp>
        <stp xml:space="preserve">23522 HK Equity     </stp>
        <stp>TIME</stp>
        <stp>[XLSpdmV8.xls]XLSpdmV8!R68C6</stp>
        <tr r="F68" s="1"/>
      </tp>
      <tp t="s">
        <v>27/5/2016</v>
        <stp/>
        <stp>##V3_BDPV12</stp>
        <stp xml:space="preserve">23538 HK Equity     </stp>
        <stp>TIME</stp>
        <stp>[XLSpdmV8.xls]XLSpdmV8!R69C6</stp>
        <tr r="F69" s="1"/>
      </tp>
      <tp t="s">
        <v>Call</v>
        <stp/>
        <stp>##V3_BDPV12</stp>
        <stp xml:space="preserve">23287 HK Equity     </stp>
        <stp>WRT_PUT_OR_CALL</stp>
        <stp>[XLSpdmV8.xls]XLSpdmV8!R67C5</stp>
        <tr r="E67" s="1"/>
      </tp>
      <tp t="s">
        <v>Call</v>
        <stp/>
        <stp>##V3_BDPV12</stp>
        <stp xml:space="preserve">26390 HK Equity     </stp>
        <stp>WRT_PUT_OR_CALL</stp>
        <stp>[XLSpdmV8.xls]XLSpdmV8!R96C5</stp>
        <tr r="E96" s="1"/>
      </tp>
      <tp t="s">
        <v>Put</v>
        <stp/>
        <stp>##V3_BDPV12</stp>
        <stp xml:space="preserve">26191 HK Equity     </stp>
        <stp>WRT_PUT_OR_CALL</stp>
        <stp>[XLSpdmV8.xls]XLSpdmV8!R94C5</stp>
        <tr r="E94" s="1"/>
      </tp>
      <tp t="s">
        <v>Put</v>
        <stp/>
        <stp>##V3_BDPV12</stp>
        <stp xml:space="preserve">27594 HK Equity     </stp>
        <stp>WRT_PUT_OR_CALL</stp>
        <stp>[XLSpdmV8.xls]XLSpdmV8!R50C5</stp>
        <tr r="E50" s="1"/>
      </tp>
      <tp t="s">
        <v>Call</v>
        <stp/>
        <stp>##V3_BDPV12</stp>
        <stp xml:space="preserve">25473 HK Equity     </stp>
        <stp>WRT_PUT_OR_CALL</stp>
        <stp>[XLSpdmV8.xls]XLSpdmV8!R81C5</stp>
        <tr r="E81" s="1"/>
      </tp>
      <tp t="s">
        <v>Call</v>
        <stp/>
        <stp>##V3_BDPV12</stp>
        <stp xml:space="preserve">27157 HK Equity     </stp>
        <stp>WRT_PUT_OR_CALL</stp>
        <stp>[XLSpdmV8.xls]XLSpdmV8!R44C5</stp>
        <tr r="E44" s="1"/>
      </tp>
      <tp t="s">
        <v>Call</v>
        <stp/>
        <stp>##V3_BDPV12</stp>
        <stp xml:space="preserve">25600 HK Equity     </stp>
        <stp>WRT_PUT_OR_CALL</stp>
        <stp>[XLSpdmV8.xls]XLSpdmV8!R83C5</stp>
        <tr r="E83" s="1"/>
      </tp>
      <tp t="s">
        <v>Call</v>
        <stp/>
        <stp>##V3_BDPV12</stp>
        <stp xml:space="preserve">20411 HK Equity     </stp>
        <stp>WRT_PUT_OR_CALL</stp>
        <stp>[XLSpdmV8.xls]XLSpdmV8!R61C5</stp>
        <tr r="E61" s="1"/>
      </tp>
      <tp>
        <v>0.02</v>
        <stp/>
        <stp>##V3_BDPV12</stp>
        <stp xml:space="preserve">24984 HK Equity     </stp>
        <stp>LAST_PRICE</stp>
        <stp>[XLSpdmV8.xls]XLSpdmV8!R192C3</stp>
        <tr r="C192" s="1"/>
      </tp>
      <tp>
        <v>6.9000000000000006E-2</v>
        <stp/>
        <stp>##V3_BDPV12</stp>
        <stp xml:space="preserve">27284 HK Equity     </stp>
        <stp>LAST_PRICE</stp>
        <stp>[XLSpdmV8.xls]XLSpdmV8!R169C3</stp>
        <tr r="C169" s="1"/>
      </tp>
      <tp>
        <v>3.7999999999999999E-2</v>
        <stp/>
        <stp>##V3_BDPV12</stp>
        <stp xml:space="preserve">25969 HK Equity     </stp>
        <stp>LAST_PRICE</stp>
        <stp>[XLSpdmV8.xls]XLSpdmV8!R202C3</stp>
        <tr r="C202" s="1"/>
      </tp>
      <tp>
        <v>0.01</v>
        <stp/>
        <stp>##V3_BDPV12</stp>
        <stp xml:space="preserve">22353 HK Equity     </stp>
        <stp>LAST_PRICE</stp>
        <stp>[XLSpdmV8.xls]XLSpdmV8!R128C3</stp>
        <tr r="C128" s="1"/>
      </tp>
      <tp>
        <v>0.01</v>
        <stp/>
        <stp>##V3_BDPV12</stp>
        <stp xml:space="preserve">22947 HK Equity     </stp>
        <stp>LAST_PRICE</stp>
        <stp>[XLSpdmV8.xls]XLSpdmV8!R182C3</stp>
        <tr r="C182" s="1"/>
      </tp>
      <tp>
        <v>0.17899999999999999</v>
        <stp/>
        <stp>##V3_BDPV12</stp>
        <stp xml:space="preserve">27821 HK Equity     </stp>
        <stp>LAST_PRICE</stp>
        <stp>[XLSpdmV8.xls]XLSpdmV8!R113C3</stp>
        <tr r="C113" s="1"/>
      </tp>
      <tp>
        <v>6.9000000000000006E-2</v>
        <stp/>
        <stp>##V3_BDPV12</stp>
        <stp xml:space="preserve">27321 HK Equity     </stp>
        <stp>LAST_PRICE</stp>
        <stp>[XLSpdmV8.xls]XLSpdmV8!R108C3</stp>
        <tr r="C108" s="1"/>
      </tp>
      <tp>
        <v>4.3999999999999997E-2</v>
        <stp/>
        <stp>##V3_BDPV12</stp>
        <stp xml:space="preserve">25916 HK Equity     </stp>
        <stp>LAST_PRICE</stp>
        <stp>[XLSpdmV8.xls]XLSpdmV8!R152C3</stp>
        <tr r="C152" s="1"/>
      </tp>
      <tp>
        <v>980000</v>
        <stp/>
        <stp>##V3_BDPV12</stp>
        <stp xml:space="preserve">23538 HK Equity     </stp>
        <stp>VOLUME</stp>
        <stp>[XLSpdmV8.xls]XLSpdmV8!R69C9</stp>
        <tr r="I69" s="1"/>
      </tp>
      <tp t="s">
        <v>27/5/2016</v>
        <stp/>
        <stp>##V3_BDPV12</stp>
        <stp xml:space="preserve">26987 HK Equity     </stp>
        <stp>TIME</stp>
        <stp>[XLSpdmV8.xls]XLSpdmV8!R43C6</stp>
        <tr r="F43" s="1"/>
      </tp>
      <tp t="s">
        <v>27/5/2016</v>
        <stp/>
        <stp>##V3_BDPV12</stp>
        <stp xml:space="preserve">25326 HK Equity     </stp>
        <stp>TIME</stp>
        <stp>[XLSpdmV8.xls]XLSpdmV8!R79C6</stp>
        <tr r="F79" s="1"/>
      </tp>
      <tp t="s">
        <v>#N/A N/A</v>
        <stp/>
        <stp>##V3_BDPV12</stp>
        <stp xml:space="preserve">20588 HK Equity     </stp>
        <stp>TIME</stp>
        <stp>[XLSpdmV8.xls]XLSpdmV8!R63C6</stp>
        <tr r="F63" s="1"/>
      </tp>
      <tp t="s">
        <v>27/5/2016</v>
        <stp/>
        <stp>##V3_BDPV12</stp>
        <stp xml:space="preserve">25698 HK Equity     </stp>
        <stp>TIME</stp>
        <stp>[XLSpdmV8.xls]XLSpdmV8!R22C6</stp>
        <tr r="F22" s="1"/>
      </tp>
      <tp t="s">
        <v>27/5/2016</v>
        <stp/>
        <stp>##V3_BDPV12</stp>
        <stp xml:space="preserve">27438 HK Equity     </stp>
        <stp>TIME</stp>
        <stp>[XLSpdmV8.xls]XLSpdmV8!R48C6</stp>
        <tr r="F48" s="1"/>
      </tp>
      <tp t="s">
        <v>27/5/2016</v>
        <stp/>
        <stp>##V3_BDPV12</stp>
        <stp xml:space="preserve">26488 HK Equity     </stp>
        <stp>TIME</stp>
        <stp>[XLSpdmV8.xls]XLSpdmV8!R33C6</stp>
        <tr r="F33" s="1"/>
      </tp>
      <tp t="s">
        <v>Put</v>
        <stp/>
        <stp>##V3_BDPV12</stp>
        <stp xml:space="preserve">26668 HK Equity     </stp>
        <stp>WRT_PUT_OR_CALL</stp>
        <stp>[XLSpdmV8.xls]XLSpdmV8!R34C5</stp>
        <tr r="E34" s="1"/>
      </tp>
      <tp t="s">
        <v>Call</v>
        <stp/>
        <stp>##V3_BDPV12</stp>
        <stp xml:space="preserve">25662 HK Equity     </stp>
        <stp>WRT_PUT_OR_CALL</stp>
        <stp>[XLSpdmV8.xls]XLSpdmV8!R84C5</stp>
        <tr r="E84" s="1"/>
      </tp>
      <tp t="s">
        <v>Put</v>
        <stp/>
        <stp>##V3_BDPV12</stp>
        <stp xml:space="preserve">26147 HK Equity     </stp>
        <stp>WRT_PUT_OR_CALL</stp>
        <stp>[XLSpdmV8.xls]XLSpdmV8!R93C5</stp>
        <tr r="E93" s="1"/>
      </tp>
      <tp t="s">
        <v>Put</v>
        <stp/>
        <stp>##V3_BDPV12</stp>
        <stp xml:space="preserve">24451 HK Equity     </stp>
        <stp>WRT_PUT_OR_CALL</stp>
        <stp>[XLSpdmV8.xls]XLSpdmV8!R56C5</stp>
        <tr r="E56" s="1"/>
      </tp>
      <tp t="s">
        <v>Put</v>
        <stp/>
        <stp>##V3_BDPV12</stp>
        <stp xml:space="preserve">26704 HK Equity     </stp>
        <stp>WRT_PUT_OR_CALL</stp>
        <stp>[XLSpdmV8.xls]XLSpdmV8!R35C5</stp>
        <tr r="E35" s="1"/>
      </tp>
      <tp>
        <v>0.28000000000000003</v>
        <stp/>
        <stp>##V3_BDPV12</stp>
        <stp xml:space="preserve">25986 HK Equity     </stp>
        <stp>LAST_PRICE</stp>
        <stp>[XLSpdmV8.xls]XLSpdmV8!R155C3</stp>
        <tr r="C155" s="1"/>
      </tp>
      <tp>
        <v>1.7999999999999999E-2</v>
        <stp/>
        <stp>##V3_BDPV12</stp>
        <stp xml:space="preserve">25489 HK Equity     </stp>
        <stp>LAST_PRICE</stp>
        <stp>[XLSpdmV8.xls]XLSpdmV8!R118C3</stp>
        <tr r="C118" s="1"/>
      </tp>
      <tp>
        <v>6.8000000000000005E-2</v>
        <stp/>
        <stp>##V3_BDPV12</stp>
        <stp xml:space="preserve">26874 HK Equity     </stp>
        <stp>LAST_PRICE</stp>
        <stp>[XLSpdmV8.xls]XLSpdmV8!R104C3</stp>
        <tr r="C104" s="1"/>
      </tp>
      <tp>
        <v>0.01</v>
        <stp/>
        <stp>##V3_BDPV12</stp>
        <stp xml:space="preserve">23841 HK Equity     </stp>
        <stp>LAST_PRICE</stp>
        <stp>[XLSpdmV8.xls]XLSpdmV8!R134C3</stp>
        <tr r="C134" s="1"/>
      </tp>
      <tp>
        <v>100000</v>
        <stp/>
        <stp>##V3_BDPV12</stp>
        <stp xml:space="preserve">25898 HK Equity     </stp>
        <stp>VOLUME</stp>
        <stp>[XLSpdmV8.xls]XLSpdmV8!R88C9</stp>
        <tr r="I88" s="1"/>
      </tp>
      <tp>
        <v>21370000</v>
        <stp/>
        <stp>##V3_BDPV12</stp>
        <stp xml:space="preserve">25548 HK Equity     </stp>
        <stp>VOLUME</stp>
        <stp>[XLSpdmV8.xls]XLSpdmV8!R18C9</stp>
        <tr r="I18" s="1"/>
      </tp>
      <tp>
        <v>4360000</v>
        <stp/>
        <stp>##V3_BDPV12</stp>
        <stp xml:space="preserve">25270 HK Equity     </stp>
        <stp>VOLUME</stp>
        <stp>[XLSpdmV8.xls]XLSpdmV8!R78C9</stp>
        <tr r="I78" s="1"/>
      </tp>
      <tp t="s">
        <v>27/5/2016</v>
        <stp/>
        <stp>##V3_BDPV12</stp>
        <stp xml:space="preserve">18856 HK Equity     </stp>
        <stp>TIME</stp>
        <stp>[XLSpdmV8.xls]XLSpdmV8!R59C6</stp>
        <tr r="F59" s="1"/>
      </tp>
      <tp t="s">
        <v>27/5/2016</v>
        <stp/>
        <stp>##V3_BDPV12</stp>
        <stp xml:space="preserve">26444 HK Equity     </stp>
        <stp>TIME</stp>
        <stp>[XLSpdmV8.xls]XLSpdmV8!R98C6</stp>
        <tr r="F98" s="1"/>
      </tp>
      <tp t="s">
        <v>27/5/2016</v>
        <stp/>
        <stp>##V3_BDPV12</stp>
        <stp xml:space="preserve">25548 HK Equity     </stp>
        <stp>TIME</stp>
        <stp>[XLSpdmV8.xls]XLSpdmV8!R18C6</stp>
        <tr r="F18" s="1"/>
      </tp>
      <tp t="s">
        <v>Call</v>
        <stp/>
        <stp>##V3_BDPV12</stp>
        <stp xml:space="preserve">24688 HK Equity     </stp>
        <stp>WRT_PUT_OR_CALL</stp>
        <stp>[XLSpdmV8.xls]XLSpdmV8!R75C5</stp>
        <tr r="E75" s="1"/>
      </tp>
      <tp t="s">
        <v>Put</v>
        <stp/>
        <stp>##V3_BDPV12</stp>
        <stp xml:space="preserve">24684 HK Equity     </stp>
        <stp>WRT_PUT_OR_CALL</stp>
        <stp>[XLSpdmV8.xls]XLSpdmV8!R15C5</stp>
        <tr r="E15" s="1"/>
      </tp>
      <tp t="s">
        <v>Call</v>
        <stp/>
        <stp>##V3_BDPV12</stp>
        <stp xml:space="preserve">25679 HK Equity     </stp>
        <stp>WRT_PUT_OR_CALL</stp>
        <stp>[XLSpdmV8.xls]XLSpdmV8!R85C5</stp>
        <tr r="E85" s="1"/>
      </tp>
      <tp t="s">
        <v>Call</v>
        <stp/>
        <stp>##V3_BDPV12</stp>
        <stp xml:space="preserve">25376 HK Equity     </stp>
        <stp>WRT_PUT_OR_CALL</stp>
        <stp>[XLSpdmV8.xls]XLSpdmV8!R80C5</stp>
        <tr r="E80" s="1"/>
      </tp>
      <tp t="s">
        <v>Call</v>
        <stp/>
        <stp>##V3_BDPV12</stp>
        <stp xml:space="preserve">25447 HK Equity     </stp>
        <stp>WRT_PUT_OR_CALL</stp>
        <stp>[XLSpdmV8.xls]XLSpdmV8!R17C5</stp>
        <tr r="E17" s="1"/>
      </tp>
      <tp t="s">
        <v>Call</v>
        <stp/>
        <stp>##V3_BDPV12</stp>
        <stp xml:space="preserve">26121 HK Equity     </stp>
        <stp>WRT_PUT_OR_CALL</stp>
        <stp>[XLSpdmV8.xls]XLSpdmV8!R92C5</stp>
        <tr r="E92" s="1"/>
      </tp>
      <tp t="s">
        <v>Call</v>
        <stp/>
        <stp>##V3_BDPV12</stp>
        <stp xml:space="preserve">24137 HK Equity     </stp>
        <stp>WRT_PUT_OR_CALL</stp>
        <stp>[XLSpdmV8.xls]XLSpdmV8!R12C5</stp>
        <tr r="E12" s="1"/>
      </tp>
      <tp>
        <v>7.1999999999999995E-2</v>
        <stp/>
        <stp>##V3_BDPV12</stp>
        <stp xml:space="preserve">26896 HK Equity     </stp>
        <stp>LAST_PRICE</stp>
        <stp>[XLSpdmV8.xls]XLSpdmV8!R105C3</stp>
        <tr r="C105" s="1"/>
      </tp>
      <tp>
        <v>0.186</v>
        <stp/>
        <stp>##V3_BDPV12</stp>
        <stp xml:space="preserve">23885 HK Equity     </stp>
        <stp>LAST_PRICE</stp>
        <stp>[XLSpdmV8.xls]XLSpdmV8!R185C3</stp>
        <tr r="C185" s="1"/>
      </tp>
      <tp>
        <v>8.3000000000000004E-2</v>
        <stp/>
        <stp>##V3_BDPV12</stp>
        <stp xml:space="preserve">25960 HK Equity     </stp>
        <stp>LAST_PRICE</stp>
        <stp>[XLSpdmV8.xls]XLSpdmV8!R154C3</stp>
        <tr r="C154" s="1"/>
      </tp>
      <tp>
        <v>0.01</v>
        <stp/>
        <stp>##V3_BDPV12</stp>
        <stp xml:space="preserve">21852 HK Equity     </stp>
        <stp>LAST_PRICE</stp>
        <stp>[XLSpdmV8.xls]XLSpdmV8!R125C3</stp>
        <tr r="C125" s="1"/>
      </tp>
      <tp>
        <v>0.39500000000000002</v>
        <stp/>
        <stp>##V3_BDPV12</stp>
        <stp xml:space="preserve">20431 HK Equity     </stp>
        <stp>LAST_PRICE</stp>
        <stp>[XLSpdmV8.xls]XLSpdmV8!R179C3</stp>
        <tr r="C179" s="1"/>
      </tp>
      <tp>
        <v>9.6000000000000002E-2</v>
        <stp/>
        <stp>##V3_BDPV12</stp>
        <stp xml:space="preserve">27914 HK Equity     </stp>
        <stp>LAST_PRICE</stp>
        <stp>[XLSpdmV8.xls]XLSpdmV8!R114C3</stp>
        <tr r="C114" s="1"/>
      </tp>
      <tp>
        <v>0</v>
        <stp/>
        <stp>##V3_BDPV12</stp>
        <stp xml:space="preserve">25909 HK Equity     </stp>
        <stp>VOLUME</stp>
        <stp>[XLSpdmV8.xls]XLSpdmV8!R89C9</stp>
        <tr r="I89" s="1"/>
      </tp>
      <tp>
        <v>200000</v>
        <stp/>
        <stp>##V3_BDPV12</stp>
        <stp xml:space="preserve">25599 HK Equity     </stp>
        <stp>VOLUME</stp>
        <stp>[XLSpdmV8.xls]XLSpdmV8!R19C9</stp>
        <tr r="I19" s="1"/>
      </tp>
      <tp>
        <v>41530000</v>
        <stp/>
        <stp>##V3_BDPV12</stp>
        <stp xml:space="preserve">25326 HK Equity     </stp>
        <stp>VOLUME</stp>
        <stp>[XLSpdmV8.xls]XLSpdmV8!R79C9</stp>
        <tr r="I79" s="1"/>
      </tp>
      <tp t="s">
        <v>27/5/2016</v>
        <stp/>
        <stp>##V3_BDPV12</stp>
        <stp xml:space="preserve">26052 HK Equity     </stp>
        <stp>TIME</stp>
        <stp>[XLSpdmV8.xls]XLSpdmV8!R28C6</stp>
        <tr r="F28" s="1"/>
      </tp>
      <tp t="s">
        <v>27/5/2016</v>
        <stp/>
        <stp>##V3_BDPV12</stp>
        <stp xml:space="preserve">26191 HK Equity     </stp>
        <stp>TIME</stp>
        <stp>[XLSpdmV8.xls]XLSpdmV8!R94C6</stp>
        <tr r="F94" s="1"/>
      </tp>
      <tp t="s">
        <v>27/5/2016</v>
        <stp/>
        <stp>##V3_BDPV12</stp>
        <stp xml:space="preserve">24684 HK Equity     </stp>
        <stp>TIME</stp>
        <stp>[XLSpdmV8.xls]XLSpdmV8!R15C6</stp>
        <tr r="F15" s="1"/>
      </tp>
      <tp t="s">
        <v>#N/A N/A</v>
        <stp/>
        <stp>##V3_BDPV12</stp>
        <stp xml:space="preserve">27894 HK Equity     </stp>
        <stp>TIME</stp>
        <stp>[XLSpdmV8.xls]XLSpdmV8!R54C6</stp>
        <tr r="F54" s="1"/>
      </tp>
      <tp t="s">
        <v>27/5/2016</v>
        <stp/>
        <stp>##V3_BDPV12</stp>
        <stp xml:space="preserve">24688 HK Equity     </stp>
        <stp>TIME</stp>
        <stp>[XLSpdmV8.xls]XLSpdmV8!R75C6</stp>
        <tr r="F75" s="1"/>
      </tp>
      <tp t="s">
        <v>Call</v>
        <stp/>
        <stp>##V3_BDPV12</stp>
        <stp xml:space="preserve">25787 HK Equity     </stp>
        <stp>WRT_PUT_OR_CALL</stp>
        <stp>[XLSpdmV8.xls]XLSpdmV8!R87C5</stp>
        <tr r="E87" s="1"/>
      </tp>
      <tp t="s">
        <v>Call</v>
        <stp/>
        <stp>##V3_BDPV12</stp>
        <stp xml:space="preserve">25898 HK Equity     </stp>
        <stp>WRT_PUT_OR_CALL</stp>
        <stp>[XLSpdmV8.xls]XLSpdmV8!R88C5</stp>
        <tr r="E88" s="1"/>
      </tp>
      <tp t="s">
        <v>Put</v>
        <stp/>
        <stp>##V3_BDPV12</stp>
        <stp xml:space="preserve">22799 HK Equity     </stp>
        <stp>WRT_PUT_OR_CALL</stp>
        <stp>[XLSpdmV8.xls]XLSpdmV8!R57C5</stp>
        <tr r="E57" s="1"/>
      </tp>
      <tp t="s">
        <v>Put</v>
        <stp/>
        <stp>##V3_BDPV12</stp>
        <stp xml:space="preserve">26190 HK Equity     </stp>
        <stp>WRT_PUT_OR_CALL</stp>
        <stp>[XLSpdmV8.xls]XLSpdmV8!R31C5</stp>
        <tr r="E31" s="1"/>
      </tp>
      <tp t="s">
        <v>Call</v>
        <stp/>
        <stp>##V3_BDPV12</stp>
        <stp xml:space="preserve">24262 HK Equity     </stp>
        <stp>WRT_PUT_OR_CALL</stp>
        <stp>[XLSpdmV8.xls]XLSpdmV8!R72C5</stp>
        <tr r="E72" s="1"/>
      </tp>
      <tp t="s">
        <v>Call</v>
        <stp/>
        <stp>##V3_BDPV12</stp>
        <stp xml:space="preserve">24166 HK Equity     </stp>
        <stp>WRT_PUT_OR_CALL</stp>
        <stp>[XLSpdmV8.xls]XLSpdmV8!R71C5</stp>
        <tr r="E71" s="1"/>
      </tp>
      <tp t="s">
        <v>Call</v>
        <stp/>
        <stp>##V3_BDPV12</stp>
        <stp xml:space="preserve">24376 HK Equity     </stp>
        <stp>WRT_PUT_OR_CALL</stp>
        <stp>[XLSpdmV8.xls]XLSpdmV8!R13C5</stp>
        <tr r="E13" s="1"/>
      </tp>
      <tp t="s">
        <v>Call</v>
        <stp/>
        <stp>##V3_BDPV12</stp>
        <stp xml:space="preserve">26747 HK Equity     </stp>
        <stp>WRT_PUT_OR_CALL</stp>
        <stp>[XLSpdmV8.xls]XLSpdmV8!R37C5</stp>
        <tr r="E37" s="1"/>
      </tp>
      <tp t="s">
        <v>Put</v>
        <stp/>
        <stp>##V3_BDPV12</stp>
        <stp xml:space="preserve">24427 HK Equity     </stp>
        <stp>WRT_PUT_OR_CALL</stp>
        <stp>[XLSpdmV8.xls]XLSpdmV8!R74C5</stp>
        <tr r="E74" s="1"/>
      </tp>
      <tp t="s">
        <v>Put</v>
        <stp/>
        <stp>##V3_BDPV12</stp>
        <stp xml:space="preserve">24425 HK Equity     </stp>
        <stp>WRT_PUT_OR_CALL</stp>
        <stp>[XLSpdmV8.xls]XLSpdmV8!R14C5</stp>
        <tr r="E14" s="1"/>
      </tp>
      <tp t="s">
        <v>Call</v>
        <stp/>
        <stp>##V3_BDPV12</stp>
        <stp xml:space="preserve">26225 HK Equity     </stp>
        <stp>WRT_PUT_OR_CALL</stp>
        <stp>[XLSpdmV8.xls]XLSpdmV8!R32C5</stp>
        <tr r="E32" s="1"/>
      </tp>
      <tp t="s">
        <v>Call</v>
        <stp/>
        <stp>##V3_BDPV12</stp>
        <stp xml:space="preserve">25909 HK Equity     </stp>
        <stp>WRT_PUT_OR_CALL</stp>
        <stp>[XLSpdmV8.xls]XLSpdmV8!R89C5</stp>
        <tr r="E89" s="1"/>
      </tp>
      <tp t="s">
        <v>Call</v>
        <stp/>
        <stp>##V3_BDPV12</stp>
        <stp xml:space="preserve">24107 HK Equity     </stp>
        <stp>WRT_PUT_OR_CALL</stp>
        <stp>[XLSpdmV8.xls]XLSpdmV8!R11C5</stp>
        <tr r="E11" s="1"/>
      </tp>
      <tp t="s">
        <v>Call</v>
        <stp/>
        <stp>##V3_BDPV12</stp>
        <stp xml:space="preserve">24315 HK Equity     </stp>
        <stp>WRT_PUT_OR_CALL</stp>
        <stp>[XLSpdmV8.xls]XLSpdmV8!R73C5</stp>
        <tr r="E73" s="1"/>
      </tp>
      <tp>
        <v>0.01</v>
        <stp/>
        <stp>##V3_BDPV12</stp>
        <stp xml:space="preserve">24663 HK Equity     </stp>
        <stp>LAST_PRICE</stp>
        <stp>[XLSpdmV8.xls]XLSpdmV8!R188C3</stp>
        <tr r="C188" s="1"/>
      </tp>
      <tp>
        <v>0.11600000000000001</v>
        <stp/>
        <stp>##V3_BDPV12</stp>
        <stp xml:space="preserve">27827 HK Equity     </stp>
        <stp>LAST_PRICE</stp>
        <stp>[XLSpdmV8.xls]XLSpdmV8!R226C3</stp>
        <tr r="C226" s="1"/>
      </tp>
      <tp>
        <v>26580000</v>
        <stp/>
        <stp>##V3_BDPV12</stp>
        <stp xml:space="preserve">26511 HK Equity     </stp>
        <stp>VOLUME</stp>
        <stp>[XLSpdmV8.xls]XLSpdmV8!R99C9</stp>
        <tr r="I99" s="1"/>
      </tp>
      <tp>
        <v>3526730000</v>
        <stp/>
        <stp>##V3_BDPV12</stp>
        <stp xml:space="preserve">27438 HK Equity     </stp>
        <stp>VOLUME</stp>
        <stp>[XLSpdmV8.xls]XLSpdmV8!R48C9</stp>
        <tr r="I48" s="1"/>
      </tp>
      <tp>
        <v>3244970000</v>
        <stp/>
        <stp>##V3_BDPV12</stp>
        <stp xml:space="preserve">26788 HK Equity     </stp>
        <stp>VOLUME</stp>
        <stp>[XLSpdmV8.xls]XLSpdmV8!R39C9</stp>
        <tr r="I39" s="1"/>
      </tp>
      <tp>
        <v>39650000</v>
        <stp/>
        <stp>##V3_BDPV12</stp>
        <stp xml:space="preserve">26092 HK Equity     </stp>
        <stp>VOLUME</stp>
        <stp>[XLSpdmV8.xls]XLSpdmV8!R29C9</stp>
        <tr r="I29" s="1"/>
      </tp>
      <tp t="s">
        <v>27/5/2016</v>
        <stp/>
        <stp>##V3_BDPV12</stp>
        <stp xml:space="preserve">27286 HK Equity     </stp>
        <stp>TIME</stp>
        <stp>[XLSpdmV8.xls]XLSpdmV8!R46C6</stp>
        <tr r="F46" s="1"/>
      </tp>
      <tp t="s">
        <v>27/5/2016</v>
        <stp/>
        <stp>##V3_BDPV12</stp>
        <stp xml:space="preserve">25195 HK Equity     </stp>
        <stp>TIME</stp>
        <stp>[XLSpdmV8.xls]XLSpdmV8!R77C6</stp>
        <tr r="F77" s="1"/>
      </tp>
      <tp t="s">
        <v>27/5/2016</v>
        <stp/>
        <stp>##V3_BDPV12</stp>
        <stp xml:space="preserve">25984 HK Equity     </stp>
        <stp>TIME</stp>
        <stp>[XLSpdmV8.xls]XLSpdmV8!R26C6</stp>
        <tr r="F26" s="1"/>
      </tp>
      <tp t="s">
        <v>27/5/2016</v>
        <stp/>
        <stp>##V3_BDPV12</stp>
        <stp xml:space="preserve">25994 HK Equity     </stp>
        <stp>TIME</stp>
        <stp>[XLSpdmV8.xls]XLSpdmV8!R27C6</stp>
        <tr r="F27" s="1"/>
      </tp>
      <tp t="s">
        <v>27/5/2016</v>
        <stp/>
        <stp>##V3_BDPV12</stp>
        <stp xml:space="preserve">26764 HK Equity     </stp>
        <stp>TIME</stp>
        <stp>[XLSpdmV8.xls]XLSpdmV8!R38C6</stp>
        <tr r="F38" s="1"/>
      </tp>
      <tp t="s">
        <v>27/5/2016</v>
        <stp/>
        <stp>##V3_BDPV12</stp>
        <stp xml:space="preserve">11069 HK Equity     </stp>
        <stp>TIME</stp>
        <stp>[XLSpdmV8.xls]XLSpdmV8!R58C6</stp>
        <tr r="F58" s="1"/>
      </tp>
      <tp t="s">
        <v>27/5/2016</v>
        <stp/>
        <stp>##V3_BDPV12</stp>
        <stp xml:space="preserve">22799 HK Equity     </stp>
        <stp>TIME</stp>
        <stp>[XLSpdmV8.xls]XLSpdmV8!R57C6</stp>
        <tr r="F57" s="1"/>
      </tp>
      <tp t="s">
        <v>27/5/2016</v>
        <stp/>
        <stp>##V3_BDPV12</stp>
        <stp xml:space="preserve">26399 HK Equity     </stp>
        <stp>TIME</stp>
        <stp>[XLSpdmV8.xls]XLSpdmV8!R97C6</stp>
        <tr r="F97" s="1"/>
      </tp>
      <tp t="s">
        <v>Put</v>
        <stp/>
        <stp>##V3_BDPV12</stp>
        <stp xml:space="preserve">19187 HK Equity     </stp>
        <stp>WRT_PUT_OR_CALL</stp>
        <stp>[XLSpdmV8.xls]XLSpdmV8!R60C5</stp>
        <tr r="E60" s="1"/>
      </tp>
      <tp t="s">
        <v>Put</v>
        <stp/>
        <stp>##V3_BDPV12</stp>
        <stp xml:space="preserve">26143 HK Equity     </stp>
        <stp>WRT_PUT_OR_CALL</stp>
        <stp>[XLSpdmV8.xls]XLSpdmV8!R30C5</stp>
        <tr r="E30" s="1"/>
      </tp>
      <tp t="s">
        <v>Call</v>
        <stp/>
        <stp>##V3_BDPV12</stp>
        <stp xml:space="preserve">18856 HK Equity     </stp>
        <stp>WRT_PUT_OR_CALL</stp>
        <stp>[XLSpdmV8.xls]XLSpdmV8!R59C5</stp>
        <tr r="E59" s="1"/>
      </tp>
      <tp t="s">
        <v>Call</v>
        <stp/>
        <stp>##V3_BDPV12</stp>
        <stp xml:space="preserve">24108 HK Equity     </stp>
        <stp>WRT_PUT_OR_CALL</stp>
        <stp>[XLSpdmV8.xls]XLSpdmV8!R70C5</stp>
        <tr r="E70" s="1"/>
      </tp>
      <tp t="s">
        <v>Put</v>
        <stp/>
        <stp>##V3_BDPV12</stp>
        <stp xml:space="preserve">26712 HK Equity     </stp>
        <stp>WRT_PUT_OR_CALL</stp>
        <stp>[XLSpdmV8.xls]XLSpdmV8!R36C5</stp>
        <tr r="E36" s="1"/>
      </tp>
      <tp t="s">
        <v>Call</v>
        <stp/>
        <stp>##V3_BDPV12</stp>
        <stp xml:space="preserve">25712 HK Equity     </stp>
        <stp>WRT_PUT_OR_CALL</stp>
        <stp>[XLSpdmV8.xls]XLSpdmV8!R86C5</stp>
        <tr r="E86" s="1"/>
      </tp>
      <tp>
        <v>0.11899999999999999</v>
        <stp/>
        <stp>##V3_BDPV12</stp>
        <stp xml:space="preserve">27893 HK Equity     </stp>
        <stp>LAST_PRICE</stp>
        <stp>[XLSpdmV8.xls]XLSpdmV8!R227C3</stp>
        <tr r="C227" s="1"/>
      </tp>
      <tp>
        <v>1.7999999999999999E-2</v>
        <stp/>
        <stp>##V3_BDPV12</stp>
        <stp xml:space="preserve">24680 HK Equity     </stp>
        <stp>LAST_PRICE</stp>
        <stp>[XLSpdmV8.xls]XLSpdmV8!R189C3</stp>
        <tr r="C189" s="1"/>
      </tp>
      <tp>
        <v>0.01</v>
        <stp/>
        <stp>##V3_BDPV12</stp>
        <stp xml:space="preserve">18766 HK Equity     </stp>
        <stp>LAST_PRICE</stp>
        <stp>[XLSpdmV8.xls]XLSpdmV8!R178C3</stp>
        <tr r="C178" s="1"/>
      </tp>
      <tp>
        <v>0.158</v>
        <stp/>
        <stp>##V3_BDPV12</stp>
        <stp xml:space="preserve">26915 HK Equity     </stp>
        <stp>LAST_PRICE</stp>
        <stp>[XLSpdmV8.xls]XLSpdmV8!R216C3</stp>
        <tr r="C216" s="1"/>
      </tp>
      <tp>
        <v>9.6000000000000002E-2</v>
        <stp/>
        <stp>##V3_BDPV12</stp>
        <stp xml:space="preserve">25713 HK Equity     </stp>
        <stp>LAST_PRICE</stp>
        <stp>[XLSpdmV8.xls]XLSpdmV8!R148C3</stp>
        <tr r="C148" s="1"/>
      </tp>
      <tp>
        <v>0.13900000000000001</v>
        <stp/>
        <stp>##V3_BDPV12</stp>
        <stp xml:space="preserve">25804 HK Equity     </stp>
        <stp>LAST_PRICE</stp>
        <stp>[XLSpdmV8.xls]XLSpdmV8!R197C3</stp>
        <tr r="C197" s="1"/>
      </tp>
      <tp>
        <v>200000</v>
        <stp/>
        <stp>##V3_BDPV12</stp>
        <stp xml:space="preserve">26444 HK Equity     </stp>
        <stp>VOLUME</stp>
        <stp>[XLSpdmV8.xls]XLSpdmV8!R98C9</stp>
        <tr r="I98" s="1"/>
      </tp>
      <tp>
        <v>80000</v>
        <stp/>
        <stp>##V3_BDPV12</stp>
        <stp xml:space="preserve">27465 HK Equity     </stp>
        <stp>VOLUME</stp>
        <stp>[XLSpdmV8.xls]XLSpdmV8!R49C9</stp>
        <tr r="I49" s="1"/>
      </tp>
      <tp>
        <v>13540000</v>
        <stp/>
        <stp>##V3_BDPV12</stp>
        <stp xml:space="preserve">26764 HK Equity     </stp>
        <stp>VOLUME</stp>
        <stp>[XLSpdmV8.xls]XLSpdmV8!R38C9</stp>
        <tr r="I38" s="1"/>
      </tp>
      <tp>
        <v>210000</v>
        <stp/>
        <stp>##V3_BDPV12</stp>
        <stp xml:space="preserve">26052 HK Equity     </stp>
        <stp>VOLUME</stp>
        <stp>[XLSpdmV8.xls]XLSpdmV8!R28C9</stp>
        <tr r="I28" s="1"/>
      </tp>
      <tp t="s">
        <v>27/5/2016</v>
        <stp/>
        <stp>##V3_BDPV12</stp>
        <stp xml:space="preserve">25270 HK Equity     </stp>
        <stp>TIME</stp>
        <stp>[XLSpdmV8.xls]XLSpdmV8!R78C6</stp>
        <tr r="F78" s="1"/>
      </tp>
      <tp t="s">
        <v>27/5/2016</v>
        <stp/>
        <stp>##V3_BDPV12</stp>
        <stp xml:space="preserve">26390 HK Equity     </stp>
        <stp>TIME</stp>
        <stp>[XLSpdmV8.xls]XLSpdmV8!R96C6</stp>
        <tr r="F96" s="1"/>
      </tp>
      <tp t="s">
        <v>27/5/2016</v>
        <stp/>
        <stp>##V3_BDPV12</stp>
        <stp xml:space="preserve">23287 HK Equity     </stp>
        <stp>TIME</stp>
        <stp>[XLSpdmV8.xls]XLSpdmV8!R67C6</stp>
        <tr r="F67" s="1"/>
      </tp>
      <tp t="s">
        <v>27/5/2016</v>
        <stp/>
        <stp>##V3_BDPV12</stp>
        <stp xml:space="preserve">25787 HK Equity     </stp>
        <stp>TIME</stp>
        <stp>[XLSpdmV8.xls]XLSpdmV8!R87C6</stp>
        <tr r="F87" s="1"/>
      </tp>
      <tp t="s">
        <v>27/5/2016</v>
        <stp/>
        <stp>##V3_BDPV12</stp>
        <stp xml:space="preserve">27465 HK Equity     </stp>
        <stp>TIME</stp>
        <stp>[XLSpdmV8.xls]XLSpdmV8!R49C6</stp>
        <tr r="F4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brary" refreshedDate="42519.765596990743" createdVersion="5" refreshedVersion="5" minRefreshableVersion="3" recordCount="231">
  <cacheSource type="worksheet">
    <worksheetSource ref="A1:K232" sheet="Source"/>
  </cacheSource>
  <cacheFields count="11">
    <cacheField name="Ticker" numFmtId="0">
      <sharedItems count="231">
        <s v="25090 HK Equity"/>
        <s v="11062 HK Equity"/>
        <s v="12276 HK Equity"/>
        <s v="14950 HK Equity"/>
        <s v="20513 HK Equity"/>
        <s v="23383 HK Equity"/>
        <s v="23517 HK Equity"/>
        <s v="23535 HK Equity"/>
        <s v="23975 HK Equity"/>
        <s v="24107 HK Equity"/>
        <s v="24137 HK Equity"/>
        <s v="24376 HK Equity"/>
        <s v="24425 HK Equity"/>
        <s v="24684 HK Equity"/>
        <s v="24830 HK Equity"/>
        <s v="25447 HK Equity"/>
        <s v="25548 HK Equity"/>
        <s v="25599 HK Equity"/>
        <s v="25625 HK Equity"/>
        <s v="25660 HK Equity"/>
        <s v="25698 HK Equity"/>
        <s v="25722 HK Equity"/>
        <s v="25919 HK Equity"/>
        <s v="25946 HK Equity"/>
        <s v="25984 HK Equity"/>
        <s v="25994 HK Equity"/>
        <s v="26052 HK Equity"/>
        <s v="26092 HK Equity"/>
        <s v="26143 HK Equity"/>
        <s v="26190 HK Equity"/>
        <s v="26225 HK Equity"/>
        <s v="26488 HK Equity"/>
        <s v="26668 HK Equity"/>
        <s v="26704 HK Equity"/>
        <s v="26712 HK Equity"/>
        <s v="26747 HK Equity"/>
        <s v="26764 HK Equity"/>
        <s v="26788 HK Equity"/>
        <s v="26849 HK Equity"/>
        <s v="26921 HK Equity"/>
        <s v="26939 HK Equity"/>
        <s v="26987 HK Equity"/>
        <s v="27157 HK Equity"/>
        <s v="27177 HK Equity"/>
        <s v="27286 HK Equity"/>
        <s v="27360 HK Equity"/>
        <s v="27438 HK Equity"/>
        <s v="27465 HK Equity"/>
        <s v="27594 HK Equity"/>
        <s v="27608 HK Equity"/>
        <s v="27666 HK Equity"/>
        <s v="27828 HK Equity"/>
        <s v="27894 HK Equity"/>
        <s v="23970 HK Equity"/>
        <s v="24451 HK Equity"/>
        <s v="22799 HK Equity"/>
        <s v="11069 HK Equity"/>
        <s v="18856 HK Equity"/>
        <s v="19187 HK Equity"/>
        <s v="20411 HK Equity"/>
        <s v="20537 HK Equity"/>
        <s v="20588 HK Equity"/>
        <s v="21009 HK Equity"/>
        <s v="21875 HK Equity"/>
        <s v="22822 HK Equity"/>
        <s v="23287 HK Equity"/>
        <s v="23522 HK Equity"/>
        <s v="23538 HK Equity"/>
        <s v="24108 HK Equity"/>
        <s v="24166 HK Equity"/>
        <s v="24262 HK Equity"/>
        <s v="24315 HK Equity"/>
        <s v="24427 HK Equity"/>
        <s v="24688 HK Equity"/>
        <s v="24831 HK Equity"/>
        <s v="25195 HK Equity"/>
        <s v="25270 HK Equity"/>
        <s v="25326 HK Equity"/>
        <s v="25376 HK Equity"/>
        <s v="25473 HK Equity"/>
        <s v="25579 HK Equity"/>
        <s v="25600 HK Equity"/>
        <s v="25662 HK Equity"/>
        <s v="25679 HK Equity"/>
        <s v="25712 HK Equity"/>
        <s v="25787 HK Equity"/>
        <s v="25898 HK Equity"/>
        <s v="25909 HK Equity"/>
        <s v="25915 HK Equity"/>
        <s v="25959 HK Equity"/>
        <s v="26121 HK Equity"/>
        <s v="26147 HK Equity"/>
        <s v="26191 HK Equity"/>
        <s v="26319 HK Equity"/>
        <s v="26390 HK Equity"/>
        <s v="26399 HK Equity"/>
        <s v="26444 HK Equity"/>
        <s v="26511 HK Equity"/>
        <s v="26540 HK Equity"/>
        <s v="26583 HK Equity"/>
        <s v="26748 HK Equity"/>
        <s v="26756 HK Equity"/>
        <s v="26874 HK Equity"/>
        <s v="26896 HK Equity"/>
        <s v="27077 HK Equity"/>
        <s v="27111 HK Equity"/>
        <s v="27321 HK Equity"/>
        <s v="27356 HK Equity"/>
        <s v="27382 HK Equity"/>
        <s v="27394 HK Equity"/>
        <s v="27596 HK Equity"/>
        <s v="27821 HK Equity"/>
        <s v="27914 HK Equity"/>
        <s v="28080 HK Equity"/>
        <s v="28129 HK Equity"/>
        <s v="28167 HK Equity"/>
        <s v="25489 HK Equity"/>
        <s v="26014 HK Equity"/>
        <s v="11153 HK Equity"/>
        <s v="11321 HK Equity"/>
        <s v="20546 HK Equity"/>
        <s v="21028 HK Equity"/>
        <s v="21729 HK Equity"/>
        <s v="21852 HK Equity"/>
        <s v="22156 HK Equity"/>
        <s v="22313 HK Equity"/>
        <s v="22353 HK Equity"/>
        <s v="22990 HK Equity"/>
        <s v="22997 HK Equity"/>
        <s v="23055 HK Equity"/>
        <s v="23523 HK Equity"/>
        <s v="23683 HK Equity"/>
        <s v="23841 HK Equity"/>
        <s v="24167 HK Equity"/>
        <s v="24429 HK Equity"/>
        <s v="24691 HK Equity"/>
        <s v="24821 HK Equity"/>
        <s v="25146 HK Equity"/>
        <s v="25236 HK Equity"/>
        <s v="25272 HK Equity"/>
        <s v="25306 HK Equity"/>
        <s v="25357 HK Equity"/>
        <s v="25377 HK Equity"/>
        <s v="25457 HK Equity"/>
        <s v="25479 HK Equity"/>
        <s v="25618 HK Equity"/>
        <s v="25713 HK Equity"/>
        <s v="25803 HK Equity"/>
        <s v="25901 HK Equity"/>
        <s v="25910 HK Equity"/>
        <s v="25916 HK Equity"/>
        <s v="25948 HK Equity"/>
        <s v="25960 HK Equity"/>
        <s v="25986 HK Equity"/>
        <s v="26036 HK Equity"/>
        <s v="26201 HK Equity"/>
        <s v="26206 HK Equity"/>
        <s v="26320 HK Equity"/>
        <s v="26362 HK Equity"/>
        <s v="26485 HK Equity"/>
        <s v="26532 HK Equity"/>
        <s v="26559 HK Equity"/>
        <s v="26585 HK Equity"/>
        <s v="26753 HK Equity"/>
        <s v="27112 HK Equity"/>
        <s v="27188 HK Equity"/>
        <s v="27280 HK Equity"/>
        <s v="27284 HK Equity"/>
        <s v="27422 HK Equity"/>
        <s v="27562 HK Equity"/>
        <s v="27891 HK Equity"/>
        <s v="28081 HK Equity"/>
        <s v="28131 HK Equity"/>
        <s v="24452 HK Equity"/>
        <s v="29179 HK Equity"/>
        <s v="11158 HK Equity"/>
        <s v="18766 HK Equity"/>
        <s v="20431 HK Equity"/>
        <s v="22235 HK Equity"/>
        <s v="22320 HK Equity"/>
        <s v="22947 HK Equity"/>
        <s v="22993 HK Equity"/>
        <s v="23524 HK Equity"/>
        <s v="23885 HK Equity"/>
        <s v="24106 HK Equity"/>
        <s v="24374 HK Equity"/>
        <s v="24663 HK Equity"/>
        <s v="24680 HK Equity"/>
        <s v="24712 HK Equity"/>
        <s v="24825 HK Equity"/>
        <s v="24984 HK Equity"/>
        <s v="25483 HK Equity"/>
        <s v="25561 HK Equity"/>
        <s v="25686 HK Equity"/>
        <s v="25720 HK Equity"/>
        <s v="25804 HK Equity"/>
        <s v="25808 HK Equity"/>
        <s v="25902 HK Equity"/>
        <s v="25917 HK Equity"/>
        <s v="25949 HK Equity"/>
        <s v="25969 HK Equity"/>
        <s v="26020 HK Equity"/>
        <s v="26037 HK Equity"/>
        <s v="26064 HK Equity"/>
        <s v="26106 HK Equity"/>
        <s v="26142 HK Equity"/>
        <s v="26155 HK Equity"/>
        <s v="26329 HK Equity"/>
        <s v="26487 HK Equity"/>
        <s v="26491 HK Equity"/>
        <s v="26589 HK Equity"/>
        <s v="26667 HK Equity"/>
        <s v="26703 HK Equity"/>
        <s v="26717 HK Equity"/>
        <s v="26915 HK Equity"/>
        <s v="27129 HK Equity"/>
        <s v="27153 HK Equity"/>
        <s v="27351 HK Equity"/>
        <s v="27359 HK Equity"/>
        <s v="27459 HK Equity"/>
        <s v="27559 HK Equity"/>
        <s v="27564 HK Equity"/>
        <s v="27592 HK Equity"/>
        <s v="27760 HK Equity"/>
        <s v="27827 HK Equity"/>
        <s v="27893 HK Equity"/>
        <s v="28025 HK Equity"/>
        <s v="28120 HK Equity"/>
        <s v="28172 HK Equity"/>
        <s v="28374 HK Equity"/>
        <s v="28393 HK Equity"/>
      </sharedItems>
    </cacheField>
    <cacheField name="Exer Px" numFmtId="0">
      <sharedItems containsSemiMixedTypes="0" containsString="0" containsNumber="1" containsInteger="1" minValue="16888" maxValue="25400" count="83">
        <n v="22308"/>
        <n v="19600"/>
        <n v="21000"/>
        <n v="25000"/>
        <n v="25400"/>
        <n v="23600"/>
        <n v="22000"/>
        <n v="24288"/>
        <n v="22600"/>
        <n v="23300"/>
        <n v="20000"/>
        <n v="20400"/>
        <n v="21600"/>
        <n v="18400"/>
        <n v="17600"/>
        <n v="19000"/>
        <n v="20088"/>
        <n v="17800"/>
        <n v="18000"/>
        <n v="19800"/>
        <n v="18968"/>
        <n v="20800"/>
        <n v="21498"/>
        <n v="19500"/>
        <n v="19400"/>
        <n v="20600"/>
        <n v="19200"/>
        <n v="19708"/>
        <n v="21400"/>
        <n v="21800"/>
        <n v="20200"/>
        <n v="21500"/>
        <n v="21088"/>
        <n v="21900"/>
        <n v="25288"/>
        <n v="20900"/>
        <n v="25118"/>
        <n v="22800"/>
        <n v="23800"/>
        <n v="24400"/>
        <n v="23500"/>
        <n v="22700"/>
        <n v="23200"/>
        <n v="21100"/>
        <n v="22200"/>
        <n v="18908"/>
        <n v="19088"/>
        <n v="19488"/>
        <n v="20698"/>
        <n v="19408"/>
        <n v="18600"/>
        <n v="17000"/>
        <n v="17500"/>
        <n v="18800"/>
        <n v="18888"/>
        <n v="19888"/>
        <n v="19168"/>
        <n v="24500"/>
        <n v="22100"/>
        <n v="23288"/>
        <n v="23000"/>
        <n v="22500"/>
        <n v="20488"/>
        <n v="18708"/>
        <n v="17448"/>
        <n v="20298"/>
        <n v="18308"/>
        <n v="20300"/>
        <n v="19288"/>
        <n v="24518"/>
        <n v="22088"/>
        <n v="20500"/>
        <n v="18500"/>
        <n v="16888"/>
        <n v="17200"/>
        <n v="17988"/>
        <n v="19698"/>
        <n v="18588"/>
        <n v="19108"/>
        <n v="22108"/>
        <n v="19710"/>
        <n v="19768"/>
        <n v="18828"/>
      </sharedItems>
    </cacheField>
    <cacheField name="Curr Px" numFmtId="0">
      <sharedItems containsMixedTypes="1" containsNumber="1" minValue="0.01" maxValue="0.65" count="123">
        <n v="0.01"/>
        <n v="3.1E-2"/>
        <n v="1.7000000000000001E-2"/>
        <n v="1.4999999999999999E-2"/>
        <n v="0.18"/>
        <n v="1.9E-2"/>
        <n v="1.6E-2"/>
        <n v="0.13300000000000001"/>
        <n v="5.7000000000000002E-2"/>
        <n v="0.154"/>
        <n v="1.7999999999999999E-2"/>
        <n v="6.8000000000000005E-2"/>
        <n v="7.8E-2"/>
        <n v="0.05"/>
        <n v="0.21"/>
        <n v="4.4999999999999998E-2"/>
        <n v="6.7000000000000004E-2"/>
        <n v="0.191"/>
        <n v="0.03"/>
        <n v="0.215"/>
        <n v="2.9000000000000001E-2"/>
        <n v="3.7999999999999999E-2"/>
        <n v="0.158"/>
        <n v="6.6000000000000003E-2"/>
        <n v="6.2E-2"/>
        <n v="5.1999999999999998E-2"/>
        <n v="0.06"/>
        <n v="8.6999999999999994E-2"/>
        <n v="8.7999999999999995E-2"/>
        <n v="5.8999999999999997E-2"/>
        <s v="#N/A N/A"/>
        <n v="5.5E-2"/>
        <n v="0.14299999999999999"/>
        <n v="0.14499999999999999"/>
        <n v="0.185"/>
        <n v="0.19900000000000001"/>
        <n v="0.113"/>
        <n v="0.65"/>
        <n v="0.41"/>
        <n v="1.2999999999999999E-2"/>
        <n v="0.39"/>
        <n v="0.17399999999999999"/>
        <n v="7.3999999999999996E-2"/>
        <n v="0.184"/>
        <n v="0.223"/>
        <n v="3.5000000000000003E-2"/>
        <n v="7.4999999999999997E-2"/>
        <n v="0.10299999999999999"/>
        <n v="0.16200000000000001"/>
        <n v="9.9000000000000005E-2"/>
        <n v="0.15"/>
        <n v="0.16300000000000001"/>
        <n v="0.13400000000000001"/>
        <n v="0.17799999999999999"/>
        <n v="0.09"/>
        <n v="5.2999999999999999E-2"/>
        <n v="4.9000000000000002E-2"/>
        <n v="2.7E-2"/>
        <n v="0.20899999999999999"/>
        <n v="6.5000000000000002E-2"/>
        <n v="4.8000000000000001E-2"/>
        <n v="0.161"/>
        <n v="8.1000000000000003E-2"/>
        <n v="6.3E-2"/>
        <n v="7.1999999999999995E-2"/>
        <n v="6.4000000000000001E-2"/>
        <n v="6.9000000000000006E-2"/>
        <n v="0.17599999999999999"/>
        <n v="0.125"/>
        <n v="0.193"/>
        <n v="0.17899999999999999"/>
        <n v="9.6000000000000002E-2"/>
        <n v="8.5000000000000006E-2"/>
        <n v="0.20100000000000001"/>
        <n v="5.0999999999999997E-2"/>
        <n v="7.0999999999999994E-2"/>
        <n v="0.25"/>
        <n v="0.48"/>
        <n v="0.24199999999999999"/>
        <n v="1.4E-2"/>
        <n v="0.121"/>
        <n v="2.4E-2"/>
        <n v="0.246"/>
        <n v="4.7E-2"/>
        <n v="7.2999999999999995E-2"/>
        <n v="5.6000000000000001E-2"/>
        <n v="8.3000000000000004E-2"/>
        <n v="0.11"/>
        <n v="0.20300000000000001"/>
        <n v="0.16400000000000001"/>
        <n v="4.3999999999999997E-2"/>
        <n v="0.28000000000000003"/>
        <n v="3.4000000000000002E-2"/>
        <n v="0.13800000000000001"/>
        <n v="0.155"/>
        <n v="6.0999999999999999E-2"/>
        <n v="0.17699999999999999"/>
        <n v="0.19"/>
        <n v="0.153"/>
        <n v="0.13"/>
        <n v="0.02"/>
        <n v="0.39500000000000002"/>
        <n v="0.32"/>
        <n v="0.31"/>
        <n v="0.20200000000000001"/>
        <n v="0.186"/>
        <n v="7.9000000000000001E-2"/>
        <n v="0.23"/>
        <n v="0.13900000000000001"/>
        <n v="0.2"/>
        <n v="4.1000000000000002E-2"/>
        <n v="9.2999999999999999E-2"/>
        <n v="0.29499999999999998"/>
        <n v="0.04"/>
        <n v="0.23200000000000001"/>
        <n v="0.111"/>
        <n v="7.0000000000000007E-2"/>
        <n v="0.08"/>
        <n v="8.2000000000000003E-2"/>
        <n v="0.19600000000000001"/>
        <n v="4.2999999999999997E-2"/>
        <n v="0.11899999999999999"/>
        <n v="0.19700000000000001"/>
      </sharedItems>
    </cacheField>
    <cacheField name="Exer Dt" numFmtId="0">
      <sharedItems count="6">
        <s v="29/6/2016"/>
        <s v="30/5/2016"/>
        <s v="28/7/2016"/>
        <s v="30/8/2016"/>
        <s v="29/9/2016"/>
        <s v="28/10/2016"/>
      </sharedItems>
    </cacheField>
    <cacheField name="P/C" numFmtId="0">
      <sharedItems count="2">
        <s v="Call"/>
        <s v="Put"/>
      </sharedItems>
    </cacheField>
    <cacheField name="Time" numFmtId="0">
      <sharedItems/>
    </cacheField>
    <cacheField name="Pct Chg on Day" numFmtId="0">
      <sharedItems containsMixedTypes="1" containsNumber="1" minValue="-22.368400999999999" maxValue="1660"/>
    </cacheField>
    <cacheField name="Chg on Day" numFmtId="0">
      <sharedItems containsMixedTypes="1" containsNumber="1" minValue="-0.03" maxValue="0.16600000000000001"/>
    </cacheField>
    <cacheField name="Volume" numFmtId="0">
      <sharedItems containsMixedTypes="1" containsNumber="1" containsInteger="1" minValue="0" maxValue="3526730000"/>
    </cacheField>
    <cacheField name="Bid" numFmtId="0">
      <sharedItems containsMixedTypes="1" containsNumber="1" minValue="1.2E-2" maxValue="0.6"/>
    </cacheField>
    <cacheField name="Ask" numFmtId="0">
      <sharedItems containsMixedTypes="1" containsNumber="1" minValue="0.01" maxValue="0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1">
  <r>
    <x v="0"/>
    <x v="0"/>
    <x v="0"/>
    <x v="0"/>
    <x v="0"/>
    <s v="27/5/2016"/>
    <n v="0"/>
    <n v="0"/>
    <n v="0"/>
    <s v="#N/A N/A"/>
    <n v="0.01"/>
  </r>
  <r>
    <x v="1"/>
    <x v="1"/>
    <x v="1"/>
    <x v="1"/>
    <x v="0"/>
    <s v="27/5/2016"/>
    <n v="0"/>
    <n v="0"/>
    <n v="0"/>
    <s v="#N/A N/A"/>
    <s v="#N/A N/A"/>
  </r>
  <r>
    <x v="2"/>
    <x v="2"/>
    <x v="2"/>
    <x v="0"/>
    <x v="0"/>
    <s v="27/5/2016"/>
    <n v="30.769199"/>
    <n v="4.0000000000000001E-3"/>
    <n v="12630000"/>
    <n v="1.6E-2"/>
    <n v="1.7000000000000001E-2"/>
  </r>
  <r>
    <x v="3"/>
    <x v="3"/>
    <x v="0"/>
    <x v="0"/>
    <x v="0"/>
    <s v="27/5/2016"/>
    <n v="0"/>
    <n v="0"/>
    <n v="0"/>
    <s v="#N/A N/A"/>
    <n v="0.01"/>
  </r>
  <r>
    <x v="4"/>
    <x v="4"/>
    <x v="3"/>
    <x v="0"/>
    <x v="0"/>
    <s v="27/5/2016"/>
    <n v="0"/>
    <n v="0"/>
    <n v="0"/>
    <s v="#N/A N/A"/>
    <s v="#N/A N/A"/>
  </r>
  <r>
    <x v="5"/>
    <x v="5"/>
    <x v="0"/>
    <x v="2"/>
    <x v="0"/>
    <s v="27/5/2016"/>
    <n v="0"/>
    <n v="0"/>
    <n v="0"/>
    <s v="#N/A N/A"/>
    <n v="0.01"/>
  </r>
  <r>
    <x v="6"/>
    <x v="6"/>
    <x v="0"/>
    <x v="0"/>
    <x v="0"/>
    <s v="27/5/2016"/>
    <n v="0"/>
    <n v="0"/>
    <n v="0"/>
    <s v="#N/A N/A"/>
    <s v="#N/A N/A"/>
  </r>
  <r>
    <x v="7"/>
    <x v="2"/>
    <x v="4"/>
    <x v="3"/>
    <x v="1"/>
    <s v="27/5/2016"/>
    <n v="-9.0909099999999992"/>
    <n v="-1.7999999999999999E-2"/>
    <n v="380000"/>
    <n v="0.17899999999999999"/>
    <s v="#N/A N/A"/>
  </r>
  <r>
    <x v="8"/>
    <x v="7"/>
    <x v="0"/>
    <x v="1"/>
    <x v="0"/>
    <s v="27/5/2016"/>
    <n v="0"/>
    <n v="0"/>
    <n v="0"/>
    <s v="#N/A N/A"/>
    <s v="#N/A N/A"/>
  </r>
  <r>
    <x v="9"/>
    <x v="8"/>
    <x v="5"/>
    <x v="3"/>
    <x v="0"/>
    <s v="27/5/2016"/>
    <n v="26.666699999999999"/>
    <n v="4.0000000000000001E-3"/>
    <n v="2090000"/>
    <n v="1.9E-2"/>
    <n v="0.02"/>
  </r>
  <r>
    <x v="10"/>
    <x v="9"/>
    <x v="3"/>
    <x v="1"/>
    <x v="0"/>
    <s v="27/5/2016"/>
    <n v="0"/>
    <n v="0"/>
    <n v="0"/>
    <s v="#N/A N/A"/>
    <s v="#N/A N/A"/>
  </r>
  <r>
    <x v="11"/>
    <x v="2"/>
    <x v="6"/>
    <x v="0"/>
    <x v="0"/>
    <s v="27/5/2016"/>
    <n v="33.333302000000003"/>
    <n v="4.0000000000000001E-3"/>
    <n v="3460000"/>
    <n v="1.4E-2"/>
    <n v="1.7000000000000001E-2"/>
  </r>
  <r>
    <x v="12"/>
    <x v="2"/>
    <x v="7"/>
    <x v="0"/>
    <x v="1"/>
    <s v="27/5/2016"/>
    <n v="-13.071899999999999"/>
    <n v="-0.02"/>
    <n v="100000"/>
    <n v="0.128"/>
    <n v="0.13300000000000001"/>
  </r>
  <r>
    <x v="13"/>
    <x v="10"/>
    <x v="8"/>
    <x v="0"/>
    <x v="1"/>
    <s v="27/5/2016"/>
    <n v="-19.718299999999999"/>
    <n v="-1.4E-2"/>
    <n v="12760000"/>
    <n v="5.7000000000000002E-2"/>
    <n v="5.8999999999999997E-2"/>
  </r>
  <r>
    <x v="14"/>
    <x v="11"/>
    <x v="9"/>
    <x v="4"/>
    <x v="1"/>
    <s v="27/5/2016"/>
    <n v="-7.2289199999999996"/>
    <n v="-1.2E-2"/>
    <n v="0"/>
    <n v="0.152"/>
    <n v="0.154"/>
  </r>
  <r>
    <x v="15"/>
    <x v="12"/>
    <x v="10"/>
    <x v="2"/>
    <x v="0"/>
    <s v="27/5/2016"/>
    <n v="5.8823499999999997"/>
    <n v="1E-3"/>
    <n v="0"/>
    <n v="1.7999999999999999E-2"/>
    <n v="2.3E-2"/>
  </r>
  <r>
    <x v="16"/>
    <x v="13"/>
    <x v="11"/>
    <x v="4"/>
    <x v="1"/>
    <s v="27/5/2016"/>
    <n v="-8.1081099999999999"/>
    <n v="-6.0000000000000001E-3"/>
    <n v="21370000"/>
    <n v="6.7000000000000004E-2"/>
    <n v="6.8000000000000005E-2"/>
  </r>
  <r>
    <x v="17"/>
    <x v="10"/>
    <x v="12"/>
    <x v="0"/>
    <x v="0"/>
    <s v="27/5/2016"/>
    <n v="21.875"/>
    <n v="1.4E-2"/>
    <n v="200000"/>
    <n v="7.4999999999999997E-2"/>
    <n v="7.8E-2"/>
  </r>
  <r>
    <x v="18"/>
    <x v="14"/>
    <x v="13"/>
    <x v="4"/>
    <x v="1"/>
    <s v="27/5/2016"/>
    <n v="-13.793100000000001"/>
    <n v="-8.0000000000000002E-3"/>
    <n v="30470000"/>
    <s v="#N/A N/A"/>
    <s v="#N/A N/A"/>
  </r>
  <r>
    <x v="19"/>
    <x v="15"/>
    <x v="14"/>
    <x v="2"/>
    <x v="0"/>
    <s v="27/5/2016"/>
    <n v="8.8082899999999995"/>
    <n v="1.7000000000000001E-2"/>
    <n v="0"/>
    <n v="0.20899999999999999"/>
    <n v="0.21199999999999999"/>
  </r>
  <r>
    <x v="20"/>
    <x v="13"/>
    <x v="15"/>
    <x v="3"/>
    <x v="1"/>
    <s v="27/5/2016"/>
    <n v="-11.764699999999999"/>
    <n v="-6.0000000000000001E-3"/>
    <n v="1107600000"/>
    <n v="4.3999999999999997E-2"/>
    <n v="4.5999999999999999E-2"/>
  </r>
  <r>
    <x v="21"/>
    <x v="16"/>
    <x v="16"/>
    <x v="0"/>
    <x v="0"/>
    <s v="27/5/2016"/>
    <n v="31.372499000000001"/>
    <n v="1.6E-2"/>
    <n v="5790000"/>
    <s v="#N/A N/A"/>
    <s v="#N/A N/A"/>
  </r>
  <r>
    <x v="22"/>
    <x v="15"/>
    <x v="17"/>
    <x v="2"/>
    <x v="0"/>
    <s v="27/5/2016"/>
    <n v="8.5227299999999993"/>
    <n v="1.4999999999999999E-2"/>
    <n v="0"/>
    <n v="0.191"/>
    <n v="0.193"/>
  </r>
  <r>
    <x v="23"/>
    <x v="17"/>
    <x v="18"/>
    <x v="3"/>
    <x v="1"/>
    <s v="27/5/2016"/>
    <n v="-9.0909099999999992"/>
    <n v="-3.0000000000000001E-3"/>
    <n v="6500000"/>
    <n v="2.9000000000000001E-2"/>
    <n v="3.1E-2"/>
  </r>
  <r>
    <x v="24"/>
    <x v="15"/>
    <x v="19"/>
    <x v="4"/>
    <x v="0"/>
    <s v="27/5/2016"/>
    <n v="6.4356400000000002"/>
    <n v="1.2999999999999999E-2"/>
    <n v="0"/>
    <n v="0.214"/>
    <n v="0.219"/>
  </r>
  <r>
    <x v="25"/>
    <x v="18"/>
    <x v="20"/>
    <x v="3"/>
    <x v="1"/>
    <s v="27/5/2016"/>
    <n v="-9.375"/>
    <n v="-3.0000000000000001E-3"/>
    <n v="3790000"/>
    <n v="2.9000000000000001E-2"/>
    <n v="3.1E-2"/>
  </r>
  <r>
    <x v="26"/>
    <x v="18"/>
    <x v="21"/>
    <x v="3"/>
    <x v="1"/>
    <s v="27/5/2016"/>
    <n v="-11.6279"/>
    <n v="-5.0000000000000001E-3"/>
    <n v="210000"/>
    <n v="3.5999999999999997E-2"/>
    <s v="#N/A N/A"/>
  </r>
  <r>
    <x v="27"/>
    <x v="19"/>
    <x v="22"/>
    <x v="3"/>
    <x v="0"/>
    <s v="27/5/2016"/>
    <n v="10.4895"/>
    <n v="1.4999999999999999E-2"/>
    <n v="39650000"/>
    <n v="0.157"/>
    <n v="0.16"/>
  </r>
  <r>
    <x v="28"/>
    <x v="20"/>
    <x v="0"/>
    <x v="1"/>
    <x v="1"/>
    <s v="27/5/2016"/>
    <n v="0"/>
    <n v="0"/>
    <n v="0"/>
    <s v="#N/A N/A"/>
    <s v="#N/A N/A"/>
  </r>
  <r>
    <x v="29"/>
    <x v="15"/>
    <x v="0"/>
    <x v="1"/>
    <x v="1"/>
    <s v="27/5/2016"/>
    <n v="0"/>
    <n v="0"/>
    <n v="0"/>
    <s v="#N/A N/A"/>
    <s v="#N/A N/A"/>
  </r>
  <r>
    <x v="30"/>
    <x v="21"/>
    <x v="23"/>
    <x v="2"/>
    <x v="0"/>
    <s v="27/5/2016"/>
    <n v="29.411799999999999"/>
    <n v="1.4999999999999999E-2"/>
    <n v="29810000"/>
    <n v="6.4000000000000001E-2"/>
    <n v="6.6000000000000003E-2"/>
  </r>
  <r>
    <x v="31"/>
    <x v="22"/>
    <x v="8"/>
    <x v="4"/>
    <x v="0"/>
    <s v="27/5/2016"/>
    <n v="18.75"/>
    <n v="8.9999999999999993E-3"/>
    <n v="54300000"/>
    <s v="#N/A N/A"/>
    <n v="5.7000000000000002E-2"/>
  </r>
  <r>
    <x v="32"/>
    <x v="13"/>
    <x v="24"/>
    <x v="4"/>
    <x v="1"/>
    <s v="27/5/2016"/>
    <n v="-8.8235299999999999"/>
    <n v="-6.0000000000000001E-3"/>
    <n v="0"/>
    <s v="#N/A N/A"/>
    <s v="#N/A N/A"/>
  </r>
  <r>
    <x v="33"/>
    <x v="23"/>
    <x v="25"/>
    <x v="2"/>
    <x v="1"/>
    <s v="27/5/2016"/>
    <n v="-13.333299999999999"/>
    <n v="-8.0000000000000002E-3"/>
    <n v="5940000"/>
    <n v="5.1999999999999998E-2"/>
    <n v="5.2999999999999999E-2"/>
  </r>
  <r>
    <x v="34"/>
    <x v="24"/>
    <x v="26"/>
    <x v="2"/>
    <x v="1"/>
    <s v="27/5/2016"/>
    <n v="-10.447800000000001"/>
    <n v="-7.0000000000000001E-3"/>
    <n v="76030000"/>
    <n v="0.06"/>
    <n v="6.0999999999999999E-2"/>
  </r>
  <r>
    <x v="35"/>
    <x v="25"/>
    <x v="27"/>
    <x v="3"/>
    <x v="0"/>
    <s v="27/5/2016"/>
    <n v="14.473699999999999"/>
    <n v="1.0999999999999999E-2"/>
    <n v="2460000"/>
    <n v="8.5999999999999993E-2"/>
    <n v="9.0999999999999998E-2"/>
  </r>
  <r>
    <x v="36"/>
    <x v="15"/>
    <x v="5"/>
    <x v="0"/>
    <x v="1"/>
    <s v="27/5/2016"/>
    <n v="-17.391300000000001"/>
    <n v="-4.0000000000000001E-3"/>
    <n v="13540000"/>
    <n v="1.7999999999999999E-2"/>
    <n v="0.02"/>
  </r>
  <r>
    <x v="37"/>
    <x v="2"/>
    <x v="28"/>
    <x v="4"/>
    <x v="0"/>
    <s v="27/5/2016"/>
    <n v="14.2857"/>
    <n v="1.0999999999999999E-2"/>
    <n v="3244970000"/>
    <n v="8.6999999999999994E-2"/>
    <n v="8.7999999999999995E-2"/>
  </r>
  <r>
    <x v="38"/>
    <x v="26"/>
    <x v="11"/>
    <x v="4"/>
    <x v="1"/>
    <s v="27/5/2016"/>
    <n v="-9.3333300000000001"/>
    <n v="-7.0000000000000001E-3"/>
    <n v="2590270000"/>
    <n v="6.8000000000000005E-2"/>
    <n v="6.9000000000000006E-2"/>
  </r>
  <r>
    <x v="39"/>
    <x v="27"/>
    <x v="29"/>
    <x v="2"/>
    <x v="1"/>
    <s v="27/5/2016"/>
    <n v="-19.178101000000002"/>
    <n v="-1.4E-2"/>
    <n v="5100000"/>
    <s v="#N/A N/A"/>
    <s v="#N/A N/A"/>
  </r>
  <r>
    <x v="40"/>
    <x v="24"/>
    <x v="30"/>
    <x v="2"/>
    <x v="1"/>
    <s v="#N/A N/A"/>
    <s v="#N/A N/A"/>
    <s v="#N/A N/A"/>
    <s v="#N/A N/A"/>
    <s v="#N/A N/A"/>
    <s v="#N/A N/A"/>
  </r>
  <r>
    <x v="41"/>
    <x v="28"/>
    <x v="31"/>
    <x v="3"/>
    <x v="0"/>
    <s v="27/5/2016"/>
    <n v="14.583299999999999"/>
    <n v="7.0000000000000001E-3"/>
    <n v="30700000"/>
    <n v="5.2999999999999999E-2"/>
    <n v="5.5E-2"/>
  </r>
  <r>
    <x v="42"/>
    <x v="6"/>
    <x v="24"/>
    <x v="5"/>
    <x v="0"/>
    <s v="27/5/2016"/>
    <n v="12.7273"/>
    <n v="7.0000000000000001E-3"/>
    <n v="36100000"/>
    <n v="6.0999999999999999E-2"/>
    <n v="6.2E-2"/>
  </r>
  <r>
    <x v="43"/>
    <x v="29"/>
    <x v="30"/>
    <x v="5"/>
    <x v="0"/>
    <s v="#N/A N/A"/>
    <s v="#N/A N/A"/>
    <s v="#N/A N/A"/>
    <s v="#N/A N/A"/>
    <s v="#N/A N/A"/>
    <s v="#N/A N/A"/>
  </r>
  <r>
    <x v="44"/>
    <x v="30"/>
    <x v="32"/>
    <x v="3"/>
    <x v="0"/>
    <s v="27/5/2016"/>
    <n v="12.5984"/>
    <n v="1.6E-2"/>
    <n v="60680000"/>
    <n v="0.14199999999999999"/>
    <n v="0.14399999999999999"/>
  </r>
  <r>
    <x v="45"/>
    <x v="10"/>
    <x v="33"/>
    <x v="5"/>
    <x v="1"/>
    <s v="27/5/2016"/>
    <n v="-9.375"/>
    <n v="-1.4999999999999999E-2"/>
    <n v="2150000"/>
    <n v="0.14199999999999999"/>
    <n v="0.14699999999999999"/>
  </r>
  <r>
    <x v="46"/>
    <x v="29"/>
    <x v="16"/>
    <x v="5"/>
    <x v="0"/>
    <s v="27/5/2016"/>
    <n v="6.3492100000000002"/>
    <n v="4.0000000000000001E-3"/>
    <n v="3526730000"/>
    <n v="6.7000000000000004E-2"/>
    <n v="6.8000000000000005E-2"/>
  </r>
  <r>
    <x v="47"/>
    <x v="28"/>
    <x v="14"/>
    <x v="5"/>
    <x v="1"/>
    <s v="27/5/2016"/>
    <n v="-6.6666699999999999"/>
    <n v="-1.4999999999999999E-2"/>
    <n v="80000"/>
    <n v="0.20899999999999999"/>
    <n v="0.21"/>
  </r>
  <r>
    <x v="48"/>
    <x v="31"/>
    <x v="34"/>
    <x v="2"/>
    <x v="1"/>
    <s v="27/5/2016"/>
    <n v="-9.3137299999999996"/>
    <n v="-1.9E-2"/>
    <n v="0"/>
    <n v="0.183"/>
    <n v="0.186"/>
  </r>
  <r>
    <x v="49"/>
    <x v="12"/>
    <x v="17"/>
    <x v="2"/>
    <x v="1"/>
    <s v="27/5/2016"/>
    <n v="-9.9056599999999992"/>
    <n v="-2.1000000000000001E-2"/>
    <n v="0"/>
    <n v="0.19"/>
    <n v="0.192"/>
  </r>
  <r>
    <x v="50"/>
    <x v="2"/>
    <x v="35"/>
    <x v="3"/>
    <x v="1"/>
    <s v="27/5/2016"/>
    <n v="-8.2949300000000008"/>
    <n v="-1.7999999999999999E-2"/>
    <n v="0"/>
    <n v="0.19700000000000001"/>
    <n v="0.2"/>
  </r>
  <r>
    <x v="51"/>
    <x v="32"/>
    <x v="30"/>
    <x v="3"/>
    <x v="1"/>
    <s v="#N/A N/A"/>
    <s v="#N/A N/A"/>
    <s v="#N/A N/A"/>
    <s v="#N/A N/A"/>
    <s v="#N/A N/A"/>
    <s v="#N/A N/A"/>
  </r>
  <r>
    <x v="52"/>
    <x v="33"/>
    <x v="30"/>
    <x v="5"/>
    <x v="0"/>
    <s v="#N/A N/A"/>
    <s v="#N/A N/A"/>
    <s v="#N/A N/A"/>
    <s v="#N/A N/A"/>
    <n v="6.7000000000000004E-2"/>
    <n v="6.9000000000000006E-2"/>
  </r>
  <r>
    <x v="53"/>
    <x v="34"/>
    <x v="0"/>
    <x v="0"/>
    <x v="0"/>
    <s v="27/5/2016"/>
    <n v="0"/>
    <n v="0"/>
    <n v="0"/>
    <s v="#N/A N/A"/>
    <s v="#N/A N/A"/>
  </r>
  <r>
    <x v="54"/>
    <x v="35"/>
    <x v="36"/>
    <x v="0"/>
    <x v="1"/>
    <s v="27/5/2016"/>
    <n v="-16.296301"/>
    <n v="-2.1999999999999999E-2"/>
    <n v="670000"/>
    <n v="0.111"/>
    <n v="0.11700000000000001"/>
  </r>
  <r>
    <x v="55"/>
    <x v="3"/>
    <x v="37"/>
    <x v="2"/>
    <x v="1"/>
    <s v="27/5/2016"/>
    <n v="-2.9850699999999999"/>
    <n v="-0.02"/>
    <n v="0"/>
    <n v="0.6"/>
    <n v="0.65"/>
  </r>
  <r>
    <x v="56"/>
    <x v="8"/>
    <x v="0"/>
    <x v="1"/>
    <x v="0"/>
    <s v="27/5/2016"/>
    <n v="0"/>
    <n v="0"/>
    <n v="0"/>
    <s v="#N/A N/A"/>
    <s v="#N/A N/A"/>
  </r>
  <r>
    <x v="57"/>
    <x v="36"/>
    <x v="0"/>
    <x v="0"/>
    <x v="0"/>
    <s v="27/5/2016"/>
    <n v="0"/>
    <n v="0"/>
    <n v="0"/>
    <s v="#N/A N/A"/>
    <n v="0.01"/>
  </r>
  <r>
    <x v="58"/>
    <x v="37"/>
    <x v="38"/>
    <x v="1"/>
    <x v="1"/>
    <s v="27/5/2016"/>
    <n v="0"/>
    <n v="0"/>
    <n v="0"/>
    <s v="#N/A N/A"/>
    <s v="#N/A N/A"/>
  </r>
  <r>
    <x v="59"/>
    <x v="38"/>
    <x v="0"/>
    <x v="1"/>
    <x v="0"/>
    <s v="27/5/2016"/>
    <n v="0"/>
    <n v="0"/>
    <n v="0"/>
    <s v="#N/A N/A"/>
    <s v="#N/A N/A"/>
  </r>
  <r>
    <x v="60"/>
    <x v="39"/>
    <x v="39"/>
    <x v="1"/>
    <x v="0"/>
    <s v="27/5/2016"/>
    <n v="0"/>
    <n v="0"/>
    <n v="0"/>
    <s v="#N/A N/A"/>
    <s v="#N/A N/A"/>
  </r>
  <r>
    <x v="61"/>
    <x v="3"/>
    <x v="30"/>
    <x v="0"/>
    <x v="0"/>
    <s v="#N/A N/A"/>
    <s v="#N/A N/A"/>
    <s v="#N/A N/A"/>
    <s v="#N/A N/A"/>
    <s v="#N/A N/A"/>
    <s v="#N/A N/A"/>
  </r>
  <r>
    <x v="62"/>
    <x v="40"/>
    <x v="40"/>
    <x v="0"/>
    <x v="1"/>
    <s v="27/5/2016"/>
    <n v="-6.0240999999999998"/>
    <n v="-2.5000000000000001E-2"/>
    <n v="120000"/>
    <n v="0.375"/>
    <n v="0.4"/>
  </r>
  <r>
    <x v="63"/>
    <x v="39"/>
    <x v="30"/>
    <x v="1"/>
    <x v="0"/>
    <s v="#N/A N/A"/>
    <s v="#N/A N/A"/>
    <s v="#N/A N/A"/>
    <s v="#N/A N/A"/>
    <s v="#N/A N/A"/>
    <s v="#N/A N/A"/>
  </r>
  <r>
    <x v="64"/>
    <x v="10"/>
    <x v="25"/>
    <x v="0"/>
    <x v="1"/>
    <s v="27/5/2016"/>
    <n v="-17.4603"/>
    <n v="-1.0999999999999999E-2"/>
    <n v="18290000"/>
    <n v="5.0999999999999997E-2"/>
    <n v="5.3999999999999999E-2"/>
  </r>
  <r>
    <x v="65"/>
    <x v="41"/>
    <x v="0"/>
    <x v="1"/>
    <x v="0"/>
    <s v="27/5/2016"/>
    <n v="0"/>
    <n v="0"/>
    <n v="0"/>
    <s v="#N/A N/A"/>
    <s v="#N/A N/A"/>
  </r>
  <r>
    <x v="66"/>
    <x v="8"/>
    <x v="2"/>
    <x v="3"/>
    <x v="0"/>
    <s v="27/5/2016"/>
    <n v="13.333299999999999"/>
    <n v="2E-3"/>
    <n v="0"/>
    <s v="#N/A N/A"/>
    <s v="#N/A N/A"/>
  </r>
  <r>
    <x v="67"/>
    <x v="25"/>
    <x v="41"/>
    <x v="4"/>
    <x v="1"/>
    <s v="27/5/2016"/>
    <n v="-7.9365100000000002"/>
    <n v="-1.4999999999999999E-2"/>
    <n v="980000"/>
    <n v="0.17100000000000001"/>
    <n v="0.21"/>
  </r>
  <r>
    <x v="68"/>
    <x v="42"/>
    <x v="10"/>
    <x v="4"/>
    <x v="0"/>
    <s v="27/5/2016"/>
    <n v="12.5"/>
    <n v="2E-3"/>
    <n v="1520000"/>
    <n v="1.4999999999999999E-2"/>
    <n v="0.02"/>
  </r>
  <r>
    <x v="69"/>
    <x v="6"/>
    <x v="0"/>
    <x v="0"/>
    <x v="0"/>
    <s v="27/5/2016"/>
    <n v="0"/>
    <n v="0"/>
    <n v="0"/>
    <s v="#N/A N/A"/>
    <n v="0.01"/>
  </r>
  <r>
    <x v="70"/>
    <x v="43"/>
    <x v="3"/>
    <x v="0"/>
    <x v="0"/>
    <s v="27/5/2016"/>
    <n v="50"/>
    <n v="5.0000000000000001E-3"/>
    <n v="3960000"/>
    <n v="1.2E-2"/>
    <n v="1.7999999999999999E-2"/>
  </r>
  <r>
    <x v="71"/>
    <x v="10"/>
    <x v="42"/>
    <x v="0"/>
    <x v="0"/>
    <s v="27/5/2016"/>
    <n v="23.333300000000001"/>
    <n v="1.4E-2"/>
    <n v="19750000"/>
    <n v="6.9000000000000006E-2"/>
    <n v="7.3999999999999996E-2"/>
  </r>
  <r>
    <x v="72"/>
    <x v="31"/>
    <x v="43"/>
    <x v="2"/>
    <x v="1"/>
    <s v="27/5/2016"/>
    <n v="-9.8039199999999997"/>
    <n v="-0.02"/>
    <n v="0"/>
    <n v="0.17899999999999999"/>
    <n v="0.184"/>
  </r>
  <r>
    <x v="73"/>
    <x v="44"/>
    <x v="0"/>
    <x v="0"/>
    <x v="0"/>
    <s v="27/5/2016"/>
    <n v="0"/>
    <n v="0"/>
    <n v="0"/>
    <s v="#N/A N/A"/>
    <n v="0.01"/>
  </r>
  <r>
    <x v="74"/>
    <x v="12"/>
    <x v="44"/>
    <x v="0"/>
    <x v="1"/>
    <s v="27/5/2016"/>
    <n v="-9.3495899999999992"/>
    <n v="-2.3E-2"/>
    <n v="0"/>
    <n v="0.222"/>
    <n v="0.224"/>
  </r>
  <r>
    <x v="75"/>
    <x v="45"/>
    <x v="10"/>
    <x v="0"/>
    <x v="1"/>
    <s v="27/5/2016"/>
    <n v="-21.739100000000001"/>
    <n v="-5.0000000000000001E-3"/>
    <n v="1230000"/>
    <n v="1.4999999999999999E-2"/>
    <n v="3.5000000000000003E-2"/>
  </r>
  <r>
    <x v="76"/>
    <x v="21"/>
    <x v="23"/>
    <x v="2"/>
    <x v="0"/>
    <s v="27/5/2016"/>
    <n v="24.528299000000001"/>
    <n v="1.2999999999999999E-2"/>
    <n v="4360000"/>
    <n v="0.05"/>
    <s v="#N/A N/A"/>
  </r>
  <r>
    <x v="77"/>
    <x v="11"/>
    <x v="27"/>
    <x v="2"/>
    <x v="0"/>
    <s v="27/5/2016"/>
    <n v="20.833300000000001"/>
    <n v="1.4999999999999999E-2"/>
    <n v="41530000"/>
    <n v="8.4000000000000005E-2"/>
    <n v="8.6999999999999994E-2"/>
  </r>
  <r>
    <x v="78"/>
    <x v="1"/>
    <x v="45"/>
    <x v="1"/>
    <x v="0"/>
    <s v="27/5/2016"/>
    <n v="0"/>
    <n v="0"/>
    <n v="0"/>
    <s v="#N/A N/A"/>
    <s v="#N/A N/A"/>
  </r>
  <r>
    <x v="79"/>
    <x v="10"/>
    <x v="46"/>
    <x v="0"/>
    <x v="0"/>
    <s v="27/5/2016"/>
    <n v="20.967699"/>
    <n v="1.2999999999999999E-2"/>
    <n v="30120000"/>
    <n v="7.2999999999999995E-2"/>
    <n v="7.4999999999999997E-2"/>
  </r>
  <r>
    <x v="80"/>
    <x v="13"/>
    <x v="26"/>
    <x v="4"/>
    <x v="1"/>
    <s v="27/5/2016"/>
    <n v="-10.447800000000001"/>
    <n v="-7.0000000000000001E-3"/>
    <n v="489260000"/>
    <n v="5.8999999999999997E-2"/>
    <n v="6.0999999999999999E-2"/>
  </r>
  <r>
    <x v="81"/>
    <x v="25"/>
    <x v="47"/>
    <x v="3"/>
    <x v="0"/>
    <s v="27/5/2016"/>
    <n v="10.752700000000001"/>
    <n v="0.01"/>
    <n v="1542270000"/>
    <n v="0.10199999999999999"/>
    <n v="0.10299999999999999"/>
  </r>
  <r>
    <x v="82"/>
    <x v="1"/>
    <x v="48"/>
    <x v="2"/>
    <x v="0"/>
    <s v="27/5/2016"/>
    <n v="9.45946"/>
    <n v="1.4E-2"/>
    <n v="60200000"/>
    <n v="0.16200000000000001"/>
    <n v="0.16400000000000001"/>
  </r>
  <r>
    <x v="83"/>
    <x v="28"/>
    <x v="30"/>
    <x v="3"/>
    <x v="0"/>
    <s v="#N/A N/A"/>
    <s v="#N/A N/A"/>
    <s v="#N/A N/A"/>
    <s v="#N/A N/A"/>
    <s v="#N/A N/A"/>
    <s v="#N/A N/A"/>
  </r>
  <r>
    <x v="84"/>
    <x v="11"/>
    <x v="49"/>
    <x v="2"/>
    <x v="0"/>
    <s v="27/5/2016"/>
    <n v="13.793100000000001"/>
    <n v="1.2E-2"/>
    <n v="840000"/>
    <n v="9.7000000000000003E-2"/>
    <n v="9.9000000000000005E-2"/>
  </r>
  <r>
    <x v="85"/>
    <x v="30"/>
    <x v="50"/>
    <x v="3"/>
    <x v="0"/>
    <s v="27/5/2016"/>
    <n v="12.782"/>
    <n v="1.7000000000000001E-2"/>
    <n v="188880000"/>
    <n v="0.14899999999999999"/>
    <s v="#N/A N/A"/>
  </r>
  <r>
    <x v="86"/>
    <x v="46"/>
    <x v="51"/>
    <x v="2"/>
    <x v="0"/>
    <s v="27/5/2016"/>
    <n v="7.9470200000000002"/>
    <n v="1.2E-2"/>
    <n v="100000"/>
    <n v="0.03"/>
    <s v="#N/A N/A"/>
  </r>
  <r>
    <x v="87"/>
    <x v="47"/>
    <x v="52"/>
    <x v="2"/>
    <x v="0"/>
    <s v="27/5/2016"/>
    <n v="0"/>
    <n v="0"/>
    <n v="0"/>
    <s v="#N/A N/A"/>
    <s v="#N/A N/A"/>
  </r>
  <r>
    <x v="88"/>
    <x v="15"/>
    <x v="53"/>
    <x v="2"/>
    <x v="0"/>
    <s v="27/5/2016"/>
    <n v="11.25"/>
    <n v="1.7999999999999999E-2"/>
    <n v="1500000"/>
    <n v="0.17499999999999999"/>
    <n v="0.18"/>
  </r>
  <r>
    <x v="89"/>
    <x v="48"/>
    <x v="54"/>
    <x v="3"/>
    <x v="0"/>
    <s v="27/5/2016"/>
    <n v="13.924099999999999"/>
    <n v="1.0999999999999999E-2"/>
    <n v="71100000"/>
    <n v="7.1999999999999995E-2"/>
    <s v="#N/A N/A"/>
  </r>
  <r>
    <x v="90"/>
    <x v="28"/>
    <x v="55"/>
    <x v="4"/>
    <x v="0"/>
    <s v="27/5/2016"/>
    <n v="15.2174"/>
    <n v="7.0000000000000001E-3"/>
    <n v="30480000"/>
    <n v="5.2999999999999999E-2"/>
    <n v="5.5E-2"/>
  </r>
  <r>
    <x v="91"/>
    <x v="49"/>
    <x v="56"/>
    <x v="2"/>
    <x v="1"/>
    <s v="27/5/2016"/>
    <n v="-15.517200000000001"/>
    <n v="-8.9999999999999993E-3"/>
    <n v="2900000"/>
    <n v="4.9000000000000002E-2"/>
    <n v="6.5000000000000002E-2"/>
  </r>
  <r>
    <x v="92"/>
    <x v="10"/>
    <x v="57"/>
    <x v="1"/>
    <x v="1"/>
    <s v="27/5/2016"/>
    <n v="0"/>
    <n v="0"/>
    <n v="0"/>
    <s v="#N/A N/A"/>
    <s v="#N/A N/A"/>
  </r>
  <r>
    <x v="93"/>
    <x v="50"/>
    <x v="58"/>
    <x v="3"/>
    <x v="0"/>
    <s v="27/5/2016"/>
    <n v="6.6326499999999999"/>
    <n v="1.2999999999999999E-2"/>
    <n v="600000"/>
    <n v="0.20499999999999999"/>
    <n v="0.21"/>
  </r>
  <r>
    <x v="94"/>
    <x v="19"/>
    <x v="17"/>
    <x v="5"/>
    <x v="0"/>
    <s v="27/5/2016"/>
    <n v="7.3033700000000001"/>
    <n v="1.2999999999999999E-2"/>
    <n v="0"/>
    <n v="0.191"/>
    <n v="0.192"/>
  </r>
  <r>
    <x v="95"/>
    <x v="51"/>
    <x v="18"/>
    <x v="4"/>
    <x v="1"/>
    <s v="27/5/2016"/>
    <n v="-9.0909099999999992"/>
    <n v="-3.0000000000000001E-3"/>
    <n v="77490000"/>
    <n v="2.8000000000000001E-2"/>
    <n v="3.1E-2"/>
  </r>
  <r>
    <x v="96"/>
    <x v="51"/>
    <x v="1"/>
    <x v="4"/>
    <x v="1"/>
    <s v="27/5/2016"/>
    <n v="-3.125"/>
    <n v="-1E-3"/>
    <n v="200000"/>
    <n v="2.9000000000000001E-2"/>
    <n v="3.1E-2"/>
  </r>
  <r>
    <x v="97"/>
    <x v="26"/>
    <x v="59"/>
    <x v="4"/>
    <x v="1"/>
    <s v="27/5/2016"/>
    <n v="-8.4506999999999994"/>
    <n v="-6.0000000000000001E-3"/>
    <n v="26580000"/>
    <n v="6.4000000000000001E-2"/>
    <n v="6.5000000000000002E-2"/>
  </r>
  <r>
    <x v="98"/>
    <x v="52"/>
    <x v="60"/>
    <x v="4"/>
    <x v="1"/>
    <s v="27/5/2016"/>
    <n v="-11.1111"/>
    <n v="-6.0000000000000001E-3"/>
    <n v="0"/>
    <n v="4.7E-2"/>
    <n v="4.8000000000000001E-2"/>
  </r>
  <r>
    <x v="99"/>
    <x v="24"/>
    <x v="61"/>
    <x v="2"/>
    <x v="0"/>
    <s v="27/5/2016"/>
    <n v="11.0345"/>
    <n v="1.6E-2"/>
    <n v="80000"/>
    <n v="0.158"/>
    <n v="0.16300000000000001"/>
  </r>
  <r>
    <x v="100"/>
    <x v="2"/>
    <x v="62"/>
    <x v="4"/>
    <x v="0"/>
    <s v="27/5/2016"/>
    <n v="12.5"/>
    <n v="8.9999999999999993E-3"/>
    <n v="6260000"/>
    <n v="7.9000000000000001E-2"/>
    <n v="8.4000000000000005E-2"/>
  </r>
  <r>
    <x v="101"/>
    <x v="28"/>
    <x v="63"/>
    <x v="4"/>
    <x v="0"/>
    <s v="27/5/2016"/>
    <n v="14.545500000000001"/>
    <n v="8.0000000000000002E-3"/>
    <n v="66680000"/>
    <n v="6.0999999999999999E-2"/>
    <n v="6.3E-2"/>
  </r>
  <r>
    <x v="102"/>
    <x v="53"/>
    <x v="11"/>
    <x v="4"/>
    <x v="1"/>
    <s v="27/5/2016"/>
    <n v="-9.3333300000000001"/>
    <n v="-7.0000000000000001E-3"/>
    <n v="69960000"/>
    <n v="6.8000000000000005E-2"/>
    <n v="6.9000000000000006E-2"/>
  </r>
  <r>
    <x v="103"/>
    <x v="26"/>
    <x v="64"/>
    <x v="4"/>
    <x v="1"/>
    <s v="27/5/2016"/>
    <n v="-7.69231"/>
    <n v="-6.0000000000000001E-3"/>
    <n v="28490000"/>
    <n v="7.1999999999999995E-2"/>
    <n v="7.3999999999999996E-2"/>
  </r>
  <r>
    <x v="104"/>
    <x v="29"/>
    <x v="30"/>
    <x v="5"/>
    <x v="0"/>
    <s v="#N/A N/A"/>
    <s v="#N/A N/A"/>
    <s v="#N/A N/A"/>
    <s v="#N/A N/A"/>
    <s v="#N/A N/A"/>
    <s v="#N/A N/A"/>
  </r>
  <r>
    <x v="105"/>
    <x v="54"/>
    <x v="65"/>
    <x v="4"/>
    <x v="1"/>
    <s v="27/5/2016"/>
    <n v="-12.328799999999999"/>
    <n v="-8.9999999999999993E-3"/>
    <n v="32190000"/>
    <n v="6.4000000000000001E-2"/>
    <n v="8.5000000000000006E-2"/>
  </r>
  <r>
    <x v="106"/>
    <x v="29"/>
    <x v="66"/>
    <x v="5"/>
    <x v="0"/>
    <s v="27/5/2016"/>
    <n v="11.2903"/>
    <n v="7.0000000000000001E-3"/>
    <n v="0"/>
    <n v="6.7000000000000004E-2"/>
    <n v="7.1999999999999995E-2"/>
  </r>
  <r>
    <x v="107"/>
    <x v="10"/>
    <x v="67"/>
    <x v="5"/>
    <x v="1"/>
    <s v="27/5/2016"/>
    <n v="1660"/>
    <n v="0.16600000000000001"/>
    <n v="20000"/>
    <s v="#N/A N/A"/>
    <s v="#N/A N/A"/>
  </r>
  <r>
    <x v="108"/>
    <x v="26"/>
    <x v="30"/>
    <x v="4"/>
    <x v="1"/>
    <s v="#N/A N/A"/>
    <s v="#N/A N/A"/>
    <s v="#N/A N/A"/>
    <s v="#N/A N/A"/>
    <s v="#N/A N/A"/>
    <s v="#N/A N/A"/>
  </r>
  <r>
    <x v="109"/>
    <x v="19"/>
    <x v="68"/>
    <x v="5"/>
    <x v="1"/>
    <s v="27/5/2016"/>
    <n v="-10.071899999999999"/>
    <n v="-1.4E-2"/>
    <n v="100000"/>
    <n v="0.124"/>
    <n v="0.125"/>
  </r>
  <r>
    <x v="110"/>
    <x v="2"/>
    <x v="69"/>
    <x v="3"/>
    <x v="1"/>
    <s v="27/5/2016"/>
    <n v="-8.0952400000000004"/>
    <n v="-1.7000000000000001E-2"/>
    <n v="0"/>
    <n v="0.191"/>
    <n v="0.19400000000000001"/>
  </r>
  <r>
    <x v="111"/>
    <x v="35"/>
    <x v="70"/>
    <x v="3"/>
    <x v="1"/>
    <s v="27/5/2016"/>
    <n v="-9.5959599999999998"/>
    <n v="-1.9E-2"/>
    <n v="0"/>
    <n v="0.17799999999999999"/>
    <n v="0.18"/>
  </r>
  <r>
    <x v="112"/>
    <x v="25"/>
    <x v="71"/>
    <x v="3"/>
    <x v="0"/>
    <s v="27/5/2016"/>
    <n v="20"/>
    <n v="1.6E-2"/>
    <n v="1264480000"/>
    <n v="9.4E-2"/>
    <n v="9.5000000000000001E-2"/>
  </r>
  <r>
    <x v="113"/>
    <x v="55"/>
    <x v="30"/>
    <x v="5"/>
    <x v="0"/>
    <s v="#N/A N/A"/>
    <s v="#N/A N/A"/>
    <s v="#N/A N/A"/>
    <s v="#N/A N/A"/>
    <s v="#N/A N/A"/>
    <s v="#N/A N/A"/>
  </r>
  <r>
    <x v="114"/>
    <x v="26"/>
    <x v="72"/>
    <x v="4"/>
    <x v="1"/>
    <s v="27/5/2016"/>
    <n v="-8.60215"/>
    <n v="-8.0000000000000002E-3"/>
    <n v="7200000"/>
    <n v="8.4000000000000005E-2"/>
    <n v="8.5000000000000006E-2"/>
  </r>
  <r>
    <x v="115"/>
    <x v="56"/>
    <x v="73"/>
    <x v="4"/>
    <x v="0"/>
    <s v="27/5/2016"/>
    <n v="8.6486499999999999"/>
    <n v="1.6E-2"/>
    <n v="0"/>
    <n v="0.2"/>
    <n v="0.20300000000000001"/>
  </r>
  <r>
    <x v="116"/>
    <x v="2"/>
    <x v="10"/>
    <x v="0"/>
    <x v="0"/>
    <s v="27/5/2016"/>
    <n v="50"/>
    <n v="6.0000000000000001E-3"/>
    <n v="1260000"/>
    <n v="1.6E-2"/>
    <n v="1.7999999999999999E-2"/>
  </r>
  <r>
    <x v="117"/>
    <x v="10"/>
    <x v="74"/>
    <x v="0"/>
    <x v="1"/>
    <s v="27/5/2016"/>
    <n v="-19.047599999999999"/>
    <n v="-1.2E-2"/>
    <n v="18950000"/>
    <n v="4.9000000000000002E-2"/>
    <n v="5.3999999999999999E-2"/>
  </r>
  <r>
    <x v="118"/>
    <x v="10"/>
    <x v="75"/>
    <x v="0"/>
    <x v="0"/>
    <s v="27/5/2016"/>
    <n v="24.561399000000002"/>
    <n v="1.4E-2"/>
    <n v="3880000"/>
    <n v="6.8000000000000005E-2"/>
    <n v="7.1999999999999995E-2"/>
  </r>
  <r>
    <x v="119"/>
    <x v="10"/>
    <x v="20"/>
    <x v="1"/>
    <x v="1"/>
    <s v="27/5/2016"/>
    <n v="0"/>
    <n v="0"/>
    <n v="0"/>
    <s v="#N/A N/A"/>
    <s v="#N/A N/A"/>
  </r>
  <r>
    <x v="120"/>
    <x v="44"/>
    <x v="76"/>
    <x v="0"/>
    <x v="1"/>
    <s v="27/5/2016"/>
    <n v="-10.7143"/>
    <n v="-0.03"/>
    <n v="600000"/>
    <n v="0.247"/>
    <n v="0.255"/>
  </r>
  <r>
    <x v="121"/>
    <x v="57"/>
    <x v="77"/>
    <x v="1"/>
    <x v="1"/>
    <s v="27/5/2016"/>
    <n v="0"/>
    <n v="0"/>
    <n v="0"/>
    <s v="#N/A N/A"/>
    <s v="#N/A N/A"/>
  </r>
  <r>
    <x v="122"/>
    <x v="58"/>
    <x v="78"/>
    <x v="0"/>
    <x v="1"/>
    <s v="27/5/2016"/>
    <n v="-10.3704"/>
    <n v="-2.8000000000000001E-2"/>
    <n v="0"/>
    <n v="0.23899999999999999"/>
    <n v="0.24399999999999999"/>
  </r>
  <r>
    <x v="123"/>
    <x v="3"/>
    <x v="0"/>
    <x v="0"/>
    <x v="0"/>
    <s v="27/5/2016"/>
    <n v="0"/>
    <n v="0"/>
    <n v="0"/>
    <s v="#N/A N/A"/>
    <n v="0.01"/>
  </r>
  <r>
    <x v="124"/>
    <x v="39"/>
    <x v="79"/>
    <x v="1"/>
    <x v="0"/>
    <s v="27/5/2016"/>
    <n v="0"/>
    <n v="0"/>
    <n v="0"/>
    <s v="#N/A N/A"/>
    <s v="#N/A N/A"/>
  </r>
  <r>
    <x v="125"/>
    <x v="42"/>
    <x v="3"/>
    <x v="1"/>
    <x v="0"/>
    <s v="27/5/2016"/>
    <n v="0"/>
    <n v="0"/>
    <n v="0"/>
    <s v="#N/A N/A"/>
    <s v="#N/A N/A"/>
  </r>
  <r>
    <x v="126"/>
    <x v="38"/>
    <x v="0"/>
    <x v="1"/>
    <x v="0"/>
    <s v="27/5/2016"/>
    <n v="0"/>
    <n v="0"/>
    <n v="0"/>
    <s v="#N/A N/A"/>
    <s v="#N/A N/A"/>
  </r>
  <r>
    <x v="127"/>
    <x v="16"/>
    <x v="29"/>
    <x v="0"/>
    <x v="1"/>
    <s v="27/5/2016"/>
    <n v="-22.368400999999999"/>
    <n v="-1.7000000000000001E-2"/>
    <n v="330000"/>
    <n v="5.2999999999999999E-2"/>
    <s v="#N/A N/A"/>
  </r>
  <r>
    <x v="128"/>
    <x v="2"/>
    <x v="80"/>
    <x v="0"/>
    <x v="1"/>
    <s v="27/5/2016"/>
    <n v="-15.972200000000001"/>
    <n v="-2.3E-2"/>
    <n v="5800000"/>
    <n v="0.122"/>
    <n v="0.127"/>
  </r>
  <r>
    <x v="129"/>
    <x v="59"/>
    <x v="0"/>
    <x v="1"/>
    <x v="0"/>
    <s v="27/5/2016"/>
    <n v="0"/>
    <n v="0"/>
    <n v="0"/>
    <s v="#N/A N/A"/>
    <s v="#N/A N/A"/>
  </r>
  <r>
    <x v="130"/>
    <x v="42"/>
    <x v="6"/>
    <x v="4"/>
    <x v="0"/>
    <s v="27/5/2016"/>
    <n v="14.2857"/>
    <n v="2E-3"/>
    <n v="0"/>
    <s v="#N/A N/A"/>
    <s v="#N/A N/A"/>
  </r>
  <r>
    <x v="131"/>
    <x v="39"/>
    <x v="30"/>
    <x v="1"/>
    <x v="0"/>
    <s v="#N/A N/A"/>
    <s v="#N/A N/A"/>
    <s v="#N/A N/A"/>
    <s v="#N/A N/A"/>
    <s v="#N/A N/A"/>
    <s v="#N/A N/A"/>
  </r>
  <r>
    <x v="132"/>
    <x v="42"/>
    <x v="0"/>
    <x v="1"/>
    <x v="0"/>
    <s v="27/5/2016"/>
    <n v="0"/>
    <n v="0"/>
    <n v="0"/>
    <s v="#N/A N/A"/>
    <s v="#N/A N/A"/>
  </r>
  <r>
    <x v="133"/>
    <x v="60"/>
    <x v="81"/>
    <x v="3"/>
    <x v="0"/>
    <s v="27/5/2016"/>
    <n v="20"/>
    <n v="4.0000000000000001E-3"/>
    <n v="10000"/>
    <n v="2.4E-2"/>
    <n v="2.5000000000000001E-2"/>
  </r>
  <r>
    <x v="134"/>
    <x v="61"/>
    <x v="82"/>
    <x v="3"/>
    <x v="1"/>
    <s v="27/5/2016"/>
    <n v="-7.16981"/>
    <n v="-1.9E-2"/>
    <n v="0"/>
    <n v="0.24099999999999999"/>
    <n v="0.246"/>
  </r>
  <r>
    <x v="135"/>
    <x v="15"/>
    <x v="5"/>
    <x v="0"/>
    <x v="1"/>
    <s v="27/5/2016"/>
    <n v="-13.6364"/>
    <n v="-3.0000000000000001E-3"/>
    <n v="4300000"/>
    <n v="1.7000000000000001E-2"/>
    <n v="2.1999999999999999E-2"/>
  </r>
  <r>
    <x v="136"/>
    <x v="42"/>
    <x v="30"/>
    <x v="4"/>
    <x v="0"/>
    <s v="#N/A N/A"/>
    <s v="#N/A N/A"/>
    <s v="#N/A N/A"/>
    <s v="#N/A N/A"/>
    <n v="0.06"/>
    <n v="6.2E-2"/>
  </r>
  <r>
    <x v="137"/>
    <x v="58"/>
    <x v="39"/>
    <x v="0"/>
    <x v="0"/>
    <s v="27/5/2016"/>
    <n v="30"/>
    <n v="3.0000000000000001E-3"/>
    <n v="400000"/>
    <s v="#N/A N/A"/>
    <n v="2.5000000000000001E-2"/>
  </r>
  <r>
    <x v="138"/>
    <x v="28"/>
    <x v="83"/>
    <x v="3"/>
    <x v="0"/>
    <s v="27/5/2016"/>
    <n v="23.684200000000001"/>
    <n v="8.9999999999999993E-3"/>
    <n v="14600000"/>
    <n v="4.5999999999999999E-2"/>
    <n v="4.7E-2"/>
  </r>
  <r>
    <x v="139"/>
    <x v="19"/>
    <x v="84"/>
    <x v="2"/>
    <x v="1"/>
    <s v="27/5/2016"/>
    <n v="-10.9756"/>
    <n v="-8.9999999999999993E-3"/>
    <n v="2260000"/>
    <n v="7.0000000000000007E-2"/>
    <n v="8.7999999999999995E-2"/>
  </r>
  <r>
    <x v="140"/>
    <x v="24"/>
    <x v="85"/>
    <x v="2"/>
    <x v="1"/>
    <s v="27/5/2016"/>
    <n v="-15.1515"/>
    <n v="-0.01"/>
    <n v="1147010000"/>
    <n v="5.6000000000000001E-2"/>
    <n v="5.7000000000000002E-2"/>
  </r>
  <r>
    <x v="141"/>
    <x v="62"/>
    <x v="86"/>
    <x v="2"/>
    <x v="1"/>
    <s v="27/5/2016"/>
    <n v="-15.306100000000001"/>
    <n v="-1.4999999999999999E-2"/>
    <n v="910000"/>
    <n v="8.3000000000000004E-2"/>
    <s v="#N/A N/A"/>
  </r>
  <r>
    <x v="142"/>
    <x v="23"/>
    <x v="31"/>
    <x v="2"/>
    <x v="1"/>
    <s v="27/5/2016"/>
    <n v="-11.2903"/>
    <n v="-7.0000000000000001E-3"/>
    <n v="10970000"/>
    <n v="5.1999999999999998E-2"/>
    <n v="5.7000000000000002E-2"/>
  </r>
  <r>
    <x v="143"/>
    <x v="21"/>
    <x v="26"/>
    <x v="2"/>
    <x v="0"/>
    <s v="27/5/2016"/>
    <n v="22.448999000000001"/>
    <n v="1.0999999999999999E-2"/>
    <n v="11260000"/>
    <n v="5.8000000000000003E-2"/>
    <n v="6.2E-2"/>
  </r>
  <r>
    <x v="144"/>
    <x v="24"/>
    <x v="50"/>
    <x v="2"/>
    <x v="0"/>
    <s v="27/5/2016"/>
    <n v="12.782"/>
    <n v="1.7000000000000001E-2"/>
    <n v="4040000"/>
    <n v="0.14899999999999999"/>
    <n v="0.154"/>
  </r>
  <r>
    <x v="145"/>
    <x v="10"/>
    <x v="42"/>
    <x v="0"/>
    <x v="0"/>
    <s v="27/5/2016"/>
    <n v="19.354799"/>
    <n v="1.2E-2"/>
    <n v="790000"/>
    <n v="7.1999999999999995E-2"/>
    <n v="7.5999999999999998E-2"/>
  </r>
  <r>
    <x v="146"/>
    <x v="53"/>
    <x v="71"/>
    <x v="5"/>
    <x v="1"/>
    <s v="27/5/2016"/>
    <n v="-8.5714299999999994"/>
    <n v="-8.9999999999999993E-3"/>
    <n v="3200000"/>
    <n v="9.6000000000000002E-2"/>
    <n v="9.7000000000000003E-2"/>
  </r>
  <r>
    <x v="147"/>
    <x v="30"/>
    <x v="87"/>
    <x v="4"/>
    <x v="0"/>
    <s v="27/5/2016"/>
    <n v="13.402100000000001"/>
    <n v="1.2999999999999999E-2"/>
    <n v="5320000"/>
    <n v="0.107"/>
    <n v="0.11"/>
  </r>
  <r>
    <x v="148"/>
    <x v="26"/>
    <x v="88"/>
    <x v="4"/>
    <x v="0"/>
    <s v="27/5/2016"/>
    <n v="8.5561500000000006"/>
    <n v="1.6E-2"/>
    <n v="0"/>
    <n v="0.20200000000000001"/>
    <s v="#N/A N/A"/>
  </r>
  <r>
    <x v="149"/>
    <x v="1"/>
    <x v="89"/>
    <x v="2"/>
    <x v="0"/>
    <s v="27/5/2016"/>
    <n v="14.6853"/>
    <n v="2.1000000000000001E-2"/>
    <n v="40340000"/>
    <n v="0.13800000000000001"/>
    <s v="#N/A N/A"/>
  </r>
  <r>
    <x v="150"/>
    <x v="52"/>
    <x v="90"/>
    <x v="4"/>
    <x v="1"/>
    <s v="27/5/2016"/>
    <n v="-10.2041"/>
    <n v="-5.0000000000000001E-3"/>
    <n v="0"/>
    <n v="0.04"/>
    <n v="4.4999999999999998E-2"/>
  </r>
  <r>
    <x v="151"/>
    <x v="13"/>
    <x v="91"/>
    <x v="3"/>
    <x v="0"/>
    <s v="27/5/2016"/>
    <n v="7.69231"/>
    <n v="0.02"/>
    <n v="0"/>
    <n v="0.28000000000000003"/>
    <n v="0.3"/>
  </r>
  <r>
    <x v="152"/>
    <x v="32"/>
    <x v="86"/>
    <x v="4"/>
    <x v="0"/>
    <s v="27/5/2016"/>
    <n v="18.571400000000001"/>
    <n v="1.2999999999999999E-2"/>
    <n v="35500000"/>
    <s v="#N/A N/A"/>
    <s v="#N/A N/A"/>
  </r>
  <r>
    <x v="153"/>
    <x v="18"/>
    <x v="91"/>
    <x v="4"/>
    <x v="0"/>
    <s v="27/5/2016"/>
    <n v="3.7037"/>
    <n v="0.01"/>
    <n v="0"/>
    <n v="0.28000000000000003"/>
    <n v="0.29499999999999998"/>
  </r>
  <r>
    <x v="154"/>
    <x v="14"/>
    <x v="18"/>
    <x v="3"/>
    <x v="1"/>
    <s v="27/5/2016"/>
    <n v="-9.0909099999999992"/>
    <n v="-3.0000000000000001E-3"/>
    <n v="250000"/>
    <n v="0.03"/>
    <n v="3.1E-2"/>
  </r>
  <r>
    <x v="155"/>
    <x v="63"/>
    <x v="14"/>
    <x v="3"/>
    <x v="0"/>
    <s v="27/5/2016"/>
    <n v="0"/>
    <n v="0"/>
    <n v="0"/>
    <s v="#N/A N/A"/>
    <s v="#N/A N/A"/>
  </r>
  <r>
    <x v="156"/>
    <x v="2"/>
    <x v="27"/>
    <x v="4"/>
    <x v="0"/>
    <s v="27/5/2016"/>
    <n v="12.987"/>
    <n v="0.01"/>
    <n v="91610000"/>
    <n v="8.5000000000000006E-2"/>
    <n v="8.6999999999999994E-2"/>
  </r>
  <r>
    <x v="157"/>
    <x v="14"/>
    <x v="57"/>
    <x v="3"/>
    <x v="1"/>
    <s v="27/5/2016"/>
    <n v="0"/>
    <n v="0"/>
    <n v="1040000"/>
    <n v="2.4E-2"/>
    <n v="2.8000000000000001E-2"/>
  </r>
  <r>
    <x v="158"/>
    <x v="13"/>
    <x v="83"/>
    <x v="3"/>
    <x v="1"/>
    <s v="27/5/2016"/>
    <n v="-9.6153899999999997"/>
    <n v="-5.0000000000000001E-3"/>
    <n v="300000"/>
    <n v="4.7E-2"/>
    <n v="4.8000000000000001E-2"/>
  </r>
  <r>
    <x v="159"/>
    <x v="64"/>
    <x v="90"/>
    <x v="4"/>
    <x v="1"/>
    <s v="27/5/2016"/>
    <n v="-10.2041"/>
    <n v="-5.0000000000000001E-3"/>
    <n v="14730000"/>
    <s v="#N/A N/A"/>
    <s v="#N/A N/A"/>
  </r>
  <r>
    <x v="160"/>
    <x v="18"/>
    <x v="92"/>
    <x v="3"/>
    <x v="1"/>
    <s v="27/5/2016"/>
    <n v="-5.5555599999999998"/>
    <n v="-2E-3"/>
    <n v="0"/>
    <n v="3.2000000000000001E-2"/>
    <n v="3.4000000000000002E-2"/>
  </r>
  <r>
    <x v="161"/>
    <x v="65"/>
    <x v="93"/>
    <x v="3"/>
    <x v="0"/>
    <s v="27/5/2016"/>
    <n v="11.2903"/>
    <n v="1.4E-2"/>
    <n v="446760000"/>
    <n v="0.114"/>
    <s v="#N/A N/A"/>
  </r>
  <r>
    <x v="162"/>
    <x v="19"/>
    <x v="94"/>
    <x v="3"/>
    <x v="0"/>
    <s v="27/5/2016"/>
    <n v="12.3188"/>
    <n v="1.7000000000000001E-2"/>
    <n v="3170000"/>
    <n v="0.152"/>
    <n v="0.157"/>
  </r>
  <r>
    <x v="163"/>
    <x v="28"/>
    <x v="95"/>
    <x v="4"/>
    <x v="0"/>
    <s v="27/5/2016"/>
    <n v="17.307699"/>
    <n v="8.9999999999999993E-3"/>
    <n v="1490000"/>
    <n v="5.7000000000000002E-2"/>
    <n v="6.2E-2"/>
  </r>
  <r>
    <x v="164"/>
    <x v="66"/>
    <x v="29"/>
    <x v="4"/>
    <x v="1"/>
    <s v="27/5/2016"/>
    <n v="-11.940300000000001"/>
    <n v="-8.0000000000000002E-3"/>
    <n v="104230000"/>
    <s v="#N/A N/A"/>
    <s v="#N/A N/A"/>
  </r>
  <r>
    <x v="165"/>
    <x v="31"/>
    <x v="96"/>
    <x v="2"/>
    <x v="1"/>
    <s v="27/5/2016"/>
    <n v="-9.2307699999999997"/>
    <n v="-1.7999999999999999E-2"/>
    <n v="90000"/>
    <n v="0.17299999999999999"/>
    <n v="0.17899999999999999"/>
  </r>
  <r>
    <x v="166"/>
    <x v="29"/>
    <x v="30"/>
    <x v="5"/>
    <x v="0"/>
    <s v="#N/A N/A"/>
    <s v="#N/A N/A"/>
    <s v="#N/A N/A"/>
    <s v="#N/A N/A"/>
    <s v="#N/A N/A"/>
    <s v="#N/A N/A"/>
  </r>
  <r>
    <x v="167"/>
    <x v="19"/>
    <x v="66"/>
    <x v="2"/>
    <x v="1"/>
    <s v="27/5/2016"/>
    <n v="-15.8537"/>
    <n v="-1.2999999999999999E-2"/>
    <n v="3308320000"/>
    <n v="6.9000000000000006E-2"/>
    <n v="7.0000000000000007E-2"/>
  </r>
  <r>
    <x v="168"/>
    <x v="21"/>
    <x v="97"/>
    <x v="4"/>
    <x v="1"/>
    <s v="27/5/2016"/>
    <n v="-7.3170700000000002"/>
    <n v="-1.4999999999999999E-2"/>
    <n v="0"/>
    <n v="0.19"/>
    <n v="0.191"/>
  </r>
  <r>
    <x v="169"/>
    <x v="65"/>
    <x v="98"/>
    <x v="4"/>
    <x v="1"/>
    <s v="27/5/2016"/>
    <n v="0"/>
    <n v="0"/>
    <n v="0"/>
    <n v="0.03"/>
    <s v="#N/A N/A"/>
  </r>
  <r>
    <x v="170"/>
    <x v="67"/>
    <x v="93"/>
    <x v="4"/>
    <x v="1"/>
    <s v="27/5/2016"/>
    <n v="-8"/>
    <n v="-1.2E-2"/>
    <n v="0"/>
    <n v="0.13700000000000001"/>
    <n v="0.13900000000000001"/>
  </r>
  <r>
    <x v="171"/>
    <x v="68"/>
    <x v="30"/>
    <x v="4"/>
    <x v="0"/>
    <s v="#N/A N/A"/>
    <s v="#N/A N/A"/>
    <s v="#N/A N/A"/>
    <s v="#N/A N/A"/>
    <s v="#N/A N/A"/>
    <s v="#N/A N/A"/>
  </r>
  <r>
    <x v="172"/>
    <x v="53"/>
    <x v="30"/>
    <x v="5"/>
    <x v="1"/>
    <s v="#N/A N/A"/>
    <s v="#N/A N/A"/>
    <s v="#N/A N/A"/>
    <s v="#N/A N/A"/>
    <n v="9.8000000000000004E-2"/>
    <n v="9.9000000000000005E-2"/>
  </r>
  <r>
    <x v="173"/>
    <x v="11"/>
    <x v="99"/>
    <x v="4"/>
    <x v="1"/>
    <s v="27/5/2016"/>
    <n v="-9.7222200000000001"/>
    <n v="-1.4E-2"/>
    <n v="1680000"/>
    <n v="0.13"/>
    <n v="0.13500000000000001"/>
  </r>
  <r>
    <x v="174"/>
    <x v="15"/>
    <x v="0"/>
    <x v="1"/>
    <x v="1"/>
    <s v="27/5/2016"/>
    <n v="0"/>
    <n v="0"/>
    <n v="0"/>
    <s v="#N/A N/A"/>
    <s v="#N/A N/A"/>
  </r>
  <r>
    <x v="175"/>
    <x v="15"/>
    <x v="100"/>
    <x v="0"/>
    <x v="1"/>
    <s v="27/5/2016"/>
    <n v="-13.0435"/>
    <n v="-3.0000000000000001E-3"/>
    <n v="25840000"/>
    <n v="1.9E-2"/>
    <n v="0.02"/>
  </r>
  <r>
    <x v="176"/>
    <x v="3"/>
    <x v="0"/>
    <x v="0"/>
    <x v="0"/>
    <s v="27/5/2016"/>
    <n v="0"/>
    <n v="0"/>
    <n v="0"/>
    <s v="#N/A N/A"/>
    <s v="#N/A N/A"/>
  </r>
  <r>
    <x v="177"/>
    <x v="59"/>
    <x v="101"/>
    <x v="1"/>
    <x v="1"/>
    <s v="27/5/2016"/>
    <n v="0"/>
    <n v="0"/>
    <n v="0"/>
    <s v="#N/A N/A"/>
    <s v="#N/A N/A"/>
  </r>
  <r>
    <x v="178"/>
    <x v="69"/>
    <x v="0"/>
    <x v="1"/>
    <x v="0"/>
    <s v="27/5/2016"/>
    <n v="0"/>
    <n v="0"/>
    <n v="0"/>
    <s v="#N/A N/A"/>
    <s v="#N/A N/A"/>
  </r>
  <r>
    <x v="179"/>
    <x v="6"/>
    <x v="102"/>
    <x v="1"/>
    <x v="1"/>
    <s v="27/5/2016"/>
    <n v="0"/>
    <n v="0"/>
    <n v="0"/>
    <s v="#N/A N/A"/>
    <s v="#N/A N/A"/>
  </r>
  <r>
    <x v="180"/>
    <x v="38"/>
    <x v="0"/>
    <x v="1"/>
    <x v="0"/>
    <s v="27/5/2016"/>
    <n v="0"/>
    <n v="0"/>
    <n v="0"/>
    <s v="#N/A N/A"/>
    <s v="#N/A N/A"/>
  </r>
  <r>
    <x v="181"/>
    <x v="70"/>
    <x v="103"/>
    <x v="1"/>
    <x v="1"/>
    <s v="27/5/2016"/>
    <n v="0"/>
    <n v="0"/>
    <n v="0"/>
    <s v="#N/A N/A"/>
    <s v="#N/A N/A"/>
  </r>
  <r>
    <x v="182"/>
    <x v="12"/>
    <x v="104"/>
    <x v="0"/>
    <x v="1"/>
    <s v="27/5/2016"/>
    <n v="-10.222200000000001"/>
    <n v="-2.3E-2"/>
    <n v="0"/>
    <s v="#N/A N/A"/>
    <s v="#N/A N/A"/>
  </r>
  <r>
    <x v="183"/>
    <x v="71"/>
    <x v="105"/>
    <x v="4"/>
    <x v="1"/>
    <s v="27/5/2016"/>
    <n v="-10.1449"/>
    <n v="-2.1000000000000001E-2"/>
    <n v="560000"/>
    <n v="0.183"/>
    <n v="0.187"/>
  </r>
  <r>
    <x v="184"/>
    <x v="6"/>
    <x v="0"/>
    <x v="0"/>
    <x v="0"/>
    <s v="27/5/2016"/>
    <n v="0"/>
    <n v="0"/>
    <n v="0"/>
    <s v="#N/A N/A"/>
    <n v="0.01"/>
  </r>
  <r>
    <x v="185"/>
    <x v="44"/>
    <x v="0"/>
    <x v="0"/>
    <x v="0"/>
    <s v="27/5/2016"/>
    <n v="0"/>
    <n v="0"/>
    <n v="0"/>
    <s v="#N/A N/A"/>
    <n v="0.01"/>
  </r>
  <r>
    <x v="186"/>
    <x v="41"/>
    <x v="0"/>
    <x v="1"/>
    <x v="0"/>
    <s v="27/5/2016"/>
    <n v="0"/>
    <n v="0"/>
    <n v="0"/>
    <s v="#N/A N/A"/>
    <s v="#N/A N/A"/>
  </r>
  <r>
    <x v="187"/>
    <x v="2"/>
    <x v="10"/>
    <x v="0"/>
    <x v="0"/>
    <s v="27/5/2016"/>
    <n v="50"/>
    <n v="6.0000000000000001E-3"/>
    <n v="4800000"/>
    <n v="1.4999999999999999E-2"/>
    <n v="1.7999999999999999E-2"/>
  </r>
  <r>
    <x v="188"/>
    <x v="5"/>
    <x v="0"/>
    <x v="2"/>
    <x v="0"/>
    <s v="27/5/2016"/>
    <n v="0"/>
    <n v="0"/>
    <n v="0"/>
    <s v="#N/A N/A"/>
    <n v="0.01"/>
  </r>
  <r>
    <x v="189"/>
    <x v="5"/>
    <x v="30"/>
    <x v="2"/>
    <x v="0"/>
    <s v="#N/A N/A"/>
    <s v="#N/A N/A"/>
    <s v="#N/A N/A"/>
    <s v="#N/A N/A"/>
    <n v="1.9E-2"/>
    <n v="2.1000000000000001E-2"/>
  </r>
  <r>
    <x v="190"/>
    <x v="12"/>
    <x v="100"/>
    <x v="2"/>
    <x v="0"/>
    <s v="27/5/2016"/>
    <n v="25"/>
    <n v="4.0000000000000001E-3"/>
    <n v="19560000"/>
    <n v="1.9E-2"/>
    <n v="2.1000000000000001E-2"/>
  </r>
  <r>
    <x v="191"/>
    <x v="2"/>
    <x v="106"/>
    <x v="4"/>
    <x v="0"/>
    <s v="27/5/2016"/>
    <n v="23.4375"/>
    <n v="1.4999999999999999E-2"/>
    <n v="2010000"/>
    <n v="7.2999999999999995E-2"/>
    <n v="7.9000000000000001E-2"/>
  </r>
  <r>
    <x v="192"/>
    <x v="15"/>
    <x v="53"/>
    <x v="2"/>
    <x v="0"/>
    <s v="27/5/2016"/>
    <n v="9.8765400000000003"/>
    <n v="1.6E-2"/>
    <n v="0"/>
    <n v="0.17699999999999999"/>
    <n v="0.183"/>
  </r>
  <r>
    <x v="193"/>
    <x v="18"/>
    <x v="107"/>
    <x v="4"/>
    <x v="0"/>
    <s v="27/5/2016"/>
    <n v="5.99078"/>
    <n v="1.2999999999999999E-2"/>
    <n v="0"/>
    <n v="0.23"/>
    <n v="0.23100000000000001"/>
  </r>
  <r>
    <x v="194"/>
    <x v="1"/>
    <x v="90"/>
    <x v="1"/>
    <x v="0"/>
    <s v="27/5/2016"/>
    <n v="0"/>
    <n v="0"/>
    <n v="0"/>
    <s v="#N/A N/A"/>
    <s v="#N/A N/A"/>
  </r>
  <r>
    <x v="195"/>
    <x v="1"/>
    <x v="108"/>
    <x v="4"/>
    <x v="0"/>
    <s v="27/5/2016"/>
    <n v="13.008100000000001"/>
    <n v="1.6E-2"/>
    <n v="910000"/>
    <n v="0.13300000000000001"/>
    <n v="0.13900000000000001"/>
  </r>
  <r>
    <x v="196"/>
    <x v="15"/>
    <x v="100"/>
    <x v="0"/>
    <x v="1"/>
    <s v="27/5/2016"/>
    <n v="-9.0909099999999992"/>
    <n v="-2E-3"/>
    <n v="24440000"/>
    <n v="1.7999999999999999E-2"/>
    <n v="0.02"/>
  </r>
  <r>
    <x v="197"/>
    <x v="50"/>
    <x v="109"/>
    <x v="3"/>
    <x v="0"/>
    <s v="27/5/2016"/>
    <n v="8.1081099999999999"/>
    <n v="1.4999999999999999E-2"/>
    <n v="60000"/>
    <n v="0.19900000000000001"/>
    <n v="0.2"/>
  </r>
  <r>
    <x v="198"/>
    <x v="72"/>
    <x v="110"/>
    <x v="3"/>
    <x v="1"/>
    <s v="27/5/2016"/>
    <n v="-14.583299999999999"/>
    <n v="-7.0000000000000001E-3"/>
    <n v="2350000"/>
    <n v="0.04"/>
    <n v="4.2999999999999997E-2"/>
  </r>
  <r>
    <x v="199"/>
    <x v="25"/>
    <x v="111"/>
    <x v="3"/>
    <x v="0"/>
    <s v="27/5/2016"/>
    <n v="12.0482"/>
    <n v="0.01"/>
    <n v="290090000"/>
    <n v="9.1999999999999998E-2"/>
    <n v="9.2999999999999999E-2"/>
  </r>
  <r>
    <x v="200"/>
    <x v="73"/>
    <x v="21"/>
    <x v="4"/>
    <x v="1"/>
    <s v="27/5/2016"/>
    <n v="0"/>
    <n v="0"/>
    <n v="100000"/>
    <s v="#N/A N/A"/>
    <s v="#N/A N/A"/>
  </r>
  <r>
    <x v="201"/>
    <x v="74"/>
    <x v="112"/>
    <x v="5"/>
    <x v="0"/>
    <s v="27/5/2016"/>
    <n v="5.3571400000000002"/>
    <n v="1.4999999999999999E-2"/>
    <n v="0"/>
    <n v="0.29499999999999998"/>
    <n v="0.3"/>
  </r>
  <r>
    <x v="202"/>
    <x v="74"/>
    <x v="113"/>
    <x v="4"/>
    <x v="1"/>
    <s v="27/5/2016"/>
    <n v="-6.9767400000000004"/>
    <n v="-3.0000000000000001E-3"/>
    <n v="220000"/>
    <n v="0.04"/>
    <n v="4.1000000000000002E-2"/>
  </r>
  <r>
    <x v="203"/>
    <x v="18"/>
    <x v="114"/>
    <x v="4"/>
    <x v="0"/>
    <s v="27/5/2016"/>
    <n v="5.93607"/>
    <n v="1.2999999999999999E-2"/>
    <n v="0"/>
    <n v="0.23"/>
    <n v="0.23499999999999999"/>
  </r>
  <r>
    <x v="204"/>
    <x v="51"/>
    <x v="18"/>
    <x v="4"/>
    <x v="1"/>
    <s v="27/5/2016"/>
    <n v="0"/>
    <n v="0"/>
    <n v="0"/>
    <n v="2.5999999999999999E-2"/>
    <n v="3.1E-2"/>
  </r>
  <r>
    <x v="205"/>
    <x v="75"/>
    <x v="57"/>
    <x v="3"/>
    <x v="1"/>
    <s v="27/5/2016"/>
    <n v="-12.9032"/>
    <n v="-4.0000000000000001E-3"/>
    <n v="490000"/>
    <n v="2.7E-2"/>
    <n v="0.06"/>
  </r>
  <r>
    <x v="206"/>
    <x v="51"/>
    <x v="55"/>
    <x v="5"/>
    <x v="1"/>
    <s v="27/5/2016"/>
    <n v="-8.6206899999999997"/>
    <n v="-5.0000000000000001E-3"/>
    <n v="7510000"/>
    <n v="5.0999999999999997E-2"/>
    <n v="5.2999999999999999E-2"/>
  </r>
  <r>
    <x v="207"/>
    <x v="18"/>
    <x v="30"/>
    <x v="4"/>
    <x v="0"/>
    <s v="#N/A N/A"/>
    <s v="#N/A N/A"/>
    <s v="#N/A N/A"/>
    <s v="#N/A N/A"/>
    <n v="0.25"/>
    <n v="0.27"/>
  </r>
  <r>
    <x v="208"/>
    <x v="76"/>
    <x v="7"/>
    <x v="2"/>
    <x v="0"/>
    <s v="27/5/2016"/>
    <n v="0"/>
    <n v="0"/>
    <n v="0"/>
    <s v="#N/A N/A"/>
    <s v="#N/A N/A"/>
  </r>
  <r>
    <x v="209"/>
    <x v="77"/>
    <x v="90"/>
    <x v="3"/>
    <x v="1"/>
    <s v="27/5/2016"/>
    <n v="-15.384600000000001"/>
    <n v="-8.0000000000000002E-3"/>
    <n v="17770000"/>
    <s v="#N/A N/A"/>
    <n v="4.4999999999999998E-2"/>
  </r>
  <r>
    <x v="210"/>
    <x v="30"/>
    <x v="115"/>
    <x v="4"/>
    <x v="0"/>
    <s v="27/5/2016"/>
    <n v="9.9009900000000002"/>
    <n v="0.01"/>
    <n v="1040000"/>
    <n v="0.11"/>
    <n v="0.115"/>
  </r>
  <r>
    <x v="211"/>
    <x v="26"/>
    <x v="30"/>
    <x v="4"/>
    <x v="0"/>
    <s v="#N/A N/A"/>
    <s v="#N/A N/A"/>
    <s v="#N/A N/A"/>
    <s v="#N/A N/A"/>
    <s v="#N/A N/A"/>
    <s v="#N/A N/A"/>
  </r>
  <r>
    <x v="212"/>
    <x v="53"/>
    <x v="116"/>
    <x v="4"/>
    <x v="1"/>
    <s v="27/5/2016"/>
    <n v="-4.1095899999999999"/>
    <n v="-3.0000000000000001E-3"/>
    <n v="677720000"/>
    <n v="6.9000000000000006E-2"/>
    <n v="7.0999999999999994E-2"/>
  </r>
  <r>
    <x v="213"/>
    <x v="78"/>
    <x v="65"/>
    <x v="4"/>
    <x v="1"/>
    <s v="27/5/2016"/>
    <n v="-8.5714299999999994"/>
    <n v="-6.0000000000000001E-3"/>
    <n v="600000"/>
    <s v="#N/A N/A"/>
    <n v="6.4000000000000001E-2"/>
  </r>
  <r>
    <x v="214"/>
    <x v="21"/>
    <x v="22"/>
    <x v="4"/>
    <x v="1"/>
    <s v="27/5/2016"/>
    <n v="-8.6705199999999998"/>
    <n v="-1.4999999999999999E-2"/>
    <n v="670000"/>
    <n v="0.155"/>
    <n v="0.18"/>
  </r>
  <r>
    <x v="215"/>
    <x v="19"/>
    <x v="75"/>
    <x v="2"/>
    <x v="1"/>
    <s v="27/5/2016"/>
    <n v="-12.345700000000001"/>
    <n v="-0.01"/>
    <n v="62180000"/>
    <n v="7.0999999999999994E-2"/>
    <n v="7.2999999999999995E-2"/>
  </r>
  <r>
    <x v="216"/>
    <x v="11"/>
    <x v="117"/>
    <x v="2"/>
    <x v="1"/>
    <s v="27/5/2016"/>
    <n v="-10.112399999999999"/>
    <n v="-8.9999999999999993E-3"/>
    <n v="1370000"/>
    <n v="7.6999999999999999E-2"/>
    <n v="8.1000000000000003E-2"/>
  </r>
  <r>
    <x v="217"/>
    <x v="29"/>
    <x v="30"/>
    <x v="5"/>
    <x v="0"/>
    <s v="#N/A N/A"/>
    <s v="#N/A N/A"/>
    <s v="#N/A N/A"/>
    <s v="#N/A N/A"/>
    <s v="#N/A N/A"/>
    <s v="#N/A N/A"/>
  </r>
  <r>
    <x v="218"/>
    <x v="53"/>
    <x v="118"/>
    <x v="5"/>
    <x v="1"/>
    <s v="27/5/2016"/>
    <n v="-9.89011"/>
    <n v="-8.9999999999999993E-3"/>
    <n v="0"/>
    <n v="7.9000000000000001E-2"/>
    <n v="8.4000000000000005E-2"/>
  </r>
  <r>
    <x v="219"/>
    <x v="21"/>
    <x v="30"/>
    <x v="4"/>
    <x v="1"/>
    <s v="#N/A N/A"/>
    <s v="#N/A N/A"/>
    <s v="#N/A N/A"/>
    <s v="#N/A N/A"/>
    <s v="#N/A N/A"/>
    <s v="#N/A N/A"/>
  </r>
  <r>
    <x v="220"/>
    <x v="79"/>
    <x v="30"/>
    <x v="5"/>
    <x v="0"/>
    <s v="#N/A N/A"/>
    <s v="#N/A N/A"/>
    <s v="#N/A N/A"/>
    <s v="#N/A N/A"/>
    <s v="#N/A N/A"/>
    <s v="#N/A N/A"/>
  </r>
  <r>
    <x v="221"/>
    <x v="28"/>
    <x v="119"/>
    <x v="2"/>
    <x v="1"/>
    <s v="27/5/2016"/>
    <n v="0"/>
    <n v="0"/>
    <n v="0"/>
    <s v="#N/A N/A"/>
    <s v="#N/A N/A"/>
  </r>
  <r>
    <x v="222"/>
    <x v="25"/>
    <x v="30"/>
    <x v="4"/>
    <x v="1"/>
    <s v="#N/A N/A"/>
    <s v="#N/A N/A"/>
    <s v="#N/A N/A"/>
    <s v="#N/A N/A"/>
    <n v="0.18099999999999999"/>
    <n v="0.183"/>
  </r>
  <r>
    <x v="223"/>
    <x v="31"/>
    <x v="120"/>
    <x v="3"/>
    <x v="0"/>
    <s v="27/5/2016"/>
    <n v="22.857099999999999"/>
    <n v="8.0000000000000002E-3"/>
    <n v="4500000"/>
    <n v="4.1000000000000002E-2"/>
    <n v="4.4999999999999998E-2"/>
  </r>
  <r>
    <x v="224"/>
    <x v="27"/>
    <x v="30"/>
    <x v="5"/>
    <x v="1"/>
    <s v="#N/A N/A"/>
    <s v="#N/A N/A"/>
    <s v="#N/A N/A"/>
    <s v="#N/A N/A"/>
    <s v="#N/A N/A"/>
    <s v="#N/A N/A"/>
  </r>
  <r>
    <x v="225"/>
    <x v="80"/>
    <x v="121"/>
    <x v="5"/>
    <x v="1"/>
    <s v="27/5/2016"/>
    <n v="-9.1603100000000008"/>
    <n v="-1.2E-2"/>
    <n v="27940000"/>
    <n v="0.11899999999999999"/>
    <n v="0.121"/>
  </r>
  <r>
    <x v="226"/>
    <x v="81"/>
    <x v="122"/>
    <x v="5"/>
    <x v="0"/>
    <s v="27/5/2016"/>
    <n v="10.055899999999999"/>
    <n v="1.7999999999999999E-2"/>
    <n v="61840000"/>
    <n v="0.19700000000000001"/>
    <n v="0.19900000000000001"/>
  </r>
  <r>
    <x v="227"/>
    <x v="19"/>
    <x v="30"/>
    <x v="3"/>
    <x v="0"/>
    <s v="#N/A N/A"/>
    <s v="#N/A N/A"/>
    <s v="#N/A N/A"/>
    <s v="#N/A N/A"/>
    <n v="0.19600000000000001"/>
    <n v="0.19900000000000001"/>
  </r>
  <r>
    <x v="228"/>
    <x v="53"/>
    <x v="30"/>
    <x v="4"/>
    <x v="1"/>
    <s v="#N/A N/A"/>
    <s v="#N/A N/A"/>
    <s v="#N/A N/A"/>
    <s v="#N/A N/A"/>
    <n v="0.10299999999999999"/>
    <n v="0.107"/>
  </r>
  <r>
    <x v="229"/>
    <x v="19"/>
    <x v="30"/>
    <x v="5"/>
    <x v="0"/>
    <s v="#N/A N/A"/>
    <s v="#N/A N/A"/>
    <s v="#N/A N/A"/>
    <s v="#N/A N/A"/>
    <s v="#N/A N/A"/>
    <s v="#N/A N/A"/>
  </r>
  <r>
    <x v="230"/>
    <x v="82"/>
    <x v="30"/>
    <x v="5"/>
    <x v="1"/>
    <s v="#N/A N/A"/>
    <s v="#N/A N/A"/>
    <s v="#N/A N/A"/>
    <s v="#N/A N/A"/>
    <s v="#N/A N/A"/>
    <s v="#N/A 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E235" firstHeaderRow="1" firstDataRow="1" firstDataCol="4"/>
  <pivotFields count="11">
    <pivotField axis="axisRow" compact="0" outline="0" showAll="0" defaultSubtotal="0">
      <items count="231">
        <item x="1"/>
        <item x="56"/>
        <item x="118"/>
        <item x="175"/>
        <item x="119"/>
        <item x="2"/>
        <item x="3"/>
        <item x="176"/>
        <item x="57"/>
        <item x="58"/>
        <item x="59"/>
        <item x="177"/>
        <item x="4"/>
        <item x="60"/>
        <item x="120"/>
        <item x="61"/>
        <item x="62"/>
        <item x="121"/>
        <item x="122"/>
        <item x="123"/>
        <item x="63"/>
        <item x="124"/>
        <item x="178"/>
        <item x="125"/>
        <item x="179"/>
        <item x="126"/>
        <item x="55"/>
        <item x="64"/>
        <item x="180"/>
        <item x="127"/>
        <item x="181"/>
        <item x="128"/>
        <item x="129"/>
        <item x="65"/>
        <item x="5"/>
        <item x="6"/>
        <item x="66"/>
        <item x="130"/>
        <item x="182"/>
        <item x="7"/>
        <item x="67"/>
        <item x="131"/>
        <item x="132"/>
        <item x="183"/>
        <item x="53"/>
        <item x="8"/>
        <item x="184"/>
        <item x="9"/>
        <item x="68"/>
        <item x="10"/>
        <item x="69"/>
        <item x="133"/>
        <item x="70"/>
        <item x="71"/>
        <item x="185"/>
        <item x="11"/>
        <item x="12"/>
        <item x="72"/>
        <item x="134"/>
        <item x="54"/>
        <item x="173"/>
        <item x="186"/>
        <item x="187"/>
        <item x="13"/>
        <item x="73"/>
        <item x="135"/>
        <item x="188"/>
        <item x="136"/>
        <item x="189"/>
        <item x="14"/>
        <item x="74"/>
        <item x="190"/>
        <item x="0"/>
        <item x="137"/>
        <item x="75"/>
        <item x="138"/>
        <item x="76"/>
        <item x="139"/>
        <item x="140"/>
        <item x="77"/>
        <item x="141"/>
        <item x="78"/>
        <item x="142"/>
        <item x="15"/>
        <item x="143"/>
        <item x="79"/>
        <item x="144"/>
        <item x="191"/>
        <item x="116"/>
        <item x="16"/>
        <item x="192"/>
        <item x="80"/>
        <item x="17"/>
        <item x="81"/>
        <item x="145"/>
        <item x="18"/>
        <item x="19"/>
        <item x="82"/>
        <item x="83"/>
        <item x="193"/>
        <item x="20"/>
        <item x="84"/>
        <item x="146"/>
        <item x="194"/>
        <item x="21"/>
        <item x="85"/>
        <item x="147"/>
        <item x="195"/>
        <item x="196"/>
        <item x="86"/>
        <item x="148"/>
        <item x="197"/>
        <item x="87"/>
        <item x="149"/>
        <item x="88"/>
        <item x="150"/>
        <item x="198"/>
        <item x="22"/>
        <item x="23"/>
        <item x="151"/>
        <item x="199"/>
        <item x="89"/>
        <item x="152"/>
        <item x="200"/>
        <item x="24"/>
        <item x="153"/>
        <item x="25"/>
        <item x="117"/>
        <item x="201"/>
        <item x="154"/>
        <item x="202"/>
        <item x="26"/>
        <item x="203"/>
        <item x="27"/>
        <item x="204"/>
        <item x="90"/>
        <item x="205"/>
        <item x="28"/>
        <item x="91"/>
        <item x="206"/>
        <item x="29"/>
        <item x="92"/>
        <item x="155"/>
        <item x="156"/>
        <item x="30"/>
        <item x="93"/>
        <item x="157"/>
        <item x="207"/>
        <item x="158"/>
        <item x="94"/>
        <item x="95"/>
        <item x="96"/>
        <item x="159"/>
        <item x="208"/>
        <item x="31"/>
        <item x="209"/>
        <item x="97"/>
        <item x="160"/>
        <item x="98"/>
        <item x="161"/>
        <item x="99"/>
        <item x="162"/>
        <item x="210"/>
        <item x="211"/>
        <item x="32"/>
        <item x="212"/>
        <item x="33"/>
        <item x="34"/>
        <item x="213"/>
        <item x="35"/>
        <item x="100"/>
        <item x="163"/>
        <item x="101"/>
        <item x="36"/>
        <item x="37"/>
        <item x="38"/>
        <item x="102"/>
        <item x="103"/>
        <item x="214"/>
        <item x="39"/>
        <item x="40"/>
        <item x="41"/>
        <item x="104"/>
        <item x="105"/>
        <item x="164"/>
        <item x="215"/>
        <item x="216"/>
        <item x="42"/>
        <item x="43"/>
        <item x="165"/>
        <item x="166"/>
        <item x="167"/>
        <item x="44"/>
        <item x="106"/>
        <item x="217"/>
        <item x="107"/>
        <item x="218"/>
        <item x="45"/>
        <item x="108"/>
        <item x="109"/>
        <item x="168"/>
        <item x="46"/>
        <item x="219"/>
        <item x="47"/>
        <item x="220"/>
        <item x="169"/>
        <item x="221"/>
        <item x="222"/>
        <item x="48"/>
        <item x="110"/>
        <item x="49"/>
        <item x="50"/>
        <item x="223"/>
        <item x="111"/>
        <item x="224"/>
        <item x="51"/>
        <item x="170"/>
        <item x="225"/>
        <item x="52"/>
        <item x="112"/>
        <item x="226"/>
        <item x="113"/>
        <item x="171"/>
        <item x="227"/>
        <item x="114"/>
        <item x="172"/>
        <item x="115"/>
        <item x="228"/>
        <item x="229"/>
        <item x="230"/>
        <item x="174"/>
      </items>
    </pivotField>
    <pivotField axis="axisRow" compact="0" outline="0" showAll="0" sortType="descending" defaultSubtotal="0">
      <items count="83">
        <item x="4"/>
        <item x="34"/>
        <item x="36"/>
        <item x="3"/>
        <item x="69"/>
        <item x="57"/>
        <item x="39"/>
        <item x="7"/>
        <item x="38"/>
        <item x="5"/>
        <item x="40"/>
        <item x="9"/>
        <item x="59"/>
        <item x="42"/>
        <item x="60"/>
        <item x="37"/>
        <item x="41"/>
        <item x="8"/>
        <item x="61"/>
        <item x="0"/>
        <item x="44"/>
        <item x="79"/>
        <item x="58"/>
        <item x="70"/>
        <item x="6"/>
        <item x="33"/>
        <item x="29"/>
        <item x="12"/>
        <item x="31"/>
        <item x="22"/>
        <item x="28"/>
        <item x="43"/>
        <item x="32"/>
        <item x="2"/>
        <item x="35"/>
        <item x="21"/>
        <item x="48"/>
        <item x="25"/>
        <item x="71"/>
        <item x="62"/>
        <item x="11"/>
        <item x="67"/>
        <item x="65"/>
        <item x="30"/>
        <item x="16"/>
        <item x="10"/>
        <item x="55"/>
        <item x="19"/>
        <item x="81"/>
        <item x="80"/>
        <item x="27"/>
        <item x="76"/>
        <item x="1"/>
        <item x="23"/>
        <item x="47"/>
        <item x="49"/>
        <item x="24"/>
        <item x="68"/>
        <item x="26"/>
        <item x="56"/>
        <item x="78"/>
        <item x="46"/>
        <item x="15"/>
        <item x="20"/>
        <item x="45"/>
        <item x="54"/>
        <item x="82"/>
        <item x="53"/>
        <item x="63"/>
        <item x="50"/>
        <item x="77"/>
        <item x="72"/>
        <item x="13"/>
        <item x="66"/>
        <item x="18"/>
        <item x="75"/>
        <item x="17"/>
        <item x="14"/>
        <item x="52"/>
        <item x="64"/>
        <item x="74"/>
        <item x="51"/>
        <item x="73"/>
      </items>
    </pivotField>
    <pivotField dataField="1" compact="0" outline="0" showAll="0" defaultSubtotal="0"/>
    <pivotField axis="axisRow" compact="0" outline="0" showAll="0" sortType="descending" defaultSubtotal="0">
      <items count="6">
        <item x="3"/>
        <item x="1"/>
        <item x="4"/>
        <item x="0"/>
        <item x="2"/>
        <item x="5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3"/>
    <field x="1"/>
    <field x="4"/>
    <field x="0"/>
  </rowFields>
  <rowItems count="232">
    <i>
      <x/>
      <x v="14"/>
      <x/>
      <x v="51"/>
    </i>
    <i r="1">
      <x v="17"/>
      <x/>
      <x v="36"/>
    </i>
    <i r="3">
      <x v="47"/>
    </i>
    <i r="1">
      <x v="18"/>
      <x v="1"/>
      <x v="58"/>
    </i>
    <i r="1">
      <x v="28"/>
      <x/>
      <x v="212"/>
    </i>
    <i r="1">
      <x v="30"/>
      <x/>
      <x v="75"/>
    </i>
    <i r="3">
      <x v="98"/>
    </i>
    <i r="3">
      <x v="181"/>
    </i>
    <i r="1">
      <x v="32"/>
      <x v="1"/>
      <x v="215"/>
    </i>
    <i r="1">
      <x v="33"/>
      <x v="1"/>
      <x v="39"/>
    </i>
    <i r="3">
      <x v="209"/>
    </i>
    <i r="3">
      <x v="211"/>
    </i>
    <i r="1">
      <x v="34"/>
      <x v="1"/>
      <x v="213"/>
    </i>
    <i r="1">
      <x v="36"/>
      <x/>
      <x v="121"/>
    </i>
    <i r="1">
      <x v="37"/>
      <x/>
      <x v="93"/>
    </i>
    <i r="3">
      <x v="120"/>
    </i>
    <i r="3">
      <x v="169"/>
    </i>
    <i r="3">
      <x v="219"/>
    </i>
    <i r="1">
      <x v="42"/>
      <x/>
      <x v="159"/>
    </i>
    <i r="1">
      <x v="43"/>
      <x/>
      <x v="105"/>
    </i>
    <i r="3">
      <x v="192"/>
    </i>
    <i r="1">
      <x v="47"/>
      <x/>
      <x v="133"/>
    </i>
    <i r="3">
      <x v="161"/>
    </i>
    <i r="3">
      <x v="223"/>
    </i>
    <i r="1">
      <x v="68"/>
      <x/>
      <x v="142"/>
    </i>
    <i r="1">
      <x v="69"/>
      <x/>
      <x v="111"/>
    </i>
    <i r="3">
      <x v="145"/>
    </i>
    <i r="1">
      <x v="70"/>
      <x v="1"/>
      <x v="155"/>
    </i>
    <i r="1">
      <x v="71"/>
      <x v="1"/>
      <x v="116"/>
    </i>
    <i r="1">
      <x v="72"/>
      <x/>
      <x v="119"/>
    </i>
    <i r="2">
      <x v="1"/>
      <x v="100"/>
    </i>
    <i r="3">
      <x v="148"/>
    </i>
    <i r="1">
      <x v="74"/>
      <x v="1"/>
      <x v="126"/>
    </i>
    <i r="3">
      <x v="131"/>
    </i>
    <i r="3">
      <x v="157"/>
    </i>
    <i r="1">
      <x v="75"/>
      <x v="1"/>
      <x v="136"/>
    </i>
    <i r="1">
      <x v="76"/>
      <x v="1"/>
      <x v="118"/>
    </i>
    <i r="1">
      <x v="77"/>
      <x v="1"/>
      <x v="129"/>
    </i>
    <i r="3">
      <x v="146"/>
    </i>
    <i>
      <x v="1"/>
      <x v="4"/>
      <x/>
      <x v="22"/>
    </i>
    <i r="1">
      <x v="5"/>
      <x v="1"/>
      <x v="17"/>
    </i>
    <i r="1">
      <x v="6"/>
      <x/>
      <x v="13"/>
    </i>
    <i r="3">
      <x v="20"/>
    </i>
    <i r="3">
      <x v="21"/>
    </i>
    <i r="3">
      <x v="41"/>
    </i>
    <i r="1">
      <x v="7"/>
      <x/>
      <x v="45"/>
    </i>
    <i r="1">
      <x v="8"/>
      <x/>
      <x v="10"/>
    </i>
    <i r="3">
      <x v="25"/>
    </i>
    <i r="3">
      <x v="28"/>
    </i>
    <i r="1">
      <x v="11"/>
      <x/>
      <x v="49"/>
    </i>
    <i r="1">
      <x v="12"/>
      <x/>
      <x v="32"/>
    </i>
    <i r="2">
      <x v="1"/>
      <x v="11"/>
    </i>
    <i r="1">
      <x v="13"/>
      <x/>
      <x v="23"/>
    </i>
    <i r="3">
      <x v="42"/>
    </i>
    <i r="1">
      <x v="15"/>
      <x v="1"/>
      <x v="9"/>
    </i>
    <i r="1">
      <x v="16"/>
      <x/>
      <x v="33"/>
    </i>
    <i r="3">
      <x v="61"/>
    </i>
    <i r="1">
      <x v="17"/>
      <x/>
      <x v="1"/>
    </i>
    <i r="1">
      <x v="23"/>
      <x v="1"/>
      <x v="30"/>
    </i>
    <i r="1">
      <x v="24"/>
      <x v="1"/>
      <x v="24"/>
    </i>
    <i r="1">
      <x v="45"/>
      <x v="1"/>
      <x v="4"/>
    </i>
    <i r="3">
      <x v="141"/>
    </i>
    <i r="1">
      <x v="52"/>
      <x/>
      <x/>
    </i>
    <i r="3">
      <x v="81"/>
    </i>
    <i r="3">
      <x v="103"/>
    </i>
    <i r="1">
      <x v="62"/>
      <x v="1"/>
      <x v="140"/>
    </i>
    <i r="3">
      <x v="230"/>
    </i>
    <i r="1">
      <x v="63"/>
      <x v="1"/>
      <x v="137"/>
    </i>
    <i>
      <x v="2"/>
      <x v="13"/>
      <x/>
      <x v="37"/>
    </i>
    <i r="3">
      <x v="48"/>
    </i>
    <i r="3">
      <x v="67"/>
    </i>
    <i r="1">
      <x v="29"/>
      <x/>
      <x v="154"/>
    </i>
    <i r="1">
      <x v="30"/>
      <x/>
      <x v="135"/>
    </i>
    <i r="3">
      <x v="171"/>
    </i>
    <i r="3">
      <x v="172"/>
    </i>
    <i r="1">
      <x v="32"/>
      <x/>
      <x v="122"/>
    </i>
    <i r="1">
      <x v="33"/>
      <x/>
      <x v="87"/>
    </i>
    <i r="3">
      <x v="143"/>
    </i>
    <i r="3">
      <x v="170"/>
    </i>
    <i r="3">
      <x v="174"/>
    </i>
    <i r="1">
      <x v="35"/>
      <x v="1"/>
      <x v="178"/>
    </i>
    <i r="3">
      <x v="200"/>
    </i>
    <i r="3">
      <x v="202"/>
    </i>
    <i r="1">
      <x v="37"/>
      <x v="1"/>
      <x v="40"/>
    </i>
    <i r="3">
      <x v="207"/>
    </i>
    <i r="1">
      <x v="38"/>
      <x v="1"/>
      <x v="43"/>
    </i>
    <i r="1">
      <x v="40"/>
      <x v="1"/>
      <x v="60"/>
    </i>
    <i r="3">
      <x v="69"/>
    </i>
    <i r="1">
      <x v="41"/>
      <x v="1"/>
      <x v="216"/>
    </i>
    <i r="1">
      <x v="42"/>
      <x v="1"/>
      <x v="205"/>
    </i>
    <i r="1">
      <x v="43"/>
      <x/>
      <x v="106"/>
    </i>
    <i r="3">
      <x v="162"/>
    </i>
    <i r="1">
      <x v="52"/>
      <x/>
      <x v="107"/>
    </i>
    <i r="1">
      <x v="57"/>
      <x/>
      <x v="222"/>
    </i>
    <i r="1">
      <x v="58"/>
      <x/>
      <x v="110"/>
    </i>
    <i r="3">
      <x v="163"/>
    </i>
    <i r="2">
      <x v="1"/>
      <x v="156"/>
    </i>
    <i r="3">
      <x v="175"/>
    </i>
    <i r="3">
      <x v="177"/>
    </i>
    <i r="3">
      <x v="198"/>
    </i>
    <i r="3">
      <x v="224"/>
    </i>
    <i r="1">
      <x v="59"/>
      <x/>
      <x v="226"/>
    </i>
    <i r="1">
      <x v="60"/>
      <x v="1"/>
      <x v="168"/>
    </i>
    <i r="1">
      <x v="62"/>
      <x/>
      <x v="124"/>
    </i>
    <i r="1">
      <x v="65"/>
      <x v="1"/>
      <x v="183"/>
    </i>
    <i r="1">
      <x v="67"/>
      <x v="1"/>
      <x v="165"/>
    </i>
    <i r="3">
      <x v="176"/>
    </i>
    <i r="3">
      <x v="227"/>
    </i>
    <i r="1">
      <x v="72"/>
      <x v="1"/>
      <x v="89"/>
    </i>
    <i r="3">
      <x v="91"/>
    </i>
    <i r="3">
      <x v="164"/>
    </i>
    <i r="1">
      <x v="73"/>
      <x v="1"/>
      <x v="184"/>
    </i>
    <i r="1">
      <x v="74"/>
      <x/>
      <x v="99"/>
    </i>
    <i r="3">
      <x v="125"/>
    </i>
    <i r="3">
      <x v="132"/>
    </i>
    <i r="3">
      <x v="147"/>
    </i>
    <i r="1">
      <x v="77"/>
      <x v="1"/>
      <x v="95"/>
    </i>
    <i r="1">
      <x v="78"/>
      <x v="1"/>
      <x v="115"/>
    </i>
    <i r="3">
      <x v="158"/>
    </i>
    <i r="1">
      <x v="79"/>
      <x v="1"/>
      <x v="152"/>
    </i>
    <i r="1">
      <x v="80"/>
      <x v="1"/>
      <x v="130"/>
    </i>
    <i r="1">
      <x v="81"/>
      <x v="1"/>
      <x v="134"/>
    </i>
    <i r="3">
      <x v="150"/>
    </i>
    <i r="3">
      <x v="151"/>
    </i>
    <i r="1">
      <x v="82"/>
      <x v="1"/>
      <x v="123"/>
    </i>
    <i>
      <x v="3"/>
      <x/>
      <x/>
      <x v="12"/>
    </i>
    <i r="1">
      <x v="1"/>
      <x/>
      <x v="44"/>
    </i>
    <i r="1">
      <x v="2"/>
      <x/>
      <x v="8"/>
    </i>
    <i r="1">
      <x v="3"/>
      <x/>
      <x v="6"/>
    </i>
    <i r="3">
      <x v="7"/>
    </i>
    <i r="3">
      <x v="15"/>
    </i>
    <i r="3">
      <x v="19"/>
    </i>
    <i r="1">
      <x v="10"/>
      <x v="1"/>
      <x v="16"/>
    </i>
    <i r="1">
      <x v="19"/>
      <x/>
      <x v="72"/>
    </i>
    <i r="1">
      <x v="20"/>
      <x/>
      <x v="54"/>
    </i>
    <i r="3">
      <x v="64"/>
    </i>
    <i r="2">
      <x v="1"/>
      <x v="14"/>
    </i>
    <i r="1">
      <x v="22"/>
      <x/>
      <x v="73"/>
    </i>
    <i r="2">
      <x v="1"/>
      <x v="18"/>
    </i>
    <i r="1">
      <x v="24"/>
      <x/>
      <x v="35"/>
    </i>
    <i r="3">
      <x v="46"/>
    </i>
    <i r="3">
      <x v="50"/>
    </i>
    <i r="1">
      <x v="27"/>
      <x v="1"/>
      <x v="38"/>
    </i>
    <i r="3">
      <x v="70"/>
    </i>
    <i r="1">
      <x v="31"/>
      <x/>
      <x v="52"/>
    </i>
    <i r="1">
      <x v="33"/>
      <x/>
      <x v="5"/>
    </i>
    <i r="3">
      <x v="55"/>
    </i>
    <i r="3">
      <x v="62"/>
    </i>
    <i r="3">
      <x v="88"/>
    </i>
    <i r="2">
      <x v="1"/>
      <x v="31"/>
    </i>
    <i r="3">
      <x v="56"/>
    </i>
    <i r="1">
      <x v="34"/>
      <x v="1"/>
      <x v="59"/>
    </i>
    <i r="1">
      <x v="44"/>
      <x/>
      <x v="104"/>
    </i>
    <i r="2">
      <x v="1"/>
      <x v="29"/>
    </i>
    <i r="1">
      <x v="45"/>
      <x/>
      <x v="2"/>
    </i>
    <i r="3">
      <x v="53"/>
    </i>
    <i r="3">
      <x v="85"/>
    </i>
    <i r="3">
      <x v="92"/>
    </i>
    <i r="3">
      <x v="94"/>
    </i>
    <i r="2">
      <x v="1"/>
      <x v="27"/>
    </i>
    <i r="3">
      <x v="63"/>
    </i>
    <i r="3">
      <x v="127"/>
    </i>
    <i r="1">
      <x v="62"/>
      <x v="1"/>
      <x v="3"/>
    </i>
    <i r="3">
      <x v="65"/>
    </i>
    <i r="3">
      <x v="108"/>
    </i>
    <i r="3">
      <x v="173"/>
    </i>
    <i r="1">
      <x v="64"/>
      <x v="1"/>
      <x v="74"/>
    </i>
    <i>
      <x v="4"/>
      <x v="3"/>
      <x v="1"/>
      <x v="26"/>
    </i>
    <i r="1">
      <x v="9"/>
      <x/>
      <x v="34"/>
    </i>
    <i r="3">
      <x v="66"/>
    </i>
    <i r="3">
      <x v="68"/>
    </i>
    <i r="1">
      <x v="27"/>
      <x/>
      <x v="71"/>
    </i>
    <i r="3">
      <x v="83"/>
    </i>
    <i r="2">
      <x v="1"/>
      <x v="210"/>
    </i>
    <i r="1">
      <x v="28"/>
      <x v="1"/>
      <x v="57"/>
    </i>
    <i r="3">
      <x v="189"/>
    </i>
    <i r="3">
      <x v="208"/>
    </i>
    <i r="1">
      <x v="30"/>
      <x v="1"/>
      <x v="206"/>
    </i>
    <i r="1">
      <x v="35"/>
      <x/>
      <x v="76"/>
    </i>
    <i r="3">
      <x v="84"/>
    </i>
    <i r="3">
      <x v="144"/>
    </i>
    <i r="1">
      <x v="39"/>
      <x v="1"/>
      <x v="80"/>
    </i>
    <i r="1">
      <x v="40"/>
      <x/>
      <x v="79"/>
    </i>
    <i r="3">
      <x v="101"/>
    </i>
    <i r="2">
      <x v="1"/>
      <x v="186"/>
    </i>
    <i r="1">
      <x v="47"/>
      <x v="1"/>
      <x v="77"/>
    </i>
    <i r="3">
      <x v="185"/>
    </i>
    <i r="3">
      <x v="191"/>
    </i>
    <i r="1">
      <x v="50"/>
      <x v="1"/>
      <x v="179"/>
    </i>
    <i r="1">
      <x v="51"/>
      <x/>
      <x v="153"/>
    </i>
    <i r="1">
      <x v="52"/>
      <x/>
      <x v="97"/>
    </i>
    <i r="3">
      <x v="113"/>
    </i>
    <i r="1">
      <x v="53"/>
      <x v="1"/>
      <x v="82"/>
    </i>
    <i r="3">
      <x v="166"/>
    </i>
    <i r="1">
      <x v="54"/>
      <x/>
      <x v="112"/>
    </i>
    <i r="1">
      <x v="55"/>
      <x v="1"/>
      <x v="138"/>
    </i>
    <i r="1">
      <x v="56"/>
      <x/>
      <x v="86"/>
    </i>
    <i r="3">
      <x v="160"/>
    </i>
    <i r="2">
      <x v="1"/>
      <x v="78"/>
    </i>
    <i r="3">
      <x v="167"/>
    </i>
    <i r="3">
      <x v="180"/>
    </i>
    <i r="1">
      <x v="61"/>
      <x/>
      <x v="109"/>
    </i>
    <i r="1">
      <x v="62"/>
      <x/>
      <x v="90"/>
    </i>
    <i r="3">
      <x v="96"/>
    </i>
    <i r="3">
      <x v="114"/>
    </i>
    <i r="3">
      <x v="117"/>
    </i>
    <i>
      <x v="5"/>
      <x v="21"/>
      <x/>
      <x v="204"/>
    </i>
    <i r="1">
      <x v="24"/>
      <x/>
      <x v="187"/>
    </i>
    <i r="1">
      <x v="25"/>
      <x/>
      <x v="218"/>
    </i>
    <i r="1">
      <x v="26"/>
      <x/>
      <x v="182"/>
    </i>
    <i r="3">
      <x v="188"/>
    </i>
    <i r="3">
      <x v="190"/>
    </i>
    <i r="3">
      <x v="193"/>
    </i>
    <i r="3">
      <x v="194"/>
    </i>
    <i r="3">
      <x v="201"/>
    </i>
    <i r="1">
      <x v="30"/>
      <x v="1"/>
      <x v="203"/>
    </i>
    <i r="1">
      <x v="45"/>
      <x v="1"/>
      <x v="195"/>
    </i>
    <i r="3">
      <x v="197"/>
    </i>
    <i r="1">
      <x v="46"/>
      <x/>
      <x v="221"/>
    </i>
    <i r="1">
      <x v="47"/>
      <x/>
      <x v="149"/>
    </i>
    <i r="3">
      <x v="228"/>
    </i>
    <i r="2">
      <x v="1"/>
      <x v="199"/>
    </i>
    <i r="1">
      <x v="48"/>
      <x/>
      <x v="220"/>
    </i>
    <i r="1">
      <x v="49"/>
      <x v="1"/>
      <x v="217"/>
    </i>
    <i r="1">
      <x v="50"/>
      <x v="1"/>
      <x v="214"/>
    </i>
    <i r="1">
      <x v="66"/>
      <x v="1"/>
      <x v="229"/>
    </i>
    <i r="1">
      <x v="67"/>
      <x v="1"/>
      <x v="102"/>
    </i>
    <i r="3">
      <x v="196"/>
    </i>
    <i r="3">
      <x v="225"/>
    </i>
    <i r="1">
      <x v="80"/>
      <x/>
      <x v="128"/>
    </i>
    <i r="1">
      <x v="81"/>
      <x v="1"/>
      <x v="139"/>
    </i>
    <i t="grand">
      <x/>
    </i>
  </rowItems>
  <colItems count="1">
    <i/>
  </colItems>
  <dataFields count="1">
    <dataField name="Sum of Curr Px" fld="2" baseField="3" baseItem="0"/>
  </dataFields>
  <formats count="1">
    <format dxfId="0">
      <pivotArea dataOnly="0" outline="0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E235" firstHeaderRow="1" firstDataRow="1" firstDataCol="5"/>
  <pivotFields count="11">
    <pivotField axis="axisRow" compact="0" outline="0" showAll="0" defaultSubtotal="0">
      <items count="231">
        <item x="1"/>
        <item x="56"/>
        <item x="118"/>
        <item x="175"/>
        <item x="119"/>
        <item x="2"/>
        <item x="3"/>
        <item x="176"/>
        <item x="57"/>
        <item x="58"/>
        <item x="59"/>
        <item x="177"/>
        <item x="4"/>
        <item x="60"/>
        <item x="120"/>
        <item x="61"/>
        <item x="62"/>
        <item x="121"/>
        <item x="122"/>
        <item x="123"/>
        <item x="63"/>
        <item x="124"/>
        <item x="178"/>
        <item x="125"/>
        <item x="179"/>
        <item x="126"/>
        <item x="55"/>
        <item x="64"/>
        <item x="180"/>
        <item x="127"/>
        <item x="181"/>
        <item x="128"/>
        <item x="129"/>
        <item x="65"/>
        <item x="5"/>
        <item x="6"/>
        <item x="66"/>
        <item x="130"/>
        <item x="182"/>
        <item x="7"/>
        <item x="67"/>
        <item x="131"/>
        <item x="132"/>
        <item x="183"/>
        <item x="53"/>
        <item x="8"/>
        <item x="184"/>
        <item x="9"/>
        <item x="68"/>
        <item x="10"/>
        <item x="69"/>
        <item x="133"/>
        <item x="70"/>
        <item x="71"/>
        <item x="185"/>
        <item x="11"/>
        <item x="12"/>
        <item x="72"/>
        <item x="134"/>
        <item x="54"/>
        <item x="173"/>
        <item x="186"/>
        <item x="187"/>
        <item x="13"/>
        <item x="73"/>
        <item x="135"/>
        <item x="188"/>
        <item x="136"/>
        <item x="189"/>
        <item x="14"/>
        <item x="74"/>
        <item x="190"/>
        <item x="0"/>
        <item x="137"/>
        <item x="75"/>
        <item x="138"/>
        <item x="76"/>
        <item x="139"/>
        <item x="140"/>
        <item x="77"/>
        <item x="141"/>
        <item x="78"/>
        <item x="142"/>
        <item x="15"/>
        <item x="143"/>
        <item x="79"/>
        <item x="144"/>
        <item x="191"/>
        <item x="116"/>
        <item x="16"/>
        <item x="192"/>
        <item x="80"/>
        <item x="17"/>
        <item x="81"/>
        <item x="145"/>
        <item x="18"/>
        <item x="19"/>
        <item x="82"/>
        <item x="83"/>
        <item x="193"/>
        <item x="20"/>
        <item x="84"/>
        <item x="146"/>
        <item x="194"/>
        <item x="21"/>
        <item x="85"/>
        <item x="147"/>
        <item x="195"/>
        <item x="196"/>
        <item x="86"/>
        <item x="148"/>
        <item x="197"/>
        <item x="87"/>
        <item x="149"/>
        <item x="88"/>
        <item x="150"/>
        <item x="198"/>
        <item x="22"/>
        <item x="23"/>
        <item x="151"/>
        <item x="199"/>
        <item x="89"/>
        <item x="152"/>
        <item x="200"/>
        <item x="24"/>
        <item x="153"/>
        <item x="25"/>
        <item x="117"/>
        <item x="201"/>
        <item x="154"/>
        <item x="202"/>
        <item x="26"/>
        <item x="203"/>
        <item x="27"/>
        <item x="204"/>
        <item x="90"/>
        <item x="205"/>
        <item x="28"/>
        <item x="91"/>
        <item x="206"/>
        <item x="29"/>
        <item x="92"/>
        <item x="155"/>
        <item x="156"/>
        <item x="30"/>
        <item x="93"/>
        <item x="157"/>
        <item x="207"/>
        <item x="158"/>
        <item x="94"/>
        <item x="95"/>
        <item x="96"/>
        <item x="159"/>
        <item x="208"/>
        <item x="31"/>
        <item x="209"/>
        <item x="97"/>
        <item x="160"/>
        <item x="98"/>
        <item x="161"/>
        <item x="99"/>
        <item x="162"/>
        <item x="210"/>
        <item x="211"/>
        <item x="32"/>
        <item x="212"/>
        <item x="33"/>
        <item x="34"/>
        <item x="213"/>
        <item x="35"/>
        <item x="100"/>
        <item x="163"/>
        <item x="101"/>
        <item x="36"/>
        <item x="37"/>
        <item x="38"/>
        <item x="102"/>
        <item x="103"/>
        <item x="214"/>
        <item x="39"/>
        <item x="40"/>
        <item x="41"/>
        <item x="104"/>
        <item x="105"/>
        <item x="164"/>
        <item x="215"/>
        <item x="216"/>
        <item x="42"/>
        <item x="43"/>
        <item x="165"/>
        <item x="166"/>
        <item x="167"/>
        <item x="44"/>
        <item x="106"/>
        <item x="217"/>
        <item x="107"/>
        <item x="218"/>
        <item x="45"/>
        <item x="108"/>
        <item x="109"/>
        <item x="168"/>
        <item x="46"/>
        <item x="219"/>
        <item x="47"/>
        <item x="220"/>
        <item x="169"/>
        <item x="221"/>
        <item x="222"/>
        <item x="48"/>
        <item x="110"/>
        <item x="49"/>
        <item x="50"/>
        <item x="223"/>
        <item x="111"/>
        <item x="224"/>
        <item x="51"/>
        <item x="170"/>
        <item x="225"/>
        <item x="52"/>
        <item x="112"/>
        <item x="226"/>
        <item x="113"/>
        <item x="171"/>
        <item x="227"/>
        <item x="114"/>
        <item x="172"/>
        <item x="115"/>
        <item x="228"/>
        <item x="229"/>
        <item x="230"/>
        <item x="174"/>
      </items>
    </pivotField>
    <pivotField axis="axisRow" compact="0" outline="0" showAll="0" defaultSubtotal="0">
      <items count="83">
        <item x="73"/>
        <item x="51"/>
        <item x="74"/>
        <item x="64"/>
        <item x="52"/>
        <item x="14"/>
        <item x="17"/>
        <item x="75"/>
        <item x="18"/>
        <item x="66"/>
        <item x="13"/>
        <item x="72"/>
        <item x="77"/>
        <item x="50"/>
        <item x="63"/>
        <item x="53"/>
        <item x="82"/>
        <item x="54"/>
        <item x="45"/>
        <item x="20"/>
        <item x="15"/>
        <item x="46"/>
        <item x="78"/>
        <item x="56"/>
        <item x="26"/>
        <item x="68"/>
        <item x="24"/>
        <item x="49"/>
        <item x="47"/>
        <item x="23"/>
        <item x="1"/>
        <item x="76"/>
        <item x="27"/>
        <item x="80"/>
        <item x="81"/>
        <item x="19"/>
        <item x="55"/>
        <item x="10"/>
        <item x="16"/>
        <item x="30"/>
        <item x="65"/>
        <item x="67"/>
        <item x="11"/>
        <item x="62"/>
        <item x="71"/>
        <item x="25"/>
        <item x="48"/>
        <item x="21"/>
        <item x="35"/>
        <item x="2"/>
        <item x="32"/>
        <item x="43"/>
        <item x="28"/>
        <item x="22"/>
        <item x="31"/>
        <item x="12"/>
        <item x="29"/>
        <item x="33"/>
        <item x="6"/>
        <item x="70"/>
        <item x="58"/>
        <item x="79"/>
        <item x="44"/>
        <item x="0"/>
        <item x="61"/>
        <item x="8"/>
        <item x="41"/>
        <item x="37"/>
        <item x="60"/>
        <item x="42"/>
        <item x="59"/>
        <item x="9"/>
        <item x="40"/>
        <item x="5"/>
        <item x="38"/>
        <item x="7"/>
        <item x="39"/>
        <item x="57"/>
        <item x="69"/>
        <item x="3"/>
        <item x="36"/>
        <item x="34"/>
        <item x="4"/>
      </items>
    </pivotField>
    <pivotField axis="axisRow" compact="0" outline="0" showAll="0" defaultSubtotal="0">
      <items count="123">
        <item x="0"/>
        <item x="39"/>
        <item x="79"/>
        <item x="3"/>
        <item x="6"/>
        <item x="2"/>
        <item x="10"/>
        <item x="5"/>
        <item x="100"/>
        <item x="81"/>
        <item x="57"/>
        <item x="20"/>
        <item x="18"/>
        <item x="1"/>
        <item x="92"/>
        <item x="45"/>
        <item x="21"/>
        <item x="113"/>
        <item x="110"/>
        <item x="120"/>
        <item x="90"/>
        <item x="15"/>
        <item x="83"/>
        <item x="60"/>
        <item x="56"/>
        <item x="13"/>
        <item x="74"/>
        <item x="25"/>
        <item x="55"/>
        <item x="31"/>
        <item x="85"/>
        <item x="8"/>
        <item x="29"/>
        <item x="26"/>
        <item x="95"/>
        <item x="24"/>
        <item x="63"/>
        <item x="65"/>
        <item x="59"/>
        <item x="23"/>
        <item x="16"/>
        <item x="11"/>
        <item x="66"/>
        <item x="116"/>
        <item x="75"/>
        <item x="64"/>
        <item x="84"/>
        <item x="42"/>
        <item x="46"/>
        <item x="12"/>
        <item x="106"/>
        <item x="117"/>
        <item x="62"/>
        <item x="118"/>
        <item x="86"/>
        <item x="72"/>
        <item x="27"/>
        <item x="28"/>
        <item x="54"/>
        <item x="111"/>
        <item x="71"/>
        <item x="49"/>
        <item x="47"/>
        <item x="87"/>
        <item x="115"/>
        <item x="36"/>
        <item x="121"/>
        <item x="80"/>
        <item x="68"/>
        <item x="99"/>
        <item x="7"/>
        <item x="52"/>
        <item x="93"/>
        <item x="108"/>
        <item x="32"/>
        <item x="33"/>
        <item x="50"/>
        <item x="98"/>
        <item x="9"/>
        <item x="94"/>
        <item x="22"/>
        <item x="61"/>
        <item x="48"/>
        <item x="51"/>
        <item x="89"/>
        <item x="41"/>
        <item x="67"/>
        <item x="96"/>
        <item x="53"/>
        <item x="70"/>
        <item x="4"/>
        <item x="43"/>
        <item x="34"/>
        <item x="105"/>
        <item x="97"/>
        <item x="17"/>
        <item x="69"/>
        <item x="119"/>
        <item x="122"/>
        <item x="35"/>
        <item x="109"/>
        <item x="73"/>
        <item x="104"/>
        <item x="88"/>
        <item x="58"/>
        <item x="14"/>
        <item x="19"/>
        <item x="44"/>
        <item x="107"/>
        <item x="114"/>
        <item x="78"/>
        <item x="82"/>
        <item x="76"/>
        <item x="91"/>
        <item x="112"/>
        <item x="103"/>
        <item x="102"/>
        <item x="40"/>
        <item x="101"/>
        <item x="38"/>
        <item x="77"/>
        <item x="37"/>
        <item x="30"/>
      </items>
    </pivotField>
    <pivotField axis="axisRow" compact="0" outline="0" showAll="0" defaultSubtotal="0">
      <items count="6">
        <item x="5"/>
        <item x="2"/>
        <item x="0"/>
        <item x="4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5">
    <field x="1"/>
    <field x="3"/>
    <field x="4"/>
    <field x="0"/>
    <field x="2"/>
  </rowFields>
  <rowItems count="232">
    <i>
      <x/>
      <x v="3"/>
      <x v="1"/>
      <x v="123"/>
      <x v="16"/>
    </i>
    <i>
      <x v="1"/>
      <x/>
      <x v="1"/>
      <x v="139"/>
      <x v="28"/>
    </i>
    <i r="1">
      <x v="3"/>
      <x v="1"/>
      <x v="134"/>
      <x v="12"/>
    </i>
    <i r="3">
      <x v="150"/>
      <x v="12"/>
    </i>
    <i r="3">
      <x v="151"/>
      <x v="13"/>
    </i>
    <i>
      <x v="2"/>
      <x/>
      <x/>
      <x v="128"/>
      <x v="114"/>
    </i>
    <i r="1">
      <x v="3"/>
      <x v="1"/>
      <x v="130"/>
      <x v="17"/>
    </i>
    <i>
      <x v="3"/>
      <x v="3"/>
      <x v="1"/>
      <x v="152"/>
      <x v="20"/>
    </i>
    <i>
      <x v="4"/>
      <x v="3"/>
      <x v="1"/>
      <x v="115"/>
      <x v="20"/>
    </i>
    <i r="3">
      <x v="158"/>
      <x v="23"/>
    </i>
    <i>
      <x v="5"/>
      <x v="3"/>
      <x v="1"/>
      <x v="95"/>
      <x v="25"/>
    </i>
    <i r="1">
      <x v="5"/>
      <x v="1"/>
      <x v="129"/>
      <x v="12"/>
    </i>
    <i r="3">
      <x v="146"/>
      <x v="10"/>
    </i>
    <i>
      <x v="6"/>
      <x v="5"/>
      <x v="1"/>
      <x v="118"/>
      <x v="12"/>
    </i>
    <i>
      <x v="7"/>
      <x v="5"/>
      <x v="1"/>
      <x v="136"/>
      <x v="10"/>
    </i>
    <i>
      <x v="8"/>
      <x v="3"/>
      <x/>
      <x v="99"/>
      <x v="108"/>
    </i>
    <i r="3">
      <x v="125"/>
      <x v="113"/>
    </i>
    <i r="3">
      <x v="132"/>
      <x v="109"/>
    </i>
    <i r="3">
      <x v="147"/>
      <x v="122"/>
    </i>
    <i r="1">
      <x v="5"/>
      <x v="1"/>
      <x v="126"/>
      <x v="11"/>
    </i>
    <i r="3">
      <x v="131"/>
      <x v="16"/>
    </i>
    <i r="3">
      <x v="157"/>
      <x v="14"/>
    </i>
    <i>
      <x v="9"/>
      <x v="3"/>
      <x v="1"/>
      <x v="184"/>
      <x v="32"/>
    </i>
    <i>
      <x v="10"/>
      <x v="3"/>
      <x v="1"/>
      <x v="89"/>
      <x v="41"/>
    </i>
    <i r="3">
      <x v="91"/>
      <x v="33"/>
    </i>
    <i r="3">
      <x v="164"/>
      <x v="35"/>
    </i>
    <i r="1">
      <x v="5"/>
      <x/>
      <x v="119"/>
      <x v="113"/>
    </i>
    <i r="2">
      <x v="1"/>
      <x v="100"/>
      <x v="21"/>
    </i>
    <i r="3">
      <x v="148"/>
      <x v="22"/>
    </i>
    <i>
      <x v="11"/>
      <x v="5"/>
      <x v="1"/>
      <x v="116"/>
      <x v="18"/>
    </i>
    <i>
      <x v="12"/>
      <x v="5"/>
      <x v="1"/>
      <x v="155"/>
      <x v="20"/>
    </i>
    <i>
      <x v="13"/>
      <x v="5"/>
      <x/>
      <x v="111"/>
      <x v="100"/>
    </i>
    <i r="3">
      <x v="145"/>
      <x v="104"/>
    </i>
    <i>
      <x v="14"/>
      <x v="5"/>
      <x/>
      <x v="142"/>
      <x v="105"/>
    </i>
    <i>
      <x v="15"/>
      <x/>
      <x v="1"/>
      <x v="102"/>
      <x v="60"/>
    </i>
    <i r="3">
      <x v="196"/>
      <x v="53"/>
    </i>
    <i r="3">
      <x v="225"/>
      <x v="122"/>
    </i>
    <i r="1">
      <x v="3"/>
      <x v="1"/>
      <x v="165"/>
      <x v="43"/>
    </i>
    <i r="3">
      <x v="176"/>
      <x v="41"/>
    </i>
    <i r="3">
      <x v="227"/>
      <x v="122"/>
    </i>
    <i>
      <x v="16"/>
      <x/>
      <x v="1"/>
      <x v="229"/>
      <x v="122"/>
    </i>
    <i>
      <x v="17"/>
      <x v="3"/>
      <x v="1"/>
      <x v="183"/>
      <x v="37"/>
    </i>
    <i>
      <x v="18"/>
      <x v="2"/>
      <x v="1"/>
      <x v="74"/>
      <x v="6"/>
    </i>
    <i>
      <x v="19"/>
      <x v="4"/>
      <x v="1"/>
      <x v="137"/>
      <x/>
    </i>
    <i>
      <x v="20"/>
      <x v="1"/>
      <x/>
      <x v="90"/>
      <x v="88"/>
    </i>
    <i r="3">
      <x v="96"/>
      <x v="105"/>
    </i>
    <i r="3">
      <x v="114"/>
      <x v="88"/>
    </i>
    <i r="3">
      <x v="117"/>
      <x v="95"/>
    </i>
    <i r="1">
      <x v="2"/>
      <x v="1"/>
      <x v="3"/>
      <x v="8"/>
    </i>
    <i r="3">
      <x v="65"/>
      <x v="7"/>
    </i>
    <i r="3">
      <x v="108"/>
      <x v="8"/>
    </i>
    <i r="3">
      <x v="173"/>
      <x v="7"/>
    </i>
    <i r="1">
      <x v="3"/>
      <x/>
      <x v="124"/>
      <x v="106"/>
    </i>
    <i r="1">
      <x v="4"/>
      <x v="1"/>
      <x v="140"/>
      <x/>
    </i>
    <i r="3">
      <x v="230"/>
      <x/>
    </i>
    <i>
      <x v="21"/>
      <x v="1"/>
      <x/>
      <x v="109"/>
      <x v="83"/>
    </i>
    <i>
      <x v="22"/>
      <x v="3"/>
      <x v="1"/>
      <x v="168"/>
      <x v="37"/>
    </i>
    <i>
      <x v="23"/>
      <x v="3"/>
      <x/>
      <x v="226"/>
      <x v="101"/>
    </i>
    <i>
      <x v="24"/>
      <x v="3"/>
      <x/>
      <x v="110"/>
      <x v="103"/>
    </i>
    <i r="3">
      <x v="163"/>
      <x v="122"/>
    </i>
    <i r="2">
      <x v="1"/>
      <x v="156"/>
      <x v="38"/>
    </i>
    <i r="3">
      <x v="175"/>
      <x v="41"/>
    </i>
    <i r="3">
      <x v="177"/>
      <x v="45"/>
    </i>
    <i r="3">
      <x v="198"/>
      <x v="122"/>
    </i>
    <i r="3">
      <x v="224"/>
      <x v="55"/>
    </i>
    <i>
      <x v="25"/>
      <x v="3"/>
      <x/>
      <x v="222"/>
      <x v="122"/>
    </i>
    <i>
      <x v="26"/>
      <x v="1"/>
      <x/>
      <x v="86"/>
      <x v="76"/>
    </i>
    <i r="3">
      <x v="160"/>
      <x v="81"/>
    </i>
    <i r="2">
      <x v="1"/>
      <x v="78"/>
      <x v="30"/>
    </i>
    <i r="3">
      <x v="167"/>
      <x v="33"/>
    </i>
    <i r="3">
      <x v="180"/>
      <x v="122"/>
    </i>
    <i>
      <x v="27"/>
      <x v="1"/>
      <x v="1"/>
      <x v="138"/>
      <x v="24"/>
    </i>
    <i>
      <x v="28"/>
      <x v="1"/>
      <x/>
      <x v="112"/>
      <x v="71"/>
    </i>
    <i>
      <x v="29"/>
      <x v="1"/>
      <x v="1"/>
      <x v="82"/>
      <x v="29"/>
    </i>
    <i r="3">
      <x v="166"/>
      <x v="27"/>
    </i>
    <i>
      <x v="30"/>
      <x v="1"/>
      <x/>
      <x v="97"/>
      <x v="82"/>
    </i>
    <i r="3">
      <x v="113"/>
      <x v="84"/>
    </i>
    <i r="1">
      <x v="3"/>
      <x/>
      <x v="107"/>
      <x v="73"/>
    </i>
    <i r="1">
      <x v="4"/>
      <x/>
      <x/>
      <x v="13"/>
    </i>
    <i r="3">
      <x v="81"/>
      <x v="15"/>
    </i>
    <i r="3">
      <x v="103"/>
      <x v="20"/>
    </i>
    <i>
      <x v="31"/>
      <x v="1"/>
      <x/>
      <x v="153"/>
      <x v="70"/>
    </i>
    <i>
      <x v="32"/>
      <x/>
      <x v="1"/>
      <x v="214"/>
      <x v="122"/>
    </i>
    <i r="1">
      <x v="1"/>
      <x v="1"/>
      <x v="179"/>
      <x v="32"/>
    </i>
    <i>
      <x v="33"/>
      <x/>
      <x v="1"/>
      <x v="217"/>
      <x v="66"/>
    </i>
    <i>
      <x v="34"/>
      <x/>
      <x/>
      <x v="220"/>
      <x v="98"/>
    </i>
    <i>
      <x v="35"/>
      <x/>
      <x/>
      <x v="149"/>
      <x v="95"/>
    </i>
    <i r="3">
      <x v="228"/>
      <x v="122"/>
    </i>
    <i r="2">
      <x v="1"/>
      <x v="199"/>
      <x v="68"/>
    </i>
    <i r="1">
      <x v="1"/>
      <x v="1"/>
      <x v="77"/>
      <x v="46"/>
    </i>
    <i r="3">
      <x v="185"/>
      <x v="44"/>
    </i>
    <i r="3">
      <x v="191"/>
      <x v="42"/>
    </i>
    <i r="1">
      <x v="5"/>
      <x/>
      <x v="133"/>
      <x v="80"/>
    </i>
    <i r="3">
      <x v="161"/>
      <x v="79"/>
    </i>
    <i r="3">
      <x v="223"/>
      <x v="122"/>
    </i>
    <i>
      <x v="36"/>
      <x/>
      <x/>
      <x v="221"/>
      <x v="122"/>
    </i>
    <i>
      <x v="37"/>
      <x/>
      <x v="1"/>
      <x v="195"/>
      <x v="86"/>
    </i>
    <i r="3">
      <x v="197"/>
      <x v="75"/>
    </i>
    <i r="1">
      <x v="2"/>
      <x/>
      <x v="2"/>
      <x v="44"/>
    </i>
    <i r="3">
      <x v="53"/>
      <x v="47"/>
    </i>
    <i r="3">
      <x v="85"/>
      <x v="48"/>
    </i>
    <i r="3">
      <x v="92"/>
      <x v="49"/>
    </i>
    <i r="3">
      <x v="94"/>
      <x v="47"/>
    </i>
    <i r="2">
      <x v="1"/>
      <x v="27"/>
      <x v="27"/>
    </i>
    <i r="3">
      <x v="63"/>
      <x v="31"/>
    </i>
    <i r="3">
      <x v="127"/>
      <x v="26"/>
    </i>
    <i r="1">
      <x v="4"/>
      <x v="1"/>
      <x v="4"/>
      <x v="11"/>
    </i>
    <i r="3">
      <x v="141"/>
      <x v="10"/>
    </i>
    <i>
      <x v="38"/>
      <x v="2"/>
      <x/>
      <x v="104"/>
      <x v="40"/>
    </i>
    <i r="2">
      <x v="1"/>
      <x v="29"/>
      <x v="32"/>
    </i>
    <i>
      <x v="39"/>
      <x v="3"/>
      <x/>
      <x v="106"/>
      <x v="63"/>
    </i>
    <i r="3">
      <x v="162"/>
      <x v="64"/>
    </i>
    <i r="1">
      <x v="5"/>
      <x/>
      <x v="105"/>
      <x v="76"/>
    </i>
    <i r="3">
      <x v="192"/>
      <x v="74"/>
    </i>
    <i>
      <x v="40"/>
      <x v="3"/>
      <x v="1"/>
      <x v="205"/>
      <x v="77"/>
    </i>
    <i r="1">
      <x v="5"/>
      <x/>
      <x v="159"/>
      <x v="72"/>
    </i>
    <i>
      <x v="41"/>
      <x v="3"/>
      <x v="1"/>
      <x v="216"/>
      <x v="72"/>
    </i>
    <i>
      <x v="42"/>
      <x v="1"/>
      <x/>
      <x v="79"/>
      <x v="56"/>
    </i>
    <i r="3">
      <x v="101"/>
      <x v="61"/>
    </i>
    <i r="2">
      <x v="1"/>
      <x v="186"/>
      <x v="51"/>
    </i>
    <i r="1">
      <x v="3"/>
      <x v="1"/>
      <x v="60"/>
      <x v="69"/>
    </i>
    <i r="3">
      <x v="69"/>
      <x v="78"/>
    </i>
    <i>
      <x v="43"/>
      <x v="1"/>
      <x v="1"/>
      <x v="80"/>
      <x v="54"/>
    </i>
    <i>
      <x v="44"/>
      <x v="3"/>
      <x v="1"/>
      <x v="43"/>
      <x v="93"/>
    </i>
    <i>
      <x v="45"/>
      <x v="3"/>
      <x v="1"/>
      <x v="40"/>
      <x v="85"/>
    </i>
    <i r="3">
      <x v="207"/>
      <x v="122"/>
    </i>
    <i r="1">
      <x v="5"/>
      <x/>
      <x v="93"/>
      <x v="62"/>
    </i>
    <i r="3">
      <x v="120"/>
      <x v="59"/>
    </i>
    <i r="3">
      <x v="169"/>
      <x v="56"/>
    </i>
    <i r="3">
      <x v="219"/>
      <x v="60"/>
    </i>
    <i>
      <x v="46"/>
      <x v="5"/>
      <x/>
      <x v="121"/>
      <x v="58"/>
    </i>
    <i>
      <x v="47"/>
      <x v="1"/>
      <x/>
      <x v="76"/>
      <x v="39"/>
    </i>
    <i r="3">
      <x v="84"/>
      <x v="33"/>
    </i>
    <i r="3">
      <x v="144"/>
      <x v="39"/>
    </i>
    <i r="1">
      <x v="3"/>
      <x v="1"/>
      <x v="178"/>
      <x v="80"/>
    </i>
    <i r="3">
      <x v="200"/>
      <x v="94"/>
    </i>
    <i r="3">
      <x v="202"/>
      <x v="122"/>
    </i>
    <i>
      <x v="48"/>
      <x v="2"/>
      <x v="1"/>
      <x v="59"/>
      <x v="65"/>
    </i>
    <i r="1">
      <x v="5"/>
      <x v="1"/>
      <x v="213"/>
      <x v="89"/>
    </i>
    <i>
      <x v="49"/>
      <x v="2"/>
      <x/>
      <x v="5"/>
      <x v="5"/>
    </i>
    <i r="3">
      <x v="55"/>
      <x v="4"/>
    </i>
    <i r="3">
      <x v="62"/>
      <x v="6"/>
    </i>
    <i r="3">
      <x v="88"/>
      <x v="6"/>
    </i>
    <i r="2">
      <x v="1"/>
      <x v="31"/>
      <x v="67"/>
    </i>
    <i r="3">
      <x v="56"/>
      <x v="70"/>
    </i>
    <i r="1">
      <x v="3"/>
      <x/>
      <x v="87"/>
      <x v="50"/>
    </i>
    <i r="3">
      <x v="143"/>
      <x v="56"/>
    </i>
    <i r="3">
      <x v="170"/>
      <x v="52"/>
    </i>
    <i r="3">
      <x v="174"/>
      <x v="57"/>
    </i>
    <i r="1">
      <x v="5"/>
      <x v="1"/>
      <x v="39"/>
      <x v="90"/>
    </i>
    <i r="3">
      <x v="209"/>
      <x v="96"/>
    </i>
    <i r="3">
      <x v="211"/>
      <x v="99"/>
    </i>
    <i>
      <x v="50"/>
      <x v="3"/>
      <x/>
      <x v="122"/>
      <x v="54"/>
    </i>
    <i r="1">
      <x v="5"/>
      <x v="1"/>
      <x v="215"/>
      <x v="122"/>
    </i>
    <i>
      <x v="51"/>
      <x v="2"/>
      <x/>
      <x v="52"/>
      <x v="3"/>
    </i>
    <i>
      <x v="52"/>
      <x/>
      <x v="1"/>
      <x v="203"/>
      <x v="105"/>
    </i>
    <i r="1">
      <x v="1"/>
      <x v="1"/>
      <x v="206"/>
      <x v="97"/>
    </i>
    <i r="1">
      <x v="3"/>
      <x/>
      <x v="135"/>
      <x v="28"/>
    </i>
    <i r="3">
      <x v="171"/>
      <x v="34"/>
    </i>
    <i r="3">
      <x v="172"/>
      <x v="36"/>
    </i>
    <i r="1">
      <x v="5"/>
      <x/>
      <x v="75"/>
      <x v="22"/>
    </i>
    <i r="3">
      <x v="98"/>
      <x v="122"/>
    </i>
    <i r="3">
      <x v="181"/>
      <x v="29"/>
    </i>
    <i>
      <x v="53"/>
      <x v="3"/>
      <x/>
      <x v="154"/>
      <x v="31"/>
    </i>
    <i>
      <x v="54"/>
      <x v="1"/>
      <x v="1"/>
      <x v="57"/>
      <x v="91"/>
    </i>
    <i r="3">
      <x v="189"/>
      <x v="87"/>
    </i>
    <i r="3">
      <x v="208"/>
      <x v="92"/>
    </i>
    <i r="1">
      <x v="5"/>
      <x/>
      <x v="212"/>
      <x v="19"/>
    </i>
    <i>
      <x v="55"/>
      <x v="1"/>
      <x/>
      <x v="71"/>
      <x v="8"/>
    </i>
    <i r="3">
      <x v="83"/>
      <x v="6"/>
    </i>
    <i r="2">
      <x v="1"/>
      <x v="210"/>
      <x v="95"/>
    </i>
    <i r="1">
      <x v="2"/>
      <x v="1"/>
      <x v="38"/>
      <x v="102"/>
    </i>
    <i r="3">
      <x v="70"/>
      <x v="107"/>
    </i>
    <i>
      <x v="56"/>
      <x/>
      <x/>
      <x v="182"/>
      <x v="122"/>
    </i>
    <i r="3">
      <x v="188"/>
      <x v="122"/>
    </i>
    <i r="3">
      <x v="190"/>
      <x v="122"/>
    </i>
    <i r="3">
      <x v="193"/>
      <x v="42"/>
    </i>
    <i r="3">
      <x v="194"/>
      <x v="122"/>
    </i>
    <i r="3">
      <x v="201"/>
      <x v="40"/>
    </i>
    <i>
      <x v="57"/>
      <x/>
      <x/>
      <x v="218"/>
      <x v="122"/>
    </i>
    <i>
      <x v="58"/>
      <x/>
      <x/>
      <x v="187"/>
      <x v="35"/>
    </i>
    <i r="1">
      <x v="2"/>
      <x/>
      <x v="35"/>
      <x/>
    </i>
    <i r="3">
      <x v="46"/>
      <x/>
    </i>
    <i r="3">
      <x v="50"/>
      <x/>
    </i>
    <i r="1">
      <x v="4"/>
      <x v="1"/>
      <x v="24"/>
      <x v="116"/>
    </i>
    <i>
      <x v="59"/>
      <x v="4"/>
      <x v="1"/>
      <x v="30"/>
      <x v="115"/>
    </i>
    <i>
      <x v="60"/>
      <x v="2"/>
      <x/>
      <x v="73"/>
      <x v="1"/>
    </i>
    <i r="2">
      <x v="1"/>
      <x v="18"/>
      <x v="110"/>
    </i>
    <i>
      <x v="61"/>
      <x/>
      <x/>
      <x v="204"/>
      <x v="122"/>
    </i>
    <i>
      <x v="62"/>
      <x v="2"/>
      <x/>
      <x v="54"/>
      <x/>
    </i>
    <i r="3">
      <x v="64"/>
      <x/>
    </i>
    <i r="2">
      <x v="1"/>
      <x v="14"/>
      <x v="112"/>
    </i>
    <i>
      <x v="63"/>
      <x v="2"/>
      <x/>
      <x v="72"/>
      <x/>
    </i>
    <i>
      <x v="64"/>
      <x v="5"/>
      <x v="1"/>
      <x v="58"/>
      <x v="111"/>
    </i>
    <i>
      <x v="65"/>
      <x v="4"/>
      <x/>
      <x v="1"/>
      <x/>
    </i>
    <i r="1">
      <x v="5"/>
      <x/>
      <x v="36"/>
      <x v="5"/>
    </i>
    <i r="3">
      <x v="47"/>
      <x v="7"/>
    </i>
    <i>
      <x v="66"/>
      <x v="4"/>
      <x/>
      <x v="33"/>
      <x/>
    </i>
    <i r="3">
      <x v="61"/>
      <x/>
    </i>
    <i>
      <x v="67"/>
      <x v="4"/>
      <x v="1"/>
      <x v="9"/>
      <x v="119"/>
    </i>
    <i>
      <x v="68"/>
      <x v="5"/>
      <x/>
      <x v="51"/>
      <x v="9"/>
    </i>
    <i>
      <x v="69"/>
      <x v="3"/>
      <x/>
      <x v="37"/>
      <x v="4"/>
    </i>
    <i r="3">
      <x v="48"/>
      <x v="6"/>
    </i>
    <i r="3">
      <x v="67"/>
      <x v="122"/>
    </i>
    <i r="1">
      <x v="4"/>
      <x/>
      <x v="23"/>
      <x v="3"/>
    </i>
    <i r="3">
      <x v="42"/>
      <x/>
    </i>
    <i>
      <x v="70"/>
      <x v="4"/>
      <x/>
      <x v="32"/>
      <x/>
    </i>
    <i r="2">
      <x v="1"/>
      <x v="11"/>
      <x v="118"/>
    </i>
    <i>
      <x v="71"/>
      <x v="4"/>
      <x/>
      <x v="49"/>
      <x v="3"/>
    </i>
    <i>
      <x v="72"/>
      <x v="2"/>
      <x v="1"/>
      <x v="16"/>
      <x v="117"/>
    </i>
    <i>
      <x v="73"/>
      <x v="1"/>
      <x/>
      <x v="34"/>
      <x/>
    </i>
    <i r="3">
      <x v="66"/>
      <x/>
    </i>
    <i r="3">
      <x v="68"/>
      <x v="122"/>
    </i>
    <i>
      <x v="74"/>
      <x v="4"/>
      <x/>
      <x v="10"/>
      <x/>
    </i>
    <i r="3">
      <x v="25"/>
      <x/>
    </i>
    <i r="3">
      <x v="28"/>
      <x/>
    </i>
    <i>
      <x v="75"/>
      <x v="4"/>
      <x/>
      <x v="45"/>
      <x/>
    </i>
    <i>
      <x v="76"/>
      <x v="4"/>
      <x/>
      <x v="13"/>
      <x v="1"/>
    </i>
    <i r="3">
      <x v="20"/>
      <x v="122"/>
    </i>
    <i r="3">
      <x v="21"/>
      <x v="2"/>
    </i>
    <i r="3">
      <x v="41"/>
      <x v="122"/>
    </i>
    <i>
      <x v="77"/>
      <x v="4"/>
      <x v="1"/>
      <x v="17"/>
      <x v="120"/>
    </i>
    <i>
      <x v="78"/>
      <x v="4"/>
      <x/>
      <x v="22"/>
      <x/>
    </i>
    <i>
      <x v="79"/>
      <x v="1"/>
      <x v="1"/>
      <x v="26"/>
      <x v="121"/>
    </i>
    <i r="1">
      <x v="2"/>
      <x/>
      <x v="6"/>
      <x/>
    </i>
    <i r="3">
      <x v="7"/>
      <x/>
    </i>
    <i r="3">
      <x v="15"/>
      <x v="122"/>
    </i>
    <i r="3">
      <x v="19"/>
      <x/>
    </i>
    <i>
      <x v="80"/>
      <x v="2"/>
      <x/>
      <x v="8"/>
      <x/>
    </i>
    <i>
      <x v="81"/>
      <x v="2"/>
      <x/>
      <x v="44"/>
      <x/>
    </i>
    <i>
      <x v="82"/>
      <x v="2"/>
      <x/>
      <x v="12"/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5"/>
  <sheetViews>
    <sheetView workbookViewId="0">
      <selection activeCell="C3" sqref="C3"/>
    </sheetView>
  </sheetViews>
  <sheetFormatPr defaultRowHeight="15"/>
  <cols>
    <col min="1" max="1" width="12.5703125" bestFit="1" customWidth="1"/>
    <col min="2" max="2" width="20" bestFit="1" customWidth="1"/>
    <col min="3" max="3" width="12" bestFit="1" customWidth="1"/>
    <col min="4" max="4" width="15" customWidth="1"/>
    <col min="5" max="5" width="14" bestFit="1" customWidth="1"/>
  </cols>
  <sheetData>
    <row r="3" spans="1:5">
      <c r="A3" s="1" t="s">
        <v>3</v>
      </c>
      <c r="B3" s="1" t="s">
        <v>1</v>
      </c>
      <c r="C3" s="1" t="s">
        <v>4</v>
      </c>
      <c r="D3" s="1" t="s">
        <v>0</v>
      </c>
      <c r="E3" t="s">
        <v>249</v>
      </c>
    </row>
    <row r="4" spans="1:5">
      <c r="A4" t="s">
        <v>248</v>
      </c>
      <c r="B4">
        <v>23000</v>
      </c>
      <c r="C4" s="4" t="s">
        <v>250</v>
      </c>
      <c r="D4" t="s">
        <v>144</v>
      </c>
      <c r="E4" s="3">
        <v>2.4E-2</v>
      </c>
    </row>
    <row r="5" spans="1:5">
      <c r="B5">
        <v>22600</v>
      </c>
      <c r="C5" s="4" t="s">
        <v>250</v>
      </c>
      <c r="D5" t="s">
        <v>77</v>
      </c>
      <c r="E5" s="3">
        <v>1.7000000000000001E-2</v>
      </c>
    </row>
    <row r="6" spans="1:5">
      <c r="C6" s="4"/>
      <c r="D6" t="s">
        <v>20</v>
      </c>
      <c r="E6" s="3">
        <v>1.9E-2</v>
      </c>
    </row>
    <row r="7" spans="1:5">
      <c r="B7">
        <v>22500</v>
      </c>
      <c r="C7" t="s">
        <v>251</v>
      </c>
      <c r="D7" t="s">
        <v>145</v>
      </c>
      <c r="E7" s="2">
        <v>0.246</v>
      </c>
    </row>
    <row r="8" spans="1:5">
      <c r="B8">
        <v>21500</v>
      </c>
      <c r="C8" s="4" t="s">
        <v>250</v>
      </c>
      <c r="D8" t="s">
        <v>234</v>
      </c>
      <c r="E8" s="3">
        <v>4.2999999999999997E-2</v>
      </c>
    </row>
    <row r="9" spans="1:5">
      <c r="B9">
        <v>21400</v>
      </c>
      <c r="C9" s="4" t="s">
        <v>250</v>
      </c>
      <c r="D9" t="s">
        <v>149</v>
      </c>
      <c r="E9" s="3">
        <v>4.7E-2</v>
      </c>
    </row>
    <row r="10" spans="1:5">
      <c r="C10" s="4"/>
      <c r="D10" t="s">
        <v>94</v>
      </c>
      <c r="E10" s="3">
        <v>0</v>
      </c>
    </row>
    <row r="11" spans="1:5">
      <c r="C11" s="4"/>
      <c r="D11" t="s">
        <v>52</v>
      </c>
      <c r="E11" s="3">
        <v>5.5E-2</v>
      </c>
    </row>
    <row r="12" spans="1:5">
      <c r="B12">
        <v>21088</v>
      </c>
      <c r="C12" t="s">
        <v>251</v>
      </c>
      <c r="D12" t="s">
        <v>62</v>
      </c>
      <c r="E12" s="2">
        <v>0</v>
      </c>
    </row>
    <row r="13" spans="1:5">
      <c r="B13">
        <v>21000</v>
      </c>
      <c r="C13" t="s">
        <v>251</v>
      </c>
      <c r="D13" t="s">
        <v>18</v>
      </c>
      <c r="E13" s="2">
        <v>0.18</v>
      </c>
    </row>
    <row r="14" spans="1:5">
      <c r="D14" t="s">
        <v>121</v>
      </c>
      <c r="E14" s="2">
        <v>0.193</v>
      </c>
    </row>
    <row r="15" spans="1:5">
      <c r="D15" t="s">
        <v>61</v>
      </c>
      <c r="E15" s="2">
        <v>0.19900000000000001</v>
      </c>
    </row>
    <row r="16" spans="1:5">
      <c r="B16">
        <v>20900</v>
      </c>
      <c r="C16" t="s">
        <v>251</v>
      </c>
      <c r="D16" t="s">
        <v>122</v>
      </c>
      <c r="E16" s="2">
        <v>0.17899999999999999</v>
      </c>
    </row>
    <row r="17" spans="2:5">
      <c r="B17">
        <v>20698</v>
      </c>
      <c r="C17" s="4" t="s">
        <v>250</v>
      </c>
      <c r="D17" t="s">
        <v>100</v>
      </c>
      <c r="E17" s="3">
        <v>0.09</v>
      </c>
    </row>
    <row r="18" spans="2:5">
      <c r="B18">
        <v>20600</v>
      </c>
      <c r="C18" s="4" t="s">
        <v>250</v>
      </c>
      <c r="D18" t="s">
        <v>92</v>
      </c>
      <c r="E18" s="3">
        <v>0.10299999999999999</v>
      </c>
    </row>
    <row r="19" spans="2:5">
      <c r="C19" s="4"/>
      <c r="D19" t="s">
        <v>210</v>
      </c>
      <c r="E19" s="3">
        <v>9.2999999999999999E-2</v>
      </c>
    </row>
    <row r="20" spans="2:5">
      <c r="C20" s="4"/>
      <c r="D20" t="s">
        <v>46</v>
      </c>
      <c r="E20" s="3">
        <v>8.6999999999999994E-2</v>
      </c>
    </row>
    <row r="21" spans="2:5">
      <c r="C21" s="4"/>
      <c r="D21" t="s">
        <v>123</v>
      </c>
      <c r="E21" s="3">
        <v>9.6000000000000002E-2</v>
      </c>
    </row>
    <row r="22" spans="2:5">
      <c r="B22">
        <v>20298</v>
      </c>
      <c r="C22" s="4" t="s">
        <v>250</v>
      </c>
      <c r="D22" t="s">
        <v>172</v>
      </c>
      <c r="E22" s="3">
        <v>0.13800000000000001</v>
      </c>
    </row>
    <row r="23" spans="2:5">
      <c r="B23">
        <v>20200</v>
      </c>
      <c r="C23" s="4" t="s">
        <v>250</v>
      </c>
      <c r="D23" t="s">
        <v>96</v>
      </c>
      <c r="E23" s="3">
        <v>0.15</v>
      </c>
    </row>
    <row r="24" spans="2:5">
      <c r="C24" s="4"/>
      <c r="D24" t="s">
        <v>55</v>
      </c>
      <c r="E24" s="3">
        <v>0.14299999999999999</v>
      </c>
    </row>
    <row r="25" spans="2:5">
      <c r="B25">
        <v>19800</v>
      </c>
      <c r="C25" s="4" t="s">
        <v>250</v>
      </c>
      <c r="D25" t="s">
        <v>38</v>
      </c>
      <c r="E25" s="3">
        <v>0.158</v>
      </c>
    </row>
    <row r="26" spans="2:5">
      <c r="C26" s="4"/>
      <c r="D26" t="s">
        <v>173</v>
      </c>
      <c r="E26" s="3">
        <v>0.155</v>
      </c>
    </row>
    <row r="27" spans="2:5">
      <c r="C27" s="4"/>
      <c r="D27" t="s">
        <v>238</v>
      </c>
      <c r="E27" s="3">
        <v>0</v>
      </c>
    </row>
    <row r="28" spans="2:5">
      <c r="B28">
        <v>18708</v>
      </c>
      <c r="C28" s="4" t="s">
        <v>250</v>
      </c>
      <c r="D28" t="s">
        <v>166</v>
      </c>
      <c r="E28" s="3">
        <v>0.21</v>
      </c>
    </row>
    <row r="29" spans="2:5">
      <c r="B29">
        <v>18600</v>
      </c>
      <c r="C29" s="4" t="s">
        <v>250</v>
      </c>
      <c r="D29" t="s">
        <v>208</v>
      </c>
      <c r="E29" s="3">
        <v>0.2</v>
      </c>
    </row>
    <row r="30" spans="2:5">
      <c r="C30" s="4"/>
      <c r="D30" t="s">
        <v>104</v>
      </c>
      <c r="E30" s="3">
        <v>0.20899999999999999</v>
      </c>
    </row>
    <row r="31" spans="2:5">
      <c r="B31">
        <v>18588</v>
      </c>
      <c r="C31" t="s">
        <v>251</v>
      </c>
      <c r="D31" t="s">
        <v>220</v>
      </c>
      <c r="E31" s="2">
        <v>4.3999999999999997E-2</v>
      </c>
    </row>
    <row r="32" spans="2:5">
      <c r="B32">
        <v>18500</v>
      </c>
      <c r="C32" t="s">
        <v>251</v>
      </c>
      <c r="D32" t="s">
        <v>209</v>
      </c>
      <c r="E32" s="2">
        <v>4.1000000000000002E-2</v>
      </c>
    </row>
    <row r="33" spans="1:5">
      <c r="B33">
        <v>18400</v>
      </c>
      <c r="C33" s="4" t="s">
        <v>250</v>
      </c>
      <c r="D33" t="s">
        <v>162</v>
      </c>
      <c r="E33" s="3">
        <v>0.28000000000000003</v>
      </c>
    </row>
    <row r="34" spans="1:5">
      <c r="C34" t="s">
        <v>251</v>
      </c>
      <c r="D34" t="s">
        <v>31</v>
      </c>
      <c r="E34" s="2">
        <v>4.4999999999999998E-2</v>
      </c>
    </row>
    <row r="35" spans="1:5">
      <c r="D35" t="s">
        <v>169</v>
      </c>
      <c r="E35" s="2">
        <v>4.7E-2</v>
      </c>
    </row>
    <row r="36" spans="1:5">
      <c r="B36">
        <v>18000</v>
      </c>
      <c r="C36" t="s">
        <v>251</v>
      </c>
      <c r="D36" t="s">
        <v>36</v>
      </c>
      <c r="E36" s="2">
        <v>2.9000000000000001E-2</v>
      </c>
    </row>
    <row r="37" spans="1:5">
      <c r="D37" t="s">
        <v>37</v>
      </c>
      <c r="E37" s="2">
        <v>3.7999999999999999E-2</v>
      </c>
    </row>
    <row r="38" spans="1:5">
      <c r="D38" t="s">
        <v>171</v>
      </c>
      <c r="E38" s="2">
        <v>3.4000000000000002E-2</v>
      </c>
    </row>
    <row r="39" spans="1:5">
      <c r="B39">
        <v>17988</v>
      </c>
      <c r="C39" t="s">
        <v>251</v>
      </c>
      <c r="D39" t="s">
        <v>216</v>
      </c>
      <c r="E39" s="2">
        <v>2.7E-2</v>
      </c>
    </row>
    <row r="40" spans="1:5">
      <c r="B40">
        <v>17800</v>
      </c>
      <c r="C40" t="s">
        <v>251</v>
      </c>
      <c r="D40" t="s">
        <v>34</v>
      </c>
      <c r="E40" s="2">
        <v>0.03</v>
      </c>
    </row>
    <row r="41" spans="1:5">
      <c r="B41">
        <v>17600</v>
      </c>
      <c r="C41" t="s">
        <v>251</v>
      </c>
      <c r="D41" t="s">
        <v>165</v>
      </c>
      <c r="E41" s="2">
        <v>0.03</v>
      </c>
    </row>
    <row r="42" spans="1:5">
      <c r="D42" t="s">
        <v>168</v>
      </c>
      <c r="E42" s="2">
        <v>2.7E-2</v>
      </c>
    </row>
    <row r="43" spans="1:5">
      <c r="A43" t="s">
        <v>247</v>
      </c>
      <c r="B43">
        <v>24518</v>
      </c>
      <c r="C43" s="4" t="s">
        <v>250</v>
      </c>
      <c r="D43" t="s">
        <v>189</v>
      </c>
      <c r="E43" s="3">
        <v>0.01</v>
      </c>
    </row>
    <row r="44" spans="1:5">
      <c r="B44">
        <v>24500</v>
      </c>
      <c r="C44" t="s">
        <v>251</v>
      </c>
      <c r="D44" t="s">
        <v>132</v>
      </c>
      <c r="E44" s="2">
        <v>0.48</v>
      </c>
    </row>
    <row r="45" spans="1:5">
      <c r="B45">
        <v>24400</v>
      </c>
      <c r="C45" s="4" t="s">
        <v>250</v>
      </c>
      <c r="D45" t="s">
        <v>71</v>
      </c>
      <c r="E45" s="3">
        <v>1.2999999999999999E-2</v>
      </c>
    </row>
    <row r="46" spans="1:5">
      <c r="C46" s="4"/>
      <c r="D46" t="s">
        <v>74</v>
      </c>
      <c r="E46" s="3">
        <v>0</v>
      </c>
    </row>
    <row r="47" spans="1:5">
      <c r="C47" s="4"/>
      <c r="D47" t="s">
        <v>135</v>
      </c>
      <c r="E47" s="3">
        <v>1.4E-2</v>
      </c>
    </row>
    <row r="48" spans="1:5">
      <c r="C48" s="4"/>
      <c r="D48" t="s">
        <v>142</v>
      </c>
      <c r="E48" s="3">
        <v>0</v>
      </c>
    </row>
    <row r="49" spans="2:5">
      <c r="B49">
        <v>24288</v>
      </c>
      <c r="C49" s="4" t="s">
        <v>250</v>
      </c>
      <c r="D49" t="s">
        <v>19</v>
      </c>
      <c r="E49" s="3">
        <v>0.01</v>
      </c>
    </row>
    <row r="50" spans="2:5">
      <c r="B50">
        <v>23800</v>
      </c>
      <c r="C50" s="4" t="s">
        <v>250</v>
      </c>
      <c r="D50" t="s">
        <v>70</v>
      </c>
      <c r="E50" s="3">
        <v>0.01</v>
      </c>
    </row>
    <row r="51" spans="2:5">
      <c r="C51" s="4"/>
      <c r="D51" t="s">
        <v>137</v>
      </c>
      <c r="E51" s="3">
        <v>0.01</v>
      </c>
    </row>
    <row r="52" spans="2:5">
      <c r="C52" s="4"/>
      <c r="D52" t="s">
        <v>191</v>
      </c>
      <c r="E52" s="3">
        <v>0.01</v>
      </c>
    </row>
    <row r="53" spans="2:5">
      <c r="B53">
        <v>23300</v>
      </c>
      <c r="C53" s="4" t="s">
        <v>250</v>
      </c>
      <c r="D53" t="s">
        <v>21</v>
      </c>
      <c r="E53" s="3">
        <v>1.4999999999999999E-2</v>
      </c>
    </row>
    <row r="54" spans="2:5">
      <c r="B54">
        <v>23288</v>
      </c>
      <c r="C54" s="4" t="s">
        <v>250</v>
      </c>
      <c r="D54" t="s">
        <v>140</v>
      </c>
      <c r="E54" s="3">
        <v>0.01</v>
      </c>
    </row>
    <row r="55" spans="2:5">
      <c r="C55" t="s">
        <v>251</v>
      </c>
      <c r="D55" t="s">
        <v>188</v>
      </c>
      <c r="E55" s="2">
        <v>0.39500000000000002</v>
      </c>
    </row>
    <row r="56" spans="2:5">
      <c r="B56">
        <v>23200</v>
      </c>
      <c r="C56" s="4" t="s">
        <v>250</v>
      </c>
      <c r="D56" t="s">
        <v>136</v>
      </c>
      <c r="E56" s="3">
        <v>1.4999999999999999E-2</v>
      </c>
    </row>
    <row r="57" spans="2:5">
      <c r="C57" s="4"/>
      <c r="D57" t="s">
        <v>143</v>
      </c>
      <c r="E57" s="3">
        <v>0.01</v>
      </c>
    </row>
    <row r="58" spans="2:5">
      <c r="B58">
        <v>22800</v>
      </c>
      <c r="C58" t="s">
        <v>251</v>
      </c>
      <c r="D58" t="s">
        <v>69</v>
      </c>
      <c r="E58" s="2">
        <v>0.41</v>
      </c>
    </row>
    <row r="59" spans="2:5">
      <c r="B59">
        <v>22700</v>
      </c>
      <c r="C59" s="4" t="s">
        <v>250</v>
      </c>
      <c r="D59" t="s">
        <v>76</v>
      </c>
      <c r="E59" s="3">
        <v>0.01</v>
      </c>
    </row>
    <row r="60" spans="2:5">
      <c r="C60" s="4"/>
      <c r="D60" t="s">
        <v>197</v>
      </c>
      <c r="E60" s="3">
        <v>0.01</v>
      </c>
    </row>
    <row r="61" spans="2:5">
      <c r="B61">
        <v>22600</v>
      </c>
      <c r="C61" s="4" t="s">
        <v>250</v>
      </c>
      <c r="D61" t="s">
        <v>67</v>
      </c>
      <c r="E61" s="3">
        <v>0.01</v>
      </c>
    </row>
    <row r="62" spans="2:5">
      <c r="B62">
        <v>22088</v>
      </c>
      <c r="C62" t="s">
        <v>251</v>
      </c>
      <c r="D62" t="s">
        <v>192</v>
      </c>
      <c r="E62" s="2">
        <v>0.31</v>
      </c>
    </row>
    <row r="63" spans="2:5">
      <c r="B63">
        <v>22000</v>
      </c>
      <c r="C63" t="s">
        <v>251</v>
      </c>
      <c r="D63" t="s">
        <v>190</v>
      </c>
      <c r="E63" s="2">
        <v>0.32</v>
      </c>
    </row>
    <row r="64" spans="2:5">
      <c r="B64">
        <v>20000</v>
      </c>
      <c r="C64" t="s">
        <v>251</v>
      </c>
      <c r="D64" t="s">
        <v>130</v>
      </c>
      <c r="E64" s="2">
        <v>2.9000000000000001E-2</v>
      </c>
    </row>
    <row r="65" spans="1:5">
      <c r="D65" t="s">
        <v>103</v>
      </c>
      <c r="E65" s="2">
        <v>2.7E-2</v>
      </c>
    </row>
    <row r="66" spans="1:5">
      <c r="B66">
        <v>19600</v>
      </c>
      <c r="C66" s="4" t="s">
        <v>250</v>
      </c>
      <c r="D66" t="s">
        <v>12</v>
      </c>
      <c r="E66" s="3">
        <v>3.1E-2</v>
      </c>
    </row>
    <row r="67" spans="1:5">
      <c r="C67" s="4"/>
      <c r="D67" t="s">
        <v>89</v>
      </c>
      <c r="E67" s="3">
        <v>3.5000000000000003E-2</v>
      </c>
    </row>
    <row r="68" spans="1:5">
      <c r="C68" s="4"/>
      <c r="D68" t="s">
        <v>205</v>
      </c>
      <c r="E68" s="3">
        <v>4.3999999999999997E-2</v>
      </c>
    </row>
    <row r="69" spans="1:5">
      <c r="B69">
        <v>19000</v>
      </c>
      <c r="C69" t="s">
        <v>251</v>
      </c>
      <c r="D69" t="s">
        <v>40</v>
      </c>
      <c r="E69" s="2">
        <v>0.01</v>
      </c>
    </row>
    <row r="70" spans="1:5">
      <c r="D70" t="s">
        <v>185</v>
      </c>
      <c r="E70" s="2">
        <v>0.01</v>
      </c>
    </row>
    <row r="71" spans="1:5">
      <c r="B71">
        <v>18968</v>
      </c>
      <c r="C71" t="s">
        <v>251</v>
      </c>
      <c r="D71" t="s">
        <v>39</v>
      </c>
      <c r="E71" s="2">
        <v>0.01</v>
      </c>
    </row>
    <row r="72" spans="1:5">
      <c r="A72" t="s">
        <v>246</v>
      </c>
      <c r="B72">
        <v>23200</v>
      </c>
      <c r="C72" s="4" t="s">
        <v>250</v>
      </c>
      <c r="D72" t="s">
        <v>141</v>
      </c>
      <c r="E72" s="3">
        <v>1.6E-2</v>
      </c>
    </row>
    <row r="73" spans="1:5">
      <c r="C73" s="4"/>
      <c r="D73" t="s">
        <v>79</v>
      </c>
      <c r="E73" s="3">
        <v>1.7999999999999999E-2</v>
      </c>
    </row>
    <row r="74" spans="1:5">
      <c r="C74" s="4"/>
      <c r="D74" t="s">
        <v>147</v>
      </c>
      <c r="E74" s="3">
        <v>0</v>
      </c>
    </row>
    <row r="75" spans="1:5">
      <c r="B75">
        <v>21498</v>
      </c>
      <c r="C75" s="4" t="s">
        <v>250</v>
      </c>
      <c r="D75" t="s">
        <v>42</v>
      </c>
      <c r="E75" s="3">
        <v>5.7000000000000002E-2</v>
      </c>
    </row>
    <row r="76" spans="1:5">
      <c r="B76">
        <v>21400</v>
      </c>
      <c r="C76" s="4" t="s">
        <v>250</v>
      </c>
      <c r="D76" t="s">
        <v>101</v>
      </c>
      <c r="E76" s="3">
        <v>5.2999999999999999E-2</v>
      </c>
    </row>
    <row r="77" spans="1:5">
      <c r="C77" s="4"/>
      <c r="D77" t="s">
        <v>174</v>
      </c>
      <c r="E77" s="3">
        <v>6.0999999999999999E-2</v>
      </c>
    </row>
    <row r="78" spans="1:5">
      <c r="C78" s="4"/>
      <c r="D78" t="s">
        <v>112</v>
      </c>
      <c r="E78" s="3">
        <v>6.3E-2</v>
      </c>
    </row>
    <row r="79" spans="1:5">
      <c r="B79">
        <v>21088</v>
      </c>
      <c r="C79" s="4" t="s">
        <v>250</v>
      </c>
      <c r="D79" t="s">
        <v>163</v>
      </c>
      <c r="E79" s="3">
        <v>8.3000000000000004E-2</v>
      </c>
    </row>
    <row r="80" spans="1:5">
      <c r="B80">
        <v>21000</v>
      </c>
      <c r="C80" s="4" t="s">
        <v>250</v>
      </c>
      <c r="D80" t="s">
        <v>202</v>
      </c>
      <c r="E80" s="3">
        <v>7.9000000000000001E-2</v>
      </c>
    </row>
    <row r="81" spans="2:5">
      <c r="C81" s="4"/>
      <c r="D81" t="s">
        <v>167</v>
      </c>
      <c r="E81" s="3">
        <v>8.6999999999999994E-2</v>
      </c>
    </row>
    <row r="82" spans="2:5">
      <c r="C82" s="4"/>
      <c r="D82" t="s">
        <v>111</v>
      </c>
      <c r="E82" s="3">
        <v>8.1000000000000003E-2</v>
      </c>
    </row>
    <row r="83" spans="2:5">
      <c r="C83" s="4"/>
      <c r="D83" t="s">
        <v>48</v>
      </c>
      <c r="E83" s="3">
        <v>8.7999999999999995E-2</v>
      </c>
    </row>
    <row r="84" spans="2:5">
      <c r="B84">
        <v>20800</v>
      </c>
      <c r="C84" t="s">
        <v>251</v>
      </c>
      <c r="D84" t="s">
        <v>225</v>
      </c>
      <c r="E84" s="2">
        <v>0.158</v>
      </c>
    </row>
    <row r="85" spans="2:5">
      <c r="D85" t="s">
        <v>179</v>
      </c>
      <c r="E85" s="2">
        <v>0.19</v>
      </c>
    </row>
    <row r="86" spans="2:5">
      <c r="D86" t="s">
        <v>230</v>
      </c>
      <c r="E86" s="2">
        <v>0</v>
      </c>
    </row>
    <row r="87" spans="2:5">
      <c r="B87">
        <v>20600</v>
      </c>
      <c r="C87" t="s">
        <v>251</v>
      </c>
      <c r="D87" t="s">
        <v>78</v>
      </c>
      <c r="E87" s="2">
        <v>0.17399999999999999</v>
      </c>
    </row>
    <row r="88" spans="2:5">
      <c r="D88" t="s">
        <v>233</v>
      </c>
      <c r="E88" s="2">
        <v>0</v>
      </c>
    </row>
    <row r="89" spans="2:5">
      <c r="B89">
        <v>20500</v>
      </c>
      <c r="C89" t="s">
        <v>251</v>
      </c>
      <c r="D89" t="s">
        <v>194</v>
      </c>
      <c r="E89" s="2">
        <v>0.186</v>
      </c>
    </row>
    <row r="90" spans="2:5">
      <c r="B90">
        <v>20400</v>
      </c>
      <c r="C90" t="s">
        <v>251</v>
      </c>
      <c r="D90" t="s">
        <v>184</v>
      </c>
      <c r="E90" s="2">
        <v>0.13</v>
      </c>
    </row>
    <row r="91" spans="2:5">
      <c r="D91" t="s">
        <v>25</v>
      </c>
      <c r="E91" s="2">
        <v>0.154</v>
      </c>
    </row>
    <row r="92" spans="2:5">
      <c r="B92">
        <v>20300</v>
      </c>
      <c r="C92" t="s">
        <v>251</v>
      </c>
      <c r="D92" t="s">
        <v>181</v>
      </c>
      <c r="E92" s="2">
        <v>0.13800000000000001</v>
      </c>
    </row>
    <row r="93" spans="2:5">
      <c r="B93">
        <v>20298</v>
      </c>
      <c r="C93" t="s">
        <v>251</v>
      </c>
      <c r="D93" t="s">
        <v>180</v>
      </c>
      <c r="E93" s="2">
        <v>0.153</v>
      </c>
    </row>
    <row r="94" spans="2:5">
      <c r="B94">
        <v>20200</v>
      </c>
      <c r="C94" s="4" t="s">
        <v>250</v>
      </c>
      <c r="D94" t="s">
        <v>158</v>
      </c>
      <c r="E94" s="3">
        <v>0.11</v>
      </c>
    </row>
    <row r="95" spans="2:5">
      <c r="C95" s="4"/>
      <c r="D95" t="s">
        <v>221</v>
      </c>
      <c r="E95" s="3">
        <v>0.111</v>
      </c>
    </row>
    <row r="96" spans="2:5">
      <c r="B96">
        <v>19600</v>
      </c>
      <c r="C96" s="4" t="s">
        <v>250</v>
      </c>
      <c r="D96" t="s">
        <v>206</v>
      </c>
      <c r="E96" s="3">
        <v>0.13900000000000001</v>
      </c>
    </row>
    <row r="97" spans="2:5">
      <c r="B97">
        <v>19288</v>
      </c>
      <c r="C97" s="4" t="s">
        <v>250</v>
      </c>
      <c r="D97" t="s">
        <v>182</v>
      </c>
      <c r="E97" s="3">
        <v>0</v>
      </c>
    </row>
    <row r="98" spans="2:5">
      <c r="B98">
        <v>19200</v>
      </c>
      <c r="C98" s="4" t="s">
        <v>250</v>
      </c>
      <c r="D98" t="s">
        <v>159</v>
      </c>
      <c r="E98" s="3">
        <v>0.20300000000000001</v>
      </c>
    </row>
    <row r="99" spans="2:5">
      <c r="C99" s="4"/>
      <c r="D99" t="s">
        <v>222</v>
      </c>
      <c r="E99" s="3">
        <v>0</v>
      </c>
    </row>
    <row r="100" spans="2:5">
      <c r="C100" t="s">
        <v>251</v>
      </c>
      <c r="D100" t="s">
        <v>108</v>
      </c>
      <c r="E100" s="2">
        <v>6.5000000000000002E-2</v>
      </c>
    </row>
    <row r="101" spans="2:5">
      <c r="D101" t="s">
        <v>49</v>
      </c>
      <c r="E101" s="2">
        <v>6.8000000000000005E-2</v>
      </c>
    </row>
    <row r="102" spans="2:5">
      <c r="D102" t="s">
        <v>114</v>
      </c>
      <c r="E102" s="2">
        <v>7.1999999999999995E-2</v>
      </c>
    </row>
    <row r="103" spans="2:5">
      <c r="D103" t="s">
        <v>119</v>
      </c>
      <c r="E103" s="2">
        <v>0</v>
      </c>
    </row>
    <row r="104" spans="2:5">
      <c r="D104" t="s">
        <v>125</v>
      </c>
      <c r="E104" s="2">
        <v>8.5000000000000006E-2</v>
      </c>
    </row>
    <row r="105" spans="2:5">
      <c r="B105">
        <v>19168</v>
      </c>
      <c r="C105" s="4" t="s">
        <v>250</v>
      </c>
      <c r="D105" t="s">
        <v>126</v>
      </c>
      <c r="E105" s="3">
        <v>0.20100000000000001</v>
      </c>
    </row>
    <row r="106" spans="2:5">
      <c r="B106">
        <v>19108</v>
      </c>
      <c r="C106" t="s">
        <v>251</v>
      </c>
      <c r="D106" t="s">
        <v>224</v>
      </c>
      <c r="E106" s="2">
        <v>6.4000000000000001E-2</v>
      </c>
    </row>
    <row r="107" spans="2:5">
      <c r="B107">
        <v>19000</v>
      </c>
      <c r="C107" s="4" t="s">
        <v>250</v>
      </c>
      <c r="D107" t="s">
        <v>35</v>
      </c>
      <c r="E107" s="3">
        <v>0.215</v>
      </c>
    </row>
    <row r="108" spans="2:5">
      <c r="B108">
        <v>18888</v>
      </c>
      <c r="C108" t="s">
        <v>251</v>
      </c>
      <c r="D108" t="s">
        <v>116</v>
      </c>
      <c r="E108" s="2">
        <v>6.4000000000000001E-2</v>
      </c>
    </row>
    <row r="109" spans="2:5">
      <c r="B109">
        <v>18800</v>
      </c>
      <c r="C109" t="s">
        <v>251</v>
      </c>
      <c r="D109" t="s">
        <v>223</v>
      </c>
      <c r="E109" s="2">
        <v>7.0000000000000007E-2</v>
      </c>
    </row>
    <row r="110" spans="2:5">
      <c r="D110" t="s">
        <v>113</v>
      </c>
      <c r="E110" s="2">
        <v>6.8000000000000005E-2</v>
      </c>
    </row>
    <row r="111" spans="2:5">
      <c r="D111" t="s">
        <v>239</v>
      </c>
      <c r="E111" s="2">
        <v>0</v>
      </c>
    </row>
    <row r="112" spans="2:5">
      <c r="B112">
        <v>18400</v>
      </c>
      <c r="C112" t="s">
        <v>251</v>
      </c>
      <c r="D112" t="s">
        <v>27</v>
      </c>
      <c r="E112" s="2">
        <v>6.8000000000000005E-2</v>
      </c>
    </row>
    <row r="113" spans="2:5">
      <c r="D113" t="s">
        <v>91</v>
      </c>
      <c r="E113" s="2">
        <v>0.06</v>
      </c>
    </row>
    <row r="114" spans="2:5">
      <c r="D114" t="s">
        <v>43</v>
      </c>
      <c r="E114" s="2">
        <v>6.2E-2</v>
      </c>
    </row>
    <row r="115" spans="2:5">
      <c r="B115">
        <v>18308</v>
      </c>
      <c r="C115" t="s">
        <v>251</v>
      </c>
      <c r="D115" t="s">
        <v>175</v>
      </c>
      <c r="E115" s="2">
        <v>5.8999999999999997E-2</v>
      </c>
    </row>
    <row r="116" spans="2:5">
      <c r="B116">
        <v>18000</v>
      </c>
      <c r="C116" s="4" t="s">
        <v>250</v>
      </c>
      <c r="D116" t="s">
        <v>204</v>
      </c>
      <c r="E116" s="3">
        <v>0.23</v>
      </c>
    </row>
    <row r="117" spans="2:5">
      <c r="C117" s="4"/>
      <c r="D117" t="s">
        <v>164</v>
      </c>
      <c r="E117" s="3">
        <v>0.28000000000000003</v>
      </c>
    </row>
    <row r="118" spans="2:5">
      <c r="C118" s="4"/>
      <c r="D118" t="s">
        <v>214</v>
      </c>
      <c r="E118" s="3">
        <v>0.23200000000000001</v>
      </c>
    </row>
    <row r="119" spans="2:5">
      <c r="C119" s="4"/>
      <c r="D119" t="s">
        <v>218</v>
      </c>
      <c r="E119" s="3">
        <v>0</v>
      </c>
    </row>
    <row r="120" spans="2:5">
      <c r="B120">
        <v>17600</v>
      </c>
      <c r="C120" t="s">
        <v>251</v>
      </c>
      <c r="D120" t="s">
        <v>29</v>
      </c>
      <c r="E120" s="2">
        <v>0.05</v>
      </c>
    </row>
    <row r="121" spans="2:5">
      <c r="B121">
        <v>17500</v>
      </c>
      <c r="C121" t="s">
        <v>251</v>
      </c>
      <c r="D121" t="s">
        <v>161</v>
      </c>
      <c r="E121" s="2">
        <v>4.3999999999999997E-2</v>
      </c>
    </row>
    <row r="122" spans="2:5">
      <c r="D122" t="s">
        <v>109</v>
      </c>
      <c r="E122" s="2">
        <v>4.8000000000000001E-2</v>
      </c>
    </row>
    <row r="123" spans="2:5">
      <c r="B123">
        <v>17448</v>
      </c>
      <c r="C123" t="s">
        <v>251</v>
      </c>
      <c r="D123" t="s">
        <v>170</v>
      </c>
      <c r="E123" s="2">
        <v>4.3999999999999997E-2</v>
      </c>
    </row>
    <row r="124" spans="2:5">
      <c r="B124">
        <v>17200</v>
      </c>
      <c r="C124" t="s">
        <v>251</v>
      </c>
      <c r="D124" t="s">
        <v>213</v>
      </c>
      <c r="E124" s="2">
        <v>0.04</v>
      </c>
    </row>
    <row r="125" spans="2:5">
      <c r="B125">
        <v>17000</v>
      </c>
      <c r="C125" t="s">
        <v>251</v>
      </c>
      <c r="D125" t="s">
        <v>215</v>
      </c>
      <c r="E125" s="2">
        <v>0.03</v>
      </c>
    </row>
    <row r="126" spans="2:5">
      <c r="D126" t="s">
        <v>106</v>
      </c>
      <c r="E126" s="2">
        <v>0.03</v>
      </c>
    </row>
    <row r="127" spans="2:5">
      <c r="D127" t="s">
        <v>107</v>
      </c>
      <c r="E127" s="2">
        <v>3.1E-2</v>
      </c>
    </row>
    <row r="128" spans="2:5">
      <c r="B128">
        <v>16888</v>
      </c>
      <c r="C128" t="s">
        <v>251</v>
      </c>
      <c r="D128" t="s">
        <v>211</v>
      </c>
      <c r="E128" s="2">
        <v>3.7999999999999999E-2</v>
      </c>
    </row>
    <row r="129" spans="1:5">
      <c r="A129" t="s">
        <v>245</v>
      </c>
      <c r="B129">
        <v>25400</v>
      </c>
      <c r="C129" s="4" t="s">
        <v>250</v>
      </c>
      <c r="D129" t="s">
        <v>15</v>
      </c>
      <c r="E129" s="3">
        <v>1.4999999999999999E-2</v>
      </c>
    </row>
    <row r="130" spans="1:5">
      <c r="B130">
        <v>25288</v>
      </c>
      <c r="C130" s="4" t="s">
        <v>250</v>
      </c>
      <c r="D130" t="s">
        <v>64</v>
      </c>
      <c r="E130" s="3">
        <v>0.01</v>
      </c>
    </row>
    <row r="131" spans="1:5">
      <c r="B131">
        <v>25118</v>
      </c>
      <c r="C131" s="4" t="s">
        <v>250</v>
      </c>
      <c r="D131" t="s">
        <v>68</v>
      </c>
      <c r="E131" s="3">
        <v>0.01</v>
      </c>
    </row>
    <row r="132" spans="1:5">
      <c r="B132">
        <v>25000</v>
      </c>
      <c r="C132" s="4" t="s">
        <v>250</v>
      </c>
      <c r="D132" t="s">
        <v>14</v>
      </c>
      <c r="E132" s="3">
        <v>0.01</v>
      </c>
    </row>
    <row r="133" spans="1:5">
      <c r="C133" s="4"/>
      <c r="D133" t="s">
        <v>187</v>
      </c>
      <c r="E133" s="3">
        <v>0.01</v>
      </c>
    </row>
    <row r="134" spans="1:5">
      <c r="C134" s="4"/>
      <c r="D134" t="s">
        <v>72</v>
      </c>
      <c r="E134" s="3">
        <v>0</v>
      </c>
    </row>
    <row r="135" spans="1:5">
      <c r="C135" s="4"/>
      <c r="D135" t="s">
        <v>134</v>
      </c>
      <c r="E135" s="3">
        <v>0.01</v>
      </c>
    </row>
    <row r="136" spans="1:5">
      <c r="B136">
        <v>23500</v>
      </c>
      <c r="C136" t="s">
        <v>251</v>
      </c>
      <c r="D136" t="s">
        <v>73</v>
      </c>
      <c r="E136" s="2">
        <v>0.39</v>
      </c>
    </row>
    <row r="137" spans="1:5">
      <c r="B137">
        <v>22308</v>
      </c>
      <c r="C137" s="4" t="s">
        <v>250</v>
      </c>
      <c r="D137" t="s">
        <v>11</v>
      </c>
      <c r="E137" s="3">
        <v>0.01</v>
      </c>
    </row>
    <row r="138" spans="1:5">
      <c r="B138">
        <v>22200</v>
      </c>
      <c r="C138" s="4" t="s">
        <v>250</v>
      </c>
      <c r="D138" t="s">
        <v>196</v>
      </c>
      <c r="E138" s="3">
        <v>0.01</v>
      </c>
    </row>
    <row r="139" spans="1:5">
      <c r="C139" s="4"/>
      <c r="D139" t="s">
        <v>84</v>
      </c>
      <c r="E139" s="3">
        <v>0.01</v>
      </c>
    </row>
    <row r="140" spans="1:5">
      <c r="C140" t="s">
        <v>251</v>
      </c>
      <c r="D140" t="s">
        <v>131</v>
      </c>
      <c r="E140" s="2">
        <v>0.25</v>
      </c>
    </row>
    <row r="141" spans="1:5">
      <c r="B141">
        <v>22100</v>
      </c>
      <c r="C141" s="4" t="s">
        <v>250</v>
      </c>
      <c r="D141" t="s">
        <v>148</v>
      </c>
      <c r="E141" s="3">
        <v>1.2999999999999999E-2</v>
      </c>
    </row>
    <row r="142" spans="1:5">
      <c r="C142" t="s">
        <v>251</v>
      </c>
      <c r="D142" t="s">
        <v>133</v>
      </c>
      <c r="E142" s="2">
        <v>0.24199999999999999</v>
      </c>
    </row>
    <row r="143" spans="1:5">
      <c r="B143">
        <v>22000</v>
      </c>
      <c r="C143" s="4" t="s">
        <v>250</v>
      </c>
      <c r="D143" t="s">
        <v>17</v>
      </c>
      <c r="E143" s="3">
        <v>0.01</v>
      </c>
    </row>
    <row r="144" spans="1:5">
      <c r="C144" s="4"/>
      <c r="D144" t="s">
        <v>195</v>
      </c>
      <c r="E144" s="3">
        <v>0.01</v>
      </c>
    </row>
    <row r="145" spans="2:5">
      <c r="C145" s="4"/>
      <c r="D145" t="s">
        <v>80</v>
      </c>
      <c r="E145" s="3">
        <v>0.01</v>
      </c>
    </row>
    <row r="146" spans="2:5">
      <c r="B146">
        <v>21600</v>
      </c>
      <c r="C146" t="s">
        <v>251</v>
      </c>
      <c r="D146" t="s">
        <v>193</v>
      </c>
      <c r="E146" s="2">
        <v>0.20200000000000001</v>
      </c>
    </row>
    <row r="147" spans="2:5">
      <c r="D147" t="s">
        <v>85</v>
      </c>
      <c r="E147" s="2">
        <v>0.223</v>
      </c>
    </row>
    <row r="148" spans="2:5">
      <c r="B148">
        <v>21100</v>
      </c>
      <c r="C148" s="4" t="s">
        <v>250</v>
      </c>
      <c r="D148" t="s">
        <v>81</v>
      </c>
      <c r="E148" s="3">
        <v>1.4999999999999999E-2</v>
      </c>
    </row>
    <row r="149" spans="2:5">
      <c r="B149">
        <v>21000</v>
      </c>
      <c r="C149" s="4" t="s">
        <v>250</v>
      </c>
      <c r="D149" t="s">
        <v>13</v>
      </c>
      <c r="E149" s="3">
        <v>1.7000000000000001E-2</v>
      </c>
    </row>
    <row r="150" spans="2:5">
      <c r="C150" s="4"/>
      <c r="D150" t="s">
        <v>22</v>
      </c>
      <c r="E150" s="3">
        <v>1.6E-2</v>
      </c>
    </row>
    <row r="151" spans="2:5">
      <c r="C151" s="4"/>
      <c r="D151" t="s">
        <v>198</v>
      </c>
      <c r="E151" s="3">
        <v>1.7999999999999999E-2</v>
      </c>
    </row>
    <row r="152" spans="2:5">
      <c r="C152" s="4"/>
      <c r="D152" t="s">
        <v>127</v>
      </c>
      <c r="E152" s="3">
        <v>1.7999999999999999E-2</v>
      </c>
    </row>
    <row r="153" spans="2:5">
      <c r="C153" t="s">
        <v>251</v>
      </c>
      <c r="D153" t="s">
        <v>139</v>
      </c>
      <c r="E153" s="2">
        <v>0.121</v>
      </c>
    </row>
    <row r="154" spans="2:5">
      <c r="D154" t="s">
        <v>23</v>
      </c>
      <c r="E154" s="2">
        <v>0.13300000000000001</v>
      </c>
    </row>
    <row r="155" spans="2:5">
      <c r="B155">
        <v>20900</v>
      </c>
      <c r="C155" t="s">
        <v>251</v>
      </c>
      <c r="D155" t="s">
        <v>65</v>
      </c>
      <c r="E155" s="2">
        <v>0.113</v>
      </c>
    </row>
    <row r="156" spans="2:5">
      <c r="B156">
        <v>20088</v>
      </c>
      <c r="C156" s="4" t="s">
        <v>250</v>
      </c>
      <c r="D156" t="s">
        <v>32</v>
      </c>
      <c r="E156" s="3">
        <v>6.7000000000000004E-2</v>
      </c>
    </row>
    <row r="157" spans="2:5">
      <c r="C157" t="s">
        <v>251</v>
      </c>
      <c r="D157" t="s">
        <v>138</v>
      </c>
      <c r="E157" s="2">
        <v>5.8999999999999997E-2</v>
      </c>
    </row>
    <row r="158" spans="2:5">
      <c r="B158">
        <v>20000</v>
      </c>
      <c r="C158" s="4" t="s">
        <v>250</v>
      </c>
      <c r="D158" t="s">
        <v>129</v>
      </c>
      <c r="E158" s="3">
        <v>7.0999999999999994E-2</v>
      </c>
    </row>
    <row r="159" spans="2:5">
      <c r="C159" s="4"/>
      <c r="D159" t="s">
        <v>82</v>
      </c>
      <c r="E159" s="3">
        <v>7.3999999999999996E-2</v>
      </c>
    </row>
    <row r="160" spans="2:5">
      <c r="C160" s="4"/>
      <c r="D160" t="s">
        <v>90</v>
      </c>
      <c r="E160" s="3">
        <v>7.4999999999999997E-2</v>
      </c>
    </row>
    <row r="161" spans="1:5">
      <c r="C161" s="4"/>
      <c r="D161" t="s">
        <v>28</v>
      </c>
      <c r="E161" s="3">
        <v>7.8E-2</v>
      </c>
    </row>
    <row r="162" spans="1:5">
      <c r="C162" s="4"/>
      <c r="D162" t="s">
        <v>156</v>
      </c>
      <c r="E162" s="3">
        <v>7.3999999999999996E-2</v>
      </c>
    </row>
    <row r="163" spans="1:5">
      <c r="C163" t="s">
        <v>251</v>
      </c>
      <c r="D163" t="s">
        <v>75</v>
      </c>
      <c r="E163" s="2">
        <v>5.1999999999999998E-2</v>
      </c>
    </row>
    <row r="164" spans="1:5">
      <c r="D164" t="s">
        <v>24</v>
      </c>
      <c r="E164" s="2">
        <v>5.7000000000000002E-2</v>
      </c>
    </row>
    <row r="165" spans="1:5">
      <c r="D165" t="s">
        <v>128</v>
      </c>
      <c r="E165" s="2">
        <v>5.0999999999999997E-2</v>
      </c>
    </row>
    <row r="166" spans="1:5">
      <c r="B166">
        <v>19000</v>
      </c>
      <c r="C166" t="s">
        <v>251</v>
      </c>
      <c r="D166" t="s">
        <v>186</v>
      </c>
      <c r="E166" s="2">
        <v>0.02</v>
      </c>
    </row>
    <row r="167" spans="1:5">
      <c r="D167" t="s">
        <v>146</v>
      </c>
      <c r="E167" s="2">
        <v>1.9E-2</v>
      </c>
    </row>
    <row r="168" spans="1:5">
      <c r="D168" t="s">
        <v>207</v>
      </c>
      <c r="E168" s="2">
        <v>0.02</v>
      </c>
    </row>
    <row r="169" spans="1:5">
      <c r="D169" t="s">
        <v>47</v>
      </c>
      <c r="E169" s="2">
        <v>1.9E-2</v>
      </c>
    </row>
    <row r="170" spans="1:5">
      <c r="B170">
        <v>18908</v>
      </c>
      <c r="C170" t="s">
        <v>251</v>
      </c>
      <c r="D170" t="s">
        <v>86</v>
      </c>
      <c r="E170" s="2">
        <v>1.7999999999999999E-2</v>
      </c>
    </row>
    <row r="171" spans="1:5">
      <c r="A171" t="s">
        <v>244</v>
      </c>
      <c r="B171">
        <v>25000</v>
      </c>
      <c r="C171" t="s">
        <v>251</v>
      </c>
      <c r="D171" t="s">
        <v>66</v>
      </c>
      <c r="E171" s="2">
        <v>0.65</v>
      </c>
    </row>
    <row r="172" spans="1:5">
      <c r="B172">
        <v>23600</v>
      </c>
      <c r="C172" s="4" t="s">
        <v>250</v>
      </c>
      <c r="D172" t="s">
        <v>16</v>
      </c>
      <c r="E172" s="3">
        <v>0.01</v>
      </c>
    </row>
    <row r="173" spans="1:5">
      <c r="C173" s="4"/>
      <c r="D173" t="s">
        <v>199</v>
      </c>
      <c r="E173" s="3">
        <v>0.01</v>
      </c>
    </row>
    <row r="174" spans="1:5">
      <c r="C174" s="4"/>
      <c r="D174" t="s">
        <v>200</v>
      </c>
      <c r="E174" s="3">
        <v>0</v>
      </c>
    </row>
    <row r="175" spans="1:5">
      <c r="B175">
        <v>21600</v>
      </c>
      <c r="C175" s="4" t="s">
        <v>250</v>
      </c>
      <c r="D175" t="s">
        <v>201</v>
      </c>
      <c r="E175" s="3">
        <v>0.02</v>
      </c>
    </row>
    <row r="176" spans="1:5">
      <c r="C176" s="4"/>
      <c r="D176" t="s">
        <v>26</v>
      </c>
      <c r="E176" s="3">
        <v>1.7999999999999999E-2</v>
      </c>
    </row>
    <row r="177" spans="2:5">
      <c r="C177" t="s">
        <v>251</v>
      </c>
      <c r="D177" t="s">
        <v>60</v>
      </c>
      <c r="E177" s="2">
        <v>0.191</v>
      </c>
    </row>
    <row r="178" spans="2:5">
      <c r="B178">
        <v>21500</v>
      </c>
      <c r="C178" t="s">
        <v>251</v>
      </c>
      <c r="D178" t="s">
        <v>83</v>
      </c>
      <c r="E178" s="2">
        <v>0.184</v>
      </c>
    </row>
    <row r="179" spans="2:5">
      <c r="D179" t="s">
        <v>176</v>
      </c>
      <c r="E179" s="2">
        <v>0.17699999999999999</v>
      </c>
    </row>
    <row r="180" spans="2:5">
      <c r="D180" t="s">
        <v>59</v>
      </c>
      <c r="E180" s="2">
        <v>0.185</v>
      </c>
    </row>
    <row r="181" spans="2:5">
      <c r="B181">
        <v>21400</v>
      </c>
      <c r="C181" t="s">
        <v>251</v>
      </c>
      <c r="D181" t="s">
        <v>232</v>
      </c>
      <c r="E181" s="2">
        <v>0.19600000000000001</v>
      </c>
    </row>
    <row r="182" spans="2:5">
      <c r="B182">
        <v>20800</v>
      </c>
      <c r="C182" s="4" t="s">
        <v>250</v>
      </c>
      <c r="D182" t="s">
        <v>87</v>
      </c>
      <c r="E182" s="3">
        <v>6.6000000000000003E-2</v>
      </c>
    </row>
    <row r="183" spans="2:5">
      <c r="C183" s="4"/>
      <c r="D183" t="s">
        <v>154</v>
      </c>
      <c r="E183" s="3">
        <v>0.06</v>
      </c>
    </row>
    <row r="184" spans="2:5">
      <c r="C184" s="4"/>
      <c r="D184" t="s">
        <v>41</v>
      </c>
      <c r="E184" s="3">
        <v>6.6000000000000003E-2</v>
      </c>
    </row>
    <row r="185" spans="2:5">
      <c r="B185">
        <v>20488</v>
      </c>
      <c r="C185" t="s">
        <v>251</v>
      </c>
      <c r="D185" t="s">
        <v>152</v>
      </c>
      <c r="E185" s="2">
        <v>8.3000000000000004E-2</v>
      </c>
    </row>
    <row r="186" spans="2:5">
      <c r="B186">
        <v>20400</v>
      </c>
      <c r="C186" s="4" t="s">
        <v>250</v>
      </c>
      <c r="D186" t="s">
        <v>88</v>
      </c>
      <c r="E186" s="3">
        <v>8.6999999999999994E-2</v>
      </c>
    </row>
    <row r="187" spans="2:5">
      <c r="C187" s="4"/>
      <c r="D187" t="s">
        <v>95</v>
      </c>
      <c r="E187" s="3">
        <v>9.9000000000000005E-2</v>
      </c>
    </row>
    <row r="188" spans="2:5">
      <c r="C188" t="s">
        <v>251</v>
      </c>
      <c r="D188" t="s">
        <v>227</v>
      </c>
      <c r="E188" s="2">
        <v>0.08</v>
      </c>
    </row>
    <row r="189" spans="2:5">
      <c r="B189">
        <v>19800</v>
      </c>
      <c r="C189" t="s">
        <v>251</v>
      </c>
      <c r="D189" t="s">
        <v>150</v>
      </c>
      <c r="E189" s="2">
        <v>7.2999999999999995E-2</v>
      </c>
    </row>
    <row r="190" spans="2:5">
      <c r="D190" t="s">
        <v>226</v>
      </c>
      <c r="E190" s="2">
        <v>7.0999999999999994E-2</v>
      </c>
    </row>
    <row r="191" spans="2:5">
      <c r="D191" t="s">
        <v>178</v>
      </c>
      <c r="E191" s="2">
        <v>6.9000000000000006E-2</v>
      </c>
    </row>
    <row r="192" spans="2:5">
      <c r="B192">
        <v>19708</v>
      </c>
      <c r="C192" t="s">
        <v>251</v>
      </c>
      <c r="D192" t="s">
        <v>50</v>
      </c>
      <c r="E192" s="2">
        <v>5.8999999999999997E-2</v>
      </c>
    </row>
    <row r="193" spans="2:5">
      <c r="B193">
        <v>19698</v>
      </c>
      <c r="C193" s="4" t="s">
        <v>250</v>
      </c>
      <c r="D193" t="s">
        <v>219</v>
      </c>
      <c r="E193" s="3">
        <v>0.13300000000000001</v>
      </c>
    </row>
    <row r="194" spans="2:5">
      <c r="B194">
        <v>19600</v>
      </c>
      <c r="C194" s="4" t="s">
        <v>250</v>
      </c>
      <c r="D194" t="s">
        <v>93</v>
      </c>
      <c r="E194" s="3">
        <v>0.16200000000000001</v>
      </c>
    </row>
    <row r="195" spans="2:5">
      <c r="C195" s="4"/>
      <c r="D195" t="s">
        <v>160</v>
      </c>
      <c r="E195" s="3">
        <v>0.16400000000000001</v>
      </c>
    </row>
    <row r="196" spans="2:5">
      <c r="B196">
        <v>19500</v>
      </c>
      <c r="C196" t="s">
        <v>251</v>
      </c>
      <c r="D196" t="s">
        <v>153</v>
      </c>
      <c r="E196" s="2">
        <v>5.5E-2</v>
      </c>
    </row>
    <row r="197" spans="2:5">
      <c r="D197" t="s">
        <v>44</v>
      </c>
      <c r="E197" s="2">
        <v>5.1999999999999998E-2</v>
      </c>
    </row>
    <row r="198" spans="2:5">
      <c r="B198">
        <v>19488</v>
      </c>
      <c r="C198" s="4" t="s">
        <v>250</v>
      </c>
      <c r="D198" t="s">
        <v>98</v>
      </c>
      <c r="E198" s="3">
        <v>0.13400000000000001</v>
      </c>
    </row>
    <row r="199" spans="2:5">
      <c r="B199">
        <v>19408</v>
      </c>
      <c r="C199" t="s">
        <v>251</v>
      </c>
      <c r="D199" t="s">
        <v>102</v>
      </c>
      <c r="E199" s="2">
        <v>4.9000000000000002E-2</v>
      </c>
    </row>
    <row r="200" spans="2:5">
      <c r="B200">
        <v>19400</v>
      </c>
      <c r="C200" s="4" t="s">
        <v>250</v>
      </c>
      <c r="D200" t="s">
        <v>155</v>
      </c>
      <c r="E200" s="3">
        <v>0.15</v>
      </c>
    </row>
    <row r="201" spans="2:5">
      <c r="C201" s="4"/>
      <c r="D201" t="s">
        <v>110</v>
      </c>
      <c r="E201" s="3">
        <v>0.161</v>
      </c>
    </row>
    <row r="202" spans="2:5">
      <c r="C202" t="s">
        <v>251</v>
      </c>
      <c r="D202" t="s">
        <v>151</v>
      </c>
      <c r="E202" s="2">
        <v>5.6000000000000001E-2</v>
      </c>
    </row>
    <row r="203" spans="2:5">
      <c r="D203" t="s">
        <v>45</v>
      </c>
      <c r="E203" s="2">
        <v>0.06</v>
      </c>
    </row>
    <row r="204" spans="2:5">
      <c r="D204" t="s">
        <v>51</v>
      </c>
      <c r="E204" s="2">
        <v>0</v>
      </c>
    </row>
    <row r="205" spans="2:5">
      <c r="B205">
        <v>19088</v>
      </c>
      <c r="C205" s="4" t="s">
        <v>250</v>
      </c>
      <c r="D205" t="s">
        <v>97</v>
      </c>
      <c r="E205" s="3">
        <v>0.16300000000000001</v>
      </c>
    </row>
    <row r="206" spans="2:5">
      <c r="B206">
        <v>19000</v>
      </c>
      <c r="C206" s="4" t="s">
        <v>250</v>
      </c>
      <c r="D206" t="s">
        <v>203</v>
      </c>
      <c r="E206" s="3">
        <v>0.17799999999999999</v>
      </c>
    </row>
    <row r="207" spans="2:5">
      <c r="C207" s="4"/>
      <c r="D207" t="s">
        <v>30</v>
      </c>
      <c r="E207" s="3">
        <v>0.21</v>
      </c>
    </row>
    <row r="208" spans="2:5">
      <c r="C208" s="4"/>
      <c r="D208" t="s">
        <v>99</v>
      </c>
      <c r="E208" s="3">
        <v>0.17799999999999999</v>
      </c>
    </row>
    <row r="209" spans="1:5">
      <c r="C209" s="4"/>
      <c r="D209" t="s">
        <v>33</v>
      </c>
      <c r="E209" s="3">
        <v>0.191</v>
      </c>
    </row>
    <row r="210" spans="1:5">
      <c r="A210" t="s">
        <v>243</v>
      </c>
      <c r="B210">
        <v>22108</v>
      </c>
      <c r="C210" s="4" t="s">
        <v>250</v>
      </c>
      <c r="D210" t="s">
        <v>231</v>
      </c>
      <c r="E210" s="3">
        <v>0</v>
      </c>
    </row>
    <row r="211" spans="1:5">
      <c r="B211">
        <v>22000</v>
      </c>
      <c r="C211" s="4" t="s">
        <v>250</v>
      </c>
      <c r="D211" t="s">
        <v>53</v>
      </c>
      <c r="E211" s="3">
        <v>6.2E-2</v>
      </c>
    </row>
    <row r="212" spans="1:5">
      <c r="B212">
        <v>21900</v>
      </c>
      <c r="C212" s="4" t="s">
        <v>250</v>
      </c>
      <c r="D212" t="s">
        <v>63</v>
      </c>
      <c r="E212" s="3">
        <v>0</v>
      </c>
    </row>
    <row r="213" spans="1:5">
      <c r="B213">
        <v>21800</v>
      </c>
      <c r="C213" s="4" t="s">
        <v>250</v>
      </c>
      <c r="D213" t="s">
        <v>115</v>
      </c>
      <c r="E213" s="3">
        <v>0</v>
      </c>
    </row>
    <row r="214" spans="1:5">
      <c r="C214" s="4"/>
      <c r="D214" t="s">
        <v>54</v>
      </c>
      <c r="E214" s="3">
        <v>0</v>
      </c>
    </row>
    <row r="215" spans="1:5">
      <c r="C215" s="4"/>
      <c r="D215" t="s">
        <v>177</v>
      </c>
      <c r="E215" s="3">
        <v>0</v>
      </c>
    </row>
    <row r="216" spans="1:5">
      <c r="C216" s="4"/>
      <c r="D216" t="s">
        <v>117</v>
      </c>
      <c r="E216" s="3">
        <v>6.9000000000000006E-2</v>
      </c>
    </row>
    <row r="217" spans="1:5">
      <c r="C217" s="4"/>
      <c r="D217" t="s">
        <v>228</v>
      </c>
      <c r="E217" s="3">
        <v>0</v>
      </c>
    </row>
    <row r="218" spans="1:5">
      <c r="C218" s="4"/>
      <c r="D218" t="s">
        <v>57</v>
      </c>
      <c r="E218" s="3">
        <v>6.7000000000000004E-2</v>
      </c>
    </row>
    <row r="219" spans="1:5">
      <c r="B219">
        <v>21400</v>
      </c>
      <c r="C219" t="s">
        <v>251</v>
      </c>
      <c r="D219" t="s">
        <v>58</v>
      </c>
      <c r="E219" s="2">
        <v>0.21</v>
      </c>
    </row>
    <row r="220" spans="1:5">
      <c r="B220">
        <v>20000</v>
      </c>
      <c r="C220" t="s">
        <v>251</v>
      </c>
      <c r="D220" t="s">
        <v>118</v>
      </c>
      <c r="E220" s="2">
        <v>0.17599999999999999</v>
      </c>
    </row>
    <row r="221" spans="1:5">
      <c r="D221" t="s">
        <v>56</v>
      </c>
      <c r="E221" s="2">
        <v>0.14499999999999999</v>
      </c>
    </row>
    <row r="222" spans="1:5">
      <c r="B222">
        <v>19888</v>
      </c>
      <c r="C222" s="4" t="s">
        <v>250</v>
      </c>
      <c r="D222" t="s">
        <v>124</v>
      </c>
      <c r="E222" s="3">
        <v>0</v>
      </c>
    </row>
    <row r="223" spans="1:5">
      <c r="B223">
        <v>19800</v>
      </c>
      <c r="C223" s="4" t="s">
        <v>250</v>
      </c>
      <c r="D223" t="s">
        <v>105</v>
      </c>
      <c r="E223" s="3">
        <v>0.191</v>
      </c>
    </row>
    <row r="224" spans="1:5">
      <c r="C224" s="4"/>
      <c r="D224" t="s">
        <v>240</v>
      </c>
      <c r="E224" s="3">
        <v>0</v>
      </c>
    </row>
    <row r="225" spans="1:5">
      <c r="C225" t="s">
        <v>251</v>
      </c>
      <c r="D225" t="s">
        <v>120</v>
      </c>
      <c r="E225" s="2">
        <v>0.125</v>
      </c>
    </row>
    <row r="226" spans="1:5">
      <c r="B226">
        <v>19768</v>
      </c>
      <c r="C226" s="4" t="s">
        <v>250</v>
      </c>
      <c r="D226" t="s">
        <v>237</v>
      </c>
      <c r="E226" s="3">
        <v>0.19700000000000001</v>
      </c>
    </row>
    <row r="227" spans="1:5">
      <c r="B227">
        <v>19710</v>
      </c>
      <c r="C227" t="s">
        <v>251</v>
      </c>
      <c r="D227" t="s">
        <v>236</v>
      </c>
      <c r="E227" s="2">
        <v>0.11899999999999999</v>
      </c>
    </row>
    <row r="228" spans="1:5">
      <c r="B228">
        <v>19708</v>
      </c>
      <c r="C228" t="s">
        <v>251</v>
      </c>
      <c r="D228" t="s">
        <v>235</v>
      </c>
      <c r="E228" s="2">
        <v>0</v>
      </c>
    </row>
    <row r="229" spans="1:5">
      <c r="B229">
        <v>18828</v>
      </c>
      <c r="C229" t="s">
        <v>251</v>
      </c>
      <c r="D229" t="s">
        <v>241</v>
      </c>
      <c r="E229" s="2">
        <v>0</v>
      </c>
    </row>
    <row r="230" spans="1:5">
      <c r="B230">
        <v>18800</v>
      </c>
      <c r="C230" t="s">
        <v>251</v>
      </c>
      <c r="D230" t="s">
        <v>157</v>
      </c>
      <c r="E230" s="2">
        <v>9.6000000000000002E-2</v>
      </c>
    </row>
    <row r="231" spans="1:5">
      <c r="D231" t="s">
        <v>229</v>
      </c>
      <c r="E231" s="2">
        <v>8.2000000000000003E-2</v>
      </c>
    </row>
    <row r="232" spans="1:5">
      <c r="D232" t="s">
        <v>183</v>
      </c>
      <c r="E232" s="2">
        <v>0</v>
      </c>
    </row>
    <row r="233" spans="1:5">
      <c r="B233">
        <v>17200</v>
      </c>
      <c r="C233" s="4" t="s">
        <v>250</v>
      </c>
      <c r="D233" t="s">
        <v>212</v>
      </c>
      <c r="E233" s="3">
        <v>0.29499999999999998</v>
      </c>
    </row>
    <row r="234" spans="1:5">
      <c r="B234">
        <v>17000</v>
      </c>
      <c r="C234" t="s">
        <v>251</v>
      </c>
      <c r="D234" t="s">
        <v>217</v>
      </c>
      <c r="E234" s="2">
        <v>5.2999999999999999E-2</v>
      </c>
    </row>
    <row r="235" spans="1:5">
      <c r="A235" t="s">
        <v>242</v>
      </c>
      <c r="E235" s="2">
        <v>19.910999999999998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2"/>
  <sheetViews>
    <sheetView workbookViewId="0">
      <selection activeCell="M1" sqref="M1:W23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>
      <c r="A2" t="s">
        <v>11</v>
      </c>
      <c r="B2">
        <f>_xll.BDP("25090 HK Equity     ","WRT_EXER_PX")</f>
        <v>22308</v>
      </c>
      <c r="C2">
        <f>_xll.BDP("25090 HK Equity     ","LAST_PRICE")</f>
        <v>0.01</v>
      </c>
      <c r="D2" t="str">
        <f>_xll.BDP("25090 HK Equity     ","WRT_EXER_DT")</f>
        <v>29/6/2016</v>
      </c>
      <c r="E2" t="str">
        <f>_xll.BDP("25090 HK Equity     ","WRT_PUT_OR_CALL")</f>
        <v>Call</v>
      </c>
      <c r="F2" t="str">
        <f>_xll.BDP("25090 HK Equity     ","TIME")</f>
        <v>27/5/2016</v>
      </c>
      <c r="G2">
        <f>_xll.BDP("25090 HK Equity     ","RT_PX_CHG_PCT_1D")</f>
        <v>0</v>
      </c>
      <c r="H2">
        <f>_xll.BDP("25090 HK Equity     ","RT_PX_CHG_NET_1D")</f>
        <v>0</v>
      </c>
      <c r="I2">
        <f>_xll.BDP("25090 HK Equity     ","VOLUME")</f>
        <v>0</v>
      </c>
      <c r="J2" t="str">
        <f>_xll.BDP("25090 HK Equity     ","BID")</f>
        <v>#N/A N/A</v>
      </c>
      <c r="K2">
        <f>_xll.BDP("25090 HK Equity     ","ASK")</f>
        <v>0.01</v>
      </c>
      <c r="M2" t="s">
        <v>11</v>
      </c>
      <c r="N2">
        <v>22308</v>
      </c>
      <c r="O2">
        <v>0.01</v>
      </c>
      <c r="P2" t="s">
        <v>245</v>
      </c>
      <c r="Q2" t="s">
        <v>250</v>
      </c>
      <c r="R2" t="s">
        <v>255</v>
      </c>
      <c r="S2">
        <v>0</v>
      </c>
      <c r="T2">
        <v>0</v>
      </c>
      <c r="U2">
        <v>0</v>
      </c>
      <c r="V2" t="s">
        <v>254</v>
      </c>
      <c r="W2">
        <v>0.01</v>
      </c>
    </row>
    <row r="3" spans="1:23">
      <c r="A3" t="s">
        <v>12</v>
      </c>
      <c r="B3">
        <f>_xll.BDP("11062 HK Equity     ","WRT_EXER_PX")</f>
        <v>19600</v>
      </c>
      <c r="C3">
        <f>_xll.BDP("11062 HK Equity     ","LAST_PRICE")</f>
        <v>3.1E-2</v>
      </c>
      <c r="D3" t="str">
        <f>_xll.BDP("11062 HK Equity     ","WRT_EXER_DT")</f>
        <v>30/5/2016</v>
      </c>
      <c r="E3" t="str">
        <f>_xll.BDP("11062 HK Equity     ","WRT_PUT_OR_CALL")</f>
        <v>Call</v>
      </c>
      <c r="F3" t="str">
        <f>_xll.BDP("11062 HK Equity     ","TIME")</f>
        <v>27/5/2016</v>
      </c>
      <c r="G3">
        <f>_xll.BDP("11062 HK Equity     ","RT_PX_CHG_PCT_1D")</f>
        <v>0</v>
      </c>
      <c r="H3">
        <f>_xll.BDP("11062 HK Equity     ","RT_PX_CHG_NET_1D")</f>
        <v>0</v>
      </c>
      <c r="I3">
        <f>_xll.BDP("11062 HK Equity     ","VOLUME")</f>
        <v>0</v>
      </c>
      <c r="J3" t="str">
        <f>_xll.BDP("11062 HK Equity     ","BID")</f>
        <v>#N/A N/A</v>
      </c>
      <c r="K3" t="str">
        <f>_xll.BDP("11062 HK Equity     ","ASK")</f>
        <v>#N/A N/A</v>
      </c>
      <c r="M3" t="s">
        <v>12</v>
      </c>
      <c r="N3">
        <v>19600</v>
      </c>
      <c r="O3">
        <v>3.1E-2</v>
      </c>
      <c r="P3" t="s">
        <v>247</v>
      </c>
      <c r="Q3" t="s">
        <v>250</v>
      </c>
      <c r="R3" t="s">
        <v>255</v>
      </c>
      <c r="S3">
        <v>0</v>
      </c>
      <c r="T3">
        <v>0</v>
      </c>
      <c r="U3">
        <v>0</v>
      </c>
      <c r="V3" t="s">
        <v>254</v>
      </c>
      <c r="W3" t="s">
        <v>254</v>
      </c>
    </row>
    <row r="4" spans="1:23">
      <c r="A4" t="s">
        <v>13</v>
      </c>
      <c r="B4">
        <f>_xll.BDP("12276 HK Equity     ","WRT_EXER_PX")</f>
        <v>21000</v>
      </c>
      <c r="C4">
        <f>_xll.BDP("12276 HK Equity     ","LAST_PRICE")</f>
        <v>1.7000000000000001E-2</v>
      </c>
      <c r="D4" t="str">
        <f>_xll.BDP("12276 HK Equity     ","WRT_EXER_DT")</f>
        <v>29/6/2016</v>
      </c>
      <c r="E4" t="str">
        <f>_xll.BDP("12276 HK Equity     ","WRT_PUT_OR_CALL")</f>
        <v>Call</v>
      </c>
      <c r="F4" t="str">
        <f>_xll.BDP("12276 HK Equity     ","TIME")</f>
        <v>27/5/2016</v>
      </c>
      <c r="G4">
        <f>_xll.BDP("12276 HK Equity     ","RT_PX_CHG_PCT_1D")</f>
        <v>30.769199</v>
      </c>
      <c r="H4">
        <f>_xll.BDP("12276 HK Equity     ","RT_PX_CHG_NET_1D")</f>
        <v>4.0000000000000001E-3</v>
      </c>
      <c r="I4">
        <f>_xll.BDP("12276 HK Equity     ","VOLUME")</f>
        <v>12630000</v>
      </c>
      <c r="J4">
        <f>_xll.BDP("12276 HK Equity     ","BID")</f>
        <v>1.6E-2</v>
      </c>
      <c r="K4">
        <f>_xll.BDP("12276 HK Equity     ","ASK")</f>
        <v>1.7000000000000001E-2</v>
      </c>
      <c r="M4" t="s">
        <v>13</v>
      </c>
      <c r="N4">
        <v>21000</v>
      </c>
      <c r="O4">
        <v>1.7000000000000001E-2</v>
      </c>
      <c r="P4" t="s">
        <v>245</v>
      </c>
      <c r="Q4" t="s">
        <v>250</v>
      </c>
      <c r="R4" t="s">
        <v>255</v>
      </c>
      <c r="S4">
        <v>30.769199</v>
      </c>
      <c r="T4">
        <v>4.0000000000000001E-3</v>
      </c>
      <c r="U4">
        <v>12630000</v>
      </c>
      <c r="V4">
        <v>1.6E-2</v>
      </c>
      <c r="W4">
        <v>1.7000000000000001E-2</v>
      </c>
    </row>
    <row r="5" spans="1:23">
      <c r="A5" t="s">
        <v>14</v>
      </c>
      <c r="B5">
        <f>_xll.BDP("14950 HK Equity     ","WRT_EXER_PX")</f>
        <v>25000</v>
      </c>
      <c r="C5">
        <f>_xll.BDP("14950 HK Equity     ","LAST_PRICE")</f>
        <v>0.01</v>
      </c>
      <c r="D5" t="str">
        <f>_xll.BDP("14950 HK Equity     ","WRT_EXER_DT")</f>
        <v>29/6/2016</v>
      </c>
      <c r="E5" t="str">
        <f>_xll.BDP("14950 HK Equity     ","WRT_PUT_OR_CALL")</f>
        <v>Call</v>
      </c>
      <c r="F5" t="str">
        <f>_xll.BDP("14950 HK Equity     ","TIME")</f>
        <v>27/5/2016</v>
      </c>
      <c r="G5">
        <f>_xll.BDP("14950 HK Equity     ","RT_PX_CHG_PCT_1D")</f>
        <v>0</v>
      </c>
      <c r="H5">
        <f>_xll.BDP("14950 HK Equity     ","RT_PX_CHG_NET_1D")</f>
        <v>0</v>
      </c>
      <c r="I5">
        <f>_xll.BDP("14950 HK Equity     ","VOLUME")</f>
        <v>0</v>
      </c>
      <c r="J5" t="str">
        <f>_xll.BDP("14950 HK Equity     ","BID")</f>
        <v>#N/A N/A</v>
      </c>
      <c r="K5">
        <f>_xll.BDP("14950 HK Equity     ","ASK")</f>
        <v>0.01</v>
      </c>
      <c r="M5" t="s">
        <v>14</v>
      </c>
      <c r="N5">
        <v>25000</v>
      </c>
      <c r="O5">
        <v>0.01</v>
      </c>
      <c r="P5" t="s">
        <v>245</v>
      </c>
      <c r="Q5" t="s">
        <v>250</v>
      </c>
      <c r="R5" t="s">
        <v>255</v>
      </c>
      <c r="S5">
        <v>0</v>
      </c>
      <c r="T5">
        <v>0</v>
      </c>
      <c r="U5">
        <v>0</v>
      </c>
      <c r="V5" t="s">
        <v>254</v>
      </c>
      <c r="W5">
        <v>0.01</v>
      </c>
    </row>
    <row r="6" spans="1:23">
      <c r="A6" t="s">
        <v>15</v>
      </c>
      <c r="B6">
        <f>_xll.BDP("20513 HK Equity     ","WRT_EXER_PX")</f>
        <v>25400</v>
      </c>
      <c r="C6">
        <f>_xll.BDP("20513 HK Equity     ","LAST_PRICE")</f>
        <v>1.4999999999999999E-2</v>
      </c>
      <c r="D6" t="str">
        <f>_xll.BDP("20513 HK Equity     ","WRT_EXER_DT")</f>
        <v>29/6/2016</v>
      </c>
      <c r="E6" t="str">
        <f>_xll.BDP("20513 HK Equity     ","WRT_PUT_OR_CALL")</f>
        <v>Call</v>
      </c>
      <c r="F6" t="str">
        <f>_xll.BDP("20513 HK Equity     ","TIME")</f>
        <v>27/5/2016</v>
      </c>
      <c r="G6">
        <f>_xll.BDP("20513 HK Equity     ","RT_PX_CHG_PCT_1D")</f>
        <v>0</v>
      </c>
      <c r="H6">
        <f>_xll.BDP("20513 HK Equity     ","RT_PX_CHG_NET_1D")</f>
        <v>0</v>
      </c>
      <c r="I6">
        <f>_xll.BDP("20513 HK Equity     ","VOLUME")</f>
        <v>0</v>
      </c>
      <c r="J6" t="str">
        <f>_xll.BDP("20513 HK Equity     ","BID")</f>
        <v>#N/A N/A</v>
      </c>
      <c r="K6" t="str">
        <f>_xll.BDP("20513 HK Equity     ","ASK")</f>
        <v>#N/A N/A</v>
      </c>
      <c r="M6" t="s">
        <v>15</v>
      </c>
      <c r="N6">
        <v>25400</v>
      </c>
      <c r="O6">
        <v>1.4999999999999999E-2</v>
      </c>
      <c r="P6" t="s">
        <v>245</v>
      </c>
      <c r="Q6" t="s">
        <v>250</v>
      </c>
      <c r="R6" t="s">
        <v>255</v>
      </c>
      <c r="S6">
        <v>0</v>
      </c>
      <c r="T6">
        <v>0</v>
      </c>
      <c r="U6">
        <v>0</v>
      </c>
      <c r="V6" t="s">
        <v>254</v>
      </c>
      <c r="W6" t="s">
        <v>254</v>
      </c>
    </row>
    <row r="7" spans="1:23">
      <c r="A7" t="s">
        <v>16</v>
      </c>
      <c r="B7">
        <f>_xll.BDP("23383 HK Equity     ","WRT_EXER_PX")</f>
        <v>23600</v>
      </c>
      <c r="C7">
        <f>_xll.BDP("23383 HK Equity     ","LAST_PRICE")</f>
        <v>0.01</v>
      </c>
      <c r="D7" t="str">
        <f>_xll.BDP("23383 HK Equity     ","WRT_EXER_DT")</f>
        <v>28/7/2016</v>
      </c>
      <c r="E7" t="str">
        <f>_xll.BDP("23383 HK Equity     ","WRT_PUT_OR_CALL")</f>
        <v>Call</v>
      </c>
      <c r="F7" t="str">
        <f>_xll.BDP("23383 HK Equity     ","TIME")</f>
        <v>27/5/2016</v>
      </c>
      <c r="G7">
        <f>_xll.BDP("23383 HK Equity     ","RT_PX_CHG_PCT_1D")</f>
        <v>0</v>
      </c>
      <c r="H7">
        <f>_xll.BDP("23383 HK Equity     ","RT_PX_CHG_NET_1D")</f>
        <v>0</v>
      </c>
      <c r="I7">
        <f>_xll.BDP("23383 HK Equity     ","VOLUME")</f>
        <v>0</v>
      </c>
      <c r="J7" t="str">
        <f>_xll.BDP("23383 HK Equity     ","BID")</f>
        <v>#N/A N/A</v>
      </c>
      <c r="K7">
        <f>_xll.BDP("23383 HK Equity     ","ASK")</f>
        <v>0.01</v>
      </c>
      <c r="M7" t="s">
        <v>16</v>
      </c>
      <c r="N7">
        <v>23600</v>
      </c>
      <c r="O7">
        <v>0.01</v>
      </c>
      <c r="P7" t="s">
        <v>244</v>
      </c>
      <c r="Q7" t="s">
        <v>250</v>
      </c>
      <c r="R7" t="s">
        <v>255</v>
      </c>
      <c r="S7">
        <v>0</v>
      </c>
      <c r="T7">
        <v>0</v>
      </c>
      <c r="U7">
        <v>0</v>
      </c>
      <c r="V7" t="s">
        <v>254</v>
      </c>
      <c r="W7">
        <v>0.01</v>
      </c>
    </row>
    <row r="8" spans="1:23">
      <c r="A8" t="s">
        <v>17</v>
      </c>
      <c r="B8">
        <f>_xll.BDP("23517 HK Equity     ","WRT_EXER_PX")</f>
        <v>22000</v>
      </c>
      <c r="C8">
        <f>_xll.BDP("23517 HK Equity     ","LAST_PRICE")</f>
        <v>0.01</v>
      </c>
      <c r="D8" t="str">
        <f>_xll.BDP("23517 HK Equity     ","WRT_EXER_DT")</f>
        <v>29/6/2016</v>
      </c>
      <c r="E8" t="str">
        <f>_xll.BDP("23517 HK Equity     ","WRT_PUT_OR_CALL")</f>
        <v>Call</v>
      </c>
      <c r="F8" t="str">
        <f>_xll.BDP("23517 HK Equity     ","TIME")</f>
        <v>27/5/2016</v>
      </c>
      <c r="G8">
        <f>_xll.BDP("23517 HK Equity     ","RT_PX_CHG_PCT_1D")</f>
        <v>0</v>
      </c>
      <c r="H8">
        <f>_xll.BDP("23517 HK Equity     ","RT_PX_CHG_NET_1D")</f>
        <v>0</v>
      </c>
      <c r="I8">
        <f>_xll.BDP("23517 HK Equity     ","VOLUME")</f>
        <v>0</v>
      </c>
      <c r="J8" t="str">
        <f>_xll.BDP("23517 HK Equity     ","BID")</f>
        <v>#N/A N/A</v>
      </c>
      <c r="K8" t="str">
        <f>_xll.BDP("23517 HK Equity     ","ASK")</f>
        <v>#N/A N/A</v>
      </c>
      <c r="M8" t="s">
        <v>17</v>
      </c>
      <c r="N8">
        <v>22000</v>
      </c>
      <c r="O8">
        <v>0.01</v>
      </c>
      <c r="P8" t="s">
        <v>245</v>
      </c>
      <c r="Q8" t="s">
        <v>250</v>
      </c>
      <c r="R8" t="s">
        <v>255</v>
      </c>
      <c r="S8">
        <v>0</v>
      </c>
      <c r="T8">
        <v>0</v>
      </c>
      <c r="U8">
        <v>0</v>
      </c>
      <c r="V8" t="s">
        <v>254</v>
      </c>
      <c r="W8" t="s">
        <v>254</v>
      </c>
    </row>
    <row r="9" spans="1:23">
      <c r="A9" t="s">
        <v>18</v>
      </c>
      <c r="B9">
        <f>_xll.BDP("23535 HK Equity     ","WRT_EXER_PX")</f>
        <v>21000</v>
      </c>
      <c r="C9">
        <f>_xll.BDP("23535 HK Equity     ","LAST_PRICE")</f>
        <v>0.18</v>
      </c>
      <c r="D9" t="str">
        <f>_xll.BDP("23535 HK Equity     ","WRT_EXER_DT")</f>
        <v>30/8/2016</v>
      </c>
      <c r="E9" t="str">
        <f>_xll.BDP("23535 HK Equity     ","WRT_PUT_OR_CALL")</f>
        <v>Put</v>
      </c>
      <c r="F9" t="str">
        <f>_xll.BDP("23535 HK Equity     ","TIME")</f>
        <v>27/5/2016</v>
      </c>
      <c r="G9">
        <f>_xll.BDP("23535 HK Equity     ","RT_PX_CHG_PCT_1D")</f>
        <v>-9.0909099999999992</v>
      </c>
      <c r="H9">
        <f>_xll.BDP("23535 HK Equity     ","RT_PX_CHG_NET_1D")</f>
        <v>-1.7999999999999999E-2</v>
      </c>
      <c r="I9">
        <f>_xll.BDP("23535 HK Equity     ","VOLUME")</f>
        <v>380000</v>
      </c>
      <c r="J9">
        <f>_xll.BDP("23535 HK Equity     ","BID")</f>
        <v>0.17899999999999999</v>
      </c>
      <c r="K9" t="str">
        <f>_xll.BDP("23535 HK Equity     ","ASK")</f>
        <v>#N/A N/A</v>
      </c>
      <c r="M9" t="s">
        <v>18</v>
      </c>
      <c r="N9">
        <v>21000</v>
      </c>
      <c r="O9">
        <v>0.18</v>
      </c>
      <c r="P9" t="s">
        <v>248</v>
      </c>
      <c r="Q9" t="s">
        <v>251</v>
      </c>
      <c r="R9" t="s">
        <v>255</v>
      </c>
      <c r="S9">
        <v>-9.0909099999999992</v>
      </c>
      <c r="T9">
        <v>-1.7999999999999999E-2</v>
      </c>
      <c r="U9">
        <v>380000</v>
      </c>
      <c r="V9">
        <v>0.17899999999999999</v>
      </c>
      <c r="W9" t="s">
        <v>254</v>
      </c>
    </row>
    <row r="10" spans="1:23">
      <c r="A10" t="s">
        <v>19</v>
      </c>
      <c r="B10">
        <f>_xll.BDP("23975 HK Equity     ","WRT_EXER_PX")</f>
        <v>24288</v>
      </c>
      <c r="C10">
        <f>_xll.BDP("23975 HK Equity     ","LAST_PRICE")</f>
        <v>0.01</v>
      </c>
      <c r="D10" t="str">
        <f>_xll.BDP("23975 HK Equity     ","WRT_EXER_DT")</f>
        <v>30/5/2016</v>
      </c>
      <c r="E10" t="str">
        <f>_xll.BDP("23975 HK Equity     ","WRT_PUT_OR_CALL")</f>
        <v>Call</v>
      </c>
      <c r="F10" t="str">
        <f>_xll.BDP("23975 HK Equity     ","TIME")</f>
        <v>27/5/2016</v>
      </c>
      <c r="G10">
        <f>_xll.BDP("23975 HK Equity     ","RT_PX_CHG_PCT_1D")</f>
        <v>0</v>
      </c>
      <c r="H10">
        <f>_xll.BDP("23975 HK Equity     ","RT_PX_CHG_NET_1D")</f>
        <v>0</v>
      </c>
      <c r="I10">
        <f>_xll.BDP("23975 HK Equity     ","VOLUME")</f>
        <v>0</v>
      </c>
      <c r="J10" t="str">
        <f>_xll.BDP("23975 HK Equity     ","BID")</f>
        <v>#N/A N/A</v>
      </c>
      <c r="K10" t="str">
        <f>_xll.BDP("23975 HK Equity     ","ASK")</f>
        <v>#N/A N/A</v>
      </c>
      <c r="M10" t="s">
        <v>19</v>
      </c>
      <c r="N10">
        <v>24288</v>
      </c>
      <c r="O10">
        <v>0.01</v>
      </c>
      <c r="P10" t="s">
        <v>247</v>
      </c>
      <c r="Q10" t="s">
        <v>250</v>
      </c>
      <c r="R10" t="s">
        <v>255</v>
      </c>
      <c r="S10">
        <v>0</v>
      </c>
      <c r="T10">
        <v>0</v>
      </c>
      <c r="U10">
        <v>0</v>
      </c>
      <c r="V10" t="s">
        <v>254</v>
      </c>
      <c r="W10" t="s">
        <v>254</v>
      </c>
    </row>
    <row r="11" spans="1:23">
      <c r="A11" t="s">
        <v>20</v>
      </c>
      <c r="B11">
        <f>_xll.BDP("24107 HK Equity     ","WRT_EXER_PX")</f>
        <v>22600</v>
      </c>
      <c r="C11">
        <f>_xll.BDP("24107 HK Equity     ","LAST_PRICE")</f>
        <v>1.9E-2</v>
      </c>
      <c r="D11" t="str">
        <f>_xll.BDP("24107 HK Equity     ","WRT_EXER_DT")</f>
        <v>30/8/2016</v>
      </c>
      <c r="E11" t="str">
        <f>_xll.BDP("24107 HK Equity     ","WRT_PUT_OR_CALL")</f>
        <v>Call</v>
      </c>
      <c r="F11" t="str">
        <f>_xll.BDP("24107 HK Equity     ","TIME")</f>
        <v>27/5/2016</v>
      </c>
      <c r="G11">
        <f>_xll.BDP("24107 HK Equity     ","RT_PX_CHG_PCT_1D")</f>
        <v>26.666699999999999</v>
      </c>
      <c r="H11">
        <f>_xll.BDP("24107 HK Equity     ","RT_PX_CHG_NET_1D")</f>
        <v>4.0000000000000001E-3</v>
      </c>
      <c r="I11">
        <f>_xll.BDP("24107 HK Equity     ","VOLUME")</f>
        <v>2090000</v>
      </c>
      <c r="J11">
        <f>_xll.BDP("24107 HK Equity     ","BID")</f>
        <v>1.9E-2</v>
      </c>
      <c r="K11">
        <f>_xll.BDP("24107 HK Equity     ","ASK")</f>
        <v>0.02</v>
      </c>
      <c r="M11" t="s">
        <v>20</v>
      </c>
      <c r="N11">
        <v>22600</v>
      </c>
      <c r="O11">
        <v>1.9E-2</v>
      </c>
      <c r="P11" t="s">
        <v>248</v>
      </c>
      <c r="Q11" t="s">
        <v>250</v>
      </c>
      <c r="R11" t="s">
        <v>255</v>
      </c>
      <c r="S11">
        <v>26.666699999999999</v>
      </c>
      <c r="T11">
        <v>4.0000000000000001E-3</v>
      </c>
      <c r="U11">
        <v>2090000</v>
      </c>
      <c r="V11">
        <v>1.9E-2</v>
      </c>
      <c r="W11">
        <v>0.02</v>
      </c>
    </row>
    <row r="12" spans="1:23">
      <c r="A12" t="s">
        <v>21</v>
      </c>
      <c r="B12">
        <f>_xll.BDP("24137 HK Equity     ","WRT_EXER_PX")</f>
        <v>23300</v>
      </c>
      <c r="C12">
        <f>_xll.BDP("24137 HK Equity     ","LAST_PRICE")</f>
        <v>1.4999999999999999E-2</v>
      </c>
      <c r="D12" t="str">
        <f>_xll.BDP("24137 HK Equity     ","WRT_EXER_DT")</f>
        <v>30/5/2016</v>
      </c>
      <c r="E12" t="str">
        <f>_xll.BDP("24137 HK Equity     ","WRT_PUT_OR_CALL")</f>
        <v>Call</v>
      </c>
      <c r="F12" t="str">
        <f>_xll.BDP("24137 HK Equity     ","TIME")</f>
        <v>27/5/2016</v>
      </c>
      <c r="G12">
        <f>_xll.BDP("24137 HK Equity     ","RT_PX_CHG_PCT_1D")</f>
        <v>0</v>
      </c>
      <c r="H12">
        <f>_xll.BDP("24137 HK Equity     ","RT_PX_CHG_NET_1D")</f>
        <v>0</v>
      </c>
      <c r="I12">
        <f>_xll.BDP("24137 HK Equity     ","VOLUME")</f>
        <v>0</v>
      </c>
      <c r="J12" t="str">
        <f>_xll.BDP("24137 HK Equity     ","BID")</f>
        <v>#N/A N/A</v>
      </c>
      <c r="K12" t="str">
        <f>_xll.BDP("24137 HK Equity     ","ASK")</f>
        <v>#N/A N/A</v>
      </c>
      <c r="M12" t="s">
        <v>21</v>
      </c>
      <c r="N12">
        <v>23300</v>
      </c>
      <c r="O12">
        <v>1.4999999999999999E-2</v>
      </c>
      <c r="P12" t="s">
        <v>247</v>
      </c>
      <c r="Q12" t="s">
        <v>250</v>
      </c>
      <c r="R12" t="s">
        <v>255</v>
      </c>
      <c r="S12">
        <v>0</v>
      </c>
      <c r="T12">
        <v>0</v>
      </c>
      <c r="U12">
        <v>0</v>
      </c>
      <c r="V12" t="s">
        <v>254</v>
      </c>
      <c r="W12" t="s">
        <v>254</v>
      </c>
    </row>
    <row r="13" spans="1:23">
      <c r="A13" t="s">
        <v>22</v>
      </c>
      <c r="B13">
        <f>_xll.BDP("24376 HK Equity     ","WRT_EXER_PX")</f>
        <v>21000</v>
      </c>
      <c r="C13">
        <f>_xll.BDP("24376 HK Equity     ","LAST_PRICE")</f>
        <v>1.6E-2</v>
      </c>
      <c r="D13" t="str">
        <f>_xll.BDP("24376 HK Equity     ","WRT_EXER_DT")</f>
        <v>29/6/2016</v>
      </c>
      <c r="E13" t="str">
        <f>_xll.BDP("24376 HK Equity     ","WRT_PUT_OR_CALL")</f>
        <v>Call</v>
      </c>
      <c r="F13" t="str">
        <f>_xll.BDP("24376 HK Equity     ","TIME")</f>
        <v>27/5/2016</v>
      </c>
      <c r="G13">
        <f>_xll.BDP("24376 HK Equity     ","RT_PX_CHG_PCT_1D")</f>
        <v>33.333302000000003</v>
      </c>
      <c r="H13">
        <f>_xll.BDP("24376 HK Equity     ","RT_PX_CHG_NET_1D")</f>
        <v>4.0000000000000001E-3</v>
      </c>
      <c r="I13">
        <f>_xll.BDP("24376 HK Equity     ","VOLUME")</f>
        <v>3460000</v>
      </c>
      <c r="J13">
        <f>_xll.BDP("24376 HK Equity     ","BID")</f>
        <v>1.4E-2</v>
      </c>
      <c r="K13">
        <f>_xll.BDP("24376 HK Equity     ","ASK")</f>
        <v>1.7000000000000001E-2</v>
      </c>
      <c r="M13" t="s">
        <v>22</v>
      </c>
      <c r="N13">
        <v>21000</v>
      </c>
      <c r="O13">
        <v>1.6E-2</v>
      </c>
      <c r="P13" t="s">
        <v>245</v>
      </c>
      <c r="Q13" t="s">
        <v>250</v>
      </c>
      <c r="R13" t="s">
        <v>255</v>
      </c>
      <c r="S13">
        <v>33.333302000000003</v>
      </c>
      <c r="T13">
        <v>4.0000000000000001E-3</v>
      </c>
      <c r="U13">
        <v>3460000</v>
      </c>
      <c r="V13">
        <v>1.4E-2</v>
      </c>
      <c r="W13">
        <v>1.7000000000000001E-2</v>
      </c>
    </row>
    <row r="14" spans="1:23">
      <c r="A14" t="s">
        <v>23</v>
      </c>
      <c r="B14">
        <f>_xll.BDP("24425 HK Equity     ","WRT_EXER_PX")</f>
        <v>21000</v>
      </c>
      <c r="C14">
        <f>_xll.BDP("24425 HK Equity     ","LAST_PRICE")</f>
        <v>0.13300000000000001</v>
      </c>
      <c r="D14" t="str">
        <f>_xll.BDP("24425 HK Equity     ","WRT_EXER_DT")</f>
        <v>29/6/2016</v>
      </c>
      <c r="E14" t="str">
        <f>_xll.BDP("24425 HK Equity     ","WRT_PUT_OR_CALL")</f>
        <v>Put</v>
      </c>
      <c r="F14" t="str">
        <f>_xll.BDP("24425 HK Equity     ","TIME")</f>
        <v>27/5/2016</v>
      </c>
      <c r="G14">
        <f>_xll.BDP("24425 HK Equity     ","RT_PX_CHG_PCT_1D")</f>
        <v>-13.071899999999999</v>
      </c>
      <c r="H14">
        <f>_xll.BDP("24425 HK Equity     ","RT_PX_CHG_NET_1D")</f>
        <v>-0.02</v>
      </c>
      <c r="I14">
        <f>_xll.BDP("24425 HK Equity     ","VOLUME")</f>
        <v>100000</v>
      </c>
      <c r="J14">
        <f>_xll.BDP("24425 HK Equity     ","BID")</f>
        <v>0.128</v>
      </c>
      <c r="K14">
        <f>_xll.BDP("24425 HK Equity     ","ASK")</f>
        <v>0.13300000000000001</v>
      </c>
      <c r="M14" t="s">
        <v>23</v>
      </c>
      <c r="N14">
        <v>21000</v>
      </c>
      <c r="O14">
        <v>0.13300000000000001</v>
      </c>
      <c r="P14" t="s">
        <v>245</v>
      </c>
      <c r="Q14" t="s">
        <v>251</v>
      </c>
      <c r="R14" t="s">
        <v>255</v>
      </c>
      <c r="S14">
        <v>-13.071899999999999</v>
      </c>
      <c r="T14">
        <v>-0.02</v>
      </c>
      <c r="U14">
        <v>100000</v>
      </c>
      <c r="V14">
        <v>0.128</v>
      </c>
      <c r="W14">
        <v>0.13300000000000001</v>
      </c>
    </row>
    <row r="15" spans="1:23">
      <c r="A15" t="s">
        <v>24</v>
      </c>
      <c r="B15">
        <f>_xll.BDP("24684 HK Equity     ","WRT_EXER_PX")</f>
        <v>20000</v>
      </c>
      <c r="C15">
        <f>_xll.BDP("24684 HK Equity     ","LAST_PRICE")</f>
        <v>5.7000000000000002E-2</v>
      </c>
      <c r="D15" t="str">
        <f>_xll.BDP("24684 HK Equity     ","WRT_EXER_DT")</f>
        <v>29/6/2016</v>
      </c>
      <c r="E15" t="str">
        <f>_xll.BDP("24684 HK Equity     ","WRT_PUT_OR_CALL")</f>
        <v>Put</v>
      </c>
      <c r="F15" t="str">
        <f>_xll.BDP("24684 HK Equity     ","TIME")</f>
        <v>27/5/2016</v>
      </c>
      <c r="G15">
        <f>_xll.BDP("24684 HK Equity     ","RT_PX_CHG_PCT_1D")</f>
        <v>-19.718299999999999</v>
      </c>
      <c r="H15">
        <f>_xll.BDP("24684 HK Equity     ","RT_PX_CHG_NET_1D")</f>
        <v>-1.4E-2</v>
      </c>
      <c r="I15">
        <f>_xll.BDP("24684 HK Equity     ","VOLUME")</f>
        <v>12760000</v>
      </c>
      <c r="J15">
        <f>_xll.BDP("24684 HK Equity     ","BID")</f>
        <v>5.7000000000000002E-2</v>
      </c>
      <c r="K15">
        <f>_xll.BDP("24684 HK Equity     ","ASK")</f>
        <v>5.8999999999999997E-2</v>
      </c>
      <c r="M15" t="s">
        <v>24</v>
      </c>
      <c r="N15">
        <v>20000</v>
      </c>
      <c r="O15">
        <v>5.7000000000000002E-2</v>
      </c>
      <c r="P15" t="s">
        <v>245</v>
      </c>
      <c r="Q15" t="s">
        <v>251</v>
      </c>
      <c r="R15" t="s">
        <v>255</v>
      </c>
      <c r="S15">
        <v>-19.718299999999999</v>
      </c>
      <c r="T15">
        <v>-1.4E-2</v>
      </c>
      <c r="U15">
        <v>12760000</v>
      </c>
      <c r="V15">
        <v>5.7000000000000002E-2</v>
      </c>
      <c r="W15">
        <v>5.8999999999999997E-2</v>
      </c>
    </row>
    <row r="16" spans="1:23">
      <c r="A16" t="s">
        <v>25</v>
      </c>
      <c r="B16">
        <f>_xll.BDP("24830 HK Equity     ","WRT_EXER_PX")</f>
        <v>20400</v>
      </c>
      <c r="C16">
        <f>_xll.BDP("24830 HK Equity     ","LAST_PRICE")</f>
        <v>0.154</v>
      </c>
      <c r="D16" t="str">
        <f>_xll.BDP("24830 HK Equity     ","WRT_EXER_DT")</f>
        <v>29/9/2016</v>
      </c>
      <c r="E16" t="str">
        <f>_xll.BDP("24830 HK Equity     ","WRT_PUT_OR_CALL")</f>
        <v>Put</v>
      </c>
      <c r="F16" t="str">
        <f>_xll.BDP("24830 HK Equity     ","TIME")</f>
        <v>27/5/2016</v>
      </c>
      <c r="G16">
        <f>_xll.BDP("24830 HK Equity     ","RT_PX_CHG_PCT_1D")</f>
        <v>-7.2289199999999996</v>
      </c>
      <c r="H16">
        <f>_xll.BDP("24830 HK Equity     ","RT_PX_CHG_NET_1D")</f>
        <v>-1.2E-2</v>
      </c>
      <c r="I16">
        <f>_xll.BDP("24830 HK Equity     ","VOLUME")</f>
        <v>0</v>
      </c>
      <c r="J16">
        <f>_xll.BDP("24830 HK Equity     ","BID")</f>
        <v>0.152</v>
      </c>
      <c r="K16">
        <f>_xll.BDP("24830 HK Equity     ","ASK")</f>
        <v>0.154</v>
      </c>
      <c r="M16" t="s">
        <v>25</v>
      </c>
      <c r="N16">
        <v>20400</v>
      </c>
      <c r="O16">
        <v>0.154</v>
      </c>
      <c r="P16" t="s">
        <v>246</v>
      </c>
      <c r="Q16" t="s">
        <v>251</v>
      </c>
      <c r="R16" t="s">
        <v>255</v>
      </c>
      <c r="S16">
        <v>-7.2289199999999996</v>
      </c>
      <c r="T16">
        <v>-1.2E-2</v>
      </c>
      <c r="U16">
        <v>0</v>
      </c>
      <c r="V16">
        <v>0.152</v>
      </c>
      <c r="W16">
        <v>0.154</v>
      </c>
    </row>
    <row r="17" spans="1:23">
      <c r="A17" t="s">
        <v>26</v>
      </c>
      <c r="B17">
        <f>_xll.BDP("25447 HK Equity     ","WRT_EXER_PX")</f>
        <v>21600</v>
      </c>
      <c r="C17">
        <f>_xll.BDP("25447 HK Equity     ","LAST_PRICE")</f>
        <v>1.7999999999999999E-2</v>
      </c>
      <c r="D17" t="str">
        <f>_xll.BDP("25447 HK Equity     ","WRT_EXER_DT")</f>
        <v>28/7/2016</v>
      </c>
      <c r="E17" t="str">
        <f>_xll.BDP("25447 HK Equity     ","WRT_PUT_OR_CALL")</f>
        <v>Call</v>
      </c>
      <c r="F17" t="str">
        <f>_xll.BDP("25447 HK Equity     ","TIME")</f>
        <v>27/5/2016</v>
      </c>
      <c r="G17">
        <f>_xll.BDP("25447 HK Equity     ","RT_PX_CHG_PCT_1D")</f>
        <v>5.8823499999999997</v>
      </c>
      <c r="H17">
        <f>_xll.BDP("25447 HK Equity     ","RT_PX_CHG_NET_1D")</f>
        <v>1E-3</v>
      </c>
      <c r="I17">
        <f>_xll.BDP("25447 HK Equity     ","VOLUME")</f>
        <v>0</v>
      </c>
      <c r="J17">
        <f>_xll.BDP("25447 HK Equity     ","BID")</f>
        <v>1.7999999999999999E-2</v>
      </c>
      <c r="K17">
        <f>_xll.BDP("25447 HK Equity     ","ASK")</f>
        <v>2.3E-2</v>
      </c>
      <c r="M17" t="s">
        <v>26</v>
      </c>
      <c r="N17">
        <v>21600</v>
      </c>
      <c r="O17">
        <v>1.7999999999999999E-2</v>
      </c>
      <c r="P17" t="s">
        <v>244</v>
      </c>
      <c r="Q17" t="s">
        <v>250</v>
      </c>
      <c r="R17" t="s">
        <v>255</v>
      </c>
      <c r="S17">
        <v>5.8823499999999997</v>
      </c>
      <c r="T17">
        <v>1E-3</v>
      </c>
      <c r="U17">
        <v>0</v>
      </c>
      <c r="V17">
        <v>1.7999999999999999E-2</v>
      </c>
      <c r="W17">
        <v>2.3E-2</v>
      </c>
    </row>
    <row r="18" spans="1:23">
      <c r="A18" t="s">
        <v>27</v>
      </c>
      <c r="B18">
        <f>_xll.BDP("25548 HK Equity     ","WRT_EXER_PX")</f>
        <v>18400</v>
      </c>
      <c r="C18">
        <f>_xll.BDP("25548 HK Equity     ","LAST_PRICE")</f>
        <v>6.8000000000000005E-2</v>
      </c>
      <c r="D18" t="str">
        <f>_xll.BDP("25548 HK Equity     ","WRT_EXER_DT")</f>
        <v>29/9/2016</v>
      </c>
      <c r="E18" t="str">
        <f>_xll.BDP("25548 HK Equity     ","WRT_PUT_OR_CALL")</f>
        <v>Put</v>
      </c>
      <c r="F18" t="str">
        <f>_xll.BDP("25548 HK Equity     ","TIME")</f>
        <v>27/5/2016</v>
      </c>
      <c r="G18">
        <f>_xll.BDP("25548 HK Equity     ","RT_PX_CHG_PCT_1D")</f>
        <v>-8.1081099999999999</v>
      </c>
      <c r="H18">
        <f>_xll.BDP("25548 HK Equity     ","RT_PX_CHG_NET_1D")</f>
        <v>-6.0000000000000001E-3</v>
      </c>
      <c r="I18">
        <f>_xll.BDP("25548 HK Equity     ","VOLUME")</f>
        <v>21370000</v>
      </c>
      <c r="J18">
        <f>_xll.BDP("25548 HK Equity     ","BID")</f>
        <v>6.7000000000000004E-2</v>
      </c>
      <c r="K18">
        <f>_xll.BDP("25548 HK Equity     ","ASK")</f>
        <v>6.8000000000000005E-2</v>
      </c>
      <c r="M18" t="s">
        <v>27</v>
      </c>
      <c r="N18">
        <v>18400</v>
      </c>
      <c r="O18">
        <v>6.8000000000000005E-2</v>
      </c>
      <c r="P18" t="s">
        <v>246</v>
      </c>
      <c r="Q18" t="s">
        <v>251</v>
      </c>
      <c r="R18" t="s">
        <v>255</v>
      </c>
      <c r="S18">
        <v>-8.1081099999999999</v>
      </c>
      <c r="T18">
        <v>-6.0000000000000001E-3</v>
      </c>
      <c r="U18">
        <v>21370000</v>
      </c>
      <c r="V18">
        <v>6.7000000000000004E-2</v>
      </c>
      <c r="W18">
        <v>6.8000000000000005E-2</v>
      </c>
    </row>
    <row r="19" spans="1:23">
      <c r="A19" t="s">
        <v>28</v>
      </c>
      <c r="B19">
        <f>_xll.BDP("25599 HK Equity     ","WRT_EXER_PX")</f>
        <v>20000</v>
      </c>
      <c r="C19">
        <f>_xll.BDP("25599 HK Equity     ","LAST_PRICE")</f>
        <v>7.8E-2</v>
      </c>
      <c r="D19" t="str">
        <f>_xll.BDP("25599 HK Equity     ","WRT_EXER_DT")</f>
        <v>29/6/2016</v>
      </c>
      <c r="E19" t="str">
        <f>_xll.BDP("25599 HK Equity     ","WRT_PUT_OR_CALL")</f>
        <v>Call</v>
      </c>
      <c r="F19" t="str">
        <f>_xll.BDP("25599 HK Equity     ","TIME")</f>
        <v>27/5/2016</v>
      </c>
      <c r="G19">
        <f>_xll.BDP("25599 HK Equity     ","RT_PX_CHG_PCT_1D")</f>
        <v>21.875</v>
      </c>
      <c r="H19">
        <f>_xll.BDP("25599 HK Equity     ","RT_PX_CHG_NET_1D")</f>
        <v>1.4E-2</v>
      </c>
      <c r="I19">
        <f>_xll.BDP("25599 HK Equity     ","VOLUME")</f>
        <v>200000</v>
      </c>
      <c r="J19">
        <f>_xll.BDP("25599 HK Equity     ","BID")</f>
        <v>7.4999999999999997E-2</v>
      </c>
      <c r="K19">
        <f>_xll.BDP("25599 HK Equity     ","ASK")</f>
        <v>7.8E-2</v>
      </c>
      <c r="M19" t="s">
        <v>28</v>
      </c>
      <c r="N19">
        <v>20000</v>
      </c>
      <c r="O19">
        <v>7.8E-2</v>
      </c>
      <c r="P19" t="s">
        <v>245</v>
      </c>
      <c r="Q19" t="s">
        <v>250</v>
      </c>
      <c r="R19" t="s">
        <v>255</v>
      </c>
      <c r="S19">
        <v>21.875</v>
      </c>
      <c r="T19">
        <v>1.4E-2</v>
      </c>
      <c r="U19">
        <v>200000</v>
      </c>
      <c r="V19">
        <v>7.4999999999999997E-2</v>
      </c>
      <c r="W19">
        <v>7.8E-2</v>
      </c>
    </row>
    <row r="20" spans="1:23">
      <c r="A20" t="s">
        <v>29</v>
      </c>
      <c r="B20">
        <f>_xll.BDP("25625 HK Equity     ","WRT_EXER_PX")</f>
        <v>17600</v>
      </c>
      <c r="C20">
        <f>_xll.BDP("25625 HK Equity     ","LAST_PRICE")</f>
        <v>0.05</v>
      </c>
      <c r="D20" t="str">
        <f>_xll.BDP("25625 HK Equity     ","WRT_EXER_DT")</f>
        <v>29/9/2016</v>
      </c>
      <c r="E20" t="str">
        <f>_xll.BDP("25625 HK Equity     ","WRT_PUT_OR_CALL")</f>
        <v>Put</v>
      </c>
      <c r="F20" t="str">
        <f>_xll.BDP("25625 HK Equity     ","TIME")</f>
        <v>27/5/2016</v>
      </c>
      <c r="G20">
        <f>_xll.BDP("25625 HK Equity     ","RT_PX_CHG_PCT_1D")</f>
        <v>-13.793100000000001</v>
      </c>
      <c r="H20">
        <f>_xll.BDP("25625 HK Equity     ","RT_PX_CHG_NET_1D")</f>
        <v>-8.0000000000000002E-3</v>
      </c>
      <c r="I20">
        <f>_xll.BDP("25625 HK Equity     ","VOLUME")</f>
        <v>30470000</v>
      </c>
      <c r="J20" t="str">
        <f>_xll.BDP("25625 HK Equity     ","BID")</f>
        <v>#N/A N/A</v>
      </c>
      <c r="K20" t="str">
        <f>_xll.BDP("25625 HK Equity     ","ASK")</f>
        <v>#N/A N/A</v>
      </c>
      <c r="M20" t="s">
        <v>29</v>
      </c>
      <c r="N20">
        <v>17600</v>
      </c>
      <c r="O20">
        <v>0.05</v>
      </c>
      <c r="P20" t="s">
        <v>246</v>
      </c>
      <c r="Q20" t="s">
        <v>251</v>
      </c>
      <c r="R20" t="s">
        <v>255</v>
      </c>
      <c r="S20">
        <v>-13.793100000000001</v>
      </c>
      <c r="T20">
        <v>-8.0000000000000002E-3</v>
      </c>
      <c r="U20">
        <v>30470000</v>
      </c>
      <c r="V20" t="s">
        <v>254</v>
      </c>
      <c r="W20" t="s">
        <v>254</v>
      </c>
    </row>
    <row r="21" spans="1:23">
      <c r="A21" t="s">
        <v>30</v>
      </c>
      <c r="B21">
        <f>_xll.BDP("25660 HK Equity     ","WRT_EXER_PX")</f>
        <v>19000</v>
      </c>
      <c r="C21">
        <f>_xll.BDP("25660 HK Equity     ","LAST_PRICE")</f>
        <v>0.21</v>
      </c>
      <c r="D21" t="str">
        <f>_xll.BDP("25660 HK Equity     ","WRT_EXER_DT")</f>
        <v>28/7/2016</v>
      </c>
      <c r="E21" t="str">
        <f>_xll.BDP("25660 HK Equity     ","WRT_PUT_OR_CALL")</f>
        <v>Call</v>
      </c>
      <c r="F21" t="str">
        <f>_xll.BDP("25660 HK Equity     ","TIME")</f>
        <v>27/5/2016</v>
      </c>
      <c r="G21">
        <f>_xll.BDP("25660 HK Equity     ","RT_PX_CHG_PCT_1D")</f>
        <v>8.8082899999999995</v>
      </c>
      <c r="H21">
        <f>_xll.BDP("25660 HK Equity     ","RT_PX_CHG_NET_1D")</f>
        <v>1.7000000000000001E-2</v>
      </c>
      <c r="I21">
        <f>_xll.BDP("25660 HK Equity     ","VOLUME")</f>
        <v>0</v>
      </c>
      <c r="J21">
        <f>_xll.BDP("25660 HK Equity     ","BID")</f>
        <v>0.20899999999999999</v>
      </c>
      <c r="K21">
        <f>_xll.BDP("25660 HK Equity     ","ASK")</f>
        <v>0.21199999999999999</v>
      </c>
      <c r="M21" t="s">
        <v>30</v>
      </c>
      <c r="N21">
        <v>19000</v>
      </c>
      <c r="O21">
        <v>0.21</v>
      </c>
      <c r="P21" t="s">
        <v>244</v>
      </c>
      <c r="Q21" t="s">
        <v>250</v>
      </c>
      <c r="R21" t="s">
        <v>255</v>
      </c>
      <c r="S21">
        <v>8.8082899999999995</v>
      </c>
      <c r="T21">
        <v>1.7000000000000001E-2</v>
      </c>
      <c r="U21">
        <v>0</v>
      </c>
      <c r="V21">
        <v>0.20899999999999999</v>
      </c>
      <c r="W21">
        <v>0.21199999999999999</v>
      </c>
    </row>
    <row r="22" spans="1:23">
      <c r="A22" t="s">
        <v>31</v>
      </c>
      <c r="B22">
        <f>_xll.BDP("25698 HK Equity     ","WRT_EXER_PX")</f>
        <v>18400</v>
      </c>
      <c r="C22">
        <f>_xll.BDP("25698 HK Equity     ","LAST_PRICE")</f>
        <v>4.4999999999999998E-2</v>
      </c>
      <c r="D22" t="str">
        <f>_xll.BDP("25698 HK Equity     ","WRT_EXER_DT")</f>
        <v>30/8/2016</v>
      </c>
      <c r="E22" t="str">
        <f>_xll.BDP("25698 HK Equity     ","WRT_PUT_OR_CALL")</f>
        <v>Put</v>
      </c>
      <c r="F22" t="str">
        <f>_xll.BDP("25698 HK Equity     ","TIME")</f>
        <v>27/5/2016</v>
      </c>
      <c r="G22">
        <f>_xll.BDP("25698 HK Equity     ","RT_PX_CHG_PCT_1D")</f>
        <v>-11.764699999999999</v>
      </c>
      <c r="H22">
        <f>_xll.BDP("25698 HK Equity     ","RT_PX_CHG_NET_1D")</f>
        <v>-6.0000000000000001E-3</v>
      </c>
      <c r="I22">
        <f>_xll.BDP("25698 HK Equity     ","VOLUME")</f>
        <v>1107600000</v>
      </c>
      <c r="J22">
        <f>_xll.BDP("25698 HK Equity     ","BID")</f>
        <v>4.3999999999999997E-2</v>
      </c>
      <c r="K22">
        <f>_xll.BDP("25698 HK Equity     ","ASK")</f>
        <v>4.5999999999999999E-2</v>
      </c>
      <c r="M22" t="s">
        <v>31</v>
      </c>
      <c r="N22">
        <v>18400</v>
      </c>
      <c r="O22">
        <v>4.4999999999999998E-2</v>
      </c>
      <c r="P22" t="s">
        <v>248</v>
      </c>
      <c r="Q22" t="s">
        <v>251</v>
      </c>
      <c r="R22" t="s">
        <v>255</v>
      </c>
      <c r="S22">
        <v>-11.764699999999999</v>
      </c>
      <c r="T22">
        <v>-6.0000000000000001E-3</v>
      </c>
      <c r="U22">
        <v>1107600000</v>
      </c>
      <c r="V22">
        <v>4.3999999999999997E-2</v>
      </c>
      <c r="W22">
        <v>4.5999999999999999E-2</v>
      </c>
    </row>
    <row r="23" spans="1:23">
      <c r="A23" t="s">
        <v>32</v>
      </c>
      <c r="B23">
        <f>_xll.BDP("25722 HK Equity     ","WRT_EXER_PX")</f>
        <v>20088</v>
      </c>
      <c r="C23">
        <f>_xll.BDP("25722 HK Equity     ","LAST_PRICE")</f>
        <v>6.7000000000000004E-2</v>
      </c>
      <c r="D23" t="str">
        <f>_xll.BDP("25722 HK Equity     ","WRT_EXER_DT")</f>
        <v>29/6/2016</v>
      </c>
      <c r="E23" t="str">
        <f>_xll.BDP("25722 HK Equity     ","WRT_PUT_OR_CALL")</f>
        <v>Call</v>
      </c>
      <c r="F23" t="str">
        <f>_xll.BDP("25722 HK Equity     ","TIME")</f>
        <v>27/5/2016</v>
      </c>
      <c r="G23">
        <f>_xll.BDP("25722 HK Equity     ","RT_PX_CHG_PCT_1D")</f>
        <v>31.372499000000001</v>
      </c>
      <c r="H23">
        <f>_xll.BDP("25722 HK Equity     ","RT_PX_CHG_NET_1D")</f>
        <v>1.6E-2</v>
      </c>
      <c r="I23">
        <f>_xll.BDP("25722 HK Equity     ","VOLUME")</f>
        <v>5790000</v>
      </c>
      <c r="J23" t="str">
        <f>_xll.BDP("25722 HK Equity     ","BID")</f>
        <v>#N/A N/A</v>
      </c>
      <c r="K23" t="str">
        <f>_xll.BDP("25722 HK Equity     ","ASK")</f>
        <v>#N/A N/A</v>
      </c>
      <c r="M23" t="s">
        <v>32</v>
      </c>
      <c r="N23">
        <v>20088</v>
      </c>
      <c r="O23">
        <v>6.7000000000000004E-2</v>
      </c>
      <c r="P23" t="s">
        <v>245</v>
      </c>
      <c r="Q23" t="s">
        <v>250</v>
      </c>
      <c r="R23" t="s">
        <v>255</v>
      </c>
      <c r="S23">
        <v>31.372499000000001</v>
      </c>
      <c r="T23">
        <v>1.6E-2</v>
      </c>
      <c r="U23">
        <v>5790000</v>
      </c>
      <c r="V23" t="s">
        <v>254</v>
      </c>
      <c r="W23" t="s">
        <v>254</v>
      </c>
    </row>
    <row r="24" spans="1:23">
      <c r="A24" t="s">
        <v>33</v>
      </c>
      <c r="B24">
        <f>_xll.BDP("25919 HK Equity     ","WRT_EXER_PX")</f>
        <v>19000</v>
      </c>
      <c r="C24">
        <f>_xll.BDP("25919 HK Equity     ","LAST_PRICE")</f>
        <v>0.191</v>
      </c>
      <c r="D24" t="str">
        <f>_xll.BDP("25919 HK Equity     ","WRT_EXER_DT")</f>
        <v>28/7/2016</v>
      </c>
      <c r="E24" t="str">
        <f>_xll.BDP("25919 HK Equity     ","WRT_PUT_OR_CALL")</f>
        <v>Call</v>
      </c>
      <c r="F24" t="str">
        <f>_xll.BDP("25919 HK Equity     ","TIME")</f>
        <v>27/5/2016</v>
      </c>
      <c r="G24">
        <f>_xll.BDP("25919 HK Equity     ","RT_PX_CHG_PCT_1D")</f>
        <v>8.5227299999999993</v>
      </c>
      <c r="H24">
        <f>_xll.BDP("25919 HK Equity     ","RT_PX_CHG_NET_1D")</f>
        <v>1.4999999999999999E-2</v>
      </c>
      <c r="I24">
        <f>_xll.BDP("25919 HK Equity     ","VOLUME")</f>
        <v>0</v>
      </c>
      <c r="J24">
        <f>_xll.BDP("25919 HK Equity     ","BID")</f>
        <v>0.191</v>
      </c>
      <c r="K24">
        <f>_xll.BDP("25919 HK Equity     ","ASK")</f>
        <v>0.193</v>
      </c>
      <c r="M24" t="s">
        <v>33</v>
      </c>
      <c r="N24">
        <v>19000</v>
      </c>
      <c r="O24">
        <v>0.191</v>
      </c>
      <c r="P24" t="s">
        <v>244</v>
      </c>
      <c r="Q24" t="s">
        <v>250</v>
      </c>
      <c r="R24" t="s">
        <v>255</v>
      </c>
      <c r="S24">
        <v>8.5227299999999993</v>
      </c>
      <c r="T24">
        <v>1.4999999999999999E-2</v>
      </c>
      <c r="U24">
        <v>0</v>
      </c>
      <c r="V24">
        <v>0.191</v>
      </c>
      <c r="W24">
        <v>0.193</v>
      </c>
    </row>
    <row r="25" spans="1:23">
      <c r="A25" t="s">
        <v>34</v>
      </c>
      <c r="B25">
        <f>_xll.BDP("25946 HK Equity     ","WRT_EXER_PX")</f>
        <v>17800</v>
      </c>
      <c r="C25">
        <f>_xll.BDP("25946 HK Equity     ","LAST_PRICE")</f>
        <v>0.03</v>
      </c>
      <c r="D25" t="str">
        <f>_xll.BDP("25946 HK Equity     ","WRT_EXER_DT")</f>
        <v>30/8/2016</v>
      </c>
      <c r="E25" t="str">
        <f>_xll.BDP("25946 HK Equity     ","WRT_PUT_OR_CALL")</f>
        <v>Put</v>
      </c>
      <c r="F25" t="str">
        <f>_xll.BDP("25946 HK Equity     ","TIME")</f>
        <v>27/5/2016</v>
      </c>
      <c r="G25">
        <f>_xll.BDP("25946 HK Equity     ","RT_PX_CHG_PCT_1D")</f>
        <v>-9.0909099999999992</v>
      </c>
      <c r="H25">
        <f>_xll.BDP("25946 HK Equity     ","RT_PX_CHG_NET_1D")</f>
        <v>-3.0000000000000001E-3</v>
      </c>
      <c r="I25">
        <f>_xll.BDP("25946 HK Equity     ","VOLUME")</f>
        <v>6500000</v>
      </c>
      <c r="J25">
        <f>_xll.BDP("25946 HK Equity     ","BID")</f>
        <v>2.9000000000000001E-2</v>
      </c>
      <c r="K25">
        <f>_xll.BDP("25946 HK Equity     ","ASK")</f>
        <v>3.1E-2</v>
      </c>
      <c r="M25" t="s">
        <v>34</v>
      </c>
      <c r="N25">
        <v>17800</v>
      </c>
      <c r="O25">
        <v>0.03</v>
      </c>
      <c r="P25" t="s">
        <v>248</v>
      </c>
      <c r="Q25" t="s">
        <v>251</v>
      </c>
      <c r="R25" t="s">
        <v>255</v>
      </c>
      <c r="S25">
        <v>-9.0909099999999992</v>
      </c>
      <c r="T25">
        <v>-3.0000000000000001E-3</v>
      </c>
      <c r="U25">
        <v>6500000</v>
      </c>
      <c r="V25">
        <v>2.9000000000000001E-2</v>
      </c>
      <c r="W25">
        <v>3.1E-2</v>
      </c>
    </row>
    <row r="26" spans="1:23">
      <c r="A26" t="s">
        <v>35</v>
      </c>
      <c r="B26">
        <f>_xll.BDP("25984 HK Equity     ","WRT_EXER_PX")</f>
        <v>19000</v>
      </c>
      <c r="C26">
        <f>_xll.BDP("25984 HK Equity     ","LAST_PRICE")</f>
        <v>0.215</v>
      </c>
      <c r="D26" t="str">
        <f>_xll.BDP("25984 HK Equity     ","WRT_EXER_DT")</f>
        <v>29/9/2016</v>
      </c>
      <c r="E26" t="str">
        <f>_xll.BDP("25984 HK Equity     ","WRT_PUT_OR_CALL")</f>
        <v>Call</v>
      </c>
      <c r="F26" t="str">
        <f>_xll.BDP("25984 HK Equity     ","TIME")</f>
        <v>27/5/2016</v>
      </c>
      <c r="G26">
        <f>_xll.BDP("25984 HK Equity     ","RT_PX_CHG_PCT_1D")</f>
        <v>6.4356400000000002</v>
      </c>
      <c r="H26">
        <f>_xll.BDP("25984 HK Equity     ","RT_PX_CHG_NET_1D")</f>
        <v>1.2999999999999999E-2</v>
      </c>
      <c r="I26">
        <f>_xll.BDP("25984 HK Equity     ","VOLUME")</f>
        <v>0</v>
      </c>
      <c r="J26">
        <f>_xll.BDP("25984 HK Equity     ","BID")</f>
        <v>0.214</v>
      </c>
      <c r="K26">
        <f>_xll.BDP("25984 HK Equity     ","ASK")</f>
        <v>0.219</v>
      </c>
      <c r="M26" t="s">
        <v>35</v>
      </c>
      <c r="N26">
        <v>19000</v>
      </c>
      <c r="O26">
        <v>0.215</v>
      </c>
      <c r="P26" t="s">
        <v>246</v>
      </c>
      <c r="Q26" t="s">
        <v>250</v>
      </c>
      <c r="R26" t="s">
        <v>255</v>
      </c>
      <c r="S26">
        <v>6.4356400000000002</v>
      </c>
      <c r="T26">
        <v>1.2999999999999999E-2</v>
      </c>
      <c r="U26">
        <v>0</v>
      </c>
      <c r="V26">
        <v>0.214</v>
      </c>
      <c r="W26">
        <v>0.219</v>
      </c>
    </row>
    <row r="27" spans="1:23">
      <c r="A27" t="s">
        <v>36</v>
      </c>
      <c r="B27">
        <f>_xll.BDP("25994 HK Equity     ","WRT_EXER_PX")</f>
        <v>18000</v>
      </c>
      <c r="C27">
        <f>_xll.BDP("25994 HK Equity     ","LAST_PRICE")</f>
        <v>2.9000000000000001E-2</v>
      </c>
      <c r="D27" t="str">
        <f>_xll.BDP("25994 HK Equity     ","WRT_EXER_DT")</f>
        <v>30/8/2016</v>
      </c>
      <c r="E27" t="str">
        <f>_xll.BDP("25994 HK Equity     ","WRT_PUT_OR_CALL")</f>
        <v>Put</v>
      </c>
      <c r="F27" t="str">
        <f>_xll.BDP("25994 HK Equity     ","TIME")</f>
        <v>27/5/2016</v>
      </c>
      <c r="G27">
        <f>_xll.BDP("25994 HK Equity     ","RT_PX_CHG_PCT_1D")</f>
        <v>-9.375</v>
      </c>
      <c r="H27">
        <f>_xll.BDP("25994 HK Equity     ","RT_PX_CHG_NET_1D")</f>
        <v>-3.0000000000000001E-3</v>
      </c>
      <c r="I27">
        <f>_xll.BDP("25994 HK Equity     ","VOLUME")</f>
        <v>3790000</v>
      </c>
      <c r="J27">
        <f>_xll.BDP("25994 HK Equity     ","BID")</f>
        <v>2.9000000000000001E-2</v>
      </c>
      <c r="K27">
        <f>_xll.BDP("25994 HK Equity     ","ASK")</f>
        <v>3.1E-2</v>
      </c>
      <c r="M27" t="s">
        <v>36</v>
      </c>
      <c r="N27">
        <v>18000</v>
      </c>
      <c r="O27">
        <v>2.9000000000000001E-2</v>
      </c>
      <c r="P27" t="s">
        <v>248</v>
      </c>
      <c r="Q27" t="s">
        <v>251</v>
      </c>
      <c r="R27" t="s">
        <v>255</v>
      </c>
      <c r="S27">
        <v>-9.375</v>
      </c>
      <c r="T27">
        <v>-3.0000000000000001E-3</v>
      </c>
      <c r="U27">
        <v>3790000</v>
      </c>
      <c r="V27">
        <v>2.9000000000000001E-2</v>
      </c>
      <c r="W27">
        <v>3.1E-2</v>
      </c>
    </row>
    <row r="28" spans="1:23">
      <c r="A28" t="s">
        <v>37</v>
      </c>
      <c r="B28">
        <f>_xll.BDP("26052 HK Equity     ","WRT_EXER_PX")</f>
        <v>18000</v>
      </c>
      <c r="C28">
        <f>_xll.BDP("26052 HK Equity     ","LAST_PRICE")</f>
        <v>3.7999999999999999E-2</v>
      </c>
      <c r="D28" t="str">
        <f>_xll.BDP("26052 HK Equity     ","WRT_EXER_DT")</f>
        <v>30/8/2016</v>
      </c>
      <c r="E28" t="str">
        <f>_xll.BDP("26052 HK Equity     ","WRT_PUT_OR_CALL")</f>
        <v>Put</v>
      </c>
      <c r="F28" t="str">
        <f>_xll.BDP("26052 HK Equity     ","TIME")</f>
        <v>27/5/2016</v>
      </c>
      <c r="G28">
        <f>_xll.BDP("26052 HK Equity     ","RT_PX_CHG_PCT_1D")</f>
        <v>-11.6279</v>
      </c>
      <c r="H28">
        <f>_xll.BDP("26052 HK Equity     ","RT_PX_CHG_NET_1D")</f>
        <v>-5.0000000000000001E-3</v>
      </c>
      <c r="I28">
        <f>_xll.BDP("26052 HK Equity     ","VOLUME")</f>
        <v>210000</v>
      </c>
      <c r="J28">
        <f>_xll.BDP("26052 HK Equity     ","BID")</f>
        <v>3.5999999999999997E-2</v>
      </c>
      <c r="K28" t="str">
        <f>_xll.BDP("26052 HK Equity     ","ASK")</f>
        <v>#N/A N/A</v>
      </c>
      <c r="M28" t="s">
        <v>37</v>
      </c>
      <c r="N28">
        <v>18000</v>
      </c>
      <c r="O28">
        <v>3.7999999999999999E-2</v>
      </c>
      <c r="P28" t="s">
        <v>248</v>
      </c>
      <c r="Q28" t="s">
        <v>251</v>
      </c>
      <c r="R28" t="s">
        <v>255</v>
      </c>
      <c r="S28">
        <v>-11.6279</v>
      </c>
      <c r="T28">
        <v>-5.0000000000000001E-3</v>
      </c>
      <c r="U28">
        <v>210000</v>
      </c>
      <c r="V28">
        <v>3.5999999999999997E-2</v>
      </c>
      <c r="W28" t="s">
        <v>254</v>
      </c>
    </row>
    <row r="29" spans="1:23">
      <c r="A29" t="s">
        <v>38</v>
      </c>
      <c r="B29">
        <f>_xll.BDP("26092 HK Equity     ","WRT_EXER_PX")</f>
        <v>19800</v>
      </c>
      <c r="C29">
        <f>_xll.BDP("26092 HK Equity     ","LAST_PRICE")</f>
        <v>0.158</v>
      </c>
      <c r="D29" t="str">
        <f>_xll.BDP("26092 HK Equity     ","WRT_EXER_DT")</f>
        <v>30/8/2016</v>
      </c>
      <c r="E29" t="str">
        <f>_xll.BDP("26092 HK Equity     ","WRT_PUT_OR_CALL")</f>
        <v>Call</v>
      </c>
      <c r="F29" t="str">
        <f>_xll.BDP("26092 HK Equity     ","TIME")</f>
        <v>27/5/2016</v>
      </c>
      <c r="G29">
        <f>_xll.BDP("26092 HK Equity     ","RT_PX_CHG_PCT_1D")</f>
        <v>10.4895</v>
      </c>
      <c r="H29">
        <f>_xll.BDP("26092 HK Equity     ","RT_PX_CHG_NET_1D")</f>
        <v>1.4999999999999999E-2</v>
      </c>
      <c r="I29">
        <f>_xll.BDP("26092 HK Equity     ","VOLUME")</f>
        <v>39650000</v>
      </c>
      <c r="J29">
        <f>_xll.BDP("26092 HK Equity     ","BID")</f>
        <v>0.157</v>
      </c>
      <c r="K29">
        <f>_xll.BDP("26092 HK Equity     ","ASK")</f>
        <v>0.16</v>
      </c>
      <c r="M29" t="s">
        <v>38</v>
      </c>
      <c r="N29">
        <v>19800</v>
      </c>
      <c r="O29">
        <v>0.158</v>
      </c>
      <c r="P29" t="s">
        <v>248</v>
      </c>
      <c r="Q29" t="s">
        <v>250</v>
      </c>
      <c r="R29" t="s">
        <v>255</v>
      </c>
      <c r="S29">
        <v>10.4895</v>
      </c>
      <c r="T29">
        <v>1.4999999999999999E-2</v>
      </c>
      <c r="U29">
        <v>39650000</v>
      </c>
      <c r="V29">
        <v>0.157</v>
      </c>
      <c r="W29">
        <v>0.16</v>
      </c>
    </row>
    <row r="30" spans="1:23">
      <c r="A30" t="s">
        <v>39</v>
      </c>
      <c r="B30">
        <f>_xll.BDP("26143 HK Equity     ","WRT_EXER_PX")</f>
        <v>18968</v>
      </c>
      <c r="C30">
        <f>_xll.BDP("26143 HK Equity     ","LAST_PRICE")</f>
        <v>0.01</v>
      </c>
      <c r="D30" t="str">
        <f>_xll.BDP("26143 HK Equity     ","WRT_EXER_DT")</f>
        <v>30/5/2016</v>
      </c>
      <c r="E30" t="str">
        <f>_xll.BDP("26143 HK Equity     ","WRT_PUT_OR_CALL")</f>
        <v>Put</v>
      </c>
      <c r="F30" t="str">
        <f>_xll.BDP("26143 HK Equity     ","TIME")</f>
        <v>27/5/2016</v>
      </c>
      <c r="G30">
        <f>_xll.BDP("26143 HK Equity     ","RT_PX_CHG_PCT_1D")</f>
        <v>0</v>
      </c>
      <c r="H30">
        <f>_xll.BDP("26143 HK Equity     ","RT_PX_CHG_NET_1D")</f>
        <v>0</v>
      </c>
      <c r="I30">
        <f>_xll.BDP("26143 HK Equity     ","VOLUME")</f>
        <v>0</v>
      </c>
      <c r="J30" t="str">
        <f>_xll.BDP("26143 HK Equity     ","BID")</f>
        <v>#N/A N/A</v>
      </c>
      <c r="K30" t="str">
        <f>_xll.BDP("26143 HK Equity     ","ASK")</f>
        <v>#N/A N/A</v>
      </c>
      <c r="M30" t="s">
        <v>39</v>
      </c>
      <c r="N30">
        <v>18968</v>
      </c>
      <c r="O30">
        <v>0.01</v>
      </c>
      <c r="P30" t="s">
        <v>247</v>
      </c>
      <c r="Q30" t="s">
        <v>251</v>
      </c>
      <c r="R30" t="s">
        <v>255</v>
      </c>
      <c r="S30">
        <v>0</v>
      </c>
      <c r="T30">
        <v>0</v>
      </c>
      <c r="U30">
        <v>0</v>
      </c>
      <c r="V30" t="s">
        <v>254</v>
      </c>
      <c r="W30" t="s">
        <v>254</v>
      </c>
    </row>
    <row r="31" spans="1:23">
      <c r="A31" t="s">
        <v>40</v>
      </c>
      <c r="B31">
        <f>_xll.BDP("26190 HK Equity     ","WRT_EXER_PX")</f>
        <v>19000</v>
      </c>
      <c r="C31">
        <f>_xll.BDP("26190 HK Equity     ","LAST_PRICE")</f>
        <v>0.01</v>
      </c>
      <c r="D31" t="str">
        <f>_xll.BDP("26190 HK Equity     ","WRT_EXER_DT")</f>
        <v>30/5/2016</v>
      </c>
      <c r="E31" t="str">
        <f>_xll.BDP("26190 HK Equity     ","WRT_PUT_OR_CALL")</f>
        <v>Put</v>
      </c>
      <c r="F31" t="str">
        <f>_xll.BDP("26190 HK Equity     ","TIME")</f>
        <v>27/5/2016</v>
      </c>
      <c r="G31">
        <f>_xll.BDP("26190 HK Equity     ","RT_PX_CHG_PCT_1D")</f>
        <v>0</v>
      </c>
      <c r="H31">
        <f>_xll.BDP("26190 HK Equity     ","RT_PX_CHG_NET_1D")</f>
        <v>0</v>
      </c>
      <c r="I31">
        <f>_xll.BDP("26190 HK Equity     ","VOLUME")</f>
        <v>0</v>
      </c>
      <c r="J31" t="str">
        <f>_xll.BDP("26190 HK Equity     ","BID")</f>
        <v>#N/A N/A</v>
      </c>
      <c r="K31" t="str">
        <f>_xll.BDP("26190 HK Equity     ","ASK")</f>
        <v>#N/A N/A</v>
      </c>
      <c r="M31" t="s">
        <v>40</v>
      </c>
      <c r="N31">
        <v>19000</v>
      </c>
      <c r="O31">
        <v>0.01</v>
      </c>
      <c r="P31" t="s">
        <v>247</v>
      </c>
      <c r="Q31" t="s">
        <v>251</v>
      </c>
      <c r="R31" t="s">
        <v>255</v>
      </c>
      <c r="S31">
        <v>0</v>
      </c>
      <c r="T31">
        <v>0</v>
      </c>
      <c r="U31">
        <v>0</v>
      </c>
      <c r="V31" t="s">
        <v>254</v>
      </c>
      <c r="W31" t="s">
        <v>254</v>
      </c>
    </row>
    <row r="32" spans="1:23">
      <c r="A32" t="s">
        <v>41</v>
      </c>
      <c r="B32">
        <f>_xll.BDP("26225 HK Equity     ","WRT_EXER_PX")</f>
        <v>20800</v>
      </c>
      <c r="C32">
        <f>_xll.BDP("26225 HK Equity     ","LAST_PRICE")</f>
        <v>6.6000000000000003E-2</v>
      </c>
      <c r="D32" t="str">
        <f>_xll.BDP("26225 HK Equity     ","WRT_EXER_DT")</f>
        <v>28/7/2016</v>
      </c>
      <c r="E32" t="str">
        <f>_xll.BDP("26225 HK Equity     ","WRT_PUT_OR_CALL")</f>
        <v>Call</v>
      </c>
      <c r="F32" t="str">
        <f>_xll.BDP("26225 HK Equity     ","TIME")</f>
        <v>27/5/2016</v>
      </c>
      <c r="G32">
        <f>_xll.BDP("26225 HK Equity     ","RT_PX_CHG_PCT_1D")</f>
        <v>29.411799999999999</v>
      </c>
      <c r="H32">
        <f>_xll.BDP("26225 HK Equity     ","RT_PX_CHG_NET_1D")</f>
        <v>1.4999999999999999E-2</v>
      </c>
      <c r="I32">
        <f>_xll.BDP("26225 HK Equity     ","VOLUME")</f>
        <v>29810000</v>
      </c>
      <c r="J32">
        <f>_xll.BDP("26225 HK Equity     ","BID")</f>
        <v>6.4000000000000001E-2</v>
      </c>
      <c r="K32">
        <f>_xll.BDP("26225 HK Equity     ","ASK")</f>
        <v>6.6000000000000003E-2</v>
      </c>
      <c r="M32" t="s">
        <v>41</v>
      </c>
      <c r="N32">
        <v>20800</v>
      </c>
      <c r="O32">
        <v>6.6000000000000003E-2</v>
      </c>
      <c r="P32" t="s">
        <v>244</v>
      </c>
      <c r="Q32" t="s">
        <v>250</v>
      </c>
      <c r="R32" t="s">
        <v>255</v>
      </c>
      <c r="S32">
        <v>29.411799999999999</v>
      </c>
      <c r="T32">
        <v>1.4999999999999999E-2</v>
      </c>
      <c r="U32">
        <v>29810000</v>
      </c>
      <c r="V32">
        <v>6.4000000000000001E-2</v>
      </c>
      <c r="W32">
        <v>6.6000000000000003E-2</v>
      </c>
    </row>
    <row r="33" spans="1:23">
      <c r="A33" t="s">
        <v>42</v>
      </c>
      <c r="B33">
        <f>_xll.BDP("26488 HK Equity     ","WRT_EXER_PX")</f>
        <v>21498</v>
      </c>
      <c r="C33">
        <f>_xll.BDP("26488 HK Equity     ","LAST_PRICE")</f>
        <v>5.7000000000000002E-2</v>
      </c>
      <c r="D33" t="str">
        <f>_xll.BDP("26488 HK Equity     ","WRT_EXER_DT")</f>
        <v>29/9/2016</v>
      </c>
      <c r="E33" t="str">
        <f>_xll.BDP("26488 HK Equity     ","WRT_PUT_OR_CALL")</f>
        <v>Call</v>
      </c>
      <c r="F33" t="str">
        <f>_xll.BDP("26488 HK Equity     ","TIME")</f>
        <v>27/5/2016</v>
      </c>
      <c r="G33">
        <f>_xll.BDP("26488 HK Equity     ","RT_PX_CHG_PCT_1D")</f>
        <v>18.75</v>
      </c>
      <c r="H33">
        <f>_xll.BDP("26488 HK Equity     ","RT_PX_CHG_NET_1D")</f>
        <v>8.9999999999999993E-3</v>
      </c>
      <c r="I33">
        <f>_xll.BDP("26488 HK Equity     ","VOLUME")</f>
        <v>54300000</v>
      </c>
      <c r="J33" t="str">
        <f>_xll.BDP("26488 HK Equity     ","BID")</f>
        <v>#N/A N/A</v>
      </c>
      <c r="K33">
        <f>_xll.BDP("26488 HK Equity     ","ASK")</f>
        <v>5.7000000000000002E-2</v>
      </c>
      <c r="M33" t="s">
        <v>42</v>
      </c>
      <c r="N33">
        <v>21498</v>
      </c>
      <c r="O33">
        <v>5.7000000000000002E-2</v>
      </c>
      <c r="P33" t="s">
        <v>246</v>
      </c>
      <c r="Q33" t="s">
        <v>250</v>
      </c>
      <c r="R33" t="s">
        <v>255</v>
      </c>
      <c r="S33">
        <v>18.75</v>
      </c>
      <c r="T33">
        <v>8.9999999999999993E-3</v>
      </c>
      <c r="U33">
        <v>54300000</v>
      </c>
      <c r="V33" t="s">
        <v>254</v>
      </c>
      <c r="W33">
        <v>5.7000000000000002E-2</v>
      </c>
    </row>
    <row r="34" spans="1:23">
      <c r="A34" t="s">
        <v>43</v>
      </c>
      <c r="B34">
        <f>_xll.BDP("26668 HK Equity     ","WRT_EXER_PX")</f>
        <v>18400</v>
      </c>
      <c r="C34">
        <f>_xll.BDP("26668 HK Equity     ","LAST_PRICE")</f>
        <v>6.2E-2</v>
      </c>
      <c r="D34" t="str">
        <f>_xll.BDP("26668 HK Equity     ","WRT_EXER_DT")</f>
        <v>29/9/2016</v>
      </c>
      <c r="E34" t="str">
        <f>_xll.BDP("26668 HK Equity     ","WRT_PUT_OR_CALL")</f>
        <v>Put</v>
      </c>
      <c r="F34" t="str">
        <f>_xll.BDP("26668 HK Equity     ","TIME")</f>
        <v>27/5/2016</v>
      </c>
      <c r="G34">
        <f>_xll.BDP("26668 HK Equity     ","RT_PX_CHG_PCT_1D")</f>
        <v>-8.8235299999999999</v>
      </c>
      <c r="H34">
        <f>_xll.BDP("26668 HK Equity     ","RT_PX_CHG_NET_1D")</f>
        <v>-6.0000000000000001E-3</v>
      </c>
      <c r="I34">
        <f>_xll.BDP("26668 HK Equity     ","VOLUME")</f>
        <v>0</v>
      </c>
      <c r="J34" t="str">
        <f>_xll.BDP("26668 HK Equity     ","BID")</f>
        <v>#N/A N/A</v>
      </c>
      <c r="K34" t="str">
        <f>_xll.BDP("26668 HK Equity     ","ASK")</f>
        <v>#N/A N/A</v>
      </c>
      <c r="M34" t="s">
        <v>43</v>
      </c>
      <c r="N34">
        <v>18400</v>
      </c>
      <c r="O34">
        <v>6.2E-2</v>
      </c>
      <c r="P34" t="s">
        <v>246</v>
      </c>
      <c r="Q34" t="s">
        <v>251</v>
      </c>
      <c r="R34" t="s">
        <v>255</v>
      </c>
      <c r="S34">
        <v>-8.8235299999999999</v>
      </c>
      <c r="T34">
        <v>-6.0000000000000001E-3</v>
      </c>
      <c r="U34">
        <v>0</v>
      </c>
      <c r="V34" t="s">
        <v>254</v>
      </c>
      <c r="W34" t="s">
        <v>254</v>
      </c>
    </row>
    <row r="35" spans="1:23">
      <c r="A35" t="s">
        <v>44</v>
      </c>
      <c r="B35">
        <f>_xll.BDP("26704 HK Equity     ","WRT_EXER_PX")</f>
        <v>19500</v>
      </c>
      <c r="C35">
        <f>_xll.BDP("26704 HK Equity     ","LAST_PRICE")</f>
        <v>5.1999999999999998E-2</v>
      </c>
      <c r="D35" t="str">
        <f>_xll.BDP("26704 HK Equity     ","WRT_EXER_DT")</f>
        <v>28/7/2016</v>
      </c>
      <c r="E35" t="str">
        <f>_xll.BDP("26704 HK Equity     ","WRT_PUT_OR_CALL")</f>
        <v>Put</v>
      </c>
      <c r="F35" t="str">
        <f>_xll.BDP("26704 HK Equity     ","TIME")</f>
        <v>27/5/2016</v>
      </c>
      <c r="G35">
        <f>_xll.BDP("26704 HK Equity     ","RT_PX_CHG_PCT_1D")</f>
        <v>-13.333299999999999</v>
      </c>
      <c r="H35">
        <f>_xll.BDP("26704 HK Equity     ","RT_PX_CHG_NET_1D")</f>
        <v>-8.0000000000000002E-3</v>
      </c>
      <c r="I35">
        <f>_xll.BDP("26704 HK Equity     ","VOLUME")</f>
        <v>5940000</v>
      </c>
      <c r="J35">
        <f>_xll.BDP("26704 HK Equity     ","BID")</f>
        <v>5.1999999999999998E-2</v>
      </c>
      <c r="K35">
        <f>_xll.BDP("26704 HK Equity     ","ASK")</f>
        <v>5.2999999999999999E-2</v>
      </c>
      <c r="M35" t="s">
        <v>44</v>
      </c>
      <c r="N35">
        <v>19500</v>
      </c>
      <c r="O35">
        <v>5.1999999999999998E-2</v>
      </c>
      <c r="P35" t="s">
        <v>244</v>
      </c>
      <c r="Q35" t="s">
        <v>251</v>
      </c>
      <c r="R35" t="s">
        <v>255</v>
      </c>
      <c r="S35">
        <v>-13.333299999999999</v>
      </c>
      <c r="T35">
        <v>-8.0000000000000002E-3</v>
      </c>
      <c r="U35">
        <v>5940000</v>
      </c>
      <c r="V35">
        <v>5.1999999999999998E-2</v>
      </c>
      <c r="W35">
        <v>5.2999999999999999E-2</v>
      </c>
    </row>
    <row r="36" spans="1:23">
      <c r="A36" t="s">
        <v>45</v>
      </c>
      <c r="B36">
        <f>_xll.BDP("26712 HK Equity     ","WRT_EXER_PX")</f>
        <v>19400</v>
      </c>
      <c r="C36">
        <f>_xll.BDP("26712 HK Equity     ","LAST_PRICE")</f>
        <v>0.06</v>
      </c>
      <c r="D36" t="str">
        <f>_xll.BDP("26712 HK Equity     ","WRT_EXER_DT")</f>
        <v>28/7/2016</v>
      </c>
      <c r="E36" t="str">
        <f>_xll.BDP("26712 HK Equity     ","WRT_PUT_OR_CALL")</f>
        <v>Put</v>
      </c>
      <c r="F36" t="str">
        <f>_xll.BDP("26712 HK Equity     ","TIME")</f>
        <v>27/5/2016</v>
      </c>
      <c r="G36">
        <f>_xll.BDP("26712 HK Equity     ","RT_PX_CHG_PCT_1D")</f>
        <v>-10.447800000000001</v>
      </c>
      <c r="H36">
        <f>_xll.BDP("26712 HK Equity     ","RT_PX_CHG_NET_1D")</f>
        <v>-7.0000000000000001E-3</v>
      </c>
      <c r="I36">
        <f>_xll.BDP("26712 HK Equity     ","VOLUME")</f>
        <v>76030000</v>
      </c>
      <c r="J36">
        <f>_xll.BDP("26712 HK Equity     ","BID")</f>
        <v>0.06</v>
      </c>
      <c r="K36">
        <f>_xll.BDP("26712 HK Equity     ","ASK")</f>
        <v>6.0999999999999999E-2</v>
      </c>
      <c r="M36" t="s">
        <v>45</v>
      </c>
      <c r="N36">
        <v>19400</v>
      </c>
      <c r="O36">
        <v>0.06</v>
      </c>
      <c r="P36" t="s">
        <v>244</v>
      </c>
      <c r="Q36" t="s">
        <v>251</v>
      </c>
      <c r="R36" t="s">
        <v>255</v>
      </c>
      <c r="S36">
        <v>-10.447800000000001</v>
      </c>
      <c r="T36">
        <v>-7.0000000000000001E-3</v>
      </c>
      <c r="U36">
        <v>76030000</v>
      </c>
      <c r="V36">
        <v>0.06</v>
      </c>
      <c r="W36">
        <v>6.0999999999999999E-2</v>
      </c>
    </row>
    <row r="37" spans="1:23">
      <c r="A37" t="s">
        <v>46</v>
      </c>
      <c r="B37">
        <f>_xll.BDP("26747 HK Equity     ","WRT_EXER_PX")</f>
        <v>20600</v>
      </c>
      <c r="C37">
        <f>_xll.BDP("26747 HK Equity     ","LAST_PRICE")</f>
        <v>8.6999999999999994E-2</v>
      </c>
      <c r="D37" t="str">
        <f>_xll.BDP("26747 HK Equity     ","WRT_EXER_DT")</f>
        <v>30/8/2016</v>
      </c>
      <c r="E37" t="str">
        <f>_xll.BDP("26747 HK Equity     ","WRT_PUT_OR_CALL")</f>
        <v>Call</v>
      </c>
      <c r="F37" t="str">
        <f>_xll.BDP("26747 HK Equity     ","TIME")</f>
        <v>27/5/2016</v>
      </c>
      <c r="G37">
        <f>_xll.BDP("26747 HK Equity     ","RT_PX_CHG_PCT_1D")</f>
        <v>14.473699999999999</v>
      </c>
      <c r="H37">
        <f>_xll.BDP("26747 HK Equity     ","RT_PX_CHG_NET_1D")</f>
        <v>1.0999999999999999E-2</v>
      </c>
      <c r="I37">
        <f>_xll.BDP("26747 HK Equity     ","VOLUME")</f>
        <v>2460000</v>
      </c>
      <c r="J37">
        <f>_xll.BDP("26747 HK Equity     ","BID")</f>
        <v>8.5999999999999993E-2</v>
      </c>
      <c r="K37">
        <f>_xll.BDP("26747 HK Equity     ","ASK")</f>
        <v>9.0999999999999998E-2</v>
      </c>
      <c r="M37" t="s">
        <v>46</v>
      </c>
      <c r="N37">
        <v>20600</v>
      </c>
      <c r="O37">
        <v>8.6999999999999994E-2</v>
      </c>
      <c r="P37" t="s">
        <v>248</v>
      </c>
      <c r="Q37" t="s">
        <v>250</v>
      </c>
      <c r="R37" t="s">
        <v>255</v>
      </c>
      <c r="S37">
        <v>14.473699999999999</v>
      </c>
      <c r="T37">
        <v>1.0999999999999999E-2</v>
      </c>
      <c r="U37">
        <v>2460000</v>
      </c>
      <c r="V37">
        <v>8.5999999999999993E-2</v>
      </c>
      <c r="W37">
        <v>9.0999999999999998E-2</v>
      </c>
    </row>
    <row r="38" spans="1:23">
      <c r="A38" t="s">
        <v>47</v>
      </c>
      <c r="B38">
        <f>_xll.BDP("26764 HK Equity     ","WRT_EXER_PX")</f>
        <v>19000</v>
      </c>
      <c r="C38">
        <f>_xll.BDP("26764 HK Equity     ","LAST_PRICE")</f>
        <v>1.9E-2</v>
      </c>
      <c r="D38" t="str">
        <f>_xll.BDP("26764 HK Equity     ","WRT_EXER_DT")</f>
        <v>29/6/2016</v>
      </c>
      <c r="E38" t="str">
        <f>_xll.BDP("26764 HK Equity     ","WRT_PUT_OR_CALL")</f>
        <v>Put</v>
      </c>
      <c r="F38" t="str">
        <f>_xll.BDP("26764 HK Equity     ","TIME")</f>
        <v>27/5/2016</v>
      </c>
      <c r="G38">
        <f>_xll.BDP("26764 HK Equity     ","RT_PX_CHG_PCT_1D")</f>
        <v>-17.391300000000001</v>
      </c>
      <c r="H38">
        <f>_xll.BDP("26764 HK Equity     ","RT_PX_CHG_NET_1D")</f>
        <v>-4.0000000000000001E-3</v>
      </c>
      <c r="I38">
        <f>_xll.BDP("26764 HK Equity     ","VOLUME")</f>
        <v>13540000</v>
      </c>
      <c r="J38">
        <f>_xll.BDP("26764 HK Equity     ","BID")</f>
        <v>1.7999999999999999E-2</v>
      </c>
      <c r="K38">
        <f>_xll.BDP("26764 HK Equity     ","ASK")</f>
        <v>0.02</v>
      </c>
      <c r="M38" t="s">
        <v>47</v>
      </c>
      <c r="N38">
        <v>19000</v>
      </c>
      <c r="O38">
        <v>1.9E-2</v>
      </c>
      <c r="P38" t="s">
        <v>245</v>
      </c>
      <c r="Q38" t="s">
        <v>251</v>
      </c>
      <c r="R38" t="s">
        <v>255</v>
      </c>
      <c r="S38">
        <v>-17.391300000000001</v>
      </c>
      <c r="T38">
        <v>-4.0000000000000001E-3</v>
      </c>
      <c r="U38">
        <v>13540000</v>
      </c>
      <c r="V38">
        <v>1.7999999999999999E-2</v>
      </c>
      <c r="W38">
        <v>0.02</v>
      </c>
    </row>
    <row r="39" spans="1:23">
      <c r="A39" t="s">
        <v>48</v>
      </c>
      <c r="B39">
        <f>_xll.BDP("26788 HK Equity     ","WRT_EXER_PX")</f>
        <v>21000</v>
      </c>
      <c r="C39">
        <f>_xll.BDP("26788 HK Equity     ","LAST_PRICE")</f>
        <v>8.7999999999999995E-2</v>
      </c>
      <c r="D39" t="str">
        <f>_xll.BDP("26788 HK Equity     ","WRT_EXER_DT")</f>
        <v>29/9/2016</v>
      </c>
      <c r="E39" t="str">
        <f>_xll.BDP("26788 HK Equity     ","WRT_PUT_OR_CALL")</f>
        <v>Call</v>
      </c>
      <c r="F39" t="str">
        <f>_xll.BDP("26788 HK Equity     ","TIME")</f>
        <v>27/5/2016</v>
      </c>
      <c r="G39">
        <f>_xll.BDP("26788 HK Equity     ","RT_PX_CHG_PCT_1D")</f>
        <v>14.2857</v>
      </c>
      <c r="H39">
        <f>_xll.BDP("26788 HK Equity     ","RT_PX_CHG_NET_1D")</f>
        <v>1.0999999999999999E-2</v>
      </c>
      <c r="I39">
        <f>_xll.BDP("26788 HK Equity     ","VOLUME")</f>
        <v>3244970000</v>
      </c>
      <c r="J39">
        <f>_xll.BDP("26788 HK Equity     ","BID")</f>
        <v>8.6999999999999994E-2</v>
      </c>
      <c r="K39">
        <f>_xll.BDP("26788 HK Equity     ","ASK")</f>
        <v>8.7999999999999995E-2</v>
      </c>
      <c r="M39" t="s">
        <v>48</v>
      </c>
      <c r="N39">
        <v>21000</v>
      </c>
      <c r="O39">
        <v>8.7999999999999995E-2</v>
      </c>
      <c r="P39" t="s">
        <v>246</v>
      </c>
      <c r="Q39" t="s">
        <v>250</v>
      </c>
      <c r="R39" t="s">
        <v>255</v>
      </c>
      <c r="S39">
        <v>14.2857</v>
      </c>
      <c r="T39">
        <v>1.0999999999999999E-2</v>
      </c>
      <c r="U39">
        <v>3244970000</v>
      </c>
      <c r="V39">
        <v>8.6999999999999994E-2</v>
      </c>
      <c r="W39">
        <v>8.7999999999999995E-2</v>
      </c>
    </row>
    <row r="40" spans="1:23">
      <c r="A40" t="s">
        <v>49</v>
      </c>
      <c r="B40">
        <f>_xll.BDP("26849 HK Equity     ","WRT_EXER_PX")</f>
        <v>19200</v>
      </c>
      <c r="C40">
        <f>_xll.BDP("26849 HK Equity     ","LAST_PRICE")</f>
        <v>6.8000000000000005E-2</v>
      </c>
      <c r="D40" t="str">
        <f>_xll.BDP("26849 HK Equity     ","WRT_EXER_DT")</f>
        <v>29/9/2016</v>
      </c>
      <c r="E40" t="str">
        <f>_xll.BDP("26849 HK Equity     ","WRT_PUT_OR_CALL")</f>
        <v>Put</v>
      </c>
      <c r="F40" t="str">
        <f>_xll.BDP("26849 HK Equity     ","TIME")</f>
        <v>27/5/2016</v>
      </c>
      <c r="G40">
        <f>_xll.BDP("26849 HK Equity     ","RT_PX_CHG_PCT_1D")</f>
        <v>-9.3333300000000001</v>
      </c>
      <c r="H40">
        <f>_xll.BDP("26849 HK Equity     ","RT_PX_CHG_NET_1D")</f>
        <v>-7.0000000000000001E-3</v>
      </c>
      <c r="I40">
        <f>_xll.BDP("26849 HK Equity     ","VOLUME")</f>
        <v>2590270000</v>
      </c>
      <c r="J40">
        <f>_xll.BDP("26849 HK Equity     ","BID")</f>
        <v>6.8000000000000005E-2</v>
      </c>
      <c r="K40">
        <f>_xll.BDP("26849 HK Equity     ","ASK")</f>
        <v>6.9000000000000006E-2</v>
      </c>
      <c r="M40" t="s">
        <v>49</v>
      </c>
      <c r="N40">
        <v>19200</v>
      </c>
      <c r="O40">
        <v>6.8000000000000005E-2</v>
      </c>
      <c r="P40" t="s">
        <v>246</v>
      </c>
      <c r="Q40" t="s">
        <v>251</v>
      </c>
      <c r="R40" t="s">
        <v>255</v>
      </c>
      <c r="S40">
        <v>-9.3333300000000001</v>
      </c>
      <c r="T40">
        <v>-7.0000000000000001E-3</v>
      </c>
      <c r="U40">
        <v>2590270000</v>
      </c>
      <c r="V40">
        <v>6.8000000000000005E-2</v>
      </c>
      <c r="W40">
        <v>6.9000000000000006E-2</v>
      </c>
    </row>
    <row r="41" spans="1:23">
      <c r="A41" t="s">
        <v>50</v>
      </c>
      <c r="B41">
        <f>_xll.BDP("26921 HK Equity     ","WRT_EXER_PX")</f>
        <v>19708</v>
      </c>
      <c r="C41">
        <f>_xll.BDP("26921 HK Equity     ","LAST_PRICE")</f>
        <v>5.8999999999999997E-2</v>
      </c>
      <c r="D41" t="str">
        <f>_xll.BDP("26921 HK Equity     ","WRT_EXER_DT")</f>
        <v>28/7/2016</v>
      </c>
      <c r="E41" t="str">
        <f>_xll.BDP("26921 HK Equity     ","WRT_PUT_OR_CALL")</f>
        <v>Put</v>
      </c>
      <c r="F41" t="str">
        <f>_xll.BDP("26921 HK Equity     ","TIME")</f>
        <v>27/5/2016</v>
      </c>
      <c r="G41">
        <f>_xll.BDP("26921 HK Equity     ","RT_PX_CHG_PCT_1D")</f>
        <v>-19.178101000000002</v>
      </c>
      <c r="H41">
        <f>_xll.BDP("26921 HK Equity     ","RT_PX_CHG_NET_1D")</f>
        <v>-1.4E-2</v>
      </c>
      <c r="I41">
        <f>_xll.BDP("26921 HK Equity     ","VOLUME")</f>
        <v>5100000</v>
      </c>
      <c r="J41" t="str">
        <f>_xll.BDP("26921 HK Equity     ","BID")</f>
        <v>#N/A N/A</v>
      </c>
      <c r="K41" t="str">
        <f>_xll.BDP("26921 HK Equity     ","ASK")</f>
        <v>#N/A N/A</v>
      </c>
      <c r="M41" t="s">
        <v>50</v>
      </c>
      <c r="N41">
        <v>19708</v>
      </c>
      <c r="O41">
        <v>5.8999999999999997E-2</v>
      </c>
      <c r="P41" t="s">
        <v>244</v>
      </c>
      <c r="Q41" t="s">
        <v>251</v>
      </c>
      <c r="R41" t="s">
        <v>255</v>
      </c>
      <c r="S41">
        <v>-19.178101000000002</v>
      </c>
      <c r="T41">
        <v>-1.4E-2</v>
      </c>
      <c r="U41">
        <v>5100000</v>
      </c>
      <c r="V41" t="s">
        <v>254</v>
      </c>
      <c r="W41" t="s">
        <v>254</v>
      </c>
    </row>
    <row r="42" spans="1:23">
      <c r="A42" t="s">
        <v>51</v>
      </c>
      <c r="B42">
        <f>_xll.BDP("26939 HK Equity     ","WRT_EXER_PX")</f>
        <v>19400</v>
      </c>
      <c r="C42">
        <f>_xll.BDP("26939 HK Equity     ","LAST_PRICE")</f>
        <v>0.06</v>
      </c>
      <c r="D42" t="str">
        <f>_xll.BDP("26939 HK Equity     ","WRT_EXER_DT")</f>
        <v>28/7/2016</v>
      </c>
      <c r="E42" t="str">
        <f>_xll.BDP("26939 HK Equity     ","WRT_PUT_OR_CALL")</f>
        <v>Put</v>
      </c>
      <c r="F42" t="str">
        <f>_xll.BDP("26939 HK Equity     ","TIME")</f>
        <v>27/5/2016</v>
      </c>
      <c r="G42">
        <f>_xll.BDP("26939 HK Equity     ","RT_PX_CHG_PCT_1D")</f>
        <v>-9.0909099999999992</v>
      </c>
      <c r="H42">
        <f>_xll.BDP("26939 HK Equity     ","RT_PX_CHG_NET_1D")</f>
        <v>-6.0000000000000001E-3</v>
      </c>
      <c r="I42">
        <f>_xll.BDP("26939 HK Equity     ","VOLUME")</f>
        <v>2419450000</v>
      </c>
      <c r="J42">
        <f>_xll.BDP("26939 HK Equity     ","BID")</f>
        <v>0.06</v>
      </c>
      <c r="K42">
        <f>_xll.BDP("26939 HK Equity     ","ASK")</f>
        <v>6.0999999999999999E-2</v>
      </c>
      <c r="M42" t="s">
        <v>51</v>
      </c>
      <c r="N42">
        <v>19400</v>
      </c>
      <c r="O42">
        <v>0.06</v>
      </c>
      <c r="P42" t="s">
        <v>244</v>
      </c>
      <c r="Q42" t="s">
        <v>251</v>
      </c>
      <c r="R42" t="s">
        <v>255</v>
      </c>
      <c r="S42">
        <v>-9.0909099999999992</v>
      </c>
      <c r="T42">
        <v>-6.0000000000000001E-3</v>
      </c>
      <c r="U42">
        <v>2419450000</v>
      </c>
      <c r="V42">
        <v>0.06</v>
      </c>
      <c r="W42">
        <v>6.0999999999999999E-2</v>
      </c>
    </row>
    <row r="43" spans="1:23">
      <c r="A43" t="s">
        <v>52</v>
      </c>
      <c r="B43">
        <f>_xll.BDP("26987 HK Equity     ","WRT_EXER_PX")</f>
        <v>21400</v>
      </c>
      <c r="C43">
        <f>_xll.BDP("26987 HK Equity     ","LAST_PRICE")</f>
        <v>5.5E-2</v>
      </c>
      <c r="D43" t="str">
        <f>_xll.BDP("26987 HK Equity     ","WRT_EXER_DT")</f>
        <v>30/8/2016</v>
      </c>
      <c r="E43" t="str">
        <f>_xll.BDP("26987 HK Equity     ","WRT_PUT_OR_CALL")</f>
        <v>Call</v>
      </c>
      <c r="F43" t="str">
        <f>_xll.BDP("26987 HK Equity     ","TIME")</f>
        <v>27/5/2016</v>
      </c>
      <c r="G43">
        <f>_xll.BDP("26987 HK Equity     ","RT_PX_CHG_PCT_1D")</f>
        <v>14.583299999999999</v>
      </c>
      <c r="H43">
        <f>_xll.BDP("26987 HK Equity     ","RT_PX_CHG_NET_1D")</f>
        <v>7.0000000000000001E-3</v>
      </c>
      <c r="I43">
        <f>_xll.BDP("26987 HK Equity     ","VOLUME")</f>
        <v>30700000</v>
      </c>
      <c r="J43">
        <f>_xll.BDP("26987 HK Equity     ","BID")</f>
        <v>5.2999999999999999E-2</v>
      </c>
      <c r="K43">
        <f>_xll.BDP("26987 HK Equity     ","ASK")</f>
        <v>5.5E-2</v>
      </c>
      <c r="M43" t="s">
        <v>52</v>
      </c>
      <c r="N43">
        <v>21400</v>
      </c>
      <c r="O43">
        <v>5.5E-2</v>
      </c>
      <c r="P43" t="s">
        <v>248</v>
      </c>
      <c r="Q43" t="s">
        <v>250</v>
      </c>
      <c r="R43" t="s">
        <v>255</v>
      </c>
      <c r="S43">
        <v>14.583299999999999</v>
      </c>
      <c r="T43">
        <v>7.0000000000000001E-3</v>
      </c>
      <c r="U43">
        <v>30700000</v>
      </c>
      <c r="V43">
        <v>5.2999999999999999E-2</v>
      </c>
      <c r="W43">
        <v>5.5E-2</v>
      </c>
    </row>
    <row r="44" spans="1:23">
      <c r="A44" t="s">
        <v>53</v>
      </c>
      <c r="B44">
        <f>_xll.BDP("27157 HK Equity     ","WRT_EXER_PX")</f>
        <v>22000</v>
      </c>
      <c r="C44">
        <f>_xll.BDP("27157 HK Equity     ","LAST_PRICE")</f>
        <v>6.2E-2</v>
      </c>
      <c r="D44" t="str">
        <f>_xll.BDP("27157 HK Equity     ","WRT_EXER_DT")</f>
        <v>28/10/2016</v>
      </c>
      <c r="E44" t="str">
        <f>_xll.BDP("27157 HK Equity     ","WRT_PUT_OR_CALL")</f>
        <v>Call</v>
      </c>
      <c r="F44" t="str">
        <f>_xll.BDP("27157 HK Equity     ","TIME")</f>
        <v>27/5/2016</v>
      </c>
      <c r="G44">
        <f>_xll.BDP("27157 HK Equity     ","RT_PX_CHG_PCT_1D")</f>
        <v>12.7273</v>
      </c>
      <c r="H44">
        <f>_xll.BDP("27157 HK Equity     ","RT_PX_CHG_NET_1D")</f>
        <v>7.0000000000000001E-3</v>
      </c>
      <c r="I44">
        <f>_xll.BDP("27157 HK Equity     ","VOLUME")</f>
        <v>36100000</v>
      </c>
      <c r="J44">
        <f>_xll.BDP("27157 HK Equity     ","BID")</f>
        <v>6.0999999999999999E-2</v>
      </c>
      <c r="K44">
        <f>_xll.BDP("27157 HK Equity     ","ASK")</f>
        <v>6.2E-2</v>
      </c>
      <c r="M44" t="s">
        <v>53</v>
      </c>
      <c r="N44">
        <v>22000</v>
      </c>
      <c r="O44">
        <v>6.2E-2</v>
      </c>
      <c r="P44" t="s">
        <v>243</v>
      </c>
      <c r="Q44" t="s">
        <v>250</v>
      </c>
      <c r="R44" t="s">
        <v>255</v>
      </c>
      <c r="S44">
        <v>12.7273</v>
      </c>
      <c r="T44">
        <v>7.0000000000000001E-3</v>
      </c>
      <c r="U44">
        <v>36100000</v>
      </c>
      <c r="V44">
        <v>6.0999999999999999E-2</v>
      </c>
      <c r="W44">
        <v>6.2E-2</v>
      </c>
    </row>
    <row r="45" spans="1:23">
      <c r="A45" t="s">
        <v>54</v>
      </c>
      <c r="B45">
        <f>_xll.BDP("27177 HK Equity     ","WRT_EXER_PX")</f>
        <v>21800</v>
      </c>
      <c r="C45">
        <f>_xll.BDP("27177 HK Equity     ","LAST_PRICE")</f>
        <v>7.0999999999999994E-2</v>
      </c>
      <c r="D45" t="str">
        <f>_xll.BDP("27177 HK Equity     ","WRT_EXER_DT")</f>
        <v>28/10/2016</v>
      </c>
      <c r="E45" t="str">
        <f>_xll.BDP("27177 HK Equity     ","WRT_PUT_OR_CALL")</f>
        <v>Call</v>
      </c>
      <c r="F45" t="str">
        <f>_xll.BDP("27177 HK Equity     ","TIME")</f>
        <v>27/5/2016</v>
      </c>
      <c r="G45">
        <f>_xll.BDP("27177 HK Equity     ","RT_PX_CHG_PCT_1D")</f>
        <v>16.3934</v>
      </c>
      <c r="H45">
        <f>_xll.BDP("27177 HK Equity     ","RT_PX_CHG_NET_1D")</f>
        <v>0.01</v>
      </c>
      <c r="I45">
        <f>_xll.BDP("27177 HK Equity     ","VOLUME")</f>
        <v>45160000</v>
      </c>
      <c r="J45" t="str">
        <f>_xll.BDP("27177 HK Equity     ","BID")</f>
        <v>#N/A N/A</v>
      </c>
      <c r="K45">
        <f>_xll.BDP("27177 HK Equity     ","ASK")</f>
        <v>7.4999999999999997E-2</v>
      </c>
      <c r="M45" t="s">
        <v>54</v>
      </c>
      <c r="N45">
        <v>21800</v>
      </c>
      <c r="O45">
        <v>7.0999999999999994E-2</v>
      </c>
      <c r="P45" t="s">
        <v>243</v>
      </c>
      <c r="Q45" t="s">
        <v>250</v>
      </c>
      <c r="R45" t="s">
        <v>255</v>
      </c>
      <c r="S45">
        <v>16.3934</v>
      </c>
      <c r="T45">
        <v>0.01</v>
      </c>
      <c r="U45">
        <v>45160000</v>
      </c>
      <c r="V45" t="s">
        <v>254</v>
      </c>
      <c r="W45">
        <v>7.4999999999999997E-2</v>
      </c>
    </row>
    <row r="46" spans="1:23">
      <c r="A46" t="s">
        <v>55</v>
      </c>
      <c r="B46">
        <f>_xll.BDP("27286 HK Equity     ","WRT_EXER_PX")</f>
        <v>20200</v>
      </c>
      <c r="C46">
        <f>_xll.BDP("27286 HK Equity     ","LAST_PRICE")</f>
        <v>0.14299999999999999</v>
      </c>
      <c r="D46" t="str">
        <f>_xll.BDP("27286 HK Equity     ","WRT_EXER_DT")</f>
        <v>30/8/2016</v>
      </c>
      <c r="E46" t="str">
        <f>_xll.BDP("27286 HK Equity     ","WRT_PUT_OR_CALL")</f>
        <v>Call</v>
      </c>
      <c r="F46" t="str">
        <f>_xll.BDP("27286 HK Equity     ","TIME")</f>
        <v>27/5/2016</v>
      </c>
      <c r="G46">
        <f>_xll.BDP("27286 HK Equity     ","RT_PX_CHG_PCT_1D")</f>
        <v>12.5984</v>
      </c>
      <c r="H46">
        <f>_xll.BDP("27286 HK Equity     ","RT_PX_CHG_NET_1D")</f>
        <v>1.6E-2</v>
      </c>
      <c r="I46">
        <f>_xll.BDP("27286 HK Equity     ","VOLUME")</f>
        <v>60680000</v>
      </c>
      <c r="J46">
        <f>_xll.BDP("27286 HK Equity     ","BID")</f>
        <v>0.14199999999999999</v>
      </c>
      <c r="K46">
        <f>_xll.BDP("27286 HK Equity     ","ASK")</f>
        <v>0.14399999999999999</v>
      </c>
      <c r="M46" t="s">
        <v>55</v>
      </c>
      <c r="N46">
        <v>20200</v>
      </c>
      <c r="O46">
        <v>0.14299999999999999</v>
      </c>
      <c r="P46" t="s">
        <v>248</v>
      </c>
      <c r="Q46" t="s">
        <v>250</v>
      </c>
      <c r="R46" t="s">
        <v>255</v>
      </c>
      <c r="S46">
        <v>12.5984</v>
      </c>
      <c r="T46">
        <v>1.6E-2</v>
      </c>
      <c r="U46">
        <v>60680000</v>
      </c>
      <c r="V46">
        <v>0.14199999999999999</v>
      </c>
      <c r="W46">
        <v>0.14399999999999999</v>
      </c>
    </row>
    <row r="47" spans="1:23">
      <c r="A47" t="s">
        <v>56</v>
      </c>
      <c r="B47">
        <f>_xll.BDP("27360 HK Equity     ","WRT_EXER_PX")</f>
        <v>20000</v>
      </c>
      <c r="C47">
        <f>_xll.BDP("27360 HK Equity     ","LAST_PRICE")</f>
        <v>0.14499999999999999</v>
      </c>
      <c r="D47" t="str">
        <f>_xll.BDP("27360 HK Equity     ","WRT_EXER_DT")</f>
        <v>28/10/2016</v>
      </c>
      <c r="E47" t="str">
        <f>_xll.BDP("27360 HK Equity     ","WRT_PUT_OR_CALL")</f>
        <v>Put</v>
      </c>
      <c r="F47" t="str">
        <f>_xll.BDP("27360 HK Equity     ","TIME")</f>
        <v>27/5/2016</v>
      </c>
      <c r="G47">
        <f>_xll.BDP("27360 HK Equity     ","RT_PX_CHG_PCT_1D")</f>
        <v>-9.375</v>
      </c>
      <c r="H47">
        <f>_xll.BDP("27360 HK Equity     ","RT_PX_CHG_NET_1D")</f>
        <v>-1.4999999999999999E-2</v>
      </c>
      <c r="I47">
        <f>_xll.BDP("27360 HK Equity     ","VOLUME")</f>
        <v>2150000</v>
      </c>
      <c r="J47">
        <f>_xll.BDP("27360 HK Equity     ","BID")</f>
        <v>0.14199999999999999</v>
      </c>
      <c r="K47">
        <f>_xll.BDP("27360 HK Equity     ","ASK")</f>
        <v>0.14699999999999999</v>
      </c>
      <c r="M47" t="s">
        <v>56</v>
      </c>
      <c r="N47">
        <v>20000</v>
      </c>
      <c r="O47">
        <v>0.14499999999999999</v>
      </c>
      <c r="P47" t="s">
        <v>243</v>
      </c>
      <c r="Q47" t="s">
        <v>251</v>
      </c>
      <c r="R47" t="s">
        <v>255</v>
      </c>
      <c r="S47">
        <v>-9.375</v>
      </c>
      <c r="T47">
        <v>-1.4999999999999999E-2</v>
      </c>
      <c r="U47">
        <v>2150000</v>
      </c>
      <c r="V47">
        <v>0.14199999999999999</v>
      </c>
      <c r="W47">
        <v>0.14699999999999999</v>
      </c>
    </row>
    <row r="48" spans="1:23">
      <c r="A48" t="s">
        <v>57</v>
      </c>
      <c r="B48">
        <f>_xll.BDP("27438 HK Equity     ","WRT_EXER_PX")</f>
        <v>21800</v>
      </c>
      <c r="C48">
        <f>_xll.BDP("27438 HK Equity     ","LAST_PRICE")</f>
        <v>6.7000000000000004E-2</v>
      </c>
      <c r="D48" t="str">
        <f>_xll.BDP("27438 HK Equity     ","WRT_EXER_DT")</f>
        <v>28/10/2016</v>
      </c>
      <c r="E48" t="str">
        <f>_xll.BDP("27438 HK Equity     ","WRT_PUT_OR_CALL")</f>
        <v>Call</v>
      </c>
      <c r="F48" t="str">
        <f>_xll.BDP("27438 HK Equity     ","TIME")</f>
        <v>27/5/2016</v>
      </c>
      <c r="G48">
        <f>_xll.BDP("27438 HK Equity     ","RT_PX_CHG_PCT_1D")</f>
        <v>6.3492100000000002</v>
      </c>
      <c r="H48">
        <f>_xll.BDP("27438 HK Equity     ","RT_PX_CHG_NET_1D")</f>
        <v>4.0000000000000001E-3</v>
      </c>
      <c r="I48">
        <f>_xll.BDP("27438 HK Equity     ","VOLUME")</f>
        <v>3526730000</v>
      </c>
      <c r="J48">
        <f>_xll.BDP("27438 HK Equity     ","BID")</f>
        <v>6.7000000000000004E-2</v>
      </c>
      <c r="K48">
        <f>_xll.BDP("27438 HK Equity     ","ASK")</f>
        <v>6.8000000000000005E-2</v>
      </c>
      <c r="M48" t="s">
        <v>57</v>
      </c>
      <c r="N48">
        <v>21800</v>
      </c>
      <c r="O48">
        <v>6.7000000000000004E-2</v>
      </c>
      <c r="P48" t="s">
        <v>243</v>
      </c>
      <c r="Q48" t="s">
        <v>250</v>
      </c>
      <c r="R48" t="s">
        <v>255</v>
      </c>
      <c r="S48">
        <v>6.3492100000000002</v>
      </c>
      <c r="T48">
        <v>4.0000000000000001E-3</v>
      </c>
      <c r="U48">
        <v>3526730000</v>
      </c>
      <c r="V48">
        <v>6.7000000000000004E-2</v>
      </c>
      <c r="W48">
        <v>6.8000000000000005E-2</v>
      </c>
    </row>
    <row r="49" spans="1:23">
      <c r="A49" t="s">
        <v>58</v>
      </c>
      <c r="B49">
        <f>_xll.BDP("27465 HK Equity     ","WRT_EXER_PX")</f>
        <v>21400</v>
      </c>
      <c r="C49">
        <f>_xll.BDP("27465 HK Equity     ","LAST_PRICE")</f>
        <v>0.21</v>
      </c>
      <c r="D49" t="str">
        <f>_xll.BDP("27465 HK Equity     ","WRT_EXER_DT")</f>
        <v>28/10/2016</v>
      </c>
      <c r="E49" t="str">
        <f>_xll.BDP("27465 HK Equity     ","WRT_PUT_OR_CALL")</f>
        <v>Put</v>
      </c>
      <c r="F49" t="str">
        <f>_xll.BDP("27465 HK Equity     ","TIME")</f>
        <v>27/5/2016</v>
      </c>
      <c r="G49">
        <f>_xll.BDP("27465 HK Equity     ","RT_PX_CHG_PCT_1D")</f>
        <v>-6.6666699999999999</v>
      </c>
      <c r="H49">
        <f>_xll.BDP("27465 HK Equity     ","RT_PX_CHG_NET_1D")</f>
        <v>-1.4999999999999999E-2</v>
      </c>
      <c r="I49">
        <f>_xll.BDP("27465 HK Equity     ","VOLUME")</f>
        <v>80000</v>
      </c>
      <c r="J49">
        <f>_xll.BDP("27465 HK Equity     ","BID")</f>
        <v>0.20899999999999999</v>
      </c>
      <c r="K49">
        <f>_xll.BDP("27465 HK Equity     ","ASK")</f>
        <v>0.21</v>
      </c>
      <c r="M49" t="s">
        <v>58</v>
      </c>
      <c r="N49">
        <v>21400</v>
      </c>
      <c r="O49">
        <v>0.21</v>
      </c>
      <c r="P49" t="s">
        <v>243</v>
      </c>
      <c r="Q49" t="s">
        <v>251</v>
      </c>
      <c r="R49" t="s">
        <v>255</v>
      </c>
      <c r="S49">
        <v>-6.6666699999999999</v>
      </c>
      <c r="T49">
        <v>-1.4999999999999999E-2</v>
      </c>
      <c r="U49">
        <v>80000</v>
      </c>
      <c r="V49">
        <v>0.20899999999999999</v>
      </c>
      <c r="W49">
        <v>0.21</v>
      </c>
    </row>
    <row r="50" spans="1:23">
      <c r="A50" t="s">
        <v>59</v>
      </c>
      <c r="B50">
        <f>_xll.BDP("27594 HK Equity     ","WRT_EXER_PX")</f>
        <v>21500</v>
      </c>
      <c r="C50">
        <f>_xll.BDP("27594 HK Equity     ","LAST_PRICE")</f>
        <v>0.185</v>
      </c>
      <c r="D50" t="str">
        <f>_xll.BDP("27594 HK Equity     ","WRT_EXER_DT")</f>
        <v>28/7/2016</v>
      </c>
      <c r="E50" t="str">
        <f>_xll.BDP("27594 HK Equity     ","WRT_PUT_OR_CALL")</f>
        <v>Put</v>
      </c>
      <c r="F50" t="str">
        <f>_xll.BDP("27594 HK Equity     ","TIME")</f>
        <v>27/5/2016</v>
      </c>
      <c r="G50">
        <f>_xll.BDP("27594 HK Equity     ","RT_PX_CHG_PCT_1D")</f>
        <v>-9.3137299999999996</v>
      </c>
      <c r="H50">
        <f>_xll.BDP("27594 HK Equity     ","RT_PX_CHG_NET_1D")</f>
        <v>-1.9E-2</v>
      </c>
      <c r="I50">
        <f>_xll.BDP("27594 HK Equity     ","VOLUME")</f>
        <v>0</v>
      </c>
      <c r="J50">
        <f>_xll.BDP("27594 HK Equity     ","BID")</f>
        <v>0.183</v>
      </c>
      <c r="K50">
        <f>_xll.BDP("27594 HK Equity     ","ASK")</f>
        <v>0.186</v>
      </c>
      <c r="M50" t="s">
        <v>59</v>
      </c>
      <c r="N50">
        <v>21500</v>
      </c>
      <c r="O50">
        <v>0.185</v>
      </c>
      <c r="P50" t="s">
        <v>244</v>
      </c>
      <c r="Q50" t="s">
        <v>251</v>
      </c>
      <c r="R50" t="s">
        <v>255</v>
      </c>
      <c r="S50">
        <v>-9.3137299999999996</v>
      </c>
      <c r="T50">
        <v>-1.9E-2</v>
      </c>
      <c r="U50">
        <v>0</v>
      </c>
      <c r="V50">
        <v>0.183</v>
      </c>
      <c r="W50">
        <v>0.186</v>
      </c>
    </row>
    <row r="51" spans="1:23">
      <c r="A51" t="s">
        <v>60</v>
      </c>
      <c r="B51">
        <f>_xll.BDP("27608 HK Equity     ","WRT_EXER_PX")</f>
        <v>21600</v>
      </c>
      <c r="C51">
        <f>_xll.BDP("27608 HK Equity     ","LAST_PRICE")</f>
        <v>0.191</v>
      </c>
      <c r="D51" t="str">
        <f>_xll.BDP("27608 HK Equity     ","WRT_EXER_DT")</f>
        <v>28/7/2016</v>
      </c>
      <c r="E51" t="str">
        <f>_xll.BDP("27608 HK Equity     ","WRT_PUT_OR_CALL")</f>
        <v>Put</v>
      </c>
      <c r="F51" t="str">
        <f>_xll.BDP("27608 HK Equity     ","TIME")</f>
        <v>27/5/2016</v>
      </c>
      <c r="G51">
        <f>_xll.BDP("27608 HK Equity     ","RT_PX_CHG_PCT_1D")</f>
        <v>-9.9056599999999992</v>
      </c>
      <c r="H51">
        <f>_xll.BDP("27608 HK Equity     ","RT_PX_CHG_NET_1D")</f>
        <v>-2.1000000000000001E-2</v>
      </c>
      <c r="I51">
        <f>_xll.BDP("27608 HK Equity     ","VOLUME")</f>
        <v>0</v>
      </c>
      <c r="J51">
        <f>_xll.BDP("27608 HK Equity     ","BID")</f>
        <v>0.19</v>
      </c>
      <c r="K51">
        <f>_xll.BDP("27608 HK Equity     ","ASK")</f>
        <v>0.192</v>
      </c>
      <c r="M51" t="s">
        <v>60</v>
      </c>
      <c r="N51">
        <v>21600</v>
      </c>
      <c r="O51">
        <v>0.191</v>
      </c>
      <c r="P51" t="s">
        <v>244</v>
      </c>
      <c r="Q51" t="s">
        <v>251</v>
      </c>
      <c r="R51" t="s">
        <v>255</v>
      </c>
      <c r="S51">
        <v>-9.9056599999999992</v>
      </c>
      <c r="T51">
        <v>-2.1000000000000001E-2</v>
      </c>
      <c r="U51">
        <v>0</v>
      </c>
      <c r="V51">
        <v>0.19</v>
      </c>
      <c r="W51">
        <v>0.192</v>
      </c>
    </row>
    <row r="52" spans="1:23">
      <c r="A52" t="s">
        <v>61</v>
      </c>
      <c r="B52">
        <f>_xll.BDP("27666 HK Equity     ","WRT_EXER_PX")</f>
        <v>21000</v>
      </c>
      <c r="C52">
        <f>_xll.BDP("27666 HK Equity     ","LAST_PRICE")</f>
        <v>0.19900000000000001</v>
      </c>
      <c r="D52" t="str">
        <f>_xll.BDP("27666 HK Equity     ","WRT_EXER_DT")</f>
        <v>30/8/2016</v>
      </c>
      <c r="E52" t="str">
        <f>_xll.BDP("27666 HK Equity     ","WRT_PUT_OR_CALL")</f>
        <v>Put</v>
      </c>
      <c r="F52" t="str">
        <f>_xll.BDP("27666 HK Equity     ","TIME")</f>
        <v>27/5/2016</v>
      </c>
      <c r="G52">
        <f>_xll.BDP("27666 HK Equity     ","RT_PX_CHG_PCT_1D")</f>
        <v>-8.2949300000000008</v>
      </c>
      <c r="H52">
        <f>_xll.BDP("27666 HK Equity     ","RT_PX_CHG_NET_1D")</f>
        <v>-1.7999999999999999E-2</v>
      </c>
      <c r="I52">
        <f>_xll.BDP("27666 HK Equity     ","VOLUME")</f>
        <v>0</v>
      </c>
      <c r="J52">
        <f>_xll.BDP("27666 HK Equity     ","BID")</f>
        <v>0.19700000000000001</v>
      </c>
      <c r="K52">
        <f>_xll.BDP("27666 HK Equity     ","ASK")</f>
        <v>0.2</v>
      </c>
      <c r="M52" t="s">
        <v>61</v>
      </c>
      <c r="N52">
        <v>21000</v>
      </c>
      <c r="O52">
        <v>0.19900000000000001</v>
      </c>
      <c r="P52" t="s">
        <v>248</v>
      </c>
      <c r="Q52" t="s">
        <v>251</v>
      </c>
      <c r="R52" t="s">
        <v>255</v>
      </c>
      <c r="S52">
        <v>-8.2949300000000008</v>
      </c>
      <c r="T52">
        <v>-1.7999999999999999E-2</v>
      </c>
      <c r="U52">
        <v>0</v>
      </c>
      <c r="V52">
        <v>0.19700000000000001</v>
      </c>
      <c r="W52">
        <v>0.2</v>
      </c>
    </row>
    <row r="53" spans="1:23">
      <c r="A53" t="s">
        <v>62</v>
      </c>
      <c r="B53">
        <f>_xll.BDP("27828 HK Equity     ","WRT_EXER_PX")</f>
        <v>21088</v>
      </c>
      <c r="C53" t="str">
        <f>_xll.BDP("27828 HK Equity     ","LAST_PRICE")</f>
        <v>#N/A N/A</v>
      </c>
      <c r="D53" t="str">
        <f>_xll.BDP("27828 HK Equity     ","WRT_EXER_DT")</f>
        <v>30/8/2016</v>
      </c>
      <c r="E53" t="str">
        <f>_xll.BDP("27828 HK Equity     ","WRT_PUT_OR_CALL")</f>
        <v>Put</v>
      </c>
      <c r="F53" t="str">
        <f>_xll.BDP("27828 HK Equity     ","TIME")</f>
        <v>#N/A N/A</v>
      </c>
      <c r="G53" t="str">
        <f>_xll.BDP("27828 HK Equity     ","RT_PX_CHG_PCT_1D")</f>
        <v>#N/A N/A</v>
      </c>
      <c r="H53" t="str">
        <f>_xll.BDP("27828 HK Equity     ","RT_PX_CHG_NET_1D")</f>
        <v>#N/A N/A</v>
      </c>
      <c r="I53" t="str">
        <f>_xll.BDP("27828 HK Equity     ","VOLUME")</f>
        <v>#N/A N/A</v>
      </c>
      <c r="J53" t="str">
        <f>_xll.BDP("27828 HK Equity     ","BID")</f>
        <v>#N/A N/A</v>
      </c>
      <c r="K53" t="str">
        <f>_xll.BDP("27828 HK Equity     ","ASK")</f>
        <v>#N/A N/A</v>
      </c>
      <c r="M53" t="s">
        <v>62</v>
      </c>
      <c r="N53">
        <v>21088</v>
      </c>
      <c r="O53" t="s">
        <v>254</v>
      </c>
      <c r="P53" t="s">
        <v>248</v>
      </c>
      <c r="Q53" t="s">
        <v>251</v>
      </c>
      <c r="R53" t="s">
        <v>254</v>
      </c>
      <c r="S53" t="s">
        <v>254</v>
      </c>
      <c r="T53" t="s">
        <v>254</v>
      </c>
      <c r="U53" t="s">
        <v>254</v>
      </c>
      <c r="V53" t="s">
        <v>254</v>
      </c>
      <c r="W53" t="s">
        <v>254</v>
      </c>
    </row>
    <row r="54" spans="1:23">
      <c r="A54" t="s">
        <v>63</v>
      </c>
      <c r="B54">
        <f>_xll.BDP("27894 HK Equity     ","WRT_EXER_PX")</f>
        <v>21900</v>
      </c>
      <c r="C54" t="str">
        <f>_xll.BDP("27894 HK Equity     ","LAST_PRICE")</f>
        <v>#N/A N/A</v>
      </c>
      <c r="D54" t="str">
        <f>_xll.BDP("27894 HK Equity     ","WRT_EXER_DT")</f>
        <v>28/10/2016</v>
      </c>
      <c r="E54" t="str">
        <f>_xll.BDP("27894 HK Equity     ","WRT_PUT_OR_CALL")</f>
        <v>Call</v>
      </c>
      <c r="F54" t="str">
        <f>_xll.BDP("27894 HK Equity     ","TIME")</f>
        <v>#N/A N/A</v>
      </c>
      <c r="G54" t="str">
        <f>_xll.BDP("27894 HK Equity     ","RT_PX_CHG_PCT_1D")</f>
        <v>#N/A N/A</v>
      </c>
      <c r="H54" t="str">
        <f>_xll.BDP("27894 HK Equity     ","RT_PX_CHG_NET_1D")</f>
        <v>#N/A N/A</v>
      </c>
      <c r="I54" t="str">
        <f>_xll.BDP("27894 HK Equity     ","VOLUME")</f>
        <v>#N/A N/A</v>
      </c>
      <c r="J54">
        <f>_xll.BDP("27894 HK Equity     ","BID")</f>
        <v>6.7000000000000004E-2</v>
      </c>
      <c r="K54">
        <f>_xll.BDP("27894 HK Equity     ","ASK")</f>
        <v>6.9000000000000006E-2</v>
      </c>
      <c r="M54" t="s">
        <v>63</v>
      </c>
      <c r="N54">
        <v>21900</v>
      </c>
      <c r="O54" t="s">
        <v>254</v>
      </c>
      <c r="P54" t="s">
        <v>243</v>
      </c>
      <c r="Q54" t="s">
        <v>250</v>
      </c>
      <c r="R54" t="s">
        <v>254</v>
      </c>
      <c r="S54" t="s">
        <v>254</v>
      </c>
      <c r="T54" t="s">
        <v>254</v>
      </c>
      <c r="U54" t="s">
        <v>254</v>
      </c>
      <c r="V54">
        <v>6.7000000000000004E-2</v>
      </c>
      <c r="W54">
        <v>6.9000000000000006E-2</v>
      </c>
    </row>
    <row r="55" spans="1:23">
      <c r="A55" t="s">
        <v>64</v>
      </c>
      <c r="B55">
        <f>_xll.BDP("23970 HK Equity     ","WRT_EXER_PX")</f>
        <v>25288</v>
      </c>
      <c r="C55">
        <f>_xll.BDP("23970 HK Equity     ","LAST_PRICE")</f>
        <v>0.01</v>
      </c>
      <c r="D55" t="str">
        <f>_xll.BDP("23970 HK Equity     ","WRT_EXER_DT")</f>
        <v>29/6/2016</v>
      </c>
      <c r="E55" t="str">
        <f>_xll.BDP("23970 HK Equity     ","WRT_PUT_OR_CALL")</f>
        <v>Call</v>
      </c>
      <c r="F55" t="str">
        <f>_xll.BDP("23970 HK Equity     ","TIME")</f>
        <v>27/5/2016</v>
      </c>
      <c r="G55">
        <f>_xll.BDP("23970 HK Equity     ","RT_PX_CHG_PCT_1D")</f>
        <v>0</v>
      </c>
      <c r="H55">
        <f>_xll.BDP("23970 HK Equity     ","RT_PX_CHG_NET_1D")</f>
        <v>0</v>
      </c>
      <c r="I55">
        <f>_xll.BDP("23970 HK Equity     ","VOLUME")</f>
        <v>0</v>
      </c>
      <c r="J55" t="str">
        <f>_xll.BDP("23970 HK Equity     ","BID")</f>
        <v>#N/A N/A</v>
      </c>
      <c r="K55" t="str">
        <f>_xll.BDP("23970 HK Equity     ","ASK")</f>
        <v>#N/A N/A</v>
      </c>
      <c r="M55" t="s">
        <v>64</v>
      </c>
      <c r="N55">
        <v>25288</v>
      </c>
      <c r="O55">
        <v>0.01</v>
      </c>
      <c r="P55" t="s">
        <v>245</v>
      </c>
      <c r="Q55" t="s">
        <v>250</v>
      </c>
      <c r="R55" t="s">
        <v>255</v>
      </c>
      <c r="S55">
        <v>0</v>
      </c>
      <c r="T55">
        <v>0</v>
      </c>
      <c r="U55">
        <v>0</v>
      </c>
      <c r="V55" t="s">
        <v>254</v>
      </c>
      <c r="W55" t="s">
        <v>254</v>
      </c>
    </row>
    <row r="56" spans="1:23">
      <c r="A56" t="s">
        <v>65</v>
      </c>
      <c r="B56">
        <f>_xll.BDP("24451 HK Equity     ","WRT_EXER_PX")</f>
        <v>20900</v>
      </c>
      <c r="C56">
        <f>_xll.BDP("24451 HK Equity     ","LAST_PRICE")</f>
        <v>0.113</v>
      </c>
      <c r="D56" t="str">
        <f>_xll.BDP("24451 HK Equity     ","WRT_EXER_DT")</f>
        <v>29/6/2016</v>
      </c>
      <c r="E56" t="str">
        <f>_xll.BDP("24451 HK Equity     ","WRT_PUT_OR_CALL")</f>
        <v>Put</v>
      </c>
      <c r="F56" t="str">
        <f>_xll.BDP("24451 HK Equity     ","TIME")</f>
        <v>27/5/2016</v>
      </c>
      <c r="G56">
        <f>_xll.BDP("24451 HK Equity     ","RT_PX_CHG_PCT_1D")</f>
        <v>-16.296301</v>
      </c>
      <c r="H56">
        <f>_xll.BDP("24451 HK Equity     ","RT_PX_CHG_NET_1D")</f>
        <v>-2.1999999999999999E-2</v>
      </c>
      <c r="I56">
        <f>_xll.BDP("24451 HK Equity     ","VOLUME")</f>
        <v>670000</v>
      </c>
      <c r="J56">
        <f>_xll.BDP("24451 HK Equity     ","BID")</f>
        <v>0.111</v>
      </c>
      <c r="K56">
        <f>_xll.BDP("24451 HK Equity     ","ASK")</f>
        <v>0.11700000000000001</v>
      </c>
      <c r="M56" t="s">
        <v>65</v>
      </c>
      <c r="N56">
        <v>20900</v>
      </c>
      <c r="O56">
        <v>0.113</v>
      </c>
      <c r="P56" t="s">
        <v>245</v>
      </c>
      <c r="Q56" t="s">
        <v>251</v>
      </c>
      <c r="R56" t="s">
        <v>255</v>
      </c>
      <c r="S56">
        <v>-16.296301</v>
      </c>
      <c r="T56">
        <v>-2.1999999999999999E-2</v>
      </c>
      <c r="U56">
        <v>670000</v>
      </c>
      <c r="V56">
        <v>0.111</v>
      </c>
      <c r="W56">
        <v>0.11700000000000001</v>
      </c>
    </row>
    <row r="57" spans="1:23">
      <c r="A57" t="s">
        <v>66</v>
      </c>
      <c r="B57">
        <f>_xll.BDP("22799 HK Equity     ","WRT_EXER_PX")</f>
        <v>25000</v>
      </c>
      <c r="C57">
        <f>_xll.BDP("22799 HK Equity     ","LAST_PRICE")</f>
        <v>0.65</v>
      </c>
      <c r="D57" t="str">
        <f>_xll.BDP("22799 HK Equity     ","WRT_EXER_DT")</f>
        <v>28/7/2016</v>
      </c>
      <c r="E57" t="str">
        <f>_xll.BDP("22799 HK Equity     ","WRT_PUT_OR_CALL")</f>
        <v>Put</v>
      </c>
      <c r="F57" t="str">
        <f>_xll.BDP("22799 HK Equity     ","TIME")</f>
        <v>27/5/2016</v>
      </c>
      <c r="G57">
        <f>_xll.BDP("22799 HK Equity     ","RT_PX_CHG_PCT_1D")</f>
        <v>-2.9850699999999999</v>
      </c>
      <c r="H57">
        <f>_xll.BDP("22799 HK Equity     ","RT_PX_CHG_NET_1D")</f>
        <v>-0.02</v>
      </c>
      <c r="I57">
        <f>_xll.BDP("22799 HK Equity     ","VOLUME")</f>
        <v>0</v>
      </c>
      <c r="J57">
        <f>_xll.BDP("22799 HK Equity     ","BID")</f>
        <v>0.6</v>
      </c>
      <c r="K57">
        <f>_xll.BDP("22799 HK Equity     ","ASK")</f>
        <v>0.65</v>
      </c>
      <c r="M57" t="s">
        <v>66</v>
      </c>
      <c r="N57">
        <v>25000</v>
      </c>
      <c r="O57">
        <v>0.65</v>
      </c>
      <c r="P57" t="s">
        <v>244</v>
      </c>
      <c r="Q57" t="s">
        <v>251</v>
      </c>
      <c r="R57" t="s">
        <v>255</v>
      </c>
      <c r="S57">
        <v>-2.9850699999999999</v>
      </c>
      <c r="T57">
        <v>-0.02</v>
      </c>
      <c r="U57">
        <v>0</v>
      </c>
      <c r="V57">
        <v>0.6</v>
      </c>
      <c r="W57">
        <v>0.65</v>
      </c>
    </row>
    <row r="58" spans="1:23">
      <c r="A58" t="s">
        <v>67</v>
      </c>
      <c r="B58">
        <f>_xll.BDP("11069 HK Equity     ","WRT_EXER_PX")</f>
        <v>22600</v>
      </c>
      <c r="C58">
        <f>_xll.BDP("11069 HK Equity     ","LAST_PRICE")</f>
        <v>0.01</v>
      </c>
      <c r="D58" t="str">
        <f>_xll.BDP("11069 HK Equity     ","WRT_EXER_DT")</f>
        <v>30/5/2016</v>
      </c>
      <c r="E58" t="str">
        <f>_xll.BDP("11069 HK Equity     ","WRT_PUT_OR_CALL")</f>
        <v>Call</v>
      </c>
      <c r="F58" t="str">
        <f>_xll.BDP("11069 HK Equity     ","TIME")</f>
        <v>27/5/2016</v>
      </c>
      <c r="G58">
        <f>_xll.BDP("11069 HK Equity     ","RT_PX_CHG_PCT_1D")</f>
        <v>0</v>
      </c>
      <c r="H58">
        <f>_xll.BDP("11069 HK Equity     ","RT_PX_CHG_NET_1D")</f>
        <v>0</v>
      </c>
      <c r="I58">
        <f>_xll.BDP("11069 HK Equity     ","VOLUME")</f>
        <v>0</v>
      </c>
      <c r="J58" t="str">
        <f>_xll.BDP("11069 HK Equity     ","BID")</f>
        <v>#N/A N/A</v>
      </c>
      <c r="K58" t="str">
        <f>_xll.BDP("11069 HK Equity     ","ASK")</f>
        <v>#N/A N/A</v>
      </c>
      <c r="M58" t="s">
        <v>67</v>
      </c>
      <c r="N58">
        <v>22600</v>
      </c>
      <c r="O58">
        <v>0.01</v>
      </c>
      <c r="P58" t="s">
        <v>247</v>
      </c>
      <c r="Q58" t="s">
        <v>250</v>
      </c>
      <c r="R58" t="s">
        <v>255</v>
      </c>
      <c r="S58">
        <v>0</v>
      </c>
      <c r="T58">
        <v>0</v>
      </c>
      <c r="U58">
        <v>0</v>
      </c>
      <c r="V58" t="s">
        <v>254</v>
      </c>
      <c r="W58" t="s">
        <v>254</v>
      </c>
    </row>
    <row r="59" spans="1:23">
      <c r="A59" t="s">
        <v>68</v>
      </c>
      <c r="B59">
        <f>_xll.BDP("18856 HK Equity     ","WRT_EXER_PX")</f>
        <v>25118</v>
      </c>
      <c r="C59">
        <f>_xll.BDP("18856 HK Equity     ","LAST_PRICE")</f>
        <v>0.01</v>
      </c>
      <c r="D59" t="str">
        <f>_xll.BDP("18856 HK Equity     ","WRT_EXER_DT")</f>
        <v>29/6/2016</v>
      </c>
      <c r="E59" t="str">
        <f>_xll.BDP("18856 HK Equity     ","WRT_PUT_OR_CALL")</f>
        <v>Call</v>
      </c>
      <c r="F59" t="str">
        <f>_xll.BDP("18856 HK Equity     ","TIME")</f>
        <v>27/5/2016</v>
      </c>
      <c r="G59">
        <f>_xll.BDP("18856 HK Equity     ","RT_PX_CHG_PCT_1D")</f>
        <v>0</v>
      </c>
      <c r="H59">
        <f>_xll.BDP("18856 HK Equity     ","RT_PX_CHG_NET_1D")</f>
        <v>0</v>
      </c>
      <c r="I59">
        <f>_xll.BDP("18856 HK Equity     ","VOLUME")</f>
        <v>0</v>
      </c>
      <c r="J59" t="str">
        <f>_xll.BDP("18856 HK Equity     ","BID")</f>
        <v>#N/A N/A</v>
      </c>
      <c r="K59">
        <f>_xll.BDP("18856 HK Equity     ","ASK")</f>
        <v>0.01</v>
      </c>
      <c r="M59" t="s">
        <v>68</v>
      </c>
      <c r="N59">
        <v>25118</v>
      </c>
      <c r="O59">
        <v>0.01</v>
      </c>
      <c r="P59" t="s">
        <v>245</v>
      </c>
      <c r="Q59" t="s">
        <v>250</v>
      </c>
      <c r="R59" t="s">
        <v>255</v>
      </c>
      <c r="S59">
        <v>0</v>
      </c>
      <c r="T59">
        <v>0</v>
      </c>
      <c r="U59">
        <v>0</v>
      </c>
      <c r="V59" t="s">
        <v>254</v>
      </c>
      <c r="W59">
        <v>0.01</v>
      </c>
    </row>
    <row r="60" spans="1:23">
      <c r="A60" t="s">
        <v>69</v>
      </c>
      <c r="B60">
        <f>_xll.BDP("19187 HK Equity     ","WRT_EXER_PX")</f>
        <v>22800</v>
      </c>
      <c r="C60">
        <f>_xll.BDP("19187 HK Equity     ","LAST_PRICE")</f>
        <v>0.41</v>
      </c>
      <c r="D60" t="str">
        <f>_xll.BDP("19187 HK Equity     ","WRT_EXER_DT")</f>
        <v>30/5/2016</v>
      </c>
      <c r="E60" t="str">
        <f>_xll.BDP("19187 HK Equity     ","WRT_PUT_OR_CALL")</f>
        <v>Put</v>
      </c>
      <c r="F60" t="str">
        <f>_xll.BDP("19187 HK Equity     ","TIME")</f>
        <v>27/5/2016</v>
      </c>
      <c r="G60">
        <f>_xll.BDP("19187 HK Equity     ","RT_PX_CHG_PCT_1D")</f>
        <v>0</v>
      </c>
      <c r="H60">
        <f>_xll.BDP("19187 HK Equity     ","RT_PX_CHG_NET_1D")</f>
        <v>0</v>
      </c>
      <c r="I60">
        <f>_xll.BDP("19187 HK Equity     ","VOLUME")</f>
        <v>0</v>
      </c>
      <c r="J60" t="str">
        <f>_xll.BDP("19187 HK Equity     ","BID")</f>
        <v>#N/A N/A</v>
      </c>
      <c r="K60" t="str">
        <f>_xll.BDP("19187 HK Equity     ","ASK")</f>
        <v>#N/A N/A</v>
      </c>
      <c r="M60" t="s">
        <v>69</v>
      </c>
      <c r="N60">
        <v>22800</v>
      </c>
      <c r="O60">
        <v>0.41</v>
      </c>
      <c r="P60" t="s">
        <v>247</v>
      </c>
      <c r="Q60" t="s">
        <v>251</v>
      </c>
      <c r="R60" t="s">
        <v>255</v>
      </c>
      <c r="S60">
        <v>0</v>
      </c>
      <c r="T60">
        <v>0</v>
      </c>
      <c r="U60">
        <v>0</v>
      </c>
      <c r="V60" t="s">
        <v>254</v>
      </c>
      <c r="W60" t="s">
        <v>254</v>
      </c>
    </row>
    <row r="61" spans="1:23">
      <c r="A61" t="s">
        <v>70</v>
      </c>
      <c r="B61">
        <f>_xll.BDP("20411 HK Equity     ","WRT_EXER_PX")</f>
        <v>23800</v>
      </c>
      <c r="C61">
        <f>_xll.BDP("20411 HK Equity     ","LAST_PRICE")</f>
        <v>0.01</v>
      </c>
      <c r="D61" t="str">
        <f>_xll.BDP("20411 HK Equity     ","WRT_EXER_DT")</f>
        <v>30/5/2016</v>
      </c>
      <c r="E61" t="str">
        <f>_xll.BDP("20411 HK Equity     ","WRT_PUT_OR_CALL")</f>
        <v>Call</v>
      </c>
      <c r="F61" t="str">
        <f>_xll.BDP("20411 HK Equity     ","TIME")</f>
        <v>27/5/2016</v>
      </c>
      <c r="G61">
        <f>_xll.BDP("20411 HK Equity     ","RT_PX_CHG_PCT_1D")</f>
        <v>0</v>
      </c>
      <c r="H61">
        <f>_xll.BDP("20411 HK Equity     ","RT_PX_CHG_NET_1D")</f>
        <v>0</v>
      </c>
      <c r="I61">
        <f>_xll.BDP("20411 HK Equity     ","VOLUME")</f>
        <v>0</v>
      </c>
      <c r="J61" t="str">
        <f>_xll.BDP("20411 HK Equity     ","BID")</f>
        <v>#N/A N/A</v>
      </c>
      <c r="K61" t="str">
        <f>_xll.BDP("20411 HK Equity     ","ASK")</f>
        <v>#N/A N/A</v>
      </c>
      <c r="M61" t="s">
        <v>70</v>
      </c>
      <c r="N61">
        <v>23800</v>
      </c>
      <c r="O61">
        <v>0.01</v>
      </c>
      <c r="P61" t="s">
        <v>247</v>
      </c>
      <c r="Q61" t="s">
        <v>250</v>
      </c>
      <c r="R61" t="s">
        <v>255</v>
      </c>
      <c r="S61">
        <v>0</v>
      </c>
      <c r="T61">
        <v>0</v>
      </c>
      <c r="U61">
        <v>0</v>
      </c>
      <c r="V61" t="s">
        <v>254</v>
      </c>
      <c r="W61" t="s">
        <v>254</v>
      </c>
    </row>
    <row r="62" spans="1:23">
      <c r="A62" t="s">
        <v>71</v>
      </c>
      <c r="B62">
        <f>_xll.BDP("20537 HK Equity     ","WRT_EXER_PX")</f>
        <v>24400</v>
      </c>
      <c r="C62">
        <f>_xll.BDP("20537 HK Equity     ","LAST_PRICE")</f>
        <v>1.2999999999999999E-2</v>
      </c>
      <c r="D62" t="str">
        <f>_xll.BDP("20537 HK Equity     ","WRT_EXER_DT")</f>
        <v>30/5/2016</v>
      </c>
      <c r="E62" t="str">
        <f>_xll.BDP("20537 HK Equity     ","WRT_PUT_OR_CALL")</f>
        <v>Call</v>
      </c>
      <c r="F62" t="str">
        <f>_xll.BDP("20537 HK Equity     ","TIME")</f>
        <v>27/5/2016</v>
      </c>
      <c r="G62">
        <f>_xll.BDP("20537 HK Equity     ","RT_PX_CHG_PCT_1D")</f>
        <v>0</v>
      </c>
      <c r="H62">
        <f>_xll.BDP("20537 HK Equity     ","RT_PX_CHG_NET_1D")</f>
        <v>0</v>
      </c>
      <c r="I62">
        <f>_xll.BDP("20537 HK Equity     ","VOLUME")</f>
        <v>0</v>
      </c>
      <c r="J62" t="str">
        <f>_xll.BDP("20537 HK Equity     ","BID")</f>
        <v>#N/A N/A</v>
      </c>
      <c r="K62" t="str">
        <f>_xll.BDP("20537 HK Equity     ","ASK")</f>
        <v>#N/A N/A</v>
      </c>
      <c r="M62" t="s">
        <v>71</v>
      </c>
      <c r="N62">
        <v>24400</v>
      </c>
      <c r="O62">
        <v>1.2999999999999999E-2</v>
      </c>
      <c r="P62" t="s">
        <v>247</v>
      </c>
      <c r="Q62" t="s">
        <v>250</v>
      </c>
      <c r="R62" t="s">
        <v>255</v>
      </c>
      <c r="S62">
        <v>0</v>
      </c>
      <c r="T62">
        <v>0</v>
      </c>
      <c r="U62">
        <v>0</v>
      </c>
      <c r="V62" t="s">
        <v>254</v>
      </c>
      <c r="W62" t="s">
        <v>254</v>
      </c>
    </row>
    <row r="63" spans="1:23">
      <c r="A63" t="s">
        <v>72</v>
      </c>
      <c r="B63">
        <f>_xll.BDP("20588 HK Equity     ","WRT_EXER_PX")</f>
        <v>25000</v>
      </c>
      <c r="C63" t="str">
        <f>_xll.BDP("20588 HK Equity     ","LAST_PRICE")</f>
        <v>#N/A N/A</v>
      </c>
      <c r="D63" t="str">
        <f>_xll.BDP("20588 HK Equity     ","WRT_EXER_DT")</f>
        <v>29/6/2016</v>
      </c>
      <c r="E63" t="str">
        <f>_xll.BDP("20588 HK Equity     ","WRT_PUT_OR_CALL")</f>
        <v>Call</v>
      </c>
      <c r="F63" t="str">
        <f>_xll.BDP("20588 HK Equity     ","TIME")</f>
        <v>#N/A N/A</v>
      </c>
      <c r="G63" t="str">
        <f>_xll.BDP("20588 HK Equity     ","RT_PX_CHG_PCT_1D")</f>
        <v>#N/A N/A</v>
      </c>
      <c r="H63" t="str">
        <f>_xll.BDP("20588 HK Equity     ","RT_PX_CHG_NET_1D")</f>
        <v>#N/A N/A</v>
      </c>
      <c r="I63" t="str">
        <f>_xll.BDP("20588 HK Equity     ","VOLUME")</f>
        <v>#N/A N/A</v>
      </c>
      <c r="J63" t="str">
        <f>_xll.BDP("20588 HK Equity     ","BID")</f>
        <v>#N/A N/A</v>
      </c>
      <c r="K63" t="str">
        <f>_xll.BDP("20588 HK Equity     ","ASK")</f>
        <v>#N/A N/A</v>
      </c>
      <c r="M63" t="s">
        <v>72</v>
      </c>
      <c r="N63">
        <v>25000</v>
      </c>
      <c r="O63" t="s">
        <v>254</v>
      </c>
      <c r="P63" t="s">
        <v>245</v>
      </c>
      <c r="Q63" t="s">
        <v>250</v>
      </c>
      <c r="R63" t="s">
        <v>254</v>
      </c>
      <c r="S63" t="s">
        <v>254</v>
      </c>
      <c r="T63" t="s">
        <v>254</v>
      </c>
      <c r="U63" t="s">
        <v>254</v>
      </c>
      <c r="V63" t="s">
        <v>254</v>
      </c>
      <c r="W63" t="s">
        <v>254</v>
      </c>
    </row>
    <row r="64" spans="1:23">
      <c r="A64" t="s">
        <v>73</v>
      </c>
      <c r="B64">
        <f>_xll.BDP("21009 HK Equity     ","WRT_EXER_PX")</f>
        <v>23500</v>
      </c>
      <c r="C64">
        <f>_xll.BDP("21009 HK Equity     ","LAST_PRICE")</f>
        <v>0.39</v>
      </c>
      <c r="D64" t="str">
        <f>_xll.BDP("21009 HK Equity     ","WRT_EXER_DT")</f>
        <v>29/6/2016</v>
      </c>
      <c r="E64" t="str">
        <f>_xll.BDP("21009 HK Equity     ","WRT_PUT_OR_CALL")</f>
        <v>Put</v>
      </c>
      <c r="F64" t="str">
        <f>_xll.BDP("21009 HK Equity     ","TIME")</f>
        <v>27/5/2016</v>
      </c>
      <c r="G64">
        <f>_xll.BDP("21009 HK Equity     ","RT_PX_CHG_PCT_1D")</f>
        <v>-6.0240999999999998</v>
      </c>
      <c r="H64">
        <f>_xll.BDP("21009 HK Equity     ","RT_PX_CHG_NET_1D")</f>
        <v>-2.5000000000000001E-2</v>
      </c>
      <c r="I64">
        <f>_xll.BDP("21009 HK Equity     ","VOLUME")</f>
        <v>120000</v>
      </c>
      <c r="J64">
        <f>_xll.BDP("21009 HK Equity     ","BID")</f>
        <v>0.375</v>
      </c>
      <c r="K64">
        <f>_xll.BDP("21009 HK Equity     ","ASK")</f>
        <v>0.4</v>
      </c>
      <c r="M64" t="s">
        <v>73</v>
      </c>
      <c r="N64">
        <v>23500</v>
      </c>
      <c r="O64">
        <v>0.39</v>
      </c>
      <c r="P64" t="s">
        <v>245</v>
      </c>
      <c r="Q64" t="s">
        <v>251</v>
      </c>
      <c r="R64" t="s">
        <v>255</v>
      </c>
      <c r="S64">
        <v>-6.0240999999999998</v>
      </c>
      <c r="T64">
        <v>-2.5000000000000001E-2</v>
      </c>
      <c r="U64">
        <v>120000</v>
      </c>
      <c r="V64">
        <v>0.375</v>
      </c>
      <c r="W64">
        <v>0.4</v>
      </c>
    </row>
    <row r="65" spans="1:23">
      <c r="A65" t="s">
        <v>74</v>
      </c>
      <c r="B65">
        <f>_xll.BDP("21875 HK Equity     ","WRT_EXER_PX")</f>
        <v>24400</v>
      </c>
      <c r="C65" t="str">
        <f>_xll.BDP("21875 HK Equity     ","LAST_PRICE")</f>
        <v>#N/A N/A</v>
      </c>
      <c r="D65" t="str">
        <f>_xll.BDP("21875 HK Equity     ","WRT_EXER_DT")</f>
        <v>30/5/2016</v>
      </c>
      <c r="E65" t="str">
        <f>_xll.BDP("21875 HK Equity     ","WRT_PUT_OR_CALL")</f>
        <v>Call</v>
      </c>
      <c r="F65" t="str">
        <f>_xll.BDP("21875 HK Equity     ","TIME")</f>
        <v>#N/A N/A</v>
      </c>
      <c r="G65" t="str">
        <f>_xll.BDP("21875 HK Equity     ","RT_PX_CHG_PCT_1D")</f>
        <v>#N/A N/A</v>
      </c>
      <c r="H65" t="str">
        <f>_xll.BDP("21875 HK Equity     ","RT_PX_CHG_NET_1D")</f>
        <v>#N/A N/A</v>
      </c>
      <c r="I65" t="str">
        <f>_xll.BDP("21875 HK Equity     ","VOLUME")</f>
        <v>#N/A N/A</v>
      </c>
      <c r="J65" t="str">
        <f>_xll.BDP("21875 HK Equity     ","BID")</f>
        <v>#N/A N/A</v>
      </c>
      <c r="K65" t="str">
        <f>_xll.BDP("21875 HK Equity     ","ASK")</f>
        <v>#N/A N/A</v>
      </c>
      <c r="M65" t="s">
        <v>74</v>
      </c>
      <c r="N65">
        <v>24400</v>
      </c>
      <c r="O65" t="s">
        <v>254</v>
      </c>
      <c r="P65" t="s">
        <v>247</v>
      </c>
      <c r="Q65" t="s">
        <v>250</v>
      </c>
      <c r="R65" t="s">
        <v>254</v>
      </c>
      <c r="S65" t="s">
        <v>254</v>
      </c>
      <c r="T65" t="s">
        <v>254</v>
      </c>
      <c r="U65" t="s">
        <v>254</v>
      </c>
      <c r="V65" t="s">
        <v>254</v>
      </c>
      <c r="W65" t="s">
        <v>254</v>
      </c>
    </row>
    <row r="66" spans="1:23">
      <c r="A66" t="s">
        <v>75</v>
      </c>
      <c r="B66">
        <f>_xll.BDP("22822 HK Equity     ","WRT_EXER_PX")</f>
        <v>20000</v>
      </c>
      <c r="C66">
        <f>_xll.BDP("22822 HK Equity     ","LAST_PRICE")</f>
        <v>5.1999999999999998E-2</v>
      </c>
      <c r="D66" t="str">
        <f>_xll.BDP("22822 HK Equity     ","WRT_EXER_DT")</f>
        <v>29/6/2016</v>
      </c>
      <c r="E66" t="str">
        <f>_xll.BDP("22822 HK Equity     ","WRT_PUT_OR_CALL")</f>
        <v>Put</v>
      </c>
      <c r="F66" t="str">
        <f>_xll.BDP("22822 HK Equity     ","TIME")</f>
        <v>27/5/2016</v>
      </c>
      <c r="G66">
        <f>_xll.BDP("22822 HK Equity     ","RT_PX_CHG_PCT_1D")</f>
        <v>-17.4603</v>
      </c>
      <c r="H66">
        <f>_xll.BDP("22822 HK Equity     ","RT_PX_CHG_NET_1D")</f>
        <v>-1.0999999999999999E-2</v>
      </c>
      <c r="I66">
        <f>_xll.BDP("22822 HK Equity     ","VOLUME")</f>
        <v>18290000</v>
      </c>
      <c r="J66">
        <f>_xll.BDP("22822 HK Equity     ","BID")</f>
        <v>5.0999999999999997E-2</v>
      </c>
      <c r="K66">
        <f>_xll.BDP("22822 HK Equity     ","ASK")</f>
        <v>5.3999999999999999E-2</v>
      </c>
      <c r="M66" t="s">
        <v>75</v>
      </c>
      <c r="N66">
        <v>20000</v>
      </c>
      <c r="O66">
        <v>5.1999999999999998E-2</v>
      </c>
      <c r="P66" t="s">
        <v>245</v>
      </c>
      <c r="Q66" t="s">
        <v>251</v>
      </c>
      <c r="R66" t="s">
        <v>255</v>
      </c>
      <c r="S66">
        <v>-17.4603</v>
      </c>
      <c r="T66">
        <v>-1.0999999999999999E-2</v>
      </c>
      <c r="U66">
        <v>18290000</v>
      </c>
      <c r="V66">
        <v>5.0999999999999997E-2</v>
      </c>
      <c r="W66">
        <v>5.3999999999999999E-2</v>
      </c>
    </row>
    <row r="67" spans="1:23">
      <c r="A67" t="s">
        <v>76</v>
      </c>
      <c r="B67">
        <f>_xll.BDP("23287 HK Equity     ","WRT_EXER_PX")</f>
        <v>22700</v>
      </c>
      <c r="C67">
        <f>_xll.BDP("23287 HK Equity     ","LAST_PRICE")</f>
        <v>0.01</v>
      </c>
      <c r="D67" t="str">
        <f>_xll.BDP("23287 HK Equity     ","WRT_EXER_DT")</f>
        <v>30/5/2016</v>
      </c>
      <c r="E67" t="str">
        <f>_xll.BDP("23287 HK Equity     ","WRT_PUT_OR_CALL")</f>
        <v>Call</v>
      </c>
      <c r="F67" t="str">
        <f>_xll.BDP("23287 HK Equity     ","TIME")</f>
        <v>27/5/2016</v>
      </c>
      <c r="G67">
        <f>_xll.BDP("23287 HK Equity     ","RT_PX_CHG_PCT_1D")</f>
        <v>0</v>
      </c>
      <c r="H67">
        <f>_xll.BDP("23287 HK Equity     ","RT_PX_CHG_NET_1D")</f>
        <v>0</v>
      </c>
      <c r="I67">
        <f>_xll.BDP("23287 HK Equity     ","VOLUME")</f>
        <v>0</v>
      </c>
      <c r="J67" t="str">
        <f>_xll.BDP("23287 HK Equity     ","BID")</f>
        <v>#N/A N/A</v>
      </c>
      <c r="K67" t="str">
        <f>_xll.BDP("23287 HK Equity     ","ASK")</f>
        <v>#N/A N/A</v>
      </c>
      <c r="M67" t="s">
        <v>76</v>
      </c>
      <c r="N67">
        <v>22700</v>
      </c>
      <c r="O67">
        <v>0.01</v>
      </c>
      <c r="P67" t="s">
        <v>247</v>
      </c>
      <c r="Q67" t="s">
        <v>250</v>
      </c>
      <c r="R67" t="s">
        <v>255</v>
      </c>
      <c r="S67">
        <v>0</v>
      </c>
      <c r="T67">
        <v>0</v>
      </c>
      <c r="U67">
        <v>0</v>
      </c>
      <c r="V67" t="s">
        <v>254</v>
      </c>
      <c r="W67" t="s">
        <v>254</v>
      </c>
    </row>
    <row r="68" spans="1:23">
      <c r="A68" t="s">
        <v>77</v>
      </c>
      <c r="B68">
        <f>_xll.BDP("23522 HK Equity     ","WRT_EXER_PX")</f>
        <v>22600</v>
      </c>
      <c r="C68">
        <f>_xll.BDP("23522 HK Equity     ","LAST_PRICE")</f>
        <v>1.7000000000000001E-2</v>
      </c>
      <c r="D68" t="str">
        <f>_xll.BDP("23522 HK Equity     ","WRT_EXER_DT")</f>
        <v>30/8/2016</v>
      </c>
      <c r="E68" t="str">
        <f>_xll.BDP("23522 HK Equity     ","WRT_PUT_OR_CALL")</f>
        <v>Call</v>
      </c>
      <c r="F68" t="str">
        <f>_xll.BDP("23522 HK Equity     ","TIME")</f>
        <v>27/5/2016</v>
      </c>
      <c r="G68">
        <f>_xll.BDP("23522 HK Equity     ","RT_PX_CHG_PCT_1D")</f>
        <v>13.333299999999999</v>
      </c>
      <c r="H68">
        <f>_xll.BDP("23522 HK Equity     ","RT_PX_CHG_NET_1D")</f>
        <v>2E-3</v>
      </c>
      <c r="I68">
        <f>_xll.BDP("23522 HK Equity     ","VOLUME")</f>
        <v>0</v>
      </c>
      <c r="J68" t="str">
        <f>_xll.BDP("23522 HK Equity     ","BID")</f>
        <v>#N/A N/A</v>
      </c>
      <c r="K68" t="str">
        <f>_xll.BDP("23522 HK Equity     ","ASK")</f>
        <v>#N/A N/A</v>
      </c>
      <c r="M68" t="s">
        <v>77</v>
      </c>
      <c r="N68">
        <v>22600</v>
      </c>
      <c r="O68">
        <v>1.7000000000000001E-2</v>
      </c>
      <c r="P68" t="s">
        <v>248</v>
      </c>
      <c r="Q68" t="s">
        <v>250</v>
      </c>
      <c r="R68" t="s">
        <v>255</v>
      </c>
      <c r="S68">
        <v>13.333299999999999</v>
      </c>
      <c r="T68">
        <v>2E-3</v>
      </c>
      <c r="U68">
        <v>0</v>
      </c>
      <c r="V68" t="s">
        <v>254</v>
      </c>
      <c r="W68" t="s">
        <v>254</v>
      </c>
    </row>
    <row r="69" spans="1:23">
      <c r="A69" t="s">
        <v>78</v>
      </c>
      <c r="B69">
        <f>_xll.BDP("23538 HK Equity     ","WRT_EXER_PX")</f>
        <v>20600</v>
      </c>
      <c r="C69">
        <f>_xll.BDP("23538 HK Equity     ","LAST_PRICE")</f>
        <v>0.17399999999999999</v>
      </c>
      <c r="D69" t="str">
        <f>_xll.BDP("23538 HK Equity     ","WRT_EXER_DT")</f>
        <v>29/9/2016</v>
      </c>
      <c r="E69" t="str">
        <f>_xll.BDP("23538 HK Equity     ","WRT_PUT_OR_CALL")</f>
        <v>Put</v>
      </c>
      <c r="F69" t="str">
        <f>_xll.BDP("23538 HK Equity     ","TIME")</f>
        <v>27/5/2016</v>
      </c>
      <c r="G69">
        <f>_xll.BDP("23538 HK Equity     ","RT_PX_CHG_PCT_1D")</f>
        <v>-7.9365100000000002</v>
      </c>
      <c r="H69">
        <f>_xll.BDP("23538 HK Equity     ","RT_PX_CHG_NET_1D")</f>
        <v>-1.4999999999999999E-2</v>
      </c>
      <c r="I69">
        <f>_xll.BDP("23538 HK Equity     ","VOLUME")</f>
        <v>980000</v>
      </c>
      <c r="J69">
        <f>_xll.BDP("23538 HK Equity     ","BID")</f>
        <v>0.17100000000000001</v>
      </c>
      <c r="K69">
        <f>_xll.BDP("23538 HK Equity     ","ASK")</f>
        <v>0.21</v>
      </c>
      <c r="M69" t="s">
        <v>78</v>
      </c>
      <c r="N69">
        <v>20600</v>
      </c>
      <c r="O69">
        <v>0.17399999999999999</v>
      </c>
      <c r="P69" t="s">
        <v>246</v>
      </c>
      <c r="Q69" t="s">
        <v>251</v>
      </c>
      <c r="R69" t="s">
        <v>255</v>
      </c>
      <c r="S69">
        <v>-7.9365100000000002</v>
      </c>
      <c r="T69">
        <v>-1.4999999999999999E-2</v>
      </c>
      <c r="U69">
        <v>980000</v>
      </c>
      <c r="V69">
        <v>0.17100000000000001</v>
      </c>
      <c r="W69">
        <v>0.21</v>
      </c>
    </row>
    <row r="70" spans="1:23">
      <c r="A70" t="s">
        <v>79</v>
      </c>
      <c r="B70">
        <f>_xll.BDP("24108 HK Equity     ","WRT_EXER_PX")</f>
        <v>23200</v>
      </c>
      <c r="C70">
        <f>_xll.BDP("24108 HK Equity     ","LAST_PRICE")</f>
        <v>1.7999999999999999E-2</v>
      </c>
      <c r="D70" t="str">
        <f>_xll.BDP("24108 HK Equity     ","WRT_EXER_DT")</f>
        <v>29/9/2016</v>
      </c>
      <c r="E70" t="str">
        <f>_xll.BDP("24108 HK Equity     ","WRT_PUT_OR_CALL")</f>
        <v>Call</v>
      </c>
      <c r="F70" t="str">
        <f>_xll.BDP("24108 HK Equity     ","TIME")</f>
        <v>27/5/2016</v>
      </c>
      <c r="G70">
        <f>_xll.BDP("24108 HK Equity     ","RT_PX_CHG_PCT_1D")</f>
        <v>12.5</v>
      </c>
      <c r="H70">
        <f>_xll.BDP("24108 HK Equity     ","RT_PX_CHG_NET_1D")</f>
        <v>2E-3</v>
      </c>
      <c r="I70">
        <f>_xll.BDP("24108 HK Equity     ","VOLUME")</f>
        <v>1520000</v>
      </c>
      <c r="J70">
        <f>_xll.BDP("24108 HK Equity     ","BID")</f>
        <v>1.4999999999999999E-2</v>
      </c>
      <c r="K70">
        <f>_xll.BDP("24108 HK Equity     ","ASK")</f>
        <v>0.02</v>
      </c>
      <c r="M70" t="s">
        <v>79</v>
      </c>
      <c r="N70">
        <v>23200</v>
      </c>
      <c r="O70">
        <v>1.7999999999999999E-2</v>
      </c>
      <c r="P70" t="s">
        <v>246</v>
      </c>
      <c r="Q70" t="s">
        <v>250</v>
      </c>
      <c r="R70" t="s">
        <v>255</v>
      </c>
      <c r="S70">
        <v>12.5</v>
      </c>
      <c r="T70">
        <v>2E-3</v>
      </c>
      <c r="U70">
        <v>1520000</v>
      </c>
      <c r="V70">
        <v>1.4999999999999999E-2</v>
      </c>
      <c r="W70">
        <v>0.02</v>
      </c>
    </row>
    <row r="71" spans="1:23">
      <c r="A71" t="s">
        <v>80</v>
      </c>
      <c r="B71">
        <f>_xll.BDP("24166 HK Equity     ","WRT_EXER_PX")</f>
        <v>22000</v>
      </c>
      <c r="C71">
        <f>_xll.BDP("24166 HK Equity     ","LAST_PRICE")</f>
        <v>0.01</v>
      </c>
      <c r="D71" t="str">
        <f>_xll.BDP("24166 HK Equity     ","WRT_EXER_DT")</f>
        <v>29/6/2016</v>
      </c>
      <c r="E71" t="str">
        <f>_xll.BDP("24166 HK Equity     ","WRT_PUT_OR_CALL")</f>
        <v>Call</v>
      </c>
      <c r="F71" t="str">
        <f>_xll.BDP("24166 HK Equity     ","TIME")</f>
        <v>27/5/2016</v>
      </c>
      <c r="G71">
        <f>_xll.BDP("24166 HK Equity     ","RT_PX_CHG_PCT_1D")</f>
        <v>0</v>
      </c>
      <c r="H71">
        <f>_xll.BDP("24166 HK Equity     ","RT_PX_CHG_NET_1D")</f>
        <v>0</v>
      </c>
      <c r="I71">
        <f>_xll.BDP("24166 HK Equity     ","VOLUME")</f>
        <v>0</v>
      </c>
      <c r="J71" t="str">
        <f>_xll.BDP("24166 HK Equity     ","BID")</f>
        <v>#N/A N/A</v>
      </c>
      <c r="K71">
        <f>_xll.BDP("24166 HK Equity     ","ASK")</f>
        <v>0.01</v>
      </c>
      <c r="M71" t="s">
        <v>80</v>
      </c>
      <c r="N71">
        <v>22000</v>
      </c>
      <c r="O71">
        <v>0.01</v>
      </c>
      <c r="P71" t="s">
        <v>245</v>
      </c>
      <c r="Q71" t="s">
        <v>250</v>
      </c>
      <c r="R71" t="s">
        <v>255</v>
      </c>
      <c r="S71">
        <v>0</v>
      </c>
      <c r="T71">
        <v>0</v>
      </c>
      <c r="U71">
        <v>0</v>
      </c>
      <c r="V71" t="s">
        <v>254</v>
      </c>
      <c r="W71">
        <v>0.01</v>
      </c>
    </row>
    <row r="72" spans="1:23">
      <c r="A72" t="s">
        <v>81</v>
      </c>
      <c r="B72">
        <f>_xll.BDP("24262 HK Equity     ","WRT_EXER_PX")</f>
        <v>21100</v>
      </c>
      <c r="C72">
        <f>_xll.BDP("24262 HK Equity     ","LAST_PRICE")</f>
        <v>1.4999999999999999E-2</v>
      </c>
      <c r="D72" t="str">
        <f>_xll.BDP("24262 HK Equity     ","WRT_EXER_DT")</f>
        <v>29/6/2016</v>
      </c>
      <c r="E72" t="str">
        <f>_xll.BDP("24262 HK Equity     ","WRT_PUT_OR_CALL")</f>
        <v>Call</v>
      </c>
      <c r="F72" t="str">
        <f>_xll.BDP("24262 HK Equity     ","TIME")</f>
        <v>27/5/2016</v>
      </c>
      <c r="G72">
        <f>_xll.BDP("24262 HK Equity     ","RT_PX_CHG_PCT_1D")</f>
        <v>50</v>
      </c>
      <c r="H72">
        <f>_xll.BDP("24262 HK Equity     ","RT_PX_CHG_NET_1D")</f>
        <v>5.0000000000000001E-3</v>
      </c>
      <c r="I72">
        <f>_xll.BDP("24262 HK Equity     ","VOLUME")</f>
        <v>3960000</v>
      </c>
      <c r="J72">
        <f>_xll.BDP("24262 HK Equity     ","BID")</f>
        <v>1.2E-2</v>
      </c>
      <c r="K72">
        <f>_xll.BDP("24262 HK Equity     ","ASK")</f>
        <v>1.7999999999999999E-2</v>
      </c>
      <c r="M72" t="s">
        <v>81</v>
      </c>
      <c r="N72">
        <v>21100</v>
      </c>
      <c r="O72">
        <v>1.4999999999999999E-2</v>
      </c>
      <c r="P72" t="s">
        <v>245</v>
      </c>
      <c r="Q72" t="s">
        <v>250</v>
      </c>
      <c r="R72" t="s">
        <v>255</v>
      </c>
      <c r="S72">
        <v>50</v>
      </c>
      <c r="T72">
        <v>5.0000000000000001E-3</v>
      </c>
      <c r="U72">
        <v>3960000</v>
      </c>
      <c r="V72">
        <v>1.2E-2</v>
      </c>
      <c r="W72">
        <v>1.7999999999999999E-2</v>
      </c>
    </row>
    <row r="73" spans="1:23">
      <c r="A73" t="s">
        <v>82</v>
      </c>
      <c r="B73">
        <f>_xll.BDP("24315 HK Equity     ","WRT_EXER_PX")</f>
        <v>20000</v>
      </c>
      <c r="C73">
        <f>_xll.BDP("24315 HK Equity     ","LAST_PRICE")</f>
        <v>7.3999999999999996E-2</v>
      </c>
      <c r="D73" t="str">
        <f>_xll.BDP("24315 HK Equity     ","WRT_EXER_DT")</f>
        <v>29/6/2016</v>
      </c>
      <c r="E73" t="str">
        <f>_xll.BDP("24315 HK Equity     ","WRT_PUT_OR_CALL")</f>
        <v>Call</v>
      </c>
      <c r="F73" t="str">
        <f>_xll.BDP("24315 HK Equity     ","TIME")</f>
        <v>27/5/2016</v>
      </c>
      <c r="G73">
        <f>_xll.BDP("24315 HK Equity     ","RT_PX_CHG_PCT_1D")</f>
        <v>23.333300000000001</v>
      </c>
      <c r="H73">
        <f>_xll.BDP("24315 HK Equity     ","RT_PX_CHG_NET_1D")</f>
        <v>1.4E-2</v>
      </c>
      <c r="I73">
        <f>_xll.BDP("24315 HK Equity     ","VOLUME")</f>
        <v>19750000</v>
      </c>
      <c r="J73">
        <f>_xll.BDP("24315 HK Equity     ","BID")</f>
        <v>6.9000000000000006E-2</v>
      </c>
      <c r="K73">
        <f>_xll.BDP("24315 HK Equity     ","ASK")</f>
        <v>7.3999999999999996E-2</v>
      </c>
      <c r="M73" t="s">
        <v>82</v>
      </c>
      <c r="N73">
        <v>20000</v>
      </c>
      <c r="O73">
        <v>7.3999999999999996E-2</v>
      </c>
      <c r="P73" t="s">
        <v>245</v>
      </c>
      <c r="Q73" t="s">
        <v>250</v>
      </c>
      <c r="R73" t="s">
        <v>255</v>
      </c>
      <c r="S73">
        <v>23.333300000000001</v>
      </c>
      <c r="T73">
        <v>1.4E-2</v>
      </c>
      <c r="U73">
        <v>19750000</v>
      </c>
      <c r="V73">
        <v>6.9000000000000006E-2</v>
      </c>
      <c r="W73">
        <v>7.3999999999999996E-2</v>
      </c>
    </row>
    <row r="74" spans="1:23">
      <c r="A74" t="s">
        <v>83</v>
      </c>
      <c r="B74">
        <f>_xll.BDP("24427 HK Equity     ","WRT_EXER_PX")</f>
        <v>21500</v>
      </c>
      <c r="C74">
        <f>_xll.BDP("24427 HK Equity     ","LAST_PRICE")</f>
        <v>0.184</v>
      </c>
      <c r="D74" t="str">
        <f>_xll.BDP("24427 HK Equity     ","WRT_EXER_DT")</f>
        <v>28/7/2016</v>
      </c>
      <c r="E74" t="str">
        <f>_xll.BDP("24427 HK Equity     ","WRT_PUT_OR_CALL")</f>
        <v>Put</v>
      </c>
      <c r="F74" t="str">
        <f>_xll.BDP("24427 HK Equity     ","TIME")</f>
        <v>27/5/2016</v>
      </c>
      <c r="G74">
        <f>_xll.BDP("24427 HK Equity     ","RT_PX_CHG_PCT_1D")</f>
        <v>-9.8039199999999997</v>
      </c>
      <c r="H74">
        <f>_xll.BDP("24427 HK Equity     ","RT_PX_CHG_NET_1D")</f>
        <v>-0.02</v>
      </c>
      <c r="I74">
        <f>_xll.BDP("24427 HK Equity     ","VOLUME")</f>
        <v>0</v>
      </c>
      <c r="J74">
        <f>_xll.BDP("24427 HK Equity     ","BID")</f>
        <v>0.17899999999999999</v>
      </c>
      <c r="K74">
        <f>_xll.BDP("24427 HK Equity     ","ASK")</f>
        <v>0.184</v>
      </c>
      <c r="M74" t="s">
        <v>83</v>
      </c>
      <c r="N74">
        <v>21500</v>
      </c>
      <c r="O74">
        <v>0.184</v>
      </c>
      <c r="P74" t="s">
        <v>244</v>
      </c>
      <c r="Q74" t="s">
        <v>251</v>
      </c>
      <c r="R74" t="s">
        <v>255</v>
      </c>
      <c r="S74">
        <v>-9.8039199999999997</v>
      </c>
      <c r="T74">
        <v>-0.02</v>
      </c>
      <c r="U74">
        <v>0</v>
      </c>
      <c r="V74">
        <v>0.17899999999999999</v>
      </c>
      <c r="W74">
        <v>0.184</v>
      </c>
    </row>
    <row r="75" spans="1:23">
      <c r="A75" t="s">
        <v>84</v>
      </c>
      <c r="B75">
        <f>_xll.BDP("24688 HK Equity     ","WRT_EXER_PX")</f>
        <v>22200</v>
      </c>
      <c r="C75">
        <f>_xll.BDP("24688 HK Equity     ","LAST_PRICE")</f>
        <v>0.01</v>
      </c>
      <c r="D75" t="str">
        <f>_xll.BDP("24688 HK Equity     ","WRT_EXER_DT")</f>
        <v>29/6/2016</v>
      </c>
      <c r="E75" t="str">
        <f>_xll.BDP("24688 HK Equity     ","WRT_PUT_OR_CALL")</f>
        <v>Call</v>
      </c>
      <c r="F75" t="str">
        <f>_xll.BDP("24688 HK Equity     ","TIME")</f>
        <v>27/5/2016</v>
      </c>
      <c r="G75">
        <f>_xll.BDP("24688 HK Equity     ","RT_PX_CHG_PCT_1D")</f>
        <v>0</v>
      </c>
      <c r="H75">
        <f>_xll.BDP("24688 HK Equity     ","RT_PX_CHG_NET_1D")</f>
        <v>0</v>
      </c>
      <c r="I75">
        <f>_xll.BDP("24688 HK Equity     ","VOLUME")</f>
        <v>0</v>
      </c>
      <c r="J75" t="str">
        <f>_xll.BDP("24688 HK Equity     ","BID")</f>
        <v>#N/A N/A</v>
      </c>
      <c r="K75">
        <f>_xll.BDP("24688 HK Equity     ","ASK")</f>
        <v>0.01</v>
      </c>
      <c r="M75" t="s">
        <v>84</v>
      </c>
      <c r="N75">
        <v>22200</v>
      </c>
      <c r="O75">
        <v>0.01</v>
      </c>
      <c r="P75" t="s">
        <v>245</v>
      </c>
      <c r="Q75" t="s">
        <v>250</v>
      </c>
      <c r="R75" t="s">
        <v>255</v>
      </c>
      <c r="S75">
        <v>0</v>
      </c>
      <c r="T75">
        <v>0</v>
      </c>
      <c r="U75">
        <v>0</v>
      </c>
      <c r="V75" t="s">
        <v>254</v>
      </c>
      <c r="W75">
        <v>0.01</v>
      </c>
    </row>
    <row r="76" spans="1:23">
      <c r="A76" t="s">
        <v>85</v>
      </c>
      <c r="B76">
        <f>_xll.BDP("24831 HK Equity     ","WRT_EXER_PX")</f>
        <v>21600</v>
      </c>
      <c r="C76">
        <f>_xll.BDP("24831 HK Equity     ","LAST_PRICE")</f>
        <v>0.223</v>
      </c>
      <c r="D76" t="str">
        <f>_xll.BDP("24831 HK Equity     ","WRT_EXER_DT")</f>
        <v>29/6/2016</v>
      </c>
      <c r="E76" t="str">
        <f>_xll.BDP("24831 HK Equity     ","WRT_PUT_OR_CALL")</f>
        <v>Put</v>
      </c>
      <c r="F76" t="str">
        <f>_xll.BDP("24831 HK Equity     ","TIME")</f>
        <v>27/5/2016</v>
      </c>
      <c r="G76">
        <f>_xll.BDP("24831 HK Equity     ","RT_PX_CHG_PCT_1D")</f>
        <v>-9.3495899999999992</v>
      </c>
      <c r="H76">
        <f>_xll.BDP("24831 HK Equity     ","RT_PX_CHG_NET_1D")</f>
        <v>-2.3E-2</v>
      </c>
      <c r="I76">
        <f>_xll.BDP("24831 HK Equity     ","VOLUME")</f>
        <v>0</v>
      </c>
      <c r="J76">
        <f>_xll.BDP("24831 HK Equity     ","BID")</f>
        <v>0.222</v>
      </c>
      <c r="K76">
        <f>_xll.BDP("24831 HK Equity     ","ASK")</f>
        <v>0.224</v>
      </c>
      <c r="M76" t="s">
        <v>85</v>
      </c>
      <c r="N76">
        <v>21600</v>
      </c>
      <c r="O76">
        <v>0.223</v>
      </c>
      <c r="P76" t="s">
        <v>245</v>
      </c>
      <c r="Q76" t="s">
        <v>251</v>
      </c>
      <c r="R76" t="s">
        <v>255</v>
      </c>
      <c r="S76">
        <v>-9.3495899999999992</v>
      </c>
      <c r="T76">
        <v>-2.3E-2</v>
      </c>
      <c r="U76">
        <v>0</v>
      </c>
      <c r="V76">
        <v>0.222</v>
      </c>
      <c r="W76">
        <v>0.224</v>
      </c>
    </row>
    <row r="77" spans="1:23">
      <c r="A77" t="s">
        <v>86</v>
      </c>
      <c r="B77">
        <f>_xll.BDP("25195 HK Equity     ","WRT_EXER_PX")</f>
        <v>18908</v>
      </c>
      <c r="C77">
        <f>_xll.BDP("25195 HK Equity     ","LAST_PRICE")</f>
        <v>1.7999999999999999E-2</v>
      </c>
      <c r="D77" t="str">
        <f>_xll.BDP("25195 HK Equity     ","WRT_EXER_DT")</f>
        <v>29/6/2016</v>
      </c>
      <c r="E77" t="str">
        <f>_xll.BDP("25195 HK Equity     ","WRT_PUT_OR_CALL")</f>
        <v>Put</v>
      </c>
      <c r="F77" t="str">
        <f>_xll.BDP("25195 HK Equity     ","TIME")</f>
        <v>27/5/2016</v>
      </c>
      <c r="G77">
        <f>_xll.BDP("25195 HK Equity     ","RT_PX_CHG_PCT_1D")</f>
        <v>-21.739100000000001</v>
      </c>
      <c r="H77">
        <f>_xll.BDP("25195 HK Equity     ","RT_PX_CHG_NET_1D")</f>
        <v>-5.0000000000000001E-3</v>
      </c>
      <c r="I77">
        <f>_xll.BDP("25195 HK Equity     ","VOLUME")</f>
        <v>1230000</v>
      </c>
      <c r="J77">
        <f>_xll.BDP("25195 HK Equity     ","BID")</f>
        <v>1.4999999999999999E-2</v>
      </c>
      <c r="K77">
        <f>_xll.BDP("25195 HK Equity     ","ASK")</f>
        <v>3.5000000000000003E-2</v>
      </c>
      <c r="M77" t="s">
        <v>86</v>
      </c>
      <c r="N77">
        <v>18908</v>
      </c>
      <c r="O77">
        <v>1.7999999999999999E-2</v>
      </c>
      <c r="P77" t="s">
        <v>245</v>
      </c>
      <c r="Q77" t="s">
        <v>251</v>
      </c>
      <c r="R77" t="s">
        <v>255</v>
      </c>
      <c r="S77">
        <v>-21.739100000000001</v>
      </c>
      <c r="T77">
        <v>-5.0000000000000001E-3</v>
      </c>
      <c r="U77">
        <v>1230000</v>
      </c>
      <c r="V77">
        <v>1.4999999999999999E-2</v>
      </c>
      <c r="W77">
        <v>3.5000000000000003E-2</v>
      </c>
    </row>
    <row r="78" spans="1:23">
      <c r="A78" t="s">
        <v>87</v>
      </c>
      <c r="B78">
        <f>_xll.BDP("25270 HK Equity     ","WRT_EXER_PX")</f>
        <v>20800</v>
      </c>
      <c r="C78">
        <f>_xll.BDP("25270 HK Equity     ","LAST_PRICE")</f>
        <v>6.6000000000000003E-2</v>
      </c>
      <c r="D78" t="str">
        <f>_xll.BDP("25270 HK Equity     ","WRT_EXER_DT")</f>
        <v>28/7/2016</v>
      </c>
      <c r="E78" t="str">
        <f>_xll.BDP("25270 HK Equity     ","WRT_PUT_OR_CALL")</f>
        <v>Call</v>
      </c>
      <c r="F78" t="str">
        <f>_xll.BDP("25270 HK Equity     ","TIME")</f>
        <v>27/5/2016</v>
      </c>
      <c r="G78">
        <f>_xll.BDP("25270 HK Equity     ","RT_PX_CHG_PCT_1D")</f>
        <v>24.528299000000001</v>
      </c>
      <c r="H78">
        <f>_xll.BDP("25270 HK Equity     ","RT_PX_CHG_NET_1D")</f>
        <v>1.2999999999999999E-2</v>
      </c>
      <c r="I78">
        <f>_xll.BDP("25270 HK Equity     ","VOLUME")</f>
        <v>4360000</v>
      </c>
      <c r="J78">
        <f>_xll.BDP("25270 HK Equity     ","BID")</f>
        <v>0.05</v>
      </c>
      <c r="K78" t="str">
        <f>_xll.BDP("25270 HK Equity     ","ASK")</f>
        <v>#N/A N/A</v>
      </c>
      <c r="M78" t="s">
        <v>87</v>
      </c>
      <c r="N78">
        <v>20800</v>
      </c>
      <c r="O78">
        <v>6.6000000000000003E-2</v>
      </c>
      <c r="P78" t="s">
        <v>244</v>
      </c>
      <c r="Q78" t="s">
        <v>250</v>
      </c>
      <c r="R78" t="s">
        <v>255</v>
      </c>
      <c r="S78">
        <v>24.528299000000001</v>
      </c>
      <c r="T78">
        <v>1.2999999999999999E-2</v>
      </c>
      <c r="U78">
        <v>4360000</v>
      </c>
      <c r="V78">
        <v>0.05</v>
      </c>
      <c r="W78" t="s">
        <v>254</v>
      </c>
    </row>
    <row r="79" spans="1:23">
      <c r="A79" t="s">
        <v>88</v>
      </c>
      <c r="B79">
        <f>_xll.BDP("25326 HK Equity     ","WRT_EXER_PX")</f>
        <v>20400</v>
      </c>
      <c r="C79">
        <f>_xll.BDP("25326 HK Equity     ","LAST_PRICE")</f>
        <v>8.6999999999999994E-2</v>
      </c>
      <c r="D79" t="str">
        <f>_xll.BDP("25326 HK Equity     ","WRT_EXER_DT")</f>
        <v>28/7/2016</v>
      </c>
      <c r="E79" t="str">
        <f>_xll.BDP("25326 HK Equity     ","WRT_PUT_OR_CALL")</f>
        <v>Call</v>
      </c>
      <c r="F79" t="str">
        <f>_xll.BDP("25326 HK Equity     ","TIME")</f>
        <v>27/5/2016</v>
      </c>
      <c r="G79">
        <f>_xll.BDP("25326 HK Equity     ","RT_PX_CHG_PCT_1D")</f>
        <v>20.833300000000001</v>
      </c>
      <c r="H79">
        <f>_xll.BDP("25326 HK Equity     ","RT_PX_CHG_NET_1D")</f>
        <v>1.4999999999999999E-2</v>
      </c>
      <c r="I79">
        <f>_xll.BDP("25326 HK Equity     ","VOLUME")</f>
        <v>41530000</v>
      </c>
      <c r="J79">
        <f>_xll.BDP("25326 HK Equity     ","BID")</f>
        <v>8.4000000000000005E-2</v>
      </c>
      <c r="K79">
        <f>_xll.BDP("25326 HK Equity     ","ASK")</f>
        <v>8.6999999999999994E-2</v>
      </c>
      <c r="M79" t="s">
        <v>88</v>
      </c>
      <c r="N79">
        <v>20400</v>
      </c>
      <c r="O79">
        <v>8.6999999999999994E-2</v>
      </c>
      <c r="P79" t="s">
        <v>244</v>
      </c>
      <c r="Q79" t="s">
        <v>250</v>
      </c>
      <c r="R79" t="s">
        <v>255</v>
      </c>
      <c r="S79">
        <v>20.833300000000001</v>
      </c>
      <c r="T79">
        <v>1.4999999999999999E-2</v>
      </c>
      <c r="U79">
        <v>41530000</v>
      </c>
      <c r="V79">
        <v>8.4000000000000005E-2</v>
      </c>
      <c r="W79">
        <v>8.6999999999999994E-2</v>
      </c>
    </row>
    <row r="80" spans="1:23">
      <c r="A80" t="s">
        <v>89</v>
      </c>
      <c r="B80">
        <f>_xll.BDP("25376 HK Equity     ","WRT_EXER_PX")</f>
        <v>19600</v>
      </c>
      <c r="C80">
        <f>_xll.BDP("25376 HK Equity     ","LAST_PRICE")</f>
        <v>3.5000000000000003E-2</v>
      </c>
      <c r="D80" t="str">
        <f>_xll.BDP("25376 HK Equity     ","WRT_EXER_DT")</f>
        <v>30/5/2016</v>
      </c>
      <c r="E80" t="str">
        <f>_xll.BDP("25376 HK Equity     ","WRT_PUT_OR_CALL")</f>
        <v>Call</v>
      </c>
      <c r="F80" t="str">
        <f>_xll.BDP("25376 HK Equity     ","TIME")</f>
        <v>27/5/2016</v>
      </c>
      <c r="G80">
        <f>_xll.BDP("25376 HK Equity     ","RT_PX_CHG_PCT_1D")</f>
        <v>0</v>
      </c>
      <c r="H80">
        <f>_xll.BDP("25376 HK Equity     ","RT_PX_CHG_NET_1D")</f>
        <v>0</v>
      </c>
      <c r="I80">
        <f>_xll.BDP("25376 HK Equity     ","VOLUME")</f>
        <v>0</v>
      </c>
      <c r="J80" t="str">
        <f>_xll.BDP("25376 HK Equity     ","BID")</f>
        <v>#N/A N/A</v>
      </c>
      <c r="K80" t="str">
        <f>_xll.BDP("25376 HK Equity     ","ASK")</f>
        <v>#N/A N/A</v>
      </c>
      <c r="M80" t="s">
        <v>89</v>
      </c>
      <c r="N80">
        <v>19600</v>
      </c>
      <c r="O80">
        <v>3.5000000000000003E-2</v>
      </c>
      <c r="P80" t="s">
        <v>247</v>
      </c>
      <c r="Q80" t="s">
        <v>250</v>
      </c>
      <c r="R80" t="s">
        <v>255</v>
      </c>
      <c r="S80">
        <v>0</v>
      </c>
      <c r="T80">
        <v>0</v>
      </c>
      <c r="U80">
        <v>0</v>
      </c>
      <c r="V80" t="s">
        <v>254</v>
      </c>
      <c r="W80" t="s">
        <v>254</v>
      </c>
    </row>
    <row r="81" spans="1:23">
      <c r="A81" t="s">
        <v>90</v>
      </c>
      <c r="B81">
        <f>_xll.BDP("25473 HK Equity     ","WRT_EXER_PX")</f>
        <v>20000</v>
      </c>
      <c r="C81">
        <f>_xll.BDP("25473 HK Equity     ","LAST_PRICE")</f>
        <v>7.4999999999999997E-2</v>
      </c>
      <c r="D81" t="str">
        <f>_xll.BDP("25473 HK Equity     ","WRT_EXER_DT")</f>
        <v>29/6/2016</v>
      </c>
      <c r="E81" t="str">
        <f>_xll.BDP("25473 HK Equity     ","WRT_PUT_OR_CALL")</f>
        <v>Call</v>
      </c>
      <c r="F81" t="str">
        <f>_xll.BDP("25473 HK Equity     ","TIME")</f>
        <v>27/5/2016</v>
      </c>
      <c r="G81">
        <f>_xll.BDP("25473 HK Equity     ","RT_PX_CHG_PCT_1D")</f>
        <v>20.967699</v>
      </c>
      <c r="H81">
        <f>_xll.BDP("25473 HK Equity     ","RT_PX_CHG_NET_1D")</f>
        <v>1.2999999999999999E-2</v>
      </c>
      <c r="I81">
        <f>_xll.BDP("25473 HK Equity     ","VOLUME")</f>
        <v>30120000</v>
      </c>
      <c r="J81">
        <f>_xll.BDP("25473 HK Equity     ","BID")</f>
        <v>7.2999999999999995E-2</v>
      </c>
      <c r="K81">
        <f>_xll.BDP("25473 HK Equity     ","ASK")</f>
        <v>7.4999999999999997E-2</v>
      </c>
      <c r="M81" t="s">
        <v>90</v>
      </c>
      <c r="N81">
        <v>20000</v>
      </c>
      <c r="O81">
        <v>7.4999999999999997E-2</v>
      </c>
      <c r="P81" t="s">
        <v>245</v>
      </c>
      <c r="Q81" t="s">
        <v>250</v>
      </c>
      <c r="R81" t="s">
        <v>255</v>
      </c>
      <c r="S81">
        <v>20.967699</v>
      </c>
      <c r="T81">
        <v>1.2999999999999999E-2</v>
      </c>
      <c r="U81">
        <v>30120000</v>
      </c>
      <c r="V81">
        <v>7.2999999999999995E-2</v>
      </c>
      <c r="W81">
        <v>7.4999999999999997E-2</v>
      </c>
    </row>
    <row r="82" spans="1:23">
      <c r="A82" t="s">
        <v>91</v>
      </c>
      <c r="B82">
        <f>_xll.BDP("25579 HK Equity     ","WRT_EXER_PX")</f>
        <v>18400</v>
      </c>
      <c r="C82">
        <f>_xll.BDP("25579 HK Equity     ","LAST_PRICE")</f>
        <v>0.06</v>
      </c>
      <c r="D82" t="str">
        <f>_xll.BDP("25579 HK Equity     ","WRT_EXER_DT")</f>
        <v>29/9/2016</v>
      </c>
      <c r="E82" t="str">
        <f>_xll.BDP("25579 HK Equity     ","WRT_PUT_OR_CALL")</f>
        <v>Put</v>
      </c>
      <c r="F82" t="str">
        <f>_xll.BDP("25579 HK Equity     ","TIME")</f>
        <v>27/5/2016</v>
      </c>
      <c r="G82">
        <f>_xll.BDP("25579 HK Equity     ","RT_PX_CHG_PCT_1D")</f>
        <v>-10.447800000000001</v>
      </c>
      <c r="H82">
        <f>_xll.BDP("25579 HK Equity     ","RT_PX_CHG_NET_1D")</f>
        <v>-7.0000000000000001E-3</v>
      </c>
      <c r="I82">
        <f>_xll.BDP("25579 HK Equity     ","VOLUME")</f>
        <v>489260000</v>
      </c>
      <c r="J82">
        <f>_xll.BDP("25579 HK Equity     ","BID")</f>
        <v>5.8999999999999997E-2</v>
      </c>
      <c r="K82">
        <f>_xll.BDP("25579 HK Equity     ","ASK")</f>
        <v>6.0999999999999999E-2</v>
      </c>
      <c r="M82" t="s">
        <v>91</v>
      </c>
      <c r="N82">
        <v>18400</v>
      </c>
      <c r="O82">
        <v>0.06</v>
      </c>
      <c r="P82" t="s">
        <v>246</v>
      </c>
      <c r="Q82" t="s">
        <v>251</v>
      </c>
      <c r="R82" t="s">
        <v>255</v>
      </c>
      <c r="S82">
        <v>-10.447800000000001</v>
      </c>
      <c r="T82">
        <v>-7.0000000000000001E-3</v>
      </c>
      <c r="U82">
        <v>489260000</v>
      </c>
      <c r="V82">
        <v>5.8999999999999997E-2</v>
      </c>
      <c r="W82">
        <v>6.0999999999999999E-2</v>
      </c>
    </row>
    <row r="83" spans="1:23">
      <c r="A83" t="s">
        <v>92</v>
      </c>
      <c r="B83">
        <f>_xll.BDP("25600 HK Equity     ","WRT_EXER_PX")</f>
        <v>20600</v>
      </c>
      <c r="C83">
        <f>_xll.BDP("25600 HK Equity     ","LAST_PRICE")</f>
        <v>0.10299999999999999</v>
      </c>
      <c r="D83" t="str">
        <f>_xll.BDP("25600 HK Equity     ","WRT_EXER_DT")</f>
        <v>30/8/2016</v>
      </c>
      <c r="E83" t="str">
        <f>_xll.BDP("25600 HK Equity     ","WRT_PUT_OR_CALL")</f>
        <v>Call</v>
      </c>
      <c r="F83" t="str">
        <f>_xll.BDP("25600 HK Equity     ","TIME")</f>
        <v>27/5/2016</v>
      </c>
      <c r="G83">
        <f>_xll.BDP("25600 HK Equity     ","RT_PX_CHG_PCT_1D")</f>
        <v>10.752700000000001</v>
      </c>
      <c r="H83">
        <f>_xll.BDP("25600 HK Equity     ","RT_PX_CHG_NET_1D")</f>
        <v>0.01</v>
      </c>
      <c r="I83">
        <f>_xll.BDP("25600 HK Equity     ","VOLUME")</f>
        <v>1542270000</v>
      </c>
      <c r="J83">
        <f>_xll.BDP("25600 HK Equity     ","BID")</f>
        <v>0.10199999999999999</v>
      </c>
      <c r="K83">
        <f>_xll.BDP("25600 HK Equity     ","ASK")</f>
        <v>0.10299999999999999</v>
      </c>
      <c r="M83" t="s">
        <v>92</v>
      </c>
      <c r="N83">
        <v>20600</v>
      </c>
      <c r="O83">
        <v>0.10299999999999999</v>
      </c>
      <c r="P83" t="s">
        <v>248</v>
      </c>
      <c r="Q83" t="s">
        <v>250</v>
      </c>
      <c r="R83" t="s">
        <v>255</v>
      </c>
      <c r="S83">
        <v>10.752700000000001</v>
      </c>
      <c r="T83">
        <v>0.01</v>
      </c>
      <c r="U83">
        <v>1542270000</v>
      </c>
      <c r="V83">
        <v>0.10199999999999999</v>
      </c>
      <c r="W83">
        <v>0.10299999999999999</v>
      </c>
    </row>
    <row r="84" spans="1:23">
      <c r="A84" t="s">
        <v>93</v>
      </c>
      <c r="B84">
        <f>_xll.BDP("25662 HK Equity     ","WRT_EXER_PX")</f>
        <v>19600</v>
      </c>
      <c r="C84">
        <f>_xll.BDP("25662 HK Equity     ","LAST_PRICE")</f>
        <v>0.16200000000000001</v>
      </c>
      <c r="D84" t="str">
        <f>_xll.BDP("25662 HK Equity     ","WRT_EXER_DT")</f>
        <v>28/7/2016</v>
      </c>
      <c r="E84" t="str">
        <f>_xll.BDP("25662 HK Equity     ","WRT_PUT_OR_CALL")</f>
        <v>Call</v>
      </c>
      <c r="F84" t="str">
        <f>_xll.BDP("25662 HK Equity     ","TIME")</f>
        <v>27/5/2016</v>
      </c>
      <c r="G84">
        <f>_xll.BDP("25662 HK Equity     ","RT_PX_CHG_PCT_1D")</f>
        <v>9.45946</v>
      </c>
      <c r="H84">
        <f>_xll.BDP("25662 HK Equity     ","RT_PX_CHG_NET_1D")</f>
        <v>1.4E-2</v>
      </c>
      <c r="I84">
        <f>_xll.BDP("25662 HK Equity     ","VOLUME")</f>
        <v>60200000</v>
      </c>
      <c r="J84">
        <f>_xll.BDP("25662 HK Equity     ","BID")</f>
        <v>0.16200000000000001</v>
      </c>
      <c r="K84">
        <f>_xll.BDP("25662 HK Equity     ","ASK")</f>
        <v>0.16400000000000001</v>
      </c>
      <c r="M84" t="s">
        <v>93</v>
      </c>
      <c r="N84">
        <v>19600</v>
      </c>
      <c r="O84">
        <v>0.16200000000000001</v>
      </c>
      <c r="P84" t="s">
        <v>244</v>
      </c>
      <c r="Q84" t="s">
        <v>250</v>
      </c>
      <c r="R84" t="s">
        <v>255</v>
      </c>
      <c r="S84">
        <v>9.45946</v>
      </c>
      <c r="T84">
        <v>1.4E-2</v>
      </c>
      <c r="U84">
        <v>60200000</v>
      </c>
      <c r="V84">
        <v>0.16200000000000001</v>
      </c>
      <c r="W84">
        <v>0.16400000000000001</v>
      </c>
    </row>
    <row r="85" spans="1:23">
      <c r="A85" t="s">
        <v>94</v>
      </c>
      <c r="B85">
        <f>_xll.BDP("25679 HK Equity     ","WRT_EXER_PX")</f>
        <v>21400</v>
      </c>
      <c r="C85" t="str">
        <f>_xll.BDP("25679 HK Equity     ","LAST_PRICE")</f>
        <v>#N/A N/A</v>
      </c>
      <c r="D85" t="str">
        <f>_xll.BDP("25679 HK Equity     ","WRT_EXER_DT")</f>
        <v>30/8/2016</v>
      </c>
      <c r="E85" t="str">
        <f>_xll.BDP("25679 HK Equity     ","WRT_PUT_OR_CALL")</f>
        <v>Call</v>
      </c>
      <c r="F85" t="str">
        <f>_xll.BDP("25679 HK Equity     ","TIME")</f>
        <v>#N/A N/A</v>
      </c>
      <c r="G85" t="str">
        <f>_xll.BDP("25679 HK Equity     ","RT_PX_CHG_PCT_1D")</f>
        <v>#N/A N/A</v>
      </c>
      <c r="H85" t="str">
        <f>_xll.BDP("25679 HK Equity     ","RT_PX_CHG_NET_1D")</f>
        <v>#N/A N/A</v>
      </c>
      <c r="I85" t="str">
        <f>_xll.BDP("25679 HK Equity     ","VOLUME")</f>
        <v>#N/A N/A</v>
      </c>
      <c r="J85" t="str">
        <f>_xll.BDP("25679 HK Equity     ","BID")</f>
        <v>#N/A N/A</v>
      </c>
      <c r="K85" t="str">
        <f>_xll.BDP("25679 HK Equity     ","ASK")</f>
        <v>#N/A N/A</v>
      </c>
      <c r="M85" t="s">
        <v>94</v>
      </c>
      <c r="N85">
        <v>21400</v>
      </c>
      <c r="O85" t="s">
        <v>254</v>
      </c>
      <c r="P85" t="s">
        <v>248</v>
      </c>
      <c r="Q85" t="s">
        <v>250</v>
      </c>
      <c r="R85" t="s">
        <v>254</v>
      </c>
      <c r="S85" t="s">
        <v>254</v>
      </c>
      <c r="T85" t="s">
        <v>254</v>
      </c>
      <c r="U85" t="s">
        <v>254</v>
      </c>
      <c r="V85" t="s">
        <v>254</v>
      </c>
      <c r="W85" t="s">
        <v>254</v>
      </c>
    </row>
    <row r="86" spans="1:23">
      <c r="A86" t="s">
        <v>95</v>
      </c>
      <c r="B86">
        <f>_xll.BDP("25712 HK Equity     ","WRT_EXER_PX")</f>
        <v>20400</v>
      </c>
      <c r="C86">
        <f>_xll.BDP("25712 HK Equity     ","LAST_PRICE")</f>
        <v>9.9000000000000005E-2</v>
      </c>
      <c r="D86" t="str">
        <f>_xll.BDP("25712 HK Equity     ","WRT_EXER_DT")</f>
        <v>28/7/2016</v>
      </c>
      <c r="E86" t="str">
        <f>_xll.BDP("25712 HK Equity     ","WRT_PUT_OR_CALL")</f>
        <v>Call</v>
      </c>
      <c r="F86" t="str">
        <f>_xll.BDP("25712 HK Equity     ","TIME")</f>
        <v>27/5/2016</v>
      </c>
      <c r="G86">
        <f>_xll.BDP("25712 HK Equity     ","RT_PX_CHG_PCT_1D")</f>
        <v>13.793100000000001</v>
      </c>
      <c r="H86">
        <f>_xll.BDP("25712 HK Equity     ","RT_PX_CHG_NET_1D")</f>
        <v>1.2E-2</v>
      </c>
      <c r="I86">
        <f>_xll.BDP("25712 HK Equity     ","VOLUME")</f>
        <v>840000</v>
      </c>
      <c r="J86">
        <f>_xll.BDP("25712 HK Equity     ","BID")</f>
        <v>9.7000000000000003E-2</v>
      </c>
      <c r="K86">
        <f>_xll.BDP("25712 HK Equity     ","ASK")</f>
        <v>9.9000000000000005E-2</v>
      </c>
      <c r="M86" t="s">
        <v>95</v>
      </c>
      <c r="N86">
        <v>20400</v>
      </c>
      <c r="O86">
        <v>9.9000000000000005E-2</v>
      </c>
      <c r="P86" t="s">
        <v>244</v>
      </c>
      <c r="Q86" t="s">
        <v>250</v>
      </c>
      <c r="R86" t="s">
        <v>255</v>
      </c>
      <c r="S86">
        <v>13.793100000000001</v>
      </c>
      <c r="T86">
        <v>1.2E-2</v>
      </c>
      <c r="U86">
        <v>840000</v>
      </c>
      <c r="V86">
        <v>9.7000000000000003E-2</v>
      </c>
      <c r="W86">
        <v>9.9000000000000005E-2</v>
      </c>
    </row>
    <row r="87" spans="1:23">
      <c r="A87" t="s">
        <v>96</v>
      </c>
      <c r="B87">
        <f>_xll.BDP("25787 HK Equity     ","WRT_EXER_PX")</f>
        <v>20200</v>
      </c>
      <c r="C87">
        <f>_xll.BDP("25787 HK Equity     ","LAST_PRICE")</f>
        <v>0.15</v>
      </c>
      <c r="D87" t="str">
        <f>_xll.BDP("25787 HK Equity     ","WRT_EXER_DT")</f>
        <v>30/8/2016</v>
      </c>
      <c r="E87" t="str">
        <f>_xll.BDP("25787 HK Equity     ","WRT_PUT_OR_CALL")</f>
        <v>Call</v>
      </c>
      <c r="F87" t="str">
        <f>_xll.BDP("25787 HK Equity     ","TIME")</f>
        <v>27/5/2016</v>
      </c>
      <c r="G87">
        <f>_xll.BDP("25787 HK Equity     ","RT_PX_CHG_PCT_1D")</f>
        <v>12.782</v>
      </c>
      <c r="H87">
        <f>_xll.BDP("25787 HK Equity     ","RT_PX_CHG_NET_1D")</f>
        <v>1.7000000000000001E-2</v>
      </c>
      <c r="I87">
        <f>_xll.BDP("25787 HK Equity     ","VOLUME")</f>
        <v>188880000</v>
      </c>
      <c r="J87">
        <f>_xll.BDP("25787 HK Equity     ","BID")</f>
        <v>0.14899999999999999</v>
      </c>
      <c r="K87" t="str">
        <f>_xll.BDP("25787 HK Equity     ","ASK")</f>
        <v>#N/A N/A</v>
      </c>
      <c r="M87" t="s">
        <v>96</v>
      </c>
      <c r="N87">
        <v>20200</v>
      </c>
      <c r="O87">
        <v>0.15</v>
      </c>
      <c r="P87" t="s">
        <v>248</v>
      </c>
      <c r="Q87" t="s">
        <v>250</v>
      </c>
      <c r="R87" t="s">
        <v>255</v>
      </c>
      <c r="S87">
        <v>12.782</v>
      </c>
      <c r="T87">
        <v>1.7000000000000001E-2</v>
      </c>
      <c r="U87">
        <v>188880000</v>
      </c>
      <c r="V87">
        <v>0.14899999999999999</v>
      </c>
      <c r="W87" t="s">
        <v>254</v>
      </c>
    </row>
    <row r="88" spans="1:23">
      <c r="A88" t="s">
        <v>97</v>
      </c>
      <c r="B88">
        <f>_xll.BDP("25898 HK Equity     ","WRT_EXER_PX")</f>
        <v>19088</v>
      </c>
      <c r="C88">
        <f>_xll.BDP("25898 HK Equity     ","LAST_PRICE")</f>
        <v>0.16300000000000001</v>
      </c>
      <c r="D88" t="str">
        <f>_xll.BDP("25898 HK Equity     ","WRT_EXER_DT")</f>
        <v>28/7/2016</v>
      </c>
      <c r="E88" t="str">
        <f>_xll.BDP("25898 HK Equity     ","WRT_PUT_OR_CALL")</f>
        <v>Call</v>
      </c>
      <c r="F88" t="str">
        <f>_xll.BDP("25898 HK Equity     ","TIME")</f>
        <v>27/5/2016</v>
      </c>
      <c r="G88">
        <f>_xll.BDP("25898 HK Equity     ","RT_PX_CHG_PCT_1D")</f>
        <v>7.9470200000000002</v>
      </c>
      <c r="H88">
        <f>_xll.BDP("25898 HK Equity     ","RT_PX_CHG_NET_1D")</f>
        <v>1.2E-2</v>
      </c>
      <c r="I88">
        <f>_xll.BDP("25898 HK Equity     ","VOLUME")</f>
        <v>100000</v>
      </c>
      <c r="J88">
        <f>_xll.BDP("25898 HK Equity     ","BID")</f>
        <v>0.03</v>
      </c>
      <c r="K88" t="str">
        <f>_xll.BDP("25898 HK Equity     ","ASK")</f>
        <v>#N/A N/A</v>
      </c>
      <c r="M88" t="s">
        <v>97</v>
      </c>
      <c r="N88">
        <v>19088</v>
      </c>
      <c r="O88">
        <v>0.16300000000000001</v>
      </c>
      <c r="P88" t="s">
        <v>244</v>
      </c>
      <c r="Q88" t="s">
        <v>250</v>
      </c>
      <c r="R88" t="s">
        <v>255</v>
      </c>
      <c r="S88">
        <v>7.9470200000000002</v>
      </c>
      <c r="T88">
        <v>1.2E-2</v>
      </c>
      <c r="U88">
        <v>100000</v>
      </c>
      <c r="V88">
        <v>0.03</v>
      </c>
      <c r="W88" t="s">
        <v>254</v>
      </c>
    </row>
    <row r="89" spans="1:23">
      <c r="A89" t="s">
        <v>98</v>
      </c>
      <c r="B89">
        <f>_xll.BDP("25909 HK Equity     ","WRT_EXER_PX")</f>
        <v>19488</v>
      </c>
      <c r="C89">
        <f>_xll.BDP("25909 HK Equity     ","LAST_PRICE")</f>
        <v>0.13400000000000001</v>
      </c>
      <c r="D89" t="str">
        <f>_xll.BDP("25909 HK Equity     ","WRT_EXER_DT")</f>
        <v>28/7/2016</v>
      </c>
      <c r="E89" t="str">
        <f>_xll.BDP("25909 HK Equity     ","WRT_PUT_OR_CALL")</f>
        <v>Call</v>
      </c>
      <c r="F89" t="str">
        <f>_xll.BDP("25909 HK Equity     ","TIME")</f>
        <v>27/5/2016</v>
      </c>
      <c r="G89">
        <f>_xll.BDP("25909 HK Equity     ","RT_PX_CHG_PCT_1D")</f>
        <v>0</v>
      </c>
      <c r="H89">
        <f>_xll.BDP("25909 HK Equity     ","RT_PX_CHG_NET_1D")</f>
        <v>0</v>
      </c>
      <c r="I89">
        <f>_xll.BDP("25909 HK Equity     ","VOLUME")</f>
        <v>0</v>
      </c>
      <c r="J89" t="str">
        <f>_xll.BDP("25909 HK Equity     ","BID")</f>
        <v>#N/A N/A</v>
      </c>
      <c r="K89" t="str">
        <f>_xll.BDP("25909 HK Equity     ","ASK")</f>
        <v>#N/A N/A</v>
      </c>
      <c r="M89" t="s">
        <v>98</v>
      </c>
      <c r="N89">
        <v>19488</v>
      </c>
      <c r="O89">
        <v>0.13400000000000001</v>
      </c>
      <c r="P89" t="s">
        <v>244</v>
      </c>
      <c r="Q89" t="s">
        <v>250</v>
      </c>
      <c r="R89" t="s">
        <v>255</v>
      </c>
      <c r="S89">
        <v>0</v>
      </c>
      <c r="T89">
        <v>0</v>
      </c>
      <c r="U89">
        <v>0</v>
      </c>
      <c r="V89" t="s">
        <v>254</v>
      </c>
      <c r="W89" t="s">
        <v>254</v>
      </c>
    </row>
    <row r="90" spans="1:23">
      <c r="A90" t="s">
        <v>99</v>
      </c>
      <c r="B90">
        <f>_xll.BDP("25915 HK Equity     ","WRT_EXER_PX")</f>
        <v>19000</v>
      </c>
      <c r="C90">
        <f>_xll.BDP("25915 HK Equity     ","LAST_PRICE")</f>
        <v>0.17799999999999999</v>
      </c>
      <c r="D90" t="str">
        <f>_xll.BDP("25915 HK Equity     ","WRT_EXER_DT")</f>
        <v>28/7/2016</v>
      </c>
      <c r="E90" t="str">
        <f>_xll.BDP("25915 HK Equity     ","WRT_PUT_OR_CALL")</f>
        <v>Call</v>
      </c>
      <c r="F90" t="str">
        <f>_xll.BDP("25915 HK Equity     ","TIME")</f>
        <v>27/5/2016</v>
      </c>
      <c r="G90">
        <f>_xll.BDP("25915 HK Equity     ","RT_PX_CHG_PCT_1D")</f>
        <v>11.25</v>
      </c>
      <c r="H90">
        <f>_xll.BDP("25915 HK Equity     ","RT_PX_CHG_NET_1D")</f>
        <v>1.7999999999999999E-2</v>
      </c>
      <c r="I90">
        <f>_xll.BDP("25915 HK Equity     ","VOLUME")</f>
        <v>1500000</v>
      </c>
      <c r="J90">
        <f>_xll.BDP("25915 HK Equity     ","BID")</f>
        <v>0.17499999999999999</v>
      </c>
      <c r="K90">
        <f>_xll.BDP("25915 HK Equity     ","ASK")</f>
        <v>0.18</v>
      </c>
      <c r="M90" t="s">
        <v>99</v>
      </c>
      <c r="N90">
        <v>19000</v>
      </c>
      <c r="O90">
        <v>0.17799999999999999</v>
      </c>
      <c r="P90" t="s">
        <v>244</v>
      </c>
      <c r="Q90" t="s">
        <v>250</v>
      </c>
      <c r="R90" t="s">
        <v>255</v>
      </c>
      <c r="S90">
        <v>11.25</v>
      </c>
      <c r="T90">
        <v>1.7999999999999999E-2</v>
      </c>
      <c r="U90">
        <v>1500000</v>
      </c>
      <c r="V90">
        <v>0.17499999999999999</v>
      </c>
      <c r="W90">
        <v>0.18</v>
      </c>
    </row>
    <row r="91" spans="1:23">
      <c r="A91" t="s">
        <v>100</v>
      </c>
      <c r="B91">
        <f>_xll.BDP("25959 HK Equity     ","WRT_EXER_PX")</f>
        <v>20698</v>
      </c>
      <c r="C91">
        <f>_xll.BDP("25959 HK Equity     ","LAST_PRICE")</f>
        <v>0.09</v>
      </c>
      <c r="D91" t="str">
        <f>_xll.BDP("25959 HK Equity     ","WRT_EXER_DT")</f>
        <v>30/8/2016</v>
      </c>
      <c r="E91" t="str">
        <f>_xll.BDP("25959 HK Equity     ","WRT_PUT_OR_CALL")</f>
        <v>Call</v>
      </c>
      <c r="F91" t="str">
        <f>_xll.BDP("25959 HK Equity     ","TIME")</f>
        <v>27/5/2016</v>
      </c>
      <c r="G91">
        <f>_xll.BDP("25959 HK Equity     ","RT_PX_CHG_PCT_1D")</f>
        <v>13.924099999999999</v>
      </c>
      <c r="H91">
        <f>_xll.BDP("25959 HK Equity     ","RT_PX_CHG_NET_1D")</f>
        <v>1.0999999999999999E-2</v>
      </c>
      <c r="I91">
        <f>_xll.BDP("25959 HK Equity     ","VOLUME")</f>
        <v>71100000</v>
      </c>
      <c r="J91">
        <f>_xll.BDP("25959 HK Equity     ","BID")</f>
        <v>7.1999999999999995E-2</v>
      </c>
      <c r="K91" t="str">
        <f>_xll.BDP("25959 HK Equity     ","ASK")</f>
        <v>#N/A N/A</v>
      </c>
      <c r="M91" t="s">
        <v>100</v>
      </c>
      <c r="N91">
        <v>20698</v>
      </c>
      <c r="O91">
        <v>0.09</v>
      </c>
      <c r="P91" t="s">
        <v>248</v>
      </c>
      <c r="Q91" t="s">
        <v>250</v>
      </c>
      <c r="R91" t="s">
        <v>255</v>
      </c>
      <c r="S91">
        <v>13.924099999999999</v>
      </c>
      <c r="T91">
        <v>1.0999999999999999E-2</v>
      </c>
      <c r="U91">
        <v>71100000</v>
      </c>
      <c r="V91">
        <v>7.1999999999999995E-2</v>
      </c>
      <c r="W91" t="s">
        <v>254</v>
      </c>
    </row>
    <row r="92" spans="1:23">
      <c r="A92" t="s">
        <v>101</v>
      </c>
      <c r="B92">
        <f>_xll.BDP("26121 HK Equity     ","WRT_EXER_PX")</f>
        <v>21400</v>
      </c>
      <c r="C92">
        <f>_xll.BDP("26121 HK Equity     ","LAST_PRICE")</f>
        <v>5.2999999999999999E-2</v>
      </c>
      <c r="D92" t="str">
        <f>_xll.BDP("26121 HK Equity     ","WRT_EXER_DT")</f>
        <v>29/9/2016</v>
      </c>
      <c r="E92" t="str">
        <f>_xll.BDP("26121 HK Equity     ","WRT_PUT_OR_CALL")</f>
        <v>Call</v>
      </c>
      <c r="F92" t="str">
        <f>_xll.BDP("26121 HK Equity     ","TIME")</f>
        <v>27/5/2016</v>
      </c>
      <c r="G92">
        <f>_xll.BDP("26121 HK Equity     ","RT_PX_CHG_PCT_1D")</f>
        <v>15.2174</v>
      </c>
      <c r="H92">
        <f>_xll.BDP("26121 HK Equity     ","RT_PX_CHG_NET_1D")</f>
        <v>7.0000000000000001E-3</v>
      </c>
      <c r="I92">
        <f>_xll.BDP("26121 HK Equity     ","VOLUME")</f>
        <v>30480000</v>
      </c>
      <c r="J92">
        <f>_xll.BDP("26121 HK Equity     ","BID")</f>
        <v>5.2999999999999999E-2</v>
      </c>
      <c r="K92">
        <f>_xll.BDP("26121 HK Equity     ","ASK")</f>
        <v>5.5E-2</v>
      </c>
      <c r="M92" t="s">
        <v>101</v>
      </c>
      <c r="N92">
        <v>21400</v>
      </c>
      <c r="O92">
        <v>5.2999999999999999E-2</v>
      </c>
      <c r="P92" t="s">
        <v>246</v>
      </c>
      <c r="Q92" t="s">
        <v>250</v>
      </c>
      <c r="R92" t="s">
        <v>255</v>
      </c>
      <c r="S92">
        <v>15.2174</v>
      </c>
      <c r="T92">
        <v>7.0000000000000001E-3</v>
      </c>
      <c r="U92">
        <v>30480000</v>
      </c>
      <c r="V92">
        <v>5.2999999999999999E-2</v>
      </c>
      <c r="W92">
        <v>5.5E-2</v>
      </c>
    </row>
    <row r="93" spans="1:23">
      <c r="A93" t="s">
        <v>102</v>
      </c>
      <c r="B93">
        <f>_xll.BDP("26147 HK Equity     ","WRT_EXER_PX")</f>
        <v>19408</v>
      </c>
      <c r="C93">
        <f>_xll.BDP("26147 HK Equity     ","LAST_PRICE")</f>
        <v>4.9000000000000002E-2</v>
      </c>
      <c r="D93" t="str">
        <f>_xll.BDP("26147 HK Equity     ","WRT_EXER_DT")</f>
        <v>28/7/2016</v>
      </c>
      <c r="E93" t="str">
        <f>_xll.BDP("26147 HK Equity     ","WRT_PUT_OR_CALL")</f>
        <v>Put</v>
      </c>
      <c r="F93" t="str">
        <f>_xll.BDP("26147 HK Equity     ","TIME")</f>
        <v>27/5/2016</v>
      </c>
      <c r="G93">
        <f>_xll.BDP("26147 HK Equity     ","RT_PX_CHG_PCT_1D")</f>
        <v>-15.517200000000001</v>
      </c>
      <c r="H93">
        <f>_xll.BDP("26147 HK Equity     ","RT_PX_CHG_NET_1D")</f>
        <v>-8.9999999999999993E-3</v>
      </c>
      <c r="I93">
        <f>_xll.BDP("26147 HK Equity     ","VOLUME")</f>
        <v>2900000</v>
      </c>
      <c r="J93">
        <f>_xll.BDP("26147 HK Equity     ","BID")</f>
        <v>4.9000000000000002E-2</v>
      </c>
      <c r="K93">
        <f>_xll.BDP("26147 HK Equity     ","ASK")</f>
        <v>6.5000000000000002E-2</v>
      </c>
      <c r="M93" t="s">
        <v>102</v>
      </c>
      <c r="N93">
        <v>19408</v>
      </c>
      <c r="O93">
        <v>4.9000000000000002E-2</v>
      </c>
      <c r="P93" t="s">
        <v>244</v>
      </c>
      <c r="Q93" t="s">
        <v>251</v>
      </c>
      <c r="R93" t="s">
        <v>255</v>
      </c>
      <c r="S93">
        <v>-15.517200000000001</v>
      </c>
      <c r="T93">
        <v>-8.9999999999999993E-3</v>
      </c>
      <c r="U93">
        <v>2900000</v>
      </c>
      <c r="V93">
        <v>4.9000000000000002E-2</v>
      </c>
      <c r="W93">
        <v>6.5000000000000002E-2</v>
      </c>
    </row>
    <row r="94" spans="1:23">
      <c r="A94" t="s">
        <v>103</v>
      </c>
      <c r="B94">
        <f>_xll.BDP("26191 HK Equity     ","WRT_EXER_PX")</f>
        <v>20000</v>
      </c>
      <c r="C94">
        <f>_xll.BDP("26191 HK Equity     ","LAST_PRICE")</f>
        <v>2.7E-2</v>
      </c>
      <c r="D94" t="str">
        <f>_xll.BDP("26191 HK Equity     ","WRT_EXER_DT")</f>
        <v>30/5/2016</v>
      </c>
      <c r="E94" t="str">
        <f>_xll.BDP("26191 HK Equity     ","WRT_PUT_OR_CALL")</f>
        <v>Put</v>
      </c>
      <c r="F94" t="str">
        <f>_xll.BDP("26191 HK Equity     ","TIME")</f>
        <v>27/5/2016</v>
      </c>
      <c r="G94">
        <f>_xll.BDP("26191 HK Equity     ","RT_PX_CHG_PCT_1D")</f>
        <v>0</v>
      </c>
      <c r="H94">
        <f>_xll.BDP("26191 HK Equity     ","RT_PX_CHG_NET_1D")</f>
        <v>0</v>
      </c>
      <c r="I94">
        <f>_xll.BDP("26191 HK Equity     ","VOLUME")</f>
        <v>0</v>
      </c>
      <c r="J94" t="str">
        <f>_xll.BDP("26191 HK Equity     ","BID")</f>
        <v>#N/A N/A</v>
      </c>
      <c r="K94" t="str">
        <f>_xll.BDP("26191 HK Equity     ","ASK")</f>
        <v>#N/A N/A</v>
      </c>
      <c r="M94" t="s">
        <v>103</v>
      </c>
      <c r="N94">
        <v>20000</v>
      </c>
      <c r="O94">
        <v>2.7E-2</v>
      </c>
      <c r="P94" t="s">
        <v>247</v>
      </c>
      <c r="Q94" t="s">
        <v>251</v>
      </c>
      <c r="R94" t="s">
        <v>255</v>
      </c>
      <c r="S94">
        <v>0</v>
      </c>
      <c r="T94">
        <v>0</v>
      </c>
      <c r="U94">
        <v>0</v>
      </c>
      <c r="V94" t="s">
        <v>254</v>
      </c>
      <c r="W94" t="s">
        <v>254</v>
      </c>
    </row>
    <row r="95" spans="1:23">
      <c r="A95" t="s">
        <v>104</v>
      </c>
      <c r="B95">
        <f>_xll.BDP("26319 HK Equity     ","WRT_EXER_PX")</f>
        <v>18600</v>
      </c>
      <c r="C95">
        <f>_xll.BDP("26319 HK Equity     ","LAST_PRICE")</f>
        <v>0.20899999999999999</v>
      </c>
      <c r="D95" t="str">
        <f>_xll.BDP("26319 HK Equity     ","WRT_EXER_DT")</f>
        <v>30/8/2016</v>
      </c>
      <c r="E95" t="str">
        <f>_xll.BDP("26319 HK Equity     ","WRT_PUT_OR_CALL")</f>
        <v>Call</v>
      </c>
      <c r="F95" t="str">
        <f>_xll.BDP("26319 HK Equity     ","TIME")</f>
        <v>27/5/2016</v>
      </c>
      <c r="G95">
        <f>_xll.BDP("26319 HK Equity     ","RT_PX_CHG_PCT_1D")</f>
        <v>6.6326499999999999</v>
      </c>
      <c r="H95">
        <f>_xll.BDP("26319 HK Equity     ","RT_PX_CHG_NET_1D")</f>
        <v>1.2999999999999999E-2</v>
      </c>
      <c r="I95">
        <f>_xll.BDP("26319 HK Equity     ","VOLUME")</f>
        <v>600000</v>
      </c>
      <c r="J95">
        <f>_xll.BDP("26319 HK Equity     ","BID")</f>
        <v>0.20499999999999999</v>
      </c>
      <c r="K95">
        <f>_xll.BDP("26319 HK Equity     ","ASK")</f>
        <v>0.21</v>
      </c>
      <c r="M95" t="s">
        <v>104</v>
      </c>
      <c r="N95">
        <v>18600</v>
      </c>
      <c r="O95">
        <v>0.20899999999999999</v>
      </c>
      <c r="P95" t="s">
        <v>248</v>
      </c>
      <c r="Q95" t="s">
        <v>250</v>
      </c>
      <c r="R95" t="s">
        <v>255</v>
      </c>
      <c r="S95">
        <v>6.6326499999999999</v>
      </c>
      <c r="T95">
        <v>1.2999999999999999E-2</v>
      </c>
      <c r="U95">
        <v>600000</v>
      </c>
      <c r="V95">
        <v>0.20499999999999999</v>
      </c>
      <c r="W95">
        <v>0.21</v>
      </c>
    </row>
    <row r="96" spans="1:23">
      <c r="A96" t="s">
        <v>105</v>
      </c>
      <c r="B96">
        <f>_xll.BDP("26390 HK Equity     ","WRT_EXER_PX")</f>
        <v>19800</v>
      </c>
      <c r="C96">
        <f>_xll.BDP("26390 HK Equity     ","LAST_PRICE")</f>
        <v>0.191</v>
      </c>
      <c r="D96" t="str">
        <f>_xll.BDP("26390 HK Equity     ","WRT_EXER_DT")</f>
        <v>28/10/2016</v>
      </c>
      <c r="E96" t="str">
        <f>_xll.BDP("26390 HK Equity     ","WRT_PUT_OR_CALL")</f>
        <v>Call</v>
      </c>
      <c r="F96" t="str">
        <f>_xll.BDP("26390 HK Equity     ","TIME")</f>
        <v>27/5/2016</v>
      </c>
      <c r="G96">
        <f>_xll.BDP("26390 HK Equity     ","RT_PX_CHG_PCT_1D")</f>
        <v>7.3033700000000001</v>
      </c>
      <c r="H96">
        <f>_xll.BDP("26390 HK Equity     ","RT_PX_CHG_NET_1D")</f>
        <v>1.2999999999999999E-2</v>
      </c>
      <c r="I96">
        <f>_xll.BDP("26390 HK Equity     ","VOLUME")</f>
        <v>0</v>
      </c>
      <c r="J96">
        <f>_xll.BDP("26390 HK Equity     ","BID")</f>
        <v>0.191</v>
      </c>
      <c r="K96">
        <f>_xll.BDP("26390 HK Equity     ","ASK")</f>
        <v>0.192</v>
      </c>
      <c r="M96" t="s">
        <v>105</v>
      </c>
      <c r="N96">
        <v>19800</v>
      </c>
      <c r="O96">
        <v>0.191</v>
      </c>
      <c r="P96" t="s">
        <v>243</v>
      </c>
      <c r="Q96" t="s">
        <v>250</v>
      </c>
      <c r="R96" t="s">
        <v>255</v>
      </c>
      <c r="S96">
        <v>7.3033700000000001</v>
      </c>
      <c r="T96">
        <v>1.2999999999999999E-2</v>
      </c>
      <c r="U96">
        <v>0</v>
      </c>
      <c r="V96">
        <v>0.191</v>
      </c>
      <c r="W96">
        <v>0.192</v>
      </c>
    </row>
    <row r="97" spans="1:23">
      <c r="A97" t="s">
        <v>106</v>
      </c>
      <c r="B97">
        <f>_xll.BDP("26399 HK Equity     ","WRT_EXER_PX")</f>
        <v>17000</v>
      </c>
      <c r="C97">
        <f>_xll.BDP("26399 HK Equity     ","LAST_PRICE")</f>
        <v>0.03</v>
      </c>
      <c r="D97" t="str">
        <f>_xll.BDP("26399 HK Equity     ","WRT_EXER_DT")</f>
        <v>29/9/2016</v>
      </c>
      <c r="E97" t="str">
        <f>_xll.BDP("26399 HK Equity     ","WRT_PUT_OR_CALL")</f>
        <v>Put</v>
      </c>
      <c r="F97" t="str">
        <f>_xll.BDP("26399 HK Equity     ","TIME")</f>
        <v>27/5/2016</v>
      </c>
      <c r="G97">
        <f>_xll.BDP("26399 HK Equity     ","RT_PX_CHG_PCT_1D")</f>
        <v>-9.0909099999999992</v>
      </c>
      <c r="H97">
        <f>_xll.BDP("26399 HK Equity     ","RT_PX_CHG_NET_1D")</f>
        <v>-3.0000000000000001E-3</v>
      </c>
      <c r="I97">
        <f>_xll.BDP("26399 HK Equity     ","VOLUME")</f>
        <v>77490000</v>
      </c>
      <c r="J97">
        <f>_xll.BDP("26399 HK Equity     ","BID")</f>
        <v>2.8000000000000001E-2</v>
      </c>
      <c r="K97">
        <f>_xll.BDP("26399 HK Equity     ","ASK")</f>
        <v>3.1E-2</v>
      </c>
      <c r="M97" t="s">
        <v>106</v>
      </c>
      <c r="N97">
        <v>17000</v>
      </c>
      <c r="O97">
        <v>0.03</v>
      </c>
      <c r="P97" t="s">
        <v>246</v>
      </c>
      <c r="Q97" t="s">
        <v>251</v>
      </c>
      <c r="R97" t="s">
        <v>255</v>
      </c>
      <c r="S97">
        <v>-9.0909099999999992</v>
      </c>
      <c r="T97">
        <v>-3.0000000000000001E-3</v>
      </c>
      <c r="U97">
        <v>77490000</v>
      </c>
      <c r="V97">
        <v>2.8000000000000001E-2</v>
      </c>
      <c r="W97">
        <v>3.1E-2</v>
      </c>
    </row>
    <row r="98" spans="1:23">
      <c r="A98" t="s">
        <v>107</v>
      </c>
      <c r="B98">
        <f>_xll.BDP("26444 HK Equity     ","WRT_EXER_PX")</f>
        <v>17000</v>
      </c>
      <c r="C98">
        <f>_xll.BDP("26444 HK Equity     ","LAST_PRICE")</f>
        <v>3.1E-2</v>
      </c>
      <c r="D98" t="str">
        <f>_xll.BDP("26444 HK Equity     ","WRT_EXER_DT")</f>
        <v>29/9/2016</v>
      </c>
      <c r="E98" t="str">
        <f>_xll.BDP("26444 HK Equity     ","WRT_PUT_OR_CALL")</f>
        <v>Put</v>
      </c>
      <c r="F98" t="str">
        <f>_xll.BDP("26444 HK Equity     ","TIME")</f>
        <v>27/5/2016</v>
      </c>
      <c r="G98">
        <f>_xll.BDP("26444 HK Equity     ","RT_PX_CHG_PCT_1D")</f>
        <v>-3.125</v>
      </c>
      <c r="H98">
        <f>_xll.BDP("26444 HK Equity     ","RT_PX_CHG_NET_1D")</f>
        <v>-1E-3</v>
      </c>
      <c r="I98">
        <f>_xll.BDP("26444 HK Equity     ","VOLUME")</f>
        <v>200000</v>
      </c>
      <c r="J98">
        <f>_xll.BDP("26444 HK Equity     ","BID")</f>
        <v>2.9000000000000001E-2</v>
      </c>
      <c r="K98">
        <f>_xll.BDP("26444 HK Equity     ","ASK")</f>
        <v>3.1E-2</v>
      </c>
      <c r="M98" t="s">
        <v>107</v>
      </c>
      <c r="N98">
        <v>17000</v>
      </c>
      <c r="O98">
        <v>3.1E-2</v>
      </c>
      <c r="P98" t="s">
        <v>246</v>
      </c>
      <c r="Q98" t="s">
        <v>251</v>
      </c>
      <c r="R98" t="s">
        <v>255</v>
      </c>
      <c r="S98">
        <v>-3.125</v>
      </c>
      <c r="T98">
        <v>-1E-3</v>
      </c>
      <c r="U98">
        <v>200000</v>
      </c>
      <c r="V98">
        <v>2.9000000000000001E-2</v>
      </c>
      <c r="W98">
        <v>3.1E-2</v>
      </c>
    </row>
    <row r="99" spans="1:23">
      <c r="A99" t="s">
        <v>108</v>
      </c>
      <c r="B99">
        <f>_xll.BDP("26511 HK Equity     ","WRT_EXER_PX")</f>
        <v>19200</v>
      </c>
      <c r="C99">
        <f>_xll.BDP("26511 HK Equity     ","LAST_PRICE")</f>
        <v>6.5000000000000002E-2</v>
      </c>
      <c r="D99" t="str">
        <f>_xll.BDP("26511 HK Equity     ","WRT_EXER_DT")</f>
        <v>29/9/2016</v>
      </c>
      <c r="E99" t="str">
        <f>_xll.BDP("26511 HK Equity     ","WRT_PUT_OR_CALL")</f>
        <v>Put</v>
      </c>
      <c r="F99" t="str">
        <f>_xll.BDP("26511 HK Equity     ","TIME")</f>
        <v>27/5/2016</v>
      </c>
      <c r="G99">
        <f>_xll.BDP("26511 HK Equity     ","RT_PX_CHG_PCT_1D")</f>
        <v>-8.4506999999999994</v>
      </c>
      <c r="H99">
        <f>_xll.BDP("26511 HK Equity     ","RT_PX_CHG_NET_1D")</f>
        <v>-6.0000000000000001E-3</v>
      </c>
      <c r="I99">
        <f>_xll.BDP("26511 HK Equity     ","VOLUME")</f>
        <v>26580000</v>
      </c>
      <c r="J99">
        <f>_xll.BDP("26511 HK Equity     ","BID")</f>
        <v>6.4000000000000001E-2</v>
      </c>
      <c r="K99">
        <f>_xll.BDP("26511 HK Equity     ","ASK")</f>
        <v>6.5000000000000002E-2</v>
      </c>
      <c r="M99" t="s">
        <v>108</v>
      </c>
      <c r="N99">
        <v>19200</v>
      </c>
      <c r="O99">
        <v>6.5000000000000002E-2</v>
      </c>
      <c r="P99" t="s">
        <v>246</v>
      </c>
      <c r="Q99" t="s">
        <v>251</v>
      </c>
      <c r="R99" t="s">
        <v>255</v>
      </c>
      <c r="S99">
        <v>-8.4506999999999994</v>
      </c>
      <c r="T99">
        <v>-6.0000000000000001E-3</v>
      </c>
      <c r="U99">
        <v>26580000</v>
      </c>
      <c r="V99">
        <v>6.4000000000000001E-2</v>
      </c>
      <c r="W99">
        <v>6.5000000000000002E-2</v>
      </c>
    </row>
    <row r="100" spans="1:23">
      <c r="A100" t="s">
        <v>109</v>
      </c>
      <c r="B100">
        <f>_xll.BDP("26540 HK Equity     ","WRT_EXER_PX")</f>
        <v>17500</v>
      </c>
      <c r="C100">
        <f>_xll.BDP("26540 HK Equity     ","LAST_PRICE")</f>
        <v>4.8000000000000001E-2</v>
      </c>
      <c r="D100" t="str">
        <f>_xll.BDP("26540 HK Equity     ","WRT_EXER_DT")</f>
        <v>29/9/2016</v>
      </c>
      <c r="E100" t="str">
        <f>_xll.BDP("26540 HK Equity     ","WRT_PUT_OR_CALL")</f>
        <v>Put</v>
      </c>
      <c r="F100" t="str">
        <f>_xll.BDP("26540 HK Equity     ","TIME")</f>
        <v>27/5/2016</v>
      </c>
      <c r="G100">
        <f>_xll.BDP("26540 HK Equity     ","RT_PX_CHG_PCT_1D")</f>
        <v>-11.1111</v>
      </c>
      <c r="H100">
        <f>_xll.BDP("26540 HK Equity     ","RT_PX_CHG_NET_1D")</f>
        <v>-6.0000000000000001E-3</v>
      </c>
      <c r="I100">
        <f>_xll.BDP("26540 HK Equity     ","VOLUME")</f>
        <v>0</v>
      </c>
      <c r="J100">
        <f>_xll.BDP("26540 HK Equity     ","BID")</f>
        <v>4.7E-2</v>
      </c>
      <c r="K100">
        <f>_xll.BDP("26540 HK Equity     ","ASK")</f>
        <v>4.8000000000000001E-2</v>
      </c>
      <c r="M100" t="s">
        <v>109</v>
      </c>
      <c r="N100">
        <v>17500</v>
      </c>
      <c r="O100">
        <v>4.8000000000000001E-2</v>
      </c>
      <c r="P100" t="s">
        <v>246</v>
      </c>
      <c r="Q100" t="s">
        <v>251</v>
      </c>
      <c r="R100" t="s">
        <v>255</v>
      </c>
      <c r="S100">
        <v>-11.1111</v>
      </c>
      <c r="T100">
        <v>-6.0000000000000001E-3</v>
      </c>
      <c r="U100">
        <v>0</v>
      </c>
      <c r="V100">
        <v>4.7E-2</v>
      </c>
      <c r="W100">
        <v>4.8000000000000001E-2</v>
      </c>
    </row>
    <row r="101" spans="1:23">
      <c r="A101" t="s">
        <v>110</v>
      </c>
      <c r="B101">
        <f>_xll.BDP("26583 HK Equity     ","WRT_EXER_PX")</f>
        <v>19400</v>
      </c>
      <c r="C101">
        <f>_xll.BDP("26583 HK Equity     ","LAST_PRICE")</f>
        <v>0.161</v>
      </c>
      <c r="D101" t="str">
        <f>_xll.BDP("26583 HK Equity     ","WRT_EXER_DT")</f>
        <v>28/7/2016</v>
      </c>
      <c r="E101" t="str">
        <f>_xll.BDP("26583 HK Equity     ","WRT_PUT_OR_CALL")</f>
        <v>Call</v>
      </c>
      <c r="F101" t="str">
        <f>_xll.BDP("26583 HK Equity     ","TIME")</f>
        <v>27/5/2016</v>
      </c>
      <c r="G101">
        <f>_xll.BDP("26583 HK Equity     ","RT_PX_CHG_PCT_1D")</f>
        <v>11.0345</v>
      </c>
      <c r="H101">
        <f>_xll.BDP("26583 HK Equity     ","RT_PX_CHG_NET_1D")</f>
        <v>1.6E-2</v>
      </c>
      <c r="I101">
        <f>_xll.BDP("26583 HK Equity     ","VOLUME")</f>
        <v>80000</v>
      </c>
      <c r="J101">
        <f>_xll.BDP("26583 HK Equity     ","BID")</f>
        <v>0.158</v>
      </c>
      <c r="K101">
        <f>_xll.BDP("26583 HK Equity     ","ASK")</f>
        <v>0.16300000000000001</v>
      </c>
      <c r="M101" t="s">
        <v>110</v>
      </c>
      <c r="N101">
        <v>19400</v>
      </c>
      <c r="O101">
        <v>0.161</v>
      </c>
      <c r="P101" t="s">
        <v>244</v>
      </c>
      <c r="Q101" t="s">
        <v>250</v>
      </c>
      <c r="R101" t="s">
        <v>255</v>
      </c>
      <c r="S101">
        <v>11.0345</v>
      </c>
      <c r="T101">
        <v>1.6E-2</v>
      </c>
      <c r="U101">
        <v>80000</v>
      </c>
      <c r="V101">
        <v>0.158</v>
      </c>
      <c r="W101">
        <v>0.16300000000000001</v>
      </c>
    </row>
    <row r="102" spans="1:23">
      <c r="A102" t="s">
        <v>111</v>
      </c>
      <c r="B102">
        <f>_xll.BDP("26748 HK Equity     ","WRT_EXER_PX")</f>
        <v>21000</v>
      </c>
      <c r="C102">
        <f>_xll.BDP("26748 HK Equity     ","LAST_PRICE")</f>
        <v>8.1000000000000003E-2</v>
      </c>
      <c r="D102" t="str">
        <f>_xll.BDP("26748 HK Equity     ","WRT_EXER_DT")</f>
        <v>29/9/2016</v>
      </c>
      <c r="E102" t="str">
        <f>_xll.BDP("26748 HK Equity     ","WRT_PUT_OR_CALL")</f>
        <v>Call</v>
      </c>
      <c r="F102" t="str">
        <f>_xll.BDP("26748 HK Equity     ","TIME")</f>
        <v>27/5/2016</v>
      </c>
      <c r="G102">
        <f>_xll.BDP("26748 HK Equity     ","RT_PX_CHG_PCT_1D")</f>
        <v>12.5</v>
      </c>
      <c r="H102">
        <f>_xll.BDP("26748 HK Equity     ","RT_PX_CHG_NET_1D")</f>
        <v>8.9999999999999993E-3</v>
      </c>
      <c r="I102">
        <f>_xll.BDP("26748 HK Equity     ","VOLUME")</f>
        <v>6260000</v>
      </c>
      <c r="J102">
        <f>_xll.BDP("26748 HK Equity     ","BID")</f>
        <v>7.9000000000000001E-2</v>
      </c>
      <c r="K102">
        <f>_xll.BDP("26748 HK Equity     ","ASK")</f>
        <v>8.4000000000000005E-2</v>
      </c>
      <c r="M102" t="s">
        <v>111</v>
      </c>
      <c r="N102">
        <v>21000</v>
      </c>
      <c r="O102">
        <v>8.1000000000000003E-2</v>
      </c>
      <c r="P102" t="s">
        <v>246</v>
      </c>
      <c r="Q102" t="s">
        <v>250</v>
      </c>
      <c r="R102" t="s">
        <v>255</v>
      </c>
      <c r="S102">
        <v>12.5</v>
      </c>
      <c r="T102">
        <v>8.9999999999999993E-3</v>
      </c>
      <c r="U102">
        <v>6260000</v>
      </c>
      <c r="V102">
        <v>7.9000000000000001E-2</v>
      </c>
      <c r="W102">
        <v>8.4000000000000005E-2</v>
      </c>
    </row>
    <row r="103" spans="1:23">
      <c r="A103" t="s">
        <v>112</v>
      </c>
      <c r="B103">
        <f>_xll.BDP("26756 HK Equity     ","WRT_EXER_PX")</f>
        <v>21400</v>
      </c>
      <c r="C103">
        <f>_xll.BDP("26756 HK Equity     ","LAST_PRICE")</f>
        <v>6.3E-2</v>
      </c>
      <c r="D103" t="str">
        <f>_xll.BDP("26756 HK Equity     ","WRT_EXER_DT")</f>
        <v>29/9/2016</v>
      </c>
      <c r="E103" t="str">
        <f>_xll.BDP("26756 HK Equity     ","WRT_PUT_OR_CALL")</f>
        <v>Call</v>
      </c>
      <c r="F103" t="str">
        <f>_xll.BDP("26756 HK Equity     ","TIME")</f>
        <v>27/5/2016</v>
      </c>
      <c r="G103">
        <f>_xll.BDP("26756 HK Equity     ","RT_PX_CHG_PCT_1D")</f>
        <v>14.545500000000001</v>
      </c>
      <c r="H103">
        <f>_xll.BDP("26756 HK Equity     ","RT_PX_CHG_NET_1D")</f>
        <v>8.0000000000000002E-3</v>
      </c>
      <c r="I103">
        <f>_xll.BDP("26756 HK Equity     ","VOLUME")</f>
        <v>66680000</v>
      </c>
      <c r="J103">
        <f>_xll.BDP("26756 HK Equity     ","BID")</f>
        <v>6.0999999999999999E-2</v>
      </c>
      <c r="K103">
        <f>_xll.BDP("26756 HK Equity     ","ASK")</f>
        <v>6.3E-2</v>
      </c>
      <c r="M103" t="s">
        <v>112</v>
      </c>
      <c r="N103">
        <v>21400</v>
      </c>
      <c r="O103">
        <v>6.3E-2</v>
      </c>
      <c r="P103" t="s">
        <v>246</v>
      </c>
      <c r="Q103" t="s">
        <v>250</v>
      </c>
      <c r="R103" t="s">
        <v>255</v>
      </c>
      <c r="S103">
        <v>14.545500000000001</v>
      </c>
      <c r="T103">
        <v>8.0000000000000002E-3</v>
      </c>
      <c r="U103">
        <v>66680000</v>
      </c>
      <c r="V103">
        <v>6.0999999999999999E-2</v>
      </c>
      <c r="W103">
        <v>6.3E-2</v>
      </c>
    </row>
    <row r="104" spans="1:23">
      <c r="A104" t="s">
        <v>113</v>
      </c>
      <c r="B104">
        <f>_xll.BDP("26874 HK Equity     ","WRT_EXER_PX")</f>
        <v>18800</v>
      </c>
      <c r="C104">
        <f>_xll.BDP("26874 HK Equity     ","LAST_PRICE")</f>
        <v>6.8000000000000005E-2</v>
      </c>
      <c r="D104" t="str">
        <f>_xll.BDP("26874 HK Equity     ","WRT_EXER_DT")</f>
        <v>29/9/2016</v>
      </c>
      <c r="E104" t="str">
        <f>_xll.BDP("26874 HK Equity     ","WRT_PUT_OR_CALL")</f>
        <v>Put</v>
      </c>
      <c r="F104" t="str">
        <f>_xll.BDP("26874 HK Equity     ","TIME")</f>
        <v>27/5/2016</v>
      </c>
      <c r="G104">
        <f>_xll.BDP("26874 HK Equity     ","RT_PX_CHG_PCT_1D")</f>
        <v>-9.3333300000000001</v>
      </c>
      <c r="H104">
        <f>_xll.BDP("26874 HK Equity     ","RT_PX_CHG_NET_1D")</f>
        <v>-7.0000000000000001E-3</v>
      </c>
      <c r="I104">
        <f>_xll.BDP("26874 HK Equity     ","VOLUME")</f>
        <v>69960000</v>
      </c>
      <c r="J104">
        <f>_xll.BDP("26874 HK Equity     ","BID")</f>
        <v>6.8000000000000005E-2</v>
      </c>
      <c r="K104">
        <f>_xll.BDP("26874 HK Equity     ","ASK")</f>
        <v>6.9000000000000006E-2</v>
      </c>
      <c r="M104" t="s">
        <v>113</v>
      </c>
      <c r="N104">
        <v>18800</v>
      </c>
      <c r="O104">
        <v>6.8000000000000005E-2</v>
      </c>
      <c r="P104" t="s">
        <v>246</v>
      </c>
      <c r="Q104" t="s">
        <v>251</v>
      </c>
      <c r="R104" t="s">
        <v>255</v>
      </c>
      <c r="S104">
        <v>-9.3333300000000001</v>
      </c>
      <c r="T104">
        <v>-7.0000000000000001E-3</v>
      </c>
      <c r="U104">
        <v>69960000</v>
      </c>
      <c r="V104">
        <v>6.8000000000000005E-2</v>
      </c>
      <c r="W104">
        <v>6.9000000000000006E-2</v>
      </c>
    </row>
    <row r="105" spans="1:23">
      <c r="A105" t="s">
        <v>114</v>
      </c>
      <c r="B105">
        <f>_xll.BDP("26896 HK Equity     ","WRT_EXER_PX")</f>
        <v>19200</v>
      </c>
      <c r="C105">
        <f>_xll.BDP("26896 HK Equity     ","LAST_PRICE")</f>
        <v>7.1999999999999995E-2</v>
      </c>
      <c r="D105" t="str">
        <f>_xll.BDP("26896 HK Equity     ","WRT_EXER_DT")</f>
        <v>29/9/2016</v>
      </c>
      <c r="E105" t="str">
        <f>_xll.BDP("26896 HK Equity     ","WRT_PUT_OR_CALL")</f>
        <v>Put</v>
      </c>
      <c r="F105" t="str">
        <f>_xll.BDP("26896 HK Equity     ","TIME")</f>
        <v>27/5/2016</v>
      </c>
      <c r="G105">
        <f>_xll.BDP("26896 HK Equity     ","RT_PX_CHG_PCT_1D")</f>
        <v>-7.69231</v>
      </c>
      <c r="H105">
        <f>_xll.BDP("26896 HK Equity     ","RT_PX_CHG_NET_1D")</f>
        <v>-6.0000000000000001E-3</v>
      </c>
      <c r="I105">
        <f>_xll.BDP("26896 HK Equity     ","VOLUME")</f>
        <v>28490000</v>
      </c>
      <c r="J105">
        <f>_xll.BDP("26896 HK Equity     ","BID")</f>
        <v>7.1999999999999995E-2</v>
      </c>
      <c r="K105">
        <f>_xll.BDP("26896 HK Equity     ","ASK")</f>
        <v>7.3999999999999996E-2</v>
      </c>
      <c r="M105" t="s">
        <v>114</v>
      </c>
      <c r="N105">
        <v>19200</v>
      </c>
      <c r="O105">
        <v>7.1999999999999995E-2</v>
      </c>
      <c r="P105" t="s">
        <v>246</v>
      </c>
      <c r="Q105" t="s">
        <v>251</v>
      </c>
      <c r="R105" t="s">
        <v>255</v>
      </c>
      <c r="S105">
        <v>-7.69231</v>
      </c>
      <c r="T105">
        <v>-6.0000000000000001E-3</v>
      </c>
      <c r="U105">
        <v>28490000</v>
      </c>
      <c r="V105">
        <v>7.1999999999999995E-2</v>
      </c>
      <c r="W105">
        <v>7.3999999999999996E-2</v>
      </c>
    </row>
    <row r="106" spans="1:23">
      <c r="A106" t="s">
        <v>115</v>
      </c>
      <c r="B106">
        <f>_xll.BDP("27077 HK Equity     ","WRT_EXER_PX")</f>
        <v>21800</v>
      </c>
      <c r="C106">
        <f>_xll.BDP("27077 HK Equity     ","LAST_PRICE")</f>
        <v>7.6999999999999999E-2</v>
      </c>
      <c r="D106" t="str">
        <f>_xll.BDP("27077 HK Equity     ","WRT_EXER_DT")</f>
        <v>28/10/2016</v>
      </c>
      <c r="E106" t="str">
        <f>_xll.BDP("27077 HK Equity     ","WRT_PUT_OR_CALL")</f>
        <v>Call</v>
      </c>
      <c r="F106" t="str">
        <f>_xll.BDP("27077 HK Equity     ","TIME")</f>
        <v>27/5/2016</v>
      </c>
      <c r="G106">
        <f>_xll.BDP("27077 HK Equity     ","RT_PX_CHG_PCT_1D")</f>
        <v>11.594200000000001</v>
      </c>
      <c r="H106">
        <f>_xll.BDP("27077 HK Equity     ","RT_PX_CHG_NET_1D")</f>
        <v>8.0000000000000002E-3</v>
      </c>
      <c r="I106">
        <f>_xll.BDP("27077 HK Equity     ","VOLUME")</f>
        <v>1458070000</v>
      </c>
      <c r="J106">
        <f>_xll.BDP("27077 HK Equity     ","BID")</f>
        <v>7.5999999999999998E-2</v>
      </c>
      <c r="K106" t="str">
        <f>_xll.BDP("27077 HK Equity     ","ASK")</f>
        <v>#N/A N/A</v>
      </c>
      <c r="M106" t="s">
        <v>115</v>
      </c>
      <c r="N106">
        <v>21800</v>
      </c>
      <c r="O106">
        <v>7.6999999999999999E-2</v>
      </c>
      <c r="P106" t="s">
        <v>243</v>
      </c>
      <c r="Q106" t="s">
        <v>250</v>
      </c>
      <c r="R106" t="s">
        <v>255</v>
      </c>
      <c r="S106">
        <v>11.594200000000001</v>
      </c>
      <c r="T106">
        <v>8.0000000000000002E-3</v>
      </c>
      <c r="U106">
        <v>1458070000</v>
      </c>
      <c r="V106">
        <v>7.5999999999999998E-2</v>
      </c>
      <c r="W106" t="s">
        <v>254</v>
      </c>
    </row>
    <row r="107" spans="1:23">
      <c r="A107" t="s">
        <v>116</v>
      </c>
      <c r="B107">
        <f>_xll.BDP("27111 HK Equity     ","WRT_EXER_PX")</f>
        <v>18888</v>
      </c>
      <c r="C107">
        <f>_xll.BDP("27111 HK Equity     ","LAST_PRICE")</f>
        <v>6.4000000000000001E-2</v>
      </c>
      <c r="D107" t="str">
        <f>_xll.BDP("27111 HK Equity     ","WRT_EXER_DT")</f>
        <v>29/9/2016</v>
      </c>
      <c r="E107" t="str">
        <f>_xll.BDP("27111 HK Equity     ","WRT_PUT_OR_CALL")</f>
        <v>Put</v>
      </c>
      <c r="F107" t="str">
        <f>_xll.BDP("27111 HK Equity     ","TIME")</f>
        <v>27/5/2016</v>
      </c>
      <c r="G107">
        <f>_xll.BDP("27111 HK Equity     ","RT_PX_CHG_PCT_1D")</f>
        <v>-12.328799999999999</v>
      </c>
      <c r="H107">
        <f>_xll.BDP("27111 HK Equity     ","RT_PX_CHG_NET_1D")</f>
        <v>-8.9999999999999993E-3</v>
      </c>
      <c r="I107">
        <f>_xll.BDP("27111 HK Equity     ","VOLUME")</f>
        <v>32190000</v>
      </c>
      <c r="J107">
        <f>_xll.BDP("27111 HK Equity     ","BID")</f>
        <v>6.4000000000000001E-2</v>
      </c>
      <c r="K107">
        <f>_xll.BDP("27111 HK Equity     ","ASK")</f>
        <v>8.5000000000000006E-2</v>
      </c>
      <c r="M107" t="s">
        <v>116</v>
      </c>
      <c r="N107">
        <v>18888</v>
      </c>
      <c r="O107">
        <v>6.4000000000000001E-2</v>
      </c>
      <c r="P107" t="s">
        <v>246</v>
      </c>
      <c r="Q107" t="s">
        <v>251</v>
      </c>
      <c r="R107" t="s">
        <v>255</v>
      </c>
      <c r="S107">
        <v>-12.328799999999999</v>
      </c>
      <c r="T107">
        <v>-8.9999999999999993E-3</v>
      </c>
      <c r="U107">
        <v>32190000</v>
      </c>
      <c r="V107">
        <v>6.4000000000000001E-2</v>
      </c>
      <c r="W107">
        <v>8.5000000000000006E-2</v>
      </c>
    </row>
    <row r="108" spans="1:23">
      <c r="A108" t="s">
        <v>117</v>
      </c>
      <c r="B108">
        <f>_xll.BDP("27321 HK Equity     ","WRT_EXER_PX")</f>
        <v>21800</v>
      </c>
      <c r="C108">
        <f>_xll.BDP("27321 HK Equity     ","LAST_PRICE")</f>
        <v>6.9000000000000006E-2</v>
      </c>
      <c r="D108" t="str">
        <f>_xll.BDP("27321 HK Equity     ","WRT_EXER_DT")</f>
        <v>28/10/2016</v>
      </c>
      <c r="E108" t="str">
        <f>_xll.BDP("27321 HK Equity     ","WRT_PUT_OR_CALL")</f>
        <v>Call</v>
      </c>
      <c r="F108" t="str">
        <f>_xll.BDP("27321 HK Equity     ","TIME")</f>
        <v>27/5/2016</v>
      </c>
      <c r="G108">
        <f>_xll.BDP("27321 HK Equity     ","RT_PX_CHG_PCT_1D")</f>
        <v>11.2903</v>
      </c>
      <c r="H108">
        <f>_xll.BDP("27321 HK Equity     ","RT_PX_CHG_NET_1D")</f>
        <v>7.0000000000000001E-3</v>
      </c>
      <c r="I108">
        <f>_xll.BDP("27321 HK Equity     ","VOLUME")</f>
        <v>0</v>
      </c>
      <c r="J108">
        <f>_xll.BDP("27321 HK Equity     ","BID")</f>
        <v>6.7000000000000004E-2</v>
      </c>
      <c r="K108">
        <f>_xll.BDP("27321 HK Equity     ","ASK")</f>
        <v>7.1999999999999995E-2</v>
      </c>
      <c r="M108" t="s">
        <v>117</v>
      </c>
      <c r="N108">
        <v>21800</v>
      </c>
      <c r="O108">
        <v>6.9000000000000006E-2</v>
      </c>
      <c r="P108" t="s">
        <v>243</v>
      </c>
      <c r="Q108" t="s">
        <v>250</v>
      </c>
      <c r="R108" t="s">
        <v>255</v>
      </c>
      <c r="S108">
        <v>11.2903</v>
      </c>
      <c r="T108">
        <v>7.0000000000000001E-3</v>
      </c>
      <c r="U108">
        <v>0</v>
      </c>
      <c r="V108">
        <v>6.7000000000000004E-2</v>
      </c>
      <c r="W108">
        <v>7.1999999999999995E-2</v>
      </c>
    </row>
    <row r="109" spans="1:23">
      <c r="A109" t="s">
        <v>118</v>
      </c>
      <c r="B109">
        <f>_xll.BDP("27356 HK Equity     ","WRT_EXER_PX")</f>
        <v>20000</v>
      </c>
      <c r="C109">
        <f>_xll.BDP("27356 HK Equity     ","LAST_PRICE")</f>
        <v>0.17599999999999999</v>
      </c>
      <c r="D109" t="str">
        <f>_xll.BDP("27356 HK Equity     ","WRT_EXER_DT")</f>
        <v>28/10/2016</v>
      </c>
      <c r="E109" t="str">
        <f>_xll.BDP("27356 HK Equity     ","WRT_PUT_OR_CALL")</f>
        <v>Put</v>
      </c>
      <c r="F109" t="str">
        <f>_xll.BDP("27356 HK Equity     ","TIME")</f>
        <v>27/5/2016</v>
      </c>
      <c r="G109">
        <f>_xll.BDP("27356 HK Equity     ","RT_PX_CHG_PCT_1D")</f>
        <v>1660</v>
      </c>
      <c r="H109">
        <f>_xll.BDP("27356 HK Equity     ","RT_PX_CHG_NET_1D")</f>
        <v>0.16600000000000001</v>
      </c>
      <c r="I109">
        <f>_xll.BDP("27356 HK Equity     ","VOLUME")</f>
        <v>20000</v>
      </c>
      <c r="J109" t="str">
        <f>_xll.BDP("27356 HK Equity     ","BID")</f>
        <v>#N/A N/A</v>
      </c>
      <c r="K109" t="str">
        <f>_xll.BDP("27356 HK Equity     ","ASK")</f>
        <v>#N/A N/A</v>
      </c>
      <c r="M109" t="s">
        <v>118</v>
      </c>
      <c r="N109">
        <v>20000</v>
      </c>
      <c r="O109">
        <v>0.17599999999999999</v>
      </c>
      <c r="P109" t="s">
        <v>243</v>
      </c>
      <c r="Q109" t="s">
        <v>251</v>
      </c>
      <c r="R109" t="s">
        <v>255</v>
      </c>
      <c r="S109">
        <v>1660</v>
      </c>
      <c r="T109">
        <v>0.16600000000000001</v>
      </c>
      <c r="U109">
        <v>20000</v>
      </c>
      <c r="V109" t="s">
        <v>254</v>
      </c>
      <c r="W109" t="s">
        <v>254</v>
      </c>
    </row>
    <row r="110" spans="1:23">
      <c r="A110" t="s">
        <v>119</v>
      </c>
      <c r="B110">
        <f>_xll.BDP("27382 HK Equity     ","WRT_EXER_PX")</f>
        <v>19200</v>
      </c>
      <c r="C110">
        <f>_xll.BDP("27382 HK Equity     ","LAST_PRICE")</f>
        <v>8.5000000000000006E-2</v>
      </c>
      <c r="D110" t="str">
        <f>_xll.BDP("27382 HK Equity     ","WRT_EXER_DT")</f>
        <v>29/9/2016</v>
      </c>
      <c r="E110" t="str">
        <f>_xll.BDP("27382 HK Equity     ","WRT_PUT_OR_CALL")</f>
        <v>Put</v>
      </c>
      <c r="F110" t="str">
        <f>_xll.BDP("27382 HK Equity     ","TIME")</f>
        <v>27/5/2016</v>
      </c>
      <c r="G110">
        <f>_xll.BDP("27382 HK Equity     ","RT_PX_CHG_PCT_1D")</f>
        <v>-7.6086999999999998</v>
      </c>
      <c r="H110">
        <f>_xll.BDP("27382 HK Equity     ","RT_PX_CHG_NET_1D")</f>
        <v>-7.0000000000000001E-3</v>
      </c>
      <c r="I110">
        <f>_xll.BDP("27382 HK Equity     ","VOLUME")</f>
        <v>7200000</v>
      </c>
      <c r="J110">
        <f>_xll.BDP("27382 HK Equity     ","BID")</f>
        <v>8.4000000000000005E-2</v>
      </c>
      <c r="K110">
        <f>_xll.BDP("27382 HK Equity     ","ASK")</f>
        <v>8.5000000000000006E-2</v>
      </c>
      <c r="M110" t="s">
        <v>119</v>
      </c>
      <c r="N110">
        <v>19200</v>
      </c>
      <c r="O110">
        <v>8.5000000000000006E-2</v>
      </c>
      <c r="P110" t="s">
        <v>246</v>
      </c>
      <c r="Q110" t="s">
        <v>251</v>
      </c>
      <c r="R110" t="s">
        <v>255</v>
      </c>
      <c r="S110">
        <v>-7.6086999999999998</v>
      </c>
      <c r="T110">
        <v>-7.0000000000000001E-3</v>
      </c>
      <c r="U110">
        <v>7200000</v>
      </c>
      <c r="V110">
        <v>8.4000000000000005E-2</v>
      </c>
      <c r="W110">
        <v>8.5000000000000006E-2</v>
      </c>
    </row>
    <row r="111" spans="1:23">
      <c r="A111" t="s">
        <v>120</v>
      </c>
      <c r="B111">
        <f>_xll.BDP("27394 HK Equity     ","WRT_EXER_PX")</f>
        <v>19800</v>
      </c>
      <c r="C111">
        <f>_xll.BDP("27394 HK Equity     ","LAST_PRICE")</f>
        <v>0.125</v>
      </c>
      <c r="D111" t="str">
        <f>_xll.BDP("27394 HK Equity     ","WRT_EXER_DT")</f>
        <v>28/10/2016</v>
      </c>
      <c r="E111" t="str">
        <f>_xll.BDP("27394 HK Equity     ","WRT_PUT_OR_CALL")</f>
        <v>Put</v>
      </c>
      <c r="F111" t="str">
        <f>_xll.BDP("27394 HK Equity     ","TIME")</f>
        <v>27/5/2016</v>
      </c>
      <c r="G111">
        <f>_xll.BDP("27394 HK Equity     ","RT_PX_CHG_PCT_1D")</f>
        <v>-10.071899999999999</v>
      </c>
      <c r="H111">
        <f>_xll.BDP("27394 HK Equity     ","RT_PX_CHG_NET_1D")</f>
        <v>-1.4E-2</v>
      </c>
      <c r="I111">
        <f>_xll.BDP("27394 HK Equity     ","VOLUME")</f>
        <v>100000</v>
      </c>
      <c r="J111">
        <f>_xll.BDP("27394 HK Equity     ","BID")</f>
        <v>0.124</v>
      </c>
      <c r="K111">
        <f>_xll.BDP("27394 HK Equity     ","ASK")</f>
        <v>0.125</v>
      </c>
      <c r="M111" t="s">
        <v>120</v>
      </c>
      <c r="N111">
        <v>19800</v>
      </c>
      <c r="O111">
        <v>0.125</v>
      </c>
      <c r="P111" t="s">
        <v>243</v>
      </c>
      <c r="Q111" t="s">
        <v>251</v>
      </c>
      <c r="R111" t="s">
        <v>255</v>
      </c>
      <c r="S111">
        <v>-10.071899999999999</v>
      </c>
      <c r="T111">
        <v>-1.4E-2</v>
      </c>
      <c r="U111">
        <v>100000</v>
      </c>
      <c r="V111">
        <v>0.124</v>
      </c>
      <c r="W111">
        <v>0.125</v>
      </c>
    </row>
    <row r="112" spans="1:23">
      <c r="A112" t="s">
        <v>121</v>
      </c>
      <c r="B112">
        <f>_xll.BDP("27596 HK Equity     ","WRT_EXER_PX")</f>
        <v>21000</v>
      </c>
      <c r="C112">
        <f>_xll.BDP("27596 HK Equity     ","LAST_PRICE")</f>
        <v>0.193</v>
      </c>
      <c r="D112" t="str">
        <f>_xll.BDP("27596 HK Equity     ","WRT_EXER_DT")</f>
        <v>30/8/2016</v>
      </c>
      <c r="E112" t="str">
        <f>_xll.BDP("27596 HK Equity     ","WRT_PUT_OR_CALL")</f>
        <v>Put</v>
      </c>
      <c r="F112" t="str">
        <f>_xll.BDP("27596 HK Equity     ","TIME")</f>
        <v>27/5/2016</v>
      </c>
      <c r="G112">
        <f>_xll.BDP("27596 HK Equity     ","RT_PX_CHG_PCT_1D")</f>
        <v>-8.0952400000000004</v>
      </c>
      <c r="H112">
        <f>_xll.BDP("27596 HK Equity     ","RT_PX_CHG_NET_1D")</f>
        <v>-1.7000000000000001E-2</v>
      </c>
      <c r="I112">
        <f>_xll.BDP("27596 HK Equity     ","VOLUME")</f>
        <v>0</v>
      </c>
      <c r="J112">
        <f>_xll.BDP("27596 HK Equity     ","BID")</f>
        <v>0.191</v>
      </c>
      <c r="K112">
        <f>_xll.BDP("27596 HK Equity     ","ASK")</f>
        <v>0.19400000000000001</v>
      </c>
      <c r="M112" t="s">
        <v>121</v>
      </c>
      <c r="N112">
        <v>21000</v>
      </c>
      <c r="O112">
        <v>0.193</v>
      </c>
      <c r="P112" t="s">
        <v>248</v>
      </c>
      <c r="Q112" t="s">
        <v>251</v>
      </c>
      <c r="R112" t="s">
        <v>255</v>
      </c>
      <c r="S112">
        <v>-8.0952400000000004</v>
      </c>
      <c r="T112">
        <v>-1.7000000000000001E-2</v>
      </c>
      <c r="U112">
        <v>0</v>
      </c>
      <c r="V112">
        <v>0.191</v>
      </c>
      <c r="W112">
        <v>0.19400000000000001</v>
      </c>
    </row>
    <row r="113" spans="1:23">
      <c r="A113" t="s">
        <v>122</v>
      </c>
      <c r="B113">
        <f>_xll.BDP("27821 HK Equity     ","WRT_EXER_PX")</f>
        <v>20900</v>
      </c>
      <c r="C113">
        <f>_xll.BDP("27821 HK Equity     ","LAST_PRICE")</f>
        <v>0.17899999999999999</v>
      </c>
      <c r="D113" t="str">
        <f>_xll.BDP("27821 HK Equity     ","WRT_EXER_DT")</f>
        <v>30/8/2016</v>
      </c>
      <c r="E113" t="str">
        <f>_xll.BDP("27821 HK Equity     ","WRT_PUT_OR_CALL")</f>
        <v>Put</v>
      </c>
      <c r="F113" t="str">
        <f>_xll.BDP("27821 HK Equity     ","TIME")</f>
        <v>27/5/2016</v>
      </c>
      <c r="G113">
        <f>_xll.BDP("27821 HK Equity     ","RT_PX_CHG_PCT_1D")</f>
        <v>-9.5959599999999998</v>
      </c>
      <c r="H113">
        <f>_xll.BDP("27821 HK Equity     ","RT_PX_CHG_NET_1D")</f>
        <v>-1.9E-2</v>
      </c>
      <c r="I113">
        <f>_xll.BDP("27821 HK Equity     ","VOLUME")</f>
        <v>0</v>
      </c>
      <c r="J113">
        <f>_xll.BDP("27821 HK Equity     ","BID")</f>
        <v>0.17799999999999999</v>
      </c>
      <c r="K113">
        <f>_xll.BDP("27821 HK Equity     ","ASK")</f>
        <v>0.18</v>
      </c>
      <c r="M113" t="s">
        <v>122</v>
      </c>
      <c r="N113">
        <v>20900</v>
      </c>
      <c r="O113">
        <v>0.17899999999999999</v>
      </c>
      <c r="P113" t="s">
        <v>248</v>
      </c>
      <c r="Q113" t="s">
        <v>251</v>
      </c>
      <c r="R113" t="s">
        <v>255</v>
      </c>
      <c r="S113">
        <v>-9.5959599999999998</v>
      </c>
      <c r="T113">
        <v>-1.9E-2</v>
      </c>
      <c r="U113">
        <v>0</v>
      </c>
      <c r="V113">
        <v>0.17799999999999999</v>
      </c>
      <c r="W113">
        <v>0.18</v>
      </c>
    </row>
    <row r="114" spans="1:23">
      <c r="A114" t="s">
        <v>123</v>
      </c>
      <c r="B114">
        <f>_xll.BDP("27914 HK Equity     ","WRT_EXER_PX")</f>
        <v>20600</v>
      </c>
      <c r="C114">
        <f>_xll.BDP("27914 HK Equity     ","LAST_PRICE")</f>
        <v>9.6000000000000002E-2</v>
      </c>
      <c r="D114" t="str">
        <f>_xll.BDP("27914 HK Equity     ","WRT_EXER_DT")</f>
        <v>30/8/2016</v>
      </c>
      <c r="E114" t="str">
        <f>_xll.BDP("27914 HK Equity     ","WRT_PUT_OR_CALL")</f>
        <v>Call</v>
      </c>
      <c r="F114" t="str">
        <f>_xll.BDP("27914 HK Equity     ","TIME")</f>
        <v>27/5/2016</v>
      </c>
      <c r="G114">
        <f>_xll.BDP("27914 HK Equity     ","RT_PX_CHG_PCT_1D")</f>
        <v>20</v>
      </c>
      <c r="H114">
        <f>_xll.BDP("27914 HK Equity     ","RT_PX_CHG_NET_1D")</f>
        <v>1.6E-2</v>
      </c>
      <c r="I114">
        <f>_xll.BDP("27914 HK Equity     ","VOLUME")</f>
        <v>1264480000</v>
      </c>
      <c r="J114">
        <f>_xll.BDP("27914 HK Equity     ","BID")</f>
        <v>9.4E-2</v>
      </c>
      <c r="K114">
        <f>_xll.BDP("27914 HK Equity     ","ASK")</f>
        <v>9.5000000000000001E-2</v>
      </c>
      <c r="M114" t="s">
        <v>123</v>
      </c>
      <c r="N114">
        <v>20600</v>
      </c>
      <c r="O114">
        <v>9.6000000000000002E-2</v>
      </c>
      <c r="P114" t="s">
        <v>248</v>
      </c>
      <c r="Q114" t="s">
        <v>250</v>
      </c>
      <c r="R114" t="s">
        <v>255</v>
      </c>
      <c r="S114">
        <v>20</v>
      </c>
      <c r="T114">
        <v>1.6E-2</v>
      </c>
      <c r="U114">
        <v>1264480000</v>
      </c>
      <c r="V114">
        <v>9.4E-2</v>
      </c>
      <c r="W114">
        <v>9.5000000000000001E-2</v>
      </c>
    </row>
    <row r="115" spans="1:23">
      <c r="A115" t="s">
        <v>124</v>
      </c>
      <c r="B115">
        <f>_xll.BDP("28080 HK Equity     ","WRT_EXER_PX")</f>
        <v>19888</v>
      </c>
      <c r="C115">
        <f>_xll.BDP("28080 HK Equity     ","LAST_PRICE")</f>
        <v>0.16600000000000001</v>
      </c>
      <c r="D115" t="str">
        <f>_xll.BDP("28080 HK Equity     ","WRT_EXER_DT")</f>
        <v>28/10/2016</v>
      </c>
      <c r="E115" t="str">
        <f>_xll.BDP("28080 HK Equity     ","WRT_PUT_OR_CALL")</f>
        <v>Call</v>
      </c>
      <c r="F115" t="str">
        <f>_xll.BDP("28080 HK Equity     ","TIME")</f>
        <v>27/5/2016</v>
      </c>
      <c r="G115">
        <f>_xll.BDP("28080 HK Equity     ","RT_PX_CHG_PCT_1D")</f>
        <v>0</v>
      </c>
      <c r="H115">
        <f>_xll.BDP("28080 HK Equity     ","RT_PX_CHG_NET_1D")</f>
        <v>0</v>
      </c>
      <c r="I115">
        <f>_xll.BDP("28080 HK Equity     ","VOLUME")</f>
        <v>0</v>
      </c>
      <c r="J115" t="str">
        <f>_xll.BDP("28080 HK Equity     ","BID")</f>
        <v>#N/A N/A</v>
      </c>
      <c r="K115" t="str">
        <f>_xll.BDP("28080 HK Equity     ","ASK")</f>
        <v>#N/A N/A</v>
      </c>
      <c r="M115" t="s">
        <v>124</v>
      </c>
      <c r="N115">
        <v>19888</v>
      </c>
      <c r="O115">
        <v>0.16600000000000001</v>
      </c>
      <c r="P115" t="s">
        <v>243</v>
      </c>
      <c r="Q115" t="s">
        <v>250</v>
      </c>
      <c r="R115" t="s">
        <v>255</v>
      </c>
      <c r="S115">
        <v>0</v>
      </c>
      <c r="T115">
        <v>0</v>
      </c>
      <c r="U115">
        <v>0</v>
      </c>
      <c r="V115" t="s">
        <v>254</v>
      </c>
      <c r="W115" t="s">
        <v>254</v>
      </c>
    </row>
    <row r="116" spans="1:23">
      <c r="A116" t="s">
        <v>125</v>
      </c>
      <c r="B116">
        <f>_xll.BDP("28129 HK Equity     ","WRT_EXER_PX")</f>
        <v>19200</v>
      </c>
      <c r="C116">
        <f>_xll.BDP("28129 HK Equity     ","LAST_PRICE")</f>
        <v>8.5000000000000006E-2</v>
      </c>
      <c r="D116" t="str">
        <f>_xll.BDP("28129 HK Equity     ","WRT_EXER_DT")</f>
        <v>29/9/2016</v>
      </c>
      <c r="E116" t="str">
        <f>_xll.BDP("28129 HK Equity     ","WRT_PUT_OR_CALL")</f>
        <v>Put</v>
      </c>
      <c r="F116" t="str">
        <f>_xll.BDP("28129 HK Equity     ","TIME")</f>
        <v>27/5/2016</v>
      </c>
      <c r="G116">
        <f>_xll.BDP("28129 HK Equity     ","RT_PX_CHG_PCT_1D")</f>
        <v>-8.60215</v>
      </c>
      <c r="H116">
        <f>_xll.BDP("28129 HK Equity     ","RT_PX_CHG_NET_1D")</f>
        <v>-8.0000000000000002E-3</v>
      </c>
      <c r="I116">
        <f>_xll.BDP("28129 HK Equity     ","VOLUME")</f>
        <v>7200000</v>
      </c>
      <c r="J116">
        <f>_xll.BDP("28129 HK Equity     ","BID")</f>
        <v>8.4000000000000005E-2</v>
      </c>
      <c r="K116">
        <f>_xll.BDP("28129 HK Equity     ","ASK")</f>
        <v>8.5000000000000006E-2</v>
      </c>
      <c r="M116" t="s">
        <v>125</v>
      </c>
      <c r="N116">
        <v>19200</v>
      </c>
      <c r="O116">
        <v>8.5000000000000006E-2</v>
      </c>
      <c r="P116" t="s">
        <v>246</v>
      </c>
      <c r="Q116" t="s">
        <v>251</v>
      </c>
      <c r="R116" t="s">
        <v>255</v>
      </c>
      <c r="S116">
        <v>-8.60215</v>
      </c>
      <c r="T116">
        <v>-8.0000000000000002E-3</v>
      </c>
      <c r="U116">
        <v>7200000</v>
      </c>
      <c r="V116">
        <v>8.4000000000000005E-2</v>
      </c>
      <c r="W116">
        <v>8.5000000000000006E-2</v>
      </c>
    </row>
    <row r="117" spans="1:23">
      <c r="A117" t="s">
        <v>126</v>
      </c>
      <c r="B117">
        <f>_xll.BDP("28167 HK Equity     ","WRT_EXER_PX")</f>
        <v>19168</v>
      </c>
      <c r="C117">
        <f>_xll.BDP("28167 HK Equity     ","LAST_PRICE")</f>
        <v>0.20100000000000001</v>
      </c>
      <c r="D117" t="str">
        <f>_xll.BDP("28167 HK Equity     ","WRT_EXER_DT")</f>
        <v>29/9/2016</v>
      </c>
      <c r="E117" t="str">
        <f>_xll.BDP("28167 HK Equity     ","WRT_PUT_OR_CALL")</f>
        <v>Call</v>
      </c>
      <c r="F117" t="str">
        <f>_xll.BDP("28167 HK Equity     ","TIME")</f>
        <v>27/5/2016</v>
      </c>
      <c r="G117">
        <f>_xll.BDP("28167 HK Equity     ","RT_PX_CHG_PCT_1D")</f>
        <v>8.6486499999999999</v>
      </c>
      <c r="H117">
        <f>_xll.BDP("28167 HK Equity     ","RT_PX_CHG_NET_1D")</f>
        <v>1.6E-2</v>
      </c>
      <c r="I117">
        <f>_xll.BDP("28167 HK Equity     ","VOLUME")</f>
        <v>0</v>
      </c>
      <c r="J117">
        <f>_xll.BDP("28167 HK Equity     ","BID")</f>
        <v>0.2</v>
      </c>
      <c r="K117">
        <f>_xll.BDP("28167 HK Equity     ","ASK")</f>
        <v>0.20300000000000001</v>
      </c>
      <c r="M117" t="s">
        <v>126</v>
      </c>
      <c r="N117">
        <v>19168</v>
      </c>
      <c r="O117">
        <v>0.20100000000000001</v>
      </c>
      <c r="P117" t="s">
        <v>246</v>
      </c>
      <c r="Q117" t="s">
        <v>250</v>
      </c>
      <c r="R117" t="s">
        <v>255</v>
      </c>
      <c r="S117">
        <v>8.6486499999999999</v>
      </c>
      <c r="T117">
        <v>1.6E-2</v>
      </c>
      <c r="U117">
        <v>0</v>
      </c>
      <c r="V117">
        <v>0.2</v>
      </c>
      <c r="W117">
        <v>0.20300000000000001</v>
      </c>
    </row>
    <row r="118" spans="1:23">
      <c r="A118" t="s">
        <v>127</v>
      </c>
      <c r="B118">
        <f>_xll.BDP("25489 HK Equity     ","WRT_EXER_PX")</f>
        <v>21000</v>
      </c>
      <c r="C118">
        <f>_xll.BDP("25489 HK Equity     ","LAST_PRICE")</f>
        <v>1.7999999999999999E-2</v>
      </c>
      <c r="D118" t="str">
        <f>_xll.BDP("25489 HK Equity     ","WRT_EXER_DT")</f>
        <v>29/6/2016</v>
      </c>
      <c r="E118" t="str">
        <f>_xll.BDP("25489 HK Equity     ","WRT_PUT_OR_CALL")</f>
        <v>Call</v>
      </c>
      <c r="F118" t="str">
        <f>_xll.BDP("25489 HK Equity     ","TIME")</f>
        <v>27/5/2016</v>
      </c>
      <c r="G118">
        <f>_xll.BDP("25489 HK Equity     ","RT_PX_CHG_PCT_1D")</f>
        <v>50</v>
      </c>
      <c r="H118">
        <f>_xll.BDP("25489 HK Equity     ","RT_PX_CHG_NET_1D")</f>
        <v>6.0000000000000001E-3</v>
      </c>
      <c r="I118">
        <f>_xll.BDP("25489 HK Equity     ","VOLUME")</f>
        <v>1260000</v>
      </c>
      <c r="J118">
        <f>_xll.BDP("25489 HK Equity     ","BID")</f>
        <v>1.6E-2</v>
      </c>
      <c r="K118">
        <f>_xll.BDP("25489 HK Equity     ","ASK")</f>
        <v>1.7999999999999999E-2</v>
      </c>
      <c r="M118" t="s">
        <v>127</v>
      </c>
      <c r="N118">
        <v>21000</v>
      </c>
      <c r="O118">
        <v>1.7999999999999999E-2</v>
      </c>
      <c r="P118" t="s">
        <v>245</v>
      </c>
      <c r="Q118" t="s">
        <v>250</v>
      </c>
      <c r="R118" t="s">
        <v>255</v>
      </c>
      <c r="S118">
        <v>50</v>
      </c>
      <c r="T118">
        <v>6.0000000000000001E-3</v>
      </c>
      <c r="U118">
        <v>1260000</v>
      </c>
      <c r="V118">
        <v>1.6E-2</v>
      </c>
      <c r="W118">
        <v>1.7999999999999999E-2</v>
      </c>
    </row>
    <row r="119" spans="1:23">
      <c r="A119" t="s">
        <v>128</v>
      </c>
      <c r="B119">
        <f>_xll.BDP("26014 HK Equity     ","WRT_EXER_PX")</f>
        <v>20000</v>
      </c>
      <c r="C119">
        <f>_xll.BDP("26014 HK Equity     ","LAST_PRICE")</f>
        <v>5.0999999999999997E-2</v>
      </c>
      <c r="D119" t="str">
        <f>_xll.BDP("26014 HK Equity     ","WRT_EXER_DT")</f>
        <v>29/6/2016</v>
      </c>
      <c r="E119" t="str">
        <f>_xll.BDP("26014 HK Equity     ","WRT_PUT_OR_CALL")</f>
        <v>Put</v>
      </c>
      <c r="F119" t="str">
        <f>_xll.BDP("26014 HK Equity     ","TIME")</f>
        <v>27/5/2016</v>
      </c>
      <c r="G119">
        <f>_xll.BDP("26014 HK Equity     ","RT_PX_CHG_PCT_1D")</f>
        <v>-19.047599999999999</v>
      </c>
      <c r="H119">
        <f>_xll.BDP("26014 HK Equity     ","RT_PX_CHG_NET_1D")</f>
        <v>-1.2E-2</v>
      </c>
      <c r="I119">
        <f>_xll.BDP("26014 HK Equity     ","VOLUME")</f>
        <v>18950000</v>
      </c>
      <c r="J119">
        <f>_xll.BDP("26014 HK Equity     ","BID")</f>
        <v>4.9000000000000002E-2</v>
      </c>
      <c r="K119">
        <f>_xll.BDP("26014 HK Equity     ","ASK")</f>
        <v>5.3999999999999999E-2</v>
      </c>
      <c r="M119" t="s">
        <v>128</v>
      </c>
      <c r="N119">
        <v>20000</v>
      </c>
      <c r="O119">
        <v>5.0999999999999997E-2</v>
      </c>
      <c r="P119" t="s">
        <v>245</v>
      </c>
      <c r="Q119" t="s">
        <v>251</v>
      </c>
      <c r="R119" t="s">
        <v>255</v>
      </c>
      <c r="S119">
        <v>-19.047599999999999</v>
      </c>
      <c r="T119">
        <v>-1.2E-2</v>
      </c>
      <c r="U119">
        <v>18950000</v>
      </c>
      <c r="V119">
        <v>4.9000000000000002E-2</v>
      </c>
      <c r="W119">
        <v>5.3999999999999999E-2</v>
      </c>
    </row>
    <row r="120" spans="1:23">
      <c r="A120" t="s">
        <v>129</v>
      </c>
      <c r="B120">
        <f>_xll.BDP("11153 HK Equity     ","WRT_EXER_PX")</f>
        <v>20000</v>
      </c>
      <c r="C120">
        <f>_xll.BDP("11153 HK Equity     ","LAST_PRICE")</f>
        <v>7.0999999999999994E-2</v>
      </c>
      <c r="D120" t="str">
        <f>_xll.BDP("11153 HK Equity     ","WRT_EXER_DT")</f>
        <v>29/6/2016</v>
      </c>
      <c r="E120" t="str">
        <f>_xll.BDP("11153 HK Equity     ","WRT_PUT_OR_CALL")</f>
        <v>Call</v>
      </c>
      <c r="F120" t="str">
        <f>_xll.BDP("11153 HK Equity     ","TIME")</f>
        <v>27/5/2016</v>
      </c>
      <c r="G120">
        <f>_xll.BDP("11153 HK Equity     ","RT_PX_CHG_PCT_1D")</f>
        <v>24.561399000000002</v>
      </c>
      <c r="H120">
        <f>_xll.BDP("11153 HK Equity     ","RT_PX_CHG_NET_1D")</f>
        <v>1.4E-2</v>
      </c>
      <c r="I120">
        <f>_xll.BDP("11153 HK Equity     ","VOLUME")</f>
        <v>3880000</v>
      </c>
      <c r="J120">
        <f>_xll.BDP("11153 HK Equity     ","BID")</f>
        <v>6.8000000000000005E-2</v>
      </c>
      <c r="K120">
        <f>_xll.BDP("11153 HK Equity     ","ASK")</f>
        <v>7.1999999999999995E-2</v>
      </c>
      <c r="M120" t="s">
        <v>129</v>
      </c>
      <c r="N120">
        <v>20000</v>
      </c>
      <c r="O120">
        <v>7.0999999999999994E-2</v>
      </c>
      <c r="P120" t="s">
        <v>245</v>
      </c>
      <c r="Q120" t="s">
        <v>250</v>
      </c>
      <c r="R120" t="s">
        <v>255</v>
      </c>
      <c r="S120">
        <v>24.561399000000002</v>
      </c>
      <c r="T120">
        <v>1.4E-2</v>
      </c>
      <c r="U120">
        <v>3880000</v>
      </c>
      <c r="V120">
        <v>6.8000000000000005E-2</v>
      </c>
      <c r="W120">
        <v>7.1999999999999995E-2</v>
      </c>
    </row>
    <row r="121" spans="1:23">
      <c r="A121" t="s">
        <v>130</v>
      </c>
      <c r="B121">
        <f>_xll.BDP("11321 HK Equity     ","WRT_EXER_PX")</f>
        <v>20000</v>
      </c>
      <c r="C121">
        <f>_xll.BDP("11321 HK Equity     ","LAST_PRICE")</f>
        <v>2.9000000000000001E-2</v>
      </c>
      <c r="D121" t="str">
        <f>_xll.BDP("11321 HK Equity     ","WRT_EXER_DT")</f>
        <v>30/5/2016</v>
      </c>
      <c r="E121" t="str">
        <f>_xll.BDP("11321 HK Equity     ","WRT_PUT_OR_CALL")</f>
        <v>Put</v>
      </c>
      <c r="F121" t="str">
        <f>_xll.BDP("11321 HK Equity     ","TIME")</f>
        <v>27/5/2016</v>
      </c>
      <c r="G121">
        <f>_xll.BDP("11321 HK Equity     ","RT_PX_CHG_PCT_1D")</f>
        <v>0</v>
      </c>
      <c r="H121">
        <f>_xll.BDP("11321 HK Equity     ","RT_PX_CHG_NET_1D")</f>
        <v>0</v>
      </c>
      <c r="I121">
        <f>_xll.BDP("11321 HK Equity     ","VOLUME")</f>
        <v>0</v>
      </c>
      <c r="J121" t="str">
        <f>_xll.BDP("11321 HK Equity     ","BID")</f>
        <v>#N/A N/A</v>
      </c>
      <c r="K121" t="str">
        <f>_xll.BDP("11321 HK Equity     ","ASK")</f>
        <v>#N/A N/A</v>
      </c>
      <c r="M121" t="s">
        <v>130</v>
      </c>
      <c r="N121">
        <v>20000</v>
      </c>
      <c r="O121">
        <v>2.9000000000000001E-2</v>
      </c>
      <c r="P121" t="s">
        <v>247</v>
      </c>
      <c r="Q121" t="s">
        <v>251</v>
      </c>
      <c r="R121" t="s">
        <v>255</v>
      </c>
      <c r="S121">
        <v>0</v>
      </c>
      <c r="T121">
        <v>0</v>
      </c>
      <c r="U121">
        <v>0</v>
      </c>
      <c r="V121" t="s">
        <v>254</v>
      </c>
      <c r="W121" t="s">
        <v>254</v>
      </c>
    </row>
    <row r="122" spans="1:23">
      <c r="A122" t="s">
        <v>131</v>
      </c>
      <c r="B122">
        <f>_xll.BDP("20546 HK Equity     ","WRT_EXER_PX")</f>
        <v>22200</v>
      </c>
      <c r="C122">
        <f>_xll.BDP("20546 HK Equity     ","LAST_PRICE")</f>
        <v>0.25</v>
      </c>
      <c r="D122" t="str">
        <f>_xll.BDP("20546 HK Equity     ","WRT_EXER_DT")</f>
        <v>29/6/2016</v>
      </c>
      <c r="E122" t="str">
        <f>_xll.BDP("20546 HK Equity     ","WRT_PUT_OR_CALL")</f>
        <v>Put</v>
      </c>
      <c r="F122" t="str">
        <f>_xll.BDP("20546 HK Equity     ","TIME")</f>
        <v>27/5/2016</v>
      </c>
      <c r="G122">
        <f>_xll.BDP("20546 HK Equity     ","RT_PX_CHG_PCT_1D")</f>
        <v>-10.7143</v>
      </c>
      <c r="H122">
        <f>_xll.BDP("20546 HK Equity     ","RT_PX_CHG_NET_1D")</f>
        <v>-0.03</v>
      </c>
      <c r="I122">
        <f>_xll.BDP("20546 HK Equity     ","VOLUME")</f>
        <v>600000</v>
      </c>
      <c r="J122">
        <f>_xll.BDP("20546 HK Equity     ","BID")</f>
        <v>0.247</v>
      </c>
      <c r="K122">
        <f>_xll.BDP("20546 HK Equity     ","ASK")</f>
        <v>0.255</v>
      </c>
      <c r="M122" t="s">
        <v>131</v>
      </c>
      <c r="N122">
        <v>22200</v>
      </c>
      <c r="O122">
        <v>0.25</v>
      </c>
      <c r="P122" t="s">
        <v>245</v>
      </c>
      <c r="Q122" t="s">
        <v>251</v>
      </c>
      <c r="R122" t="s">
        <v>255</v>
      </c>
      <c r="S122">
        <v>-10.7143</v>
      </c>
      <c r="T122">
        <v>-0.03</v>
      </c>
      <c r="U122">
        <v>600000</v>
      </c>
      <c r="V122">
        <v>0.247</v>
      </c>
      <c r="W122">
        <v>0.255</v>
      </c>
    </row>
    <row r="123" spans="1:23">
      <c r="A123" t="s">
        <v>132</v>
      </c>
      <c r="B123">
        <f>_xll.BDP("21028 HK Equity     ","WRT_EXER_PX")</f>
        <v>24500</v>
      </c>
      <c r="C123">
        <f>_xll.BDP("21028 HK Equity     ","LAST_PRICE")</f>
        <v>0.48</v>
      </c>
      <c r="D123" t="str">
        <f>_xll.BDP("21028 HK Equity     ","WRT_EXER_DT")</f>
        <v>30/5/2016</v>
      </c>
      <c r="E123" t="str">
        <f>_xll.BDP("21028 HK Equity     ","WRT_PUT_OR_CALL")</f>
        <v>Put</v>
      </c>
      <c r="F123" t="str">
        <f>_xll.BDP("21028 HK Equity     ","TIME")</f>
        <v>27/5/2016</v>
      </c>
      <c r="G123">
        <f>_xll.BDP("21028 HK Equity     ","RT_PX_CHG_PCT_1D")</f>
        <v>0</v>
      </c>
      <c r="H123">
        <f>_xll.BDP("21028 HK Equity     ","RT_PX_CHG_NET_1D")</f>
        <v>0</v>
      </c>
      <c r="I123">
        <f>_xll.BDP("21028 HK Equity     ","VOLUME")</f>
        <v>0</v>
      </c>
      <c r="J123" t="str">
        <f>_xll.BDP("21028 HK Equity     ","BID")</f>
        <v>#N/A N/A</v>
      </c>
      <c r="K123" t="str">
        <f>_xll.BDP("21028 HK Equity     ","ASK")</f>
        <v>#N/A N/A</v>
      </c>
      <c r="M123" t="s">
        <v>132</v>
      </c>
      <c r="N123">
        <v>24500</v>
      </c>
      <c r="O123">
        <v>0.48</v>
      </c>
      <c r="P123" t="s">
        <v>247</v>
      </c>
      <c r="Q123" t="s">
        <v>251</v>
      </c>
      <c r="R123" t="s">
        <v>255</v>
      </c>
      <c r="S123">
        <v>0</v>
      </c>
      <c r="T123">
        <v>0</v>
      </c>
      <c r="U123">
        <v>0</v>
      </c>
      <c r="V123" t="s">
        <v>254</v>
      </c>
      <c r="W123" t="s">
        <v>254</v>
      </c>
    </row>
    <row r="124" spans="1:23">
      <c r="A124" t="s">
        <v>133</v>
      </c>
      <c r="B124">
        <f>_xll.BDP("21729 HK Equity     ","WRT_EXER_PX")</f>
        <v>22100</v>
      </c>
      <c r="C124">
        <f>_xll.BDP("21729 HK Equity     ","LAST_PRICE")</f>
        <v>0.24199999999999999</v>
      </c>
      <c r="D124" t="str">
        <f>_xll.BDP("21729 HK Equity     ","WRT_EXER_DT")</f>
        <v>29/6/2016</v>
      </c>
      <c r="E124" t="str">
        <f>_xll.BDP("21729 HK Equity     ","WRT_PUT_OR_CALL")</f>
        <v>Put</v>
      </c>
      <c r="F124" t="str">
        <f>_xll.BDP("21729 HK Equity     ","TIME")</f>
        <v>27/5/2016</v>
      </c>
      <c r="G124">
        <f>_xll.BDP("21729 HK Equity     ","RT_PX_CHG_PCT_1D")</f>
        <v>-10.3704</v>
      </c>
      <c r="H124">
        <f>_xll.BDP("21729 HK Equity     ","RT_PX_CHG_NET_1D")</f>
        <v>-2.8000000000000001E-2</v>
      </c>
      <c r="I124">
        <f>_xll.BDP("21729 HK Equity     ","VOLUME")</f>
        <v>0</v>
      </c>
      <c r="J124">
        <f>_xll.BDP("21729 HK Equity     ","BID")</f>
        <v>0.23899999999999999</v>
      </c>
      <c r="K124">
        <f>_xll.BDP("21729 HK Equity     ","ASK")</f>
        <v>0.24399999999999999</v>
      </c>
      <c r="M124" t="s">
        <v>133</v>
      </c>
      <c r="N124">
        <v>22100</v>
      </c>
      <c r="O124">
        <v>0.24199999999999999</v>
      </c>
      <c r="P124" t="s">
        <v>245</v>
      </c>
      <c r="Q124" t="s">
        <v>251</v>
      </c>
      <c r="R124" t="s">
        <v>255</v>
      </c>
      <c r="S124">
        <v>-10.3704</v>
      </c>
      <c r="T124">
        <v>-2.8000000000000001E-2</v>
      </c>
      <c r="U124">
        <v>0</v>
      </c>
      <c r="V124">
        <v>0.23899999999999999</v>
      </c>
      <c r="W124">
        <v>0.24399999999999999</v>
      </c>
    </row>
    <row r="125" spans="1:23">
      <c r="A125" t="s">
        <v>134</v>
      </c>
      <c r="B125">
        <f>_xll.BDP("21852 HK Equity     ","WRT_EXER_PX")</f>
        <v>25000</v>
      </c>
      <c r="C125">
        <f>_xll.BDP("21852 HK Equity     ","LAST_PRICE")</f>
        <v>0.01</v>
      </c>
      <c r="D125" t="str">
        <f>_xll.BDP("21852 HK Equity     ","WRT_EXER_DT")</f>
        <v>29/6/2016</v>
      </c>
      <c r="E125" t="str">
        <f>_xll.BDP("21852 HK Equity     ","WRT_PUT_OR_CALL")</f>
        <v>Call</v>
      </c>
      <c r="F125" t="str">
        <f>_xll.BDP("21852 HK Equity     ","TIME")</f>
        <v>27/5/2016</v>
      </c>
      <c r="G125">
        <f>_xll.BDP("21852 HK Equity     ","RT_PX_CHG_PCT_1D")</f>
        <v>0</v>
      </c>
      <c r="H125">
        <f>_xll.BDP("21852 HK Equity     ","RT_PX_CHG_NET_1D")</f>
        <v>0</v>
      </c>
      <c r="I125">
        <f>_xll.BDP("21852 HK Equity     ","VOLUME")</f>
        <v>0</v>
      </c>
      <c r="J125" t="str">
        <f>_xll.BDP("21852 HK Equity     ","BID")</f>
        <v>#N/A N/A</v>
      </c>
      <c r="K125">
        <f>_xll.BDP("21852 HK Equity     ","ASK")</f>
        <v>0.01</v>
      </c>
      <c r="M125" t="s">
        <v>134</v>
      </c>
      <c r="N125">
        <v>25000</v>
      </c>
      <c r="O125">
        <v>0.01</v>
      </c>
      <c r="P125" t="s">
        <v>245</v>
      </c>
      <c r="Q125" t="s">
        <v>250</v>
      </c>
      <c r="R125" t="s">
        <v>255</v>
      </c>
      <c r="S125">
        <v>0</v>
      </c>
      <c r="T125">
        <v>0</v>
      </c>
      <c r="U125">
        <v>0</v>
      </c>
      <c r="V125" t="s">
        <v>254</v>
      </c>
      <c r="W125">
        <v>0.01</v>
      </c>
    </row>
    <row r="126" spans="1:23">
      <c r="A126" t="s">
        <v>135</v>
      </c>
      <c r="B126">
        <f>_xll.BDP("22156 HK Equity     ","WRT_EXER_PX")</f>
        <v>24400</v>
      </c>
      <c r="C126">
        <f>_xll.BDP("22156 HK Equity     ","LAST_PRICE")</f>
        <v>1.4E-2</v>
      </c>
      <c r="D126" t="str">
        <f>_xll.BDP("22156 HK Equity     ","WRT_EXER_DT")</f>
        <v>30/5/2016</v>
      </c>
      <c r="E126" t="str">
        <f>_xll.BDP("22156 HK Equity     ","WRT_PUT_OR_CALL")</f>
        <v>Call</v>
      </c>
      <c r="F126" t="str">
        <f>_xll.BDP("22156 HK Equity     ","TIME")</f>
        <v>27/5/2016</v>
      </c>
      <c r="G126">
        <f>_xll.BDP("22156 HK Equity     ","RT_PX_CHG_PCT_1D")</f>
        <v>0</v>
      </c>
      <c r="H126">
        <f>_xll.BDP("22156 HK Equity     ","RT_PX_CHG_NET_1D")</f>
        <v>0</v>
      </c>
      <c r="I126">
        <f>_xll.BDP("22156 HK Equity     ","VOLUME")</f>
        <v>0</v>
      </c>
      <c r="J126" t="str">
        <f>_xll.BDP("22156 HK Equity     ","BID")</f>
        <v>#N/A N/A</v>
      </c>
      <c r="K126" t="str">
        <f>_xll.BDP("22156 HK Equity     ","ASK")</f>
        <v>#N/A N/A</v>
      </c>
      <c r="M126" t="s">
        <v>135</v>
      </c>
      <c r="N126">
        <v>24400</v>
      </c>
      <c r="O126">
        <v>1.4E-2</v>
      </c>
      <c r="P126" t="s">
        <v>247</v>
      </c>
      <c r="Q126" t="s">
        <v>250</v>
      </c>
      <c r="R126" t="s">
        <v>255</v>
      </c>
      <c r="S126">
        <v>0</v>
      </c>
      <c r="T126">
        <v>0</v>
      </c>
      <c r="U126">
        <v>0</v>
      </c>
      <c r="V126" t="s">
        <v>254</v>
      </c>
      <c r="W126" t="s">
        <v>254</v>
      </c>
    </row>
    <row r="127" spans="1:23">
      <c r="A127" t="s">
        <v>136</v>
      </c>
      <c r="B127">
        <f>_xll.BDP("22313 HK Equity     ","WRT_EXER_PX")</f>
        <v>23200</v>
      </c>
      <c r="C127">
        <f>_xll.BDP("22313 HK Equity     ","LAST_PRICE")</f>
        <v>1.4999999999999999E-2</v>
      </c>
      <c r="D127" t="str">
        <f>_xll.BDP("22313 HK Equity     ","WRT_EXER_DT")</f>
        <v>30/5/2016</v>
      </c>
      <c r="E127" t="str">
        <f>_xll.BDP("22313 HK Equity     ","WRT_PUT_OR_CALL")</f>
        <v>Call</v>
      </c>
      <c r="F127" t="str">
        <f>_xll.BDP("22313 HK Equity     ","TIME")</f>
        <v>27/5/2016</v>
      </c>
      <c r="G127">
        <f>_xll.BDP("22313 HK Equity     ","RT_PX_CHG_PCT_1D")</f>
        <v>0</v>
      </c>
      <c r="H127">
        <f>_xll.BDP("22313 HK Equity     ","RT_PX_CHG_NET_1D")</f>
        <v>0</v>
      </c>
      <c r="I127">
        <f>_xll.BDP("22313 HK Equity     ","VOLUME")</f>
        <v>0</v>
      </c>
      <c r="J127" t="str">
        <f>_xll.BDP("22313 HK Equity     ","BID")</f>
        <v>#N/A N/A</v>
      </c>
      <c r="K127" t="str">
        <f>_xll.BDP("22313 HK Equity     ","ASK")</f>
        <v>#N/A N/A</v>
      </c>
      <c r="M127" t="s">
        <v>136</v>
      </c>
      <c r="N127">
        <v>23200</v>
      </c>
      <c r="O127">
        <v>1.4999999999999999E-2</v>
      </c>
      <c r="P127" t="s">
        <v>247</v>
      </c>
      <c r="Q127" t="s">
        <v>250</v>
      </c>
      <c r="R127" t="s">
        <v>255</v>
      </c>
      <c r="S127">
        <v>0</v>
      </c>
      <c r="T127">
        <v>0</v>
      </c>
      <c r="U127">
        <v>0</v>
      </c>
      <c r="V127" t="s">
        <v>254</v>
      </c>
      <c r="W127" t="s">
        <v>254</v>
      </c>
    </row>
    <row r="128" spans="1:23">
      <c r="A128" t="s">
        <v>137</v>
      </c>
      <c r="B128">
        <f>_xll.BDP("22353 HK Equity     ","WRT_EXER_PX")</f>
        <v>23800</v>
      </c>
      <c r="C128">
        <f>_xll.BDP("22353 HK Equity     ","LAST_PRICE")</f>
        <v>0.01</v>
      </c>
      <c r="D128" t="str">
        <f>_xll.BDP("22353 HK Equity     ","WRT_EXER_DT")</f>
        <v>30/5/2016</v>
      </c>
      <c r="E128" t="str">
        <f>_xll.BDP("22353 HK Equity     ","WRT_PUT_OR_CALL")</f>
        <v>Call</v>
      </c>
      <c r="F128" t="str">
        <f>_xll.BDP("22353 HK Equity     ","TIME")</f>
        <v>27/5/2016</v>
      </c>
      <c r="G128">
        <f>_xll.BDP("22353 HK Equity     ","RT_PX_CHG_PCT_1D")</f>
        <v>0</v>
      </c>
      <c r="H128">
        <f>_xll.BDP("22353 HK Equity     ","RT_PX_CHG_NET_1D")</f>
        <v>0</v>
      </c>
      <c r="I128">
        <f>_xll.BDP("22353 HK Equity     ","VOLUME")</f>
        <v>0</v>
      </c>
      <c r="J128" t="str">
        <f>_xll.BDP("22353 HK Equity     ","BID")</f>
        <v>#N/A N/A</v>
      </c>
      <c r="K128" t="str">
        <f>_xll.BDP("22353 HK Equity     ","ASK")</f>
        <v>#N/A N/A</v>
      </c>
      <c r="M128" t="s">
        <v>137</v>
      </c>
      <c r="N128">
        <v>23800</v>
      </c>
      <c r="O128">
        <v>0.01</v>
      </c>
      <c r="P128" t="s">
        <v>247</v>
      </c>
      <c r="Q128" t="s">
        <v>250</v>
      </c>
      <c r="R128" t="s">
        <v>255</v>
      </c>
      <c r="S128">
        <v>0</v>
      </c>
      <c r="T128">
        <v>0</v>
      </c>
      <c r="U128">
        <v>0</v>
      </c>
      <c r="V128" t="s">
        <v>254</v>
      </c>
      <c r="W128" t="s">
        <v>254</v>
      </c>
    </row>
    <row r="129" spans="1:23">
      <c r="A129" t="s">
        <v>138</v>
      </c>
      <c r="B129">
        <f>_xll.BDP("22990 HK Equity     ","WRT_EXER_PX")</f>
        <v>20088</v>
      </c>
      <c r="C129">
        <f>_xll.BDP("22990 HK Equity     ","LAST_PRICE")</f>
        <v>5.8999999999999997E-2</v>
      </c>
      <c r="D129" t="str">
        <f>_xll.BDP("22990 HK Equity     ","WRT_EXER_DT")</f>
        <v>29/6/2016</v>
      </c>
      <c r="E129" t="str">
        <f>_xll.BDP("22990 HK Equity     ","WRT_PUT_OR_CALL")</f>
        <v>Put</v>
      </c>
      <c r="F129" t="str">
        <f>_xll.BDP("22990 HK Equity     ","TIME")</f>
        <v>27/5/2016</v>
      </c>
      <c r="G129">
        <f>_xll.BDP("22990 HK Equity     ","RT_PX_CHG_PCT_1D")</f>
        <v>-22.368400999999999</v>
      </c>
      <c r="H129">
        <f>_xll.BDP("22990 HK Equity     ","RT_PX_CHG_NET_1D")</f>
        <v>-1.7000000000000001E-2</v>
      </c>
      <c r="I129">
        <f>_xll.BDP("22990 HK Equity     ","VOLUME")</f>
        <v>330000</v>
      </c>
      <c r="J129">
        <f>_xll.BDP("22990 HK Equity     ","BID")</f>
        <v>5.2999999999999999E-2</v>
      </c>
      <c r="K129" t="str">
        <f>_xll.BDP("22990 HK Equity     ","ASK")</f>
        <v>#N/A N/A</v>
      </c>
      <c r="M129" t="s">
        <v>138</v>
      </c>
      <c r="N129">
        <v>20088</v>
      </c>
      <c r="O129">
        <v>5.8999999999999997E-2</v>
      </c>
      <c r="P129" t="s">
        <v>245</v>
      </c>
      <c r="Q129" t="s">
        <v>251</v>
      </c>
      <c r="R129" t="s">
        <v>255</v>
      </c>
      <c r="S129">
        <v>-22.368400999999999</v>
      </c>
      <c r="T129">
        <v>-1.7000000000000001E-2</v>
      </c>
      <c r="U129">
        <v>330000</v>
      </c>
      <c r="V129">
        <v>5.2999999999999999E-2</v>
      </c>
      <c r="W129" t="s">
        <v>254</v>
      </c>
    </row>
    <row r="130" spans="1:23">
      <c r="A130" t="s">
        <v>139</v>
      </c>
      <c r="B130">
        <f>_xll.BDP("22997 HK Equity     ","WRT_EXER_PX")</f>
        <v>21000</v>
      </c>
      <c r="C130">
        <f>_xll.BDP("22997 HK Equity     ","LAST_PRICE")</f>
        <v>0.121</v>
      </c>
      <c r="D130" t="str">
        <f>_xll.BDP("22997 HK Equity     ","WRT_EXER_DT")</f>
        <v>29/6/2016</v>
      </c>
      <c r="E130" t="str">
        <f>_xll.BDP("22997 HK Equity     ","WRT_PUT_OR_CALL")</f>
        <v>Put</v>
      </c>
      <c r="F130" t="str">
        <f>_xll.BDP("22997 HK Equity     ","TIME")</f>
        <v>27/5/2016</v>
      </c>
      <c r="G130">
        <f>_xll.BDP("22997 HK Equity     ","RT_PX_CHG_PCT_1D")</f>
        <v>-15.972200000000001</v>
      </c>
      <c r="H130">
        <f>_xll.BDP("22997 HK Equity     ","RT_PX_CHG_NET_1D")</f>
        <v>-2.3E-2</v>
      </c>
      <c r="I130">
        <f>_xll.BDP("22997 HK Equity     ","VOLUME")</f>
        <v>5800000</v>
      </c>
      <c r="J130">
        <f>_xll.BDP("22997 HK Equity     ","BID")</f>
        <v>0.122</v>
      </c>
      <c r="K130">
        <f>_xll.BDP("22997 HK Equity     ","ASK")</f>
        <v>0.127</v>
      </c>
      <c r="M130" t="s">
        <v>139</v>
      </c>
      <c r="N130">
        <v>21000</v>
      </c>
      <c r="O130">
        <v>0.121</v>
      </c>
      <c r="P130" t="s">
        <v>245</v>
      </c>
      <c r="Q130" t="s">
        <v>251</v>
      </c>
      <c r="R130" t="s">
        <v>255</v>
      </c>
      <c r="S130">
        <v>-15.972200000000001</v>
      </c>
      <c r="T130">
        <v>-2.3E-2</v>
      </c>
      <c r="U130">
        <v>5800000</v>
      </c>
      <c r="V130">
        <v>0.122</v>
      </c>
      <c r="W130">
        <v>0.127</v>
      </c>
    </row>
    <row r="131" spans="1:23">
      <c r="A131" t="s">
        <v>140</v>
      </c>
      <c r="B131">
        <f>_xll.BDP("23055 HK Equity     ","WRT_EXER_PX")</f>
        <v>23288</v>
      </c>
      <c r="C131">
        <f>_xll.BDP("23055 HK Equity     ","LAST_PRICE")</f>
        <v>0.01</v>
      </c>
      <c r="D131" t="str">
        <f>_xll.BDP("23055 HK Equity     ","WRT_EXER_DT")</f>
        <v>30/5/2016</v>
      </c>
      <c r="E131" t="str">
        <f>_xll.BDP("23055 HK Equity     ","WRT_PUT_OR_CALL")</f>
        <v>Call</v>
      </c>
      <c r="F131" t="str">
        <f>_xll.BDP("23055 HK Equity     ","TIME")</f>
        <v>27/5/2016</v>
      </c>
      <c r="G131">
        <f>_xll.BDP("23055 HK Equity     ","RT_PX_CHG_PCT_1D")</f>
        <v>0</v>
      </c>
      <c r="H131">
        <f>_xll.BDP("23055 HK Equity     ","RT_PX_CHG_NET_1D")</f>
        <v>0</v>
      </c>
      <c r="I131">
        <f>_xll.BDP("23055 HK Equity     ","VOLUME")</f>
        <v>0</v>
      </c>
      <c r="J131" t="str">
        <f>_xll.BDP("23055 HK Equity     ","BID")</f>
        <v>#N/A N/A</v>
      </c>
      <c r="K131" t="str">
        <f>_xll.BDP("23055 HK Equity     ","ASK")</f>
        <v>#N/A N/A</v>
      </c>
      <c r="M131" t="s">
        <v>140</v>
      </c>
      <c r="N131">
        <v>23288</v>
      </c>
      <c r="O131">
        <v>0.01</v>
      </c>
      <c r="P131" t="s">
        <v>247</v>
      </c>
      <c r="Q131" t="s">
        <v>250</v>
      </c>
      <c r="R131" t="s">
        <v>255</v>
      </c>
      <c r="S131">
        <v>0</v>
      </c>
      <c r="T131">
        <v>0</v>
      </c>
      <c r="U131">
        <v>0</v>
      </c>
      <c r="V131" t="s">
        <v>254</v>
      </c>
      <c r="W131" t="s">
        <v>254</v>
      </c>
    </row>
    <row r="132" spans="1:23">
      <c r="A132" t="s">
        <v>141</v>
      </c>
      <c r="B132">
        <f>_xll.BDP("23523 HK Equity     ","WRT_EXER_PX")</f>
        <v>23200</v>
      </c>
      <c r="C132">
        <f>_xll.BDP("23523 HK Equity     ","LAST_PRICE")</f>
        <v>1.6E-2</v>
      </c>
      <c r="D132" t="str">
        <f>_xll.BDP("23523 HK Equity     ","WRT_EXER_DT")</f>
        <v>29/9/2016</v>
      </c>
      <c r="E132" t="str">
        <f>_xll.BDP("23523 HK Equity     ","WRT_PUT_OR_CALL")</f>
        <v>Call</v>
      </c>
      <c r="F132" t="str">
        <f>_xll.BDP("23523 HK Equity     ","TIME")</f>
        <v>27/5/2016</v>
      </c>
      <c r="G132">
        <f>_xll.BDP("23523 HK Equity     ","RT_PX_CHG_PCT_1D")</f>
        <v>14.2857</v>
      </c>
      <c r="H132">
        <f>_xll.BDP("23523 HK Equity     ","RT_PX_CHG_NET_1D")</f>
        <v>2E-3</v>
      </c>
      <c r="I132">
        <f>_xll.BDP("23523 HK Equity     ","VOLUME")</f>
        <v>0</v>
      </c>
      <c r="J132" t="str">
        <f>_xll.BDP("23523 HK Equity     ","BID")</f>
        <v>#N/A N/A</v>
      </c>
      <c r="K132" t="str">
        <f>_xll.BDP("23523 HK Equity     ","ASK")</f>
        <v>#N/A N/A</v>
      </c>
      <c r="M132" t="s">
        <v>141</v>
      </c>
      <c r="N132">
        <v>23200</v>
      </c>
      <c r="O132">
        <v>1.6E-2</v>
      </c>
      <c r="P132" t="s">
        <v>246</v>
      </c>
      <c r="Q132" t="s">
        <v>250</v>
      </c>
      <c r="R132" t="s">
        <v>255</v>
      </c>
      <c r="S132">
        <v>14.2857</v>
      </c>
      <c r="T132">
        <v>2E-3</v>
      </c>
      <c r="U132">
        <v>0</v>
      </c>
      <c r="V132" t="s">
        <v>254</v>
      </c>
      <c r="W132" t="s">
        <v>254</v>
      </c>
    </row>
    <row r="133" spans="1:23">
      <c r="A133" t="s">
        <v>142</v>
      </c>
      <c r="B133">
        <f>_xll.BDP("23683 HK Equity     ","WRT_EXER_PX")</f>
        <v>24400</v>
      </c>
      <c r="C133" t="str">
        <f>_xll.BDP("23683 HK Equity     ","LAST_PRICE")</f>
        <v>#N/A N/A</v>
      </c>
      <c r="D133" t="str">
        <f>_xll.BDP("23683 HK Equity     ","WRT_EXER_DT")</f>
        <v>30/5/2016</v>
      </c>
      <c r="E133" t="str">
        <f>_xll.BDP("23683 HK Equity     ","WRT_PUT_OR_CALL")</f>
        <v>Call</v>
      </c>
      <c r="F133" t="str">
        <f>_xll.BDP("23683 HK Equity     ","TIME")</f>
        <v>#N/A N/A</v>
      </c>
      <c r="G133" t="str">
        <f>_xll.BDP("23683 HK Equity     ","RT_PX_CHG_PCT_1D")</f>
        <v>#N/A N/A</v>
      </c>
      <c r="H133" t="str">
        <f>_xll.BDP("23683 HK Equity     ","RT_PX_CHG_NET_1D")</f>
        <v>#N/A N/A</v>
      </c>
      <c r="I133" t="str">
        <f>_xll.BDP("23683 HK Equity     ","VOLUME")</f>
        <v>#N/A N/A</v>
      </c>
      <c r="J133" t="str">
        <f>_xll.BDP("23683 HK Equity     ","BID")</f>
        <v>#N/A N/A</v>
      </c>
      <c r="K133" t="str">
        <f>_xll.BDP("23683 HK Equity     ","ASK")</f>
        <v>#N/A N/A</v>
      </c>
      <c r="M133" t="s">
        <v>142</v>
      </c>
      <c r="N133">
        <v>24400</v>
      </c>
      <c r="O133" t="s">
        <v>254</v>
      </c>
      <c r="P133" t="s">
        <v>247</v>
      </c>
      <c r="Q133" t="s">
        <v>250</v>
      </c>
      <c r="R133" t="s">
        <v>254</v>
      </c>
      <c r="S133" t="s">
        <v>254</v>
      </c>
      <c r="T133" t="s">
        <v>254</v>
      </c>
      <c r="U133" t="s">
        <v>254</v>
      </c>
      <c r="V133" t="s">
        <v>254</v>
      </c>
      <c r="W133" t="s">
        <v>254</v>
      </c>
    </row>
    <row r="134" spans="1:23">
      <c r="A134" t="s">
        <v>143</v>
      </c>
      <c r="B134">
        <f>_xll.BDP("23841 HK Equity     ","WRT_EXER_PX")</f>
        <v>23200</v>
      </c>
      <c r="C134">
        <f>_xll.BDP("23841 HK Equity     ","LAST_PRICE")</f>
        <v>0.01</v>
      </c>
      <c r="D134" t="str">
        <f>_xll.BDP("23841 HK Equity     ","WRT_EXER_DT")</f>
        <v>30/5/2016</v>
      </c>
      <c r="E134" t="str">
        <f>_xll.BDP("23841 HK Equity     ","WRT_PUT_OR_CALL")</f>
        <v>Call</v>
      </c>
      <c r="F134" t="str">
        <f>_xll.BDP("23841 HK Equity     ","TIME")</f>
        <v>27/5/2016</v>
      </c>
      <c r="G134">
        <f>_xll.BDP("23841 HK Equity     ","RT_PX_CHG_PCT_1D")</f>
        <v>0</v>
      </c>
      <c r="H134">
        <f>_xll.BDP("23841 HK Equity     ","RT_PX_CHG_NET_1D")</f>
        <v>0</v>
      </c>
      <c r="I134">
        <f>_xll.BDP("23841 HK Equity     ","VOLUME")</f>
        <v>0</v>
      </c>
      <c r="J134" t="str">
        <f>_xll.BDP("23841 HK Equity     ","BID")</f>
        <v>#N/A N/A</v>
      </c>
      <c r="K134" t="str">
        <f>_xll.BDP("23841 HK Equity     ","ASK")</f>
        <v>#N/A N/A</v>
      </c>
      <c r="M134" t="s">
        <v>143</v>
      </c>
      <c r="N134">
        <v>23200</v>
      </c>
      <c r="O134">
        <v>0.01</v>
      </c>
      <c r="P134" t="s">
        <v>247</v>
      </c>
      <c r="Q134" t="s">
        <v>250</v>
      </c>
      <c r="R134" t="s">
        <v>255</v>
      </c>
      <c r="S134">
        <v>0</v>
      </c>
      <c r="T134">
        <v>0</v>
      </c>
      <c r="U134">
        <v>0</v>
      </c>
      <c r="V134" t="s">
        <v>254</v>
      </c>
      <c r="W134" t="s">
        <v>254</v>
      </c>
    </row>
    <row r="135" spans="1:23">
      <c r="A135" t="s">
        <v>144</v>
      </c>
      <c r="B135">
        <f>_xll.BDP("24167 HK Equity     ","WRT_EXER_PX")</f>
        <v>23000</v>
      </c>
      <c r="C135">
        <f>_xll.BDP("24167 HK Equity     ","LAST_PRICE")</f>
        <v>2.4E-2</v>
      </c>
      <c r="D135" t="str">
        <f>_xll.BDP("24167 HK Equity     ","WRT_EXER_DT")</f>
        <v>30/8/2016</v>
      </c>
      <c r="E135" t="str">
        <f>_xll.BDP("24167 HK Equity     ","WRT_PUT_OR_CALL")</f>
        <v>Call</v>
      </c>
      <c r="F135" t="str">
        <f>_xll.BDP("24167 HK Equity     ","TIME")</f>
        <v>27/5/2016</v>
      </c>
      <c r="G135">
        <f>_xll.BDP("24167 HK Equity     ","RT_PX_CHG_PCT_1D")</f>
        <v>20</v>
      </c>
      <c r="H135">
        <f>_xll.BDP("24167 HK Equity     ","RT_PX_CHG_NET_1D")</f>
        <v>4.0000000000000001E-3</v>
      </c>
      <c r="I135">
        <f>_xll.BDP("24167 HK Equity     ","VOLUME")</f>
        <v>10000</v>
      </c>
      <c r="J135">
        <f>_xll.BDP("24167 HK Equity     ","BID")</f>
        <v>2.4E-2</v>
      </c>
      <c r="K135">
        <f>_xll.BDP("24167 HK Equity     ","ASK")</f>
        <v>2.5000000000000001E-2</v>
      </c>
      <c r="M135" t="s">
        <v>144</v>
      </c>
      <c r="N135">
        <v>23000</v>
      </c>
      <c r="O135">
        <v>2.4E-2</v>
      </c>
      <c r="P135" t="s">
        <v>248</v>
      </c>
      <c r="Q135" t="s">
        <v>250</v>
      </c>
      <c r="R135" t="s">
        <v>255</v>
      </c>
      <c r="S135">
        <v>20</v>
      </c>
      <c r="T135">
        <v>4.0000000000000001E-3</v>
      </c>
      <c r="U135">
        <v>10000</v>
      </c>
      <c r="V135">
        <v>2.4E-2</v>
      </c>
      <c r="W135">
        <v>2.5000000000000001E-2</v>
      </c>
    </row>
    <row r="136" spans="1:23">
      <c r="A136" t="s">
        <v>145</v>
      </c>
      <c r="B136">
        <f>_xll.BDP("24429 HK Equity     ","WRT_EXER_PX")</f>
        <v>22500</v>
      </c>
      <c r="C136">
        <f>_xll.BDP("24429 HK Equity     ","LAST_PRICE")</f>
        <v>0.246</v>
      </c>
      <c r="D136" t="str">
        <f>_xll.BDP("24429 HK Equity     ","WRT_EXER_DT")</f>
        <v>30/8/2016</v>
      </c>
      <c r="E136" t="str">
        <f>_xll.BDP("24429 HK Equity     ","WRT_PUT_OR_CALL")</f>
        <v>Put</v>
      </c>
      <c r="F136" t="str">
        <f>_xll.BDP("24429 HK Equity     ","TIME")</f>
        <v>27/5/2016</v>
      </c>
      <c r="G136">
        <f>_xll.BDP("24429 HK Equity     ","RT_PX_CHG_PCT_1D")</f>
        <v>-7.16981</v>
      </c>
      <c r="H136">
        <f>_xll.BDP("24429 HK Equity     ","RT_PX_CHG_NET_1D")</f>
        <v>-1.9E-2</v>
      </c>
      <c r="I136">
        <f>_xll.BDP("24429 HK Equity     ","VOLUME")</f>
        <v>0</v>
      </c>
      <c r="J136">
        <f>_xll.BDP("24429 HK Equity     ","BID")</f>
        <v>0.24099999999999999</v>
      </c>
      <c r="K136">
        <f>_xll.BDP("24429 HK Equity     ","ASK")</f>
        <v>0.246</v>
      </c>
      <c r="M136" t="s">
        <v>145</v>
      </c>
      <c r="N136">
        <v>22500</v>
      </c>
      <c r="O136">
        <v>0.246</v>
      </c>
      <c r="P136" t="s">
        <v>248</v>
      </c>
      <c r="Q136" t="s">
        <v>251</v>
      </c>
      <c r="R136" t="s">
        <v>255</v>
      </c>
      <c r="S136">
        <v>-7.16981</v>
      </c>
      <c r="T136">
        <v>-1.9E-2</v>
      </c>
      <c r="U136">
        <v>0</v>
      </c>
      <c r="V136">
        <v>0.24099999999999999</v>
      </c>
      <c r="W136">
        <v>0.246</v>
      </c>
    </row>
    <row r="137" spans="1:23">
      <c r="A137" t="s">
        <v>146</v>
      </c>
      <c r="B137">
        <f>_xll.BDP("24691 HK Equity     ","WRT_EXER_PX")</f>
        <v>19000</v>
      </c>
      <c r="C137">
        <f>_xll.BDP("24691 HK Equity     ","LAST_PRICE")</f>
        <v>1.9E-2</v>
      </c>
      <c r="D137" t="str">
        <f>_xll.BDP("24691 HK Equity     ","WRT_EXER_DT")</f>
        <v>29/6/2016</v>
      </c>
      <c r="E137" t="str">
        <f>_xll.BDP("24691 HK Equity     ","WRT_PUT_OR_CALL")</f>
        <v>Put</v>
      </c>
      <c r="F137" t="str">
        <f>_xll.BDP("24691 HK Equity     ","TIME")</f>
        <v>27/5/2016</v>
      </c>
      <c r="G137">
        <f>_xll.BDP("24691 HK Equity     ","RT_PX_CHG_PCT_1D")</f>
        <v>-13.6364</v>
      </c>
      <c r="H137">
        <f>_xll.BDP("24691 HK Equity     ","RT_PX_CHG_NET_1D")</f>
        <v>-3.0000000000000001E-3</v>
      </c>
      <c r="I137">
        <f>_xll.BDP("24691 HK Equity     ","VOLUME")</f>
        <v>4300000</v>
      </c>
      <c r="J137">
        <f>_xll.BDP("24691 HK Equity     ","BID")</f>
        <v>1.7000000000000001E-2</v>
      </c>
      <c r="K137">
        <f>_xll.BDP("24691 HK Equity     ","ASK")</f>
        <v>2.1999999999999999E-2</v>
      </c>
      <c r="M137" t="s">
        <v>146</v>
      </c>
      <c r="N137">
        <v>19000</v>
      </c>
      <c r="O137">
        <v>1.9E-2</v>
      </c>
      <c r="P137" t="s">
        <v>245</v>
      </c>
      <c r="Q137" t="s">
        <v>251</v>
      </c>
      <c r="R137" t="s">
        <v>255</v>
      </c>
      <c r="S137">
        <v>-13.6364</v>
      </c>
      <c r="T137">
        <v>-3.0000000000000001E-3</v>
      </c>
      <c r="U137">
        <v>4300000</v>
      </c>
      <c r="V137">
        <v>1.7000000000000001E-2</v>
      </c>
      <c r="W137">
        <v>2.1999999999999999E-2</v>
      </c>
    </row>
    <row r="138" spans="1:23">
      <c r="A138" t="s">
        <v>147</v>
      </c>
      <c r="B138">
        <f>_xll.BDP("24821 HK Equity     ","WRT_EXER_PX")</f>
        <v>23200</v>
      </c>
      <c r="C138" t="str">
        <f>_xll.BDP("24821 HK Equity     ","LAST_PRICE")</f>
        <v>#N/A N/A</v>
      </c>
      <c r="D138" t="str">
        <f>_xll.BDP("24821 HK Equity     ","WRT_EXER_DT")</f>
        <v>29/9/2016</v>
      </c>
      <c r="E138" t="str">
        <f>_xll.BDP("24821 HK Equity     ","WRT_PUT_OR_CALL")</f>
        <v>Call</v>
      </c>
      <c r="F138" t="str">
        <f>_xll.BDP("24821 HK Equity     ","TIME")</f>
        <v>#N/A N/A</v>
      </c>
      <c r="G138" t="str">
        <f>_xll.BDP("24821 HK Equity     ","RT_PX_CHG_PCT_1D")</f>
        <v>#N/A N/A</v>
      </c>
      <c r="H138" t="str">
        <f>_xll.BDP("24821 HK Equity     ","RT_PX_CHG_NET_1D")</f>
        <v>#N/A N/A</v>
      </c>
      <c r="I138" t="str">
        <f>_xll.BDP("24821 HK Equity     ","VOLUME")</f>
        <v>#N/A N/A</v>
      </c>
      <c r="J138">
        <f>_xll.BDP("24821 HK Equity     ","BID")</f>
        <v>0.06</v>
      </c>
      <c r="K138">
        <f>_xll.BDP("24821 HK Equity     ","ASK")</f>
        <v>6.2E-2</v>
      </c>
      <c r="M138" t="s">
        <v>147</v>
      </c>
      <c r="N138">
        <v>23200</v>
      </c>
      <c r="O138" t="s">
        <v>254</v>
      </c>
      <c r="P138" t="s">
        <v>246</v>
      </c>
      <c r="Q138" t="s">
        <v>250</v>
      </c>
      <c r="R138" t="s">
        <v>254</v>
      </c>
      <c r="S138" t="s">
        <v>254</v>
      </c>
      <c r="T138" t="s">
        <v>254</v>
      </c>
      <c r="U138" t="s">
        <v>254</v>
      </c>
      <c r="V138">
        <v>0.06</v>
      </c>
      <c r="W138">
        <v>6.2E-2</v>
      </c>
    </row>
    <row r="139" spans="1:23">
      <c r="A139" t="s">
        <v>148</v>
      </c>
      <c r="B139">
        <f>_xll.BDP("25146 HK Equity     ","WRT_EXER_PX")</f>
        <v>22100</v>
      </c>
      <c r="C139">
        <f>_xll.BDP("25146 HK Equity     ","LAST_PRICE")</f>
        <v>1.2999999999999999E-2</v>
      </c>
      <c r="D139" t="str">
        <f>_xll.BDP("25146 HK Equity     ","WRT_EXER_DT")</f>
        <v>29/6/2016</v>
      </c>
      <c r="E139" t="str">
        <f>_xll.BDP("25146 HK Equity     ","WRT_PUT_OR_CALL")</f>
        <v>Call</v>
      </c>
      <c r="F139" t="str">
        <f>_xll.BDP("25146 HK Equity     ","TIME")</f>
        <v>27/5/2016</v>
      </c>
      <c r="G139">
        <f>_xll.BDP("25146 HK Equity     ","RT_PX_CHG_PCT_1D")</f>
        <v>30</v>
      </c>
      <c r="H139">
        <f>_xll.BDP("25146 HK Equity     ","RT_PX_CHG_NET_1D")</f>
        <v>3.0000000000000001E-3</v>
      </c>
      <c r="I139">
        <f>_xll.BDP("25146 HK Equity     ","VOLUME")</f>
        <v>400000</v>
      </c>
      <c r="J139" t="str">
        <f>_xll.BDP("25146 HK Equity     ","BID")</f>
        <v>#N/A N/A</v>
      </c>
      <c r="K139">
        <f>_xll.BDP("25146 HK Equity     ","ASK")</f>
        <v>2.5000000000000001E-2</v>
      </c>
      <c r="M139" t="s">
        <v>148</v>
      </c>
      <c r="N139">
        <v>22100</v>
      </c>
      <c r="O139">
        <v>1.2999999999999999E-2</v>
      </c>
      <c r="P139" t="s">
        <v>245</v>
      </c>
      <c r="Q139" t="s">
        <v>250</v>
      </c>
      <c r="R139" t="s">
        <v>255</v>
      </c>
      <c r="S139">
        <v>30</v>
      </c>
      <c r="T139">
        <v>3.0000000000000001E-3</v>
      </c>
      <c r="U139">
        <v>400000</v>
      </c>
      <c r="V139" t="s">
        <v>254</v>
      </c>
      <c r="W139">
        <v>2.5000000000000001E-2</v>
      </c>
    </row>
    <row r="140" spans="1:23">
      <c r="A140" t="s">
        <v>149</v>
      </c>
      <c r="B140">
        <f>_xll.BDP("25236 HK Equity     ","WRT_EXER_PX")</f>
        <v>21400</v>
      </c>
      <c r="C140">
        <f>_xll.BDP("25236 HK Equity     ","LAST_PRICE")</f>
        <v>4.7E-2</v>
      </c>
      <c r="D140" t="str">
        <f>_xll.BDP("25236 HK Equity     ","WRT_EXER_DT")</f>
        <v>30/8/2016</v>
      </c>
      <c r="E140" t="str">
        <f>_xll.BDP("25236 HK Equity     ","WRT_PUT_OR_CALL")</f>
        <v>Call</v>
      </c>
      <c r="F140" t="str">
        <f>_xll.BDP("25236 HK Equity     ","TIME")</f>
        <v>27/5/2016</v>
      </c>
      <c r="G140">
        <f>_xll.BDP("25236 HK Equity     ","RT_PX_CHG_PCT_1D")</f>
        <v>23.684200000000001</v>
      </c>
      <c r="H140">
        <f>_xll.BDP("25236 HK Equity     ","RT_PX_CHG_NET_1D")</f>
        <v>8.9999999999999993E-3</v>
      </c>
      <c r="I140">
        <f>_xll.BDP("25236 HK Equity     ","VOLUME")</f>
        <v>14600000</v>
      </c>
      <c r="J140">
        <f>_xll.BDP("25236 HK Equity     ","BID")</f>
        <v>4.5999999999999999E-2</v>
      </c>
      <c r="K140">
        <f>_xll.BDP("25236 HK Equity     ","ASK")</f>
        <v>4.7E-2</v>
      </c>
      <c r="M140" t="s">
        <v>149</v>
      </c>
      <c r="N140">
        <v>21400</v>
      </c>
      <c r="O140">
        <v>4.7E-2</v>
      </c>
      <c r="P140" t="s">
        <v>248</v>
      </c>
      <c r="Q140" t="s">
        <v>250</v>
      </c>
      <c r="R140" t="s">
        <v>255</v>
      </c>
      <c r="S140">
        <v>23.684200000000001</v>
      </c>
      <c r="T140">
        <v>8.9999999999999993E-3</v>
      </c>
      <c r="U140">
        <v>14600000</v>
      </c>
      <c r="V140">
        <v>4.5999999999999999E-2</v>
      </c>
      <c r="W140">
        <v>4.7E-2</v>
      </c>
    </row>
    <row r="141" spans="1:23">
      <c r="A141" t="s">
        <v>150</v>
      </c>
      <c r="B141">
        <f>_xll.BDP("25272 HK Equity     ","WRT_EXER_PX")</f>
        <v>19800</v>
      </c>
      <c r="C141">
        <f>_xll.BDP("25272 HK Equity     ","LAST_PRICE")</f>
        <v>7.2999999999999995E-2</v>
      </c>
      <c r="D141" t="str">
        <f>_xll.BDP("25272 HK Equity     ","WRT_EXER_DT")</f>
        <v>28/7/2016</v>
      </c>
      <c r="E141" t="str">
        <f>_xll.BDP("25272 HK Equity     ","WRT_PUT_OR_CALL")</f>
        <v>Put</v>
      </c>
      <c r="F141" t="str">
        <f>_xll.BDP("25272 HK Equity     ","TIME")</f>
        <v>27/5/2016</v>
      </c>
      <c r="G141">
        <f>_xll.BDP("25272 HK Equity     ","RT_PX_CHG_PCT_1D")</f>
        <v>-10.9756</v>
      </c>
      <c r="H141">
        <f>_xll.BDP("25272 HK Equity     ","RT_PX_CHG_NET_1D")</f>
        <v>-8.9999999999999993E-3</v>
      </c>
      <c r="I141">
        <f>_xll.BDP("25272 HK Equity     ","VOLUME")</f>
        <v>2260000</v>
      </c>
      <c r="J141">
        <f>_xll.BDP("25272 HK Equity     ","BID")</f>
        <v>7.0000000000000007E-2</v>
      </c>
      <c r="K141">
        <f>_xll.BDP("25272 HK Equity     ","ASK")</f>
        <v>8.7999999999999995E-2</v>
      </c>
      <c r="M141" t="s">
        <v>150</v>
      </c>
      <c r="N141">
        <v>19800</v>
      </c>
      <c r="O141">
        <v>7.2999999999999995E-2</v>
      </c>
      <c r="P141" t="s">
        <v>244</v>
      </c>
      <c r="Q141" t="s">
        <v>251</v>
      </c>
      <c r="R141" t="s">
        <v>255</v>
      </c>
      <c r="S141">
        <v>-10.9756</v>
      </c>
      <c r="T141">
        <v>-8.9999999999999993E-3</v>
      </c>
      <c r="U141">
        <v>2260000</v>
      </c>
      <c r="V141">
        <v>7.0000000000000007E-2</v>
      </c>
      <c r="W141">
        <v>8.7999999999999995E-2</v>
      </c>
    </row>
    <row r="142" spans="1:23">
      <c r="A142" t="s">
        <v>151</v>
      </c>
      <c r="B142">
        <f>_xll.BDP("25306 HK Equity     ","WRT_EXER_PX")</f>
        <v>19400</v>
      </c>
      <c r="C142">
        <f>_xll.BDP("25306 HK Equity     ","LAST_PRICE")</f>
        <v>5.6000000000000001E-2</v>
      </c>
      <c r="D142" t="str">
        <f>_xll.BDP("25306 HK Equity     ","WRT_EXER_DT")</f>
        <v>28/7/2016</v>
      </c>
      <c r="E142" t="str">
        <f>_xll.BDP("25306 HK Equity     ","WRT_PUT_OR_CALL")</f>
        <v>Put</v>
      </c>
      <c r="F142" t="str">
        <f>_xll.BDP("25306 HK Equity     ","TIME")</f>
        <v>27/5/2016</v>
      </c>
      <c r="G142">
        <f>_xll.BDP("25306 HK Equity     ","RT_PX_CHG_PCT_1D")</f>
        <v>-15.1515</v>
      </c>
      <c r="H142">
        <f>_xll.BDP("25306 HK Equity     ","RT_PX_CHG_NET_1D")</f>
        <v>-0.01</v>
      </c>
      <c r="I142">
        <f>_xll.BDP("25306 HK Equity     ","VOLUME")</f>
        <v>1147010000</v>
      </c>
      <c r="J142">
        <f>_xll.BDP("25306 HK Equity     ","BID")</f>
        <v>5.6000000000000001E-2</v>
      </c>
      <c r="K142">
        <f>_xll.BDP("25306 HK Equity     ","ASK")</f>
        <v>5.7000000000000002E-2</v>
      </c>
      <c r="M142" t="s">
        <v>151</v>
      </c>
      <c r="N142">
        <v>19400</v>
      </c>
      <c r="O142">
        <v>5.6000000000000001E-2</v>
      </c>
      <c r="P142" t="s">
        <v>244</v>
      </c>
      <c r="Q142" t="s">
        <v>251</v>
      </c>
      <c r="R142" t="s">
        <v>255</v>
      </c>
      <c r="S142">
        <v>-15.1515</v>
      </c>
      <c r="T142">
        <v>-0.01</v>
      </c>
      <c r="U142">
        <v>1147010000</v>
      </c>
      <c r="V142">
        <v>5.6000000000000001E-2</v>
      </c>
      <c r="W142">
        <v>5.7000000000000002E-2</v>
      </c>
    </row>
    <row r="143" spans="1:23">
      <c r="A143" t="s">
        <v>152</v>
      </c>
      <c r="B143">
        <f>_xll.BDP("25357 HK Equity     ","WRT_EXER_PX")</f>
        <v>20488</v>
      </c>
      <c r="C143">
        <f>_xll.BDP("25357 HK Equity     ","LAST_PRICE")</f>
        <v>8.3000000000000004E-2</v>
      </c>
      <c r="D143" t="str">
        <f>_xll.BDP("25357 HK Equity     ","WRT_EXER_DT")</f>
        <v>28/7/2016</v>
      </c>
      <c r="E143" t="str">
        <f>_xll.BDP("25357 HK Equity     ","WRT_PUT_OR_CALL")</f>
        <v>Put</v>
      </c>
      <c r="F143" t="str">
        <f>_xll.BDP("25357 HK Equity     ","TIME")</f>
        <v>27/5/2016</v>
      </c>
      <c r="G143">
        <f>_xll.BDP("25357 HK Equity     ","RT_PX_CHG_PCT_1D")</f>
        <v>-15.306100000000001</v>
      </c>
      <c r="H143">
        <f>_xll.BDP("25357 HK Equity     ","RT_PX_CHG_NET_1D")</f>
        <v>-1.4999999999999999E-2</v>
      </c>
      <c r="I143">
        <f>_xll.BDP("25357 HK Equity     ","VOLUME")</f>
        <v>910000</v>
      </c>
      <c r="J143">
        <f>_xll.BDP("25357 HK Equity     ","BID")</f>
        <v>8.3000000000000004E-2</v>
      </c>
      <c r="K143" t="str">
        <f>_xll.BDP("25357 HK Equity     ","ASK")</f>
        <v>#N/A N/A</v>
      </c>
      <c r="M143" t="s">
        <v>152</v>
      </c>
      <c r="N143">
        <v>20488</v>
      </c>
      <c r="O143">
        <v>8.3000000000000004E-2</v>
      </c>
      <c r="P143" t="s">
        <v>244</v>
      </c>
      <c r="Q143" t="s">
        <v>251</v>
      </c>
      <c r="R143" t="s">
        <v>255</v>
      </c>
      <c r="S143">
        <v>-15.306100000000001</v>
      </c>
      <c r="T143">
        <v>-1.4999999999999999E-2</v>
      </c>
      <c r="U143">
        <v>910000</v>
      </c>
      <c r="V143">
        <v>8.3000000000000004E-2</v>
      </c>
      <c r="W143" t="s">
        <v>254</v>
      </c>
    </row>
    <row r="144" spans="1:23">
      <c r="A144" t="s">
        <v>153</v>
      </c>
      <c r="B144">
        <f>_xll.BDP("25377 HK Equity     ","WRT_EXER_PX")</f>
        <v>19500</v>
      </c>
      <c r="C144">
        <f>_xll.BDP("25377 HK Equity     ","LAST_PRICE")</f>
        <v>5.5E-2</v>
      </c>
      <c r="D144" t="str">
        <f>_xll.BDP("25377 HK Equity     ","WRT_EXER_DT")</f>
        <v>28/7/2016</v>
      </c>
      <c r="E144" t="str">
        <f>_xll.BDP("25377 HK Equity     ","WRT_PUT_OR_CALL")</f>
        <v>Put</v>
      </c>
      <c r="F144" t="str">
        <f>_xll.BDP("25377 HK Equity     ","TIME")</f>
        <v>27/5/2016</v>
      </c>
      <c r="G144">
        <f>_xll.BDP("25377 HK Equity     ","RT_PX_CHG_PCT_1D")</f>
        <v>-11.2903</v>
      </c>
      <c r="H144">
        <f>_xll.BDP("25377 HK Equity     ","RT_PX_CHG_NET_1D")</f>
        <v>-7.0000000000000001E-3</v>
      </c>
      <c r="I144">
        <f>_xll.BDP("25377 HK Equity     ","VOLUME")</f>
        <v>10970000</v>
      </c>
      <c r="J144">
        <f>_xll.BDP("25377 HK Equity     ","BID")</f>
        <v>5.1999999999999998E-2</v>
      </c>
      <c r="K144">
        <f>_xll.BDP("25377 HK Equity     ","ASK")</f>
        <v>5.7000000000000002E-2</v>
      </c>
      <c r="M144" t="s">
        <v>153</v>
      </c>
      <c r="N144">
        <v>19500</v>
      </c>
      <c r="O144">
        <v>5.5E-2</v>
      </c>
      <c r="P144" t="s">
        <v>244</v>
      </c>
      <c r="Q144" t="s">
        <v>251</v>
      </c>
      <c r="R144" t="s">
        <v>255</v>
      </c>
      <c r="S144">
        <v>-11.2903</v>
      </c>
      <c r="T144">
        <v>-7.0000000000000001E-3</v>
      </c>
      <c r="U144">
        <v>10970000</v>
      </c>
      <c r="V144">
        <v>5.1999999999999998E-2</v>
      </c>
      <c r="W144">
        <v>5.7000000000000002E-2</v>
      </c>
    </row>
    <row r="145" spans="1:23">
      <c r="A145" t="s">
        <v>154</v>
      </c>
      <c r="B145">
        <f>_xll.BDP("25457 HK Equity     ","WRT_EXER_PX")</f>
        <v>20800</v>
      </c>
      <c r="C145">
        <f>_xll.BDP("25457 HK Equity     ","LAST_PRICE")</f>
        <v>0.06</v>
      </c>
      <c r="D145" t="str">
        <f>_xll.BDP("25457 HK Equity     ","WRT_EXER_DT")</f>
        <v>28/7/2016</v>
      </c>
      <c r="E145" t="str">
        <f>_xll.BDP("25457 HK Equity     ","WRT_PUT_OR_CALL")</f>
        <v>Call</v>
      </c>
      <c r="F145" t="str">
        <f>_xll.BDP("25457 HK Equity     ","TIME")</f>
        <v>27/5/2016</v>
      </c>
      <c r="G145">
        <f>_xll.BDP("25457 HK Equity     ","RT_PX_CHG_PCT_1D")</f>
        <v>22.448999000000001</v>
      </c>
      <c r="H145">
        <f>_xll.BDP("25457 HK Equity     ","RT_PX_CHG_NET_1D")</f>
        <v>1.0999999999999999E-2</v>
      </c>
      <c r="I145">
        <f>_xll.BDP("25457 HK Equity     ","VOLUME")</f>
        <v>11260000</v>
      </c>
      <c r="J145">
        <f>_xll.BDP("25457 HK Equity     ","BID")</f>
        <v>5.8000000000000003E-2</v>
      </c>
      <c r="K145">
        <f>_xll.BDP("25457 HK Equity     ","ASK")</f>
        <v>6.2E-2</v>
      </c>
      <c r="M145" t="s">
        <v>154</v>
      </c>
      <c r="N145">
        <v>20800</v>
      </c>
      <c r="O145">
        <v>0.06</v>
      </c>
      <c r="P145" t="s">
        <v>244</v>
      </c>
      <c r="Q145" t="s">
        <v>250</v>
      </c>
      <c r="R145" t="s">
        <v>255</v>
      </c>
      <c r="S145">
        <v>22.448999000000001</v>
      </c>
      <c r="T145">
        <v>1.0999999999999999E-2</v>
      </c>
      <c r="U145">
        <v>11260000</v>
      </c>
      <c r="V145">
        <v>5.8000000000000003E-2</v>
      </c>
      <c r="W145">
        <v>6.2E-2</v>
      </c>
    </row>
    <row r="146" spans="1:23">
      <c r="A146" t="s">
        <v>155</v>
      </c>
      <c r="B146">
        <f>_xll.BDP("25479 HK Equity     ","WRT_EXER_PX")</f>
        <v>19400</v>
      </c>
      <c r="C146">
        <f>_xll.BDP("25479 HK Equity     ","LAST_PRICE")</f>
        <v>0.15</v>
      </c>
      <c r="D146" t="str">
        <f>_xll.BDP("25479 HK Equity     ","WRT_EXER_DT")</f>
        <v>28/7/2016</v>
      </c>
      <c r="E146" t="str">
        <f>_xll.BDP("25479 HK Equity     ","WRT_PUT_OR_CALL")</f>
        <v>Call</v>
      </c>
      <c r="F146" t="str">
        <f>_xll.BDP("25479 HK Equity     ","TIME")</f>
        <v>27/5/2016</v>
      </c>
      <c r="G146">
        <f>_xll.BDP("25479 HK Equity     ","RT_PX_CHG_PCT_1D")</f>
        <v>12.782</v>
      </c>
      <c r="H146">
        <f>_xll.BDP("25479 HK Equity     ","RT_PX_CHG_NET_1D")</f>
        <v>1.7000000000000001E-2</v>
      </c>
      <c r="I146">
        <f>_xll.BDP("25479 HK Equity     ","VOLUME")</f>
        <v>4040000</v>
      </c>
      <c r="J146">
        <f>_xll.BDP("25479 HK Equity     ","BID")</f>
        <v>0.14899999999999999</v>
      </c>
      <c r="K146">
        <f>_xll.BDP("25479 HK Equity     ","ASK")</f>
        <v>0.154</v>
      </c>
      <c r="M146" t="s">
        <v>155</v>
      </c>
      <c r="N146">
        <v>19400</v>
      </c>
      <c r="O146">
        <v>0.15</v>
      </c>
      <c r="P146" t="s">
        <v>244</v>
      </c>
      <c r="Q146" t="s">
        <v>250</v>
      </c>
      <c r="R146" t="s">
        <v>255</v>
      </c>
      <c r="S146">
        <v>12.782</v>
      </c>
      <c r="T146">
        <v>1.7000000000000001E-2</v>
      </c>
      <c r="U146">
        <v>4040000</v>
      </c>
      <c r="V146">
        <v>0.14899999999999999</v>
      </c>
      <c r="W146">
        <v>0.154</v>
      </c>
    </row>
    <row r="147" spans="1:23">
      <c r="A147" t="s">
        <v>156</v>
      </c>
      <c r="B147">
        <f>_xll.BDP("25618 HK Equity     ","WRT_EXER_PX")</f>
        <v>20000</v>
      </c>
      <c r="C147">
        <f>_xll.BDP("25618 HK Equity     ","LAST_PRICE")</f>
        <v>7.3999999999999996E-2</v>
      </c>
      <c r="D147" t="str">
        <f>_xll.BDP("25618 HK Equity     ","WRT_EXER_DT")</f>
        <v>29/6/2016</v>
      </c>
      <c r="E147" t="str">
        <f>_xll.BDP("25618 HK Equity     ","WRT_PUT_OR_CALL")</f>
        <v>Call</v>
      </c>
      <c r="F147" t="str">
        <f>_xll.BDP("25618 HK Equity     ","TIME")</f>
        <v>27/5/2016</v>
      </c>
      <c r="G147">
        <f>_xll.BDP("25618 HK Equity     ","RT_PX_CHG_PCT_1D")</f>
        <v>19.354799</v>
      </c>
      <c r="H147">
        <f>_xll.BDP("25618 HK Equity     ","RT_PX_CHG_NET_1D")</f>
        <v>1.2E-2</v>
      </c>
      <c r="I147">
        <f>_xll.BDP("25618 HK Equity     ","VOLUME")</f>
        <v>790000</v>
      </c>
      <c r="J147">
        <f>_xll.BDP("25618 HK Equity     ","BID")</f>
        <v>7.1999999999999995E-2</v>
      </c>
      <c r="K147">
        <f>_xll.BDP("25618 HK Equity     ","ASK")</f>
        <v>7.5999999999999998E-2</v>
      </c>
      <c r="M147" t="s">
        <v>156</v>
      </c>
      <c r="N147">
        <v>20000</v>
      </c>
      <c r="O147">
        <v>7.3999999999999996E-2</v>
      </c>
      <c r="P147" t="s">
        <v>245</v>
      </c>
      <c r="Q147" t="s">
        <v>250</v>
      </c>
      <c r="R147" t="s">
        <v>255</v>
      </c>
      <c r="S147">
        <v>19.354799</v>
      </c>
      <c r="T147">
        <v>1.2E-2</v>
      </c>
      <c r="U147">
        <v>790000</v>
      </c>
      <c r="V147">
        <v>7.1999999999999995E-2</v>
      </c>
      <c r="W147">
        <v>7.5999999999999998E-2</v>
      </c>
    </row>
    <row r="148" spans="1:23">
      <c r="A148" t="s">
        <v>157</v>
      </c>
      <c r="B148">
        <f>_xll.BDP("25713 HK Equity     ","WRT_EXER_PX")</f>
        <v>18800</v>
      </c>
      <c r="C148">
        <f>_xll.BDP("25713 HK Equity     ","LAST_PRICE")</f>
        <v>9.6000000000000002E-2</v>
      </c>
      <c r="D148" t="str">
        <f>_xll.BDP("25713 HK Equity     ","WRT_EXER_DT")</f>
        <v>28/10/2016</v>
      </c>
      <c r="E148" t="str">
        <f>_xll.BDP("25713 HK Equity     ","WRT_PUT_OR_CALL")</f>
        <v>Put</v>
      </c>
      <c r="F148" t="str">
        <f>_xll.BDP("25713 HK Equity     ","TIME")</f>
        <v>27/5/2016</v>
      </c>
      <c r="G148">
        <f>_xll.BDP("25713 HK Equity     ","RT_PX_CHG_PCT_1D")</f>
        <v>-8.5714299999999994</v>
      </c>
      <c r="H148">
        <f>_xll.BDP("25713 HK Equity     ","RT_PX_CHG_NET_1D")</f>
        <v>-8.9999999999999993E-3</v>
      </c>
      <c r="I148">
        <f>_xll.BDP("25713 HK Equity     ","VOLUME")</f>
        <v>3200000</v>
      </c>
      <c r="J148">
        <f>_xll.BDP("25713 HK Equity     ","BID")</f>
        <v>9.6000000000000002E-2</v>
      </c>
      <c r="K148">
        <f>_xll.BDP("25713 HK Equity     ","ASK")</f>
        <v>9.7000000000000003E-2</v>
      </c>
      <c r="M148" t="s">
        <v>157</v>
      </c>
      <c r="N148">
        <v>18800</v>
      </c>
      <c r="O148">
        <v>9.6000000000000002E-2</v>
      </c>
      <c r="P148" t="s">
        <v>243</v>
      </c>
      <c r="Q148" t="s">
        <v>251</v>
      </c>
      <c r="R148" t="s">
        <v>255</v>
      </c>
      <c r="S148">
        <v>-8.5714299999999994</v>
      </c>
      <c r="T148">
        <v>-8.9999999999999993E-3</v>
      </c>
      <c r="U148">
        <v>3200000</v>
      </c>
      <c r="V148">
        <v>9.6000000000000002E-2</v>
      </c>
      <c r="W148">
        <v>9.7000000000000003E-2</v>
      </c>
    </row>
    <row r="149" spans="1:23">
      <c r="A149" t="s">
        <v>158</v>
      </c>
      <c r="B149">
        <f>_xll.BDP("25803 HK Equity     ","WRT_EXER_PX")</f>
        <v>20200</v>
      </c>
      <c r="C149">
        <f>_xll.BDP("25803 HK Equity     ","LAST_PRICE")</f>
        <v>0.11</v>
      </c>
      <c r="D149" t="str">
        <f>_xll.BDP("25803 HK Equity     ","WRT_EXER_DT")</f>
        <v>29/9/2016</v>
      </c>
      <c r="E149" t="str">
        <f>_xll.BDP("25803 HK Equity     ","WRT_PUT_OR_CALL")</f>
        <v>Call</v>
      </c>
      <c r="F149" t="str">
        <f>_xll.BDP("25803 HK Equity     ","TIME")</f>
        <v>27/5/2016</v>
      </c>
      <c r="G149">
        <f>_xll.BDP("25803 HK Equity     ","RT_PX_CHG_PCT_1D")</f>
        <v>13.402100000000001</v>
      </c>
      <c r="H149">
        <f>_xll.BDP("25803 HK Equity     ","RT_PX_CHG_NET_1D")</f>
        <v>1.2999999999999999E-2</v>
      </c>
      <c r="I149">
        <f>_xll.BDP("25803 HK Equity     ","VOLUME")</f>
        <v>5320000</v>
      </c>
      <c r="J149">
        <f>_xll.BDP("25803 HK Equity     ","BID")</f>
        <v>0.107</v>
      </c>
      <c r="K149">
        <f>_xll.BDP("25803 HK Equity     ","ASK")</f>
        <v>0.11</v>
      </c>
      <c r="M149" t="s">
        <v>158</v>
      </c>
      <c r="N149">
        <v>20200</v>
      </c>
      <c r="O149">
        <v>0.11</v>
      </c>
      <c r="P149" t="s">
        <v>246</v>
      </c>
      <c r="Q149" t="s">
        <v>250</v>
      </c>
      <c r="R149" t="s">
        <v>255</v>
      </c>
      <c r="S149">
        <v>13.402100000000001</v>
      </c>
      <c r="T149">
        <v>1.2999999999999999E-2</v>
      </c>
      <c r="U149">
        <v>5320000</v>
      </c>
      <c r="V149">
        <v>0.107</v>
      </c>
      <c r="W149">
        <v>0.11</v>
      </c>
    </row>
    <row r="150" spans="1:23">
      <c r="A150" t="s">
        <v>159</v>
      </c>
      <c r="B150">
        <f>_xll.BDP("25901 HK Equity     ","WRT_EXER_PX")</f>
        <v>19200</v>
      </c>
      <c r="C150">
        <f>_xll.BDP("25901 HK Equity     ","LAST_PRICE")</f>
        <v>0.20300000000000001</v>
      </c>
      <c r="D150" t="str">
        <f>_xll.BDP("25901 HK Equity     ","WRT_EXER_DT")</f>
        <v>29/9/2016</v>
      </c>
      <c r="E150" t="str">
        <f>_xll.BDP("25901 HK Equity     ","WRT_PUT_OR_CALL")</f>
        <v>Call</v>
      </c>
      <c r="F150" t="str">
        <f>_xll.BDP("25901 HK Equity     ","TIME")</f>
        <v>27/5/2016</v>
      </c>
      <c r="G150">
        <f>_xll.BDP("25901 HK Equity     ","RT_PX_CHG_PCT_1D")</f>
        <v>8.5561500000000006</v>
      </c>
      <c r="H150">
        <f>_xll.BDP("25901 HK Equity     ","RT_PX_CHG_NET_1D")</f>
        <v>1.6E-2</v>
      </c>
      <c r="I150">
        <f>_xll.BDP("25901 HK Equity     ","VOLUME")</f>
        <v>0</v>
      </c>
      <c r="J150">
        <f>_xll.BDP("25901 HK Equity     ","BID")</f>
        <v>0.20200000000000001</v>
      </c>
      <c r="K150" t="str">
        <f>_xll.BDP("25901 HK Equity     ","ASK")</f>
        <v>#N/A N/A</v>
      </c>
      <c r="M150" t="s">
        <v>159</v>
      </c>
      <c r="N150">
        <v>19200</v>
      </c>
      <c r="O150">
        <v>0.20300000000000001</v>
      </c>
      <c r="P150" t="s">
        <v>246</v>
      </c>
      <c r="Q150" t="s">
        <v>250</v>
      </c>
      <c r="R150" t="s">
        <v>255</v>
      </c>
      <c r="S150">
        <v>8.5561500000000006</v>
      </c>
      <c r="T150">
        <v>1.6E-2</v>
      </c>
      <c r="U150">
        <v>0</v>
      </c>
      <c r="V150">
        <v>0.20200000000000001</v>
      </c>
      <c r="W150" t="s">
        <v>254</v>
      </c>
    </row>
    <row r="151" spans="1:23">
      <c r="A151" t="s">
        <v>160</v>
      </c>
      <c r="B151">
        <f>_xll.BDP("25910 HK Equity     ","WRT_EXER_PX")</f>
        <v>19600</v>
      </c>
      <c r="C151">
        <f>_xll.BDP("25910 HK Equity     ","LAST_PRICE")</f>
        <v>0.16400000000000001</v>
      </c>
      <c r="D151" t="str">
        <f>_xll.BDP("25910 HK Equity     ","WRT_EXER_DT")</f>
        <v>28/7/2016</v>
      </c>
      <c r="E151" t="str">
        <f>_xll.BDP("25910 HK Equity     ","WRT_PUT_OR_CALL")</f>
        <v>Call</v>
      </c>
      <c r="F151" t="str">
        <f>_xll.BDP("25910 HK Equity     ","TIME")</f>
        <v>27/5/2016</v>
      </c>
      <c r="G151">
        <f>_xll.BDP("25910 HK Equity     ","RT_PX_CHG_PCT_1D")</f>
        <v>14.6853</v>
      </c>
      <c r="H151">
        <f>_xll.BDP("25910 HK Equity     ","RT_PX_CHG_NET_1D")</f>
        <v>2.1000000000000001E-2</v>
      </c>
      <c r="I151">
        <f>_xll.BDP("25910 HK Equity     ","VOLUME")</f>
        <v>40340000</v>
      </c>
      <c r="J151">
        <f>_xll.BDP("25910 HK Equity     ","BID")</f>
        <v>0.13800000000000001</v>
      </c>
      <c r="K151" t="str">
        <f>_xll.BDP("25910 HK Equity     ","ASK")</f>
        <v>#N/A N/A</v>
      </c>
      <c r="M151" t="s">
        <v>160</v>
      </c>
      <c r="N151">
        <v>19600</v>
      </c>
      <c r="O151">
        <v>0.16400000000000001</v>
      </c>
      <c r="P151" t="s">
        <v>244</v>
      </c>
      <c r="Q151" t="s">
        <v>250</v>
      </c>
      <c r="R151" t="s">
        <v>255</v>
      </c>
      <c r="S151">
        <v>14.6853</v>
      </c>
      <c r="T151">
        <v>2.1000000000000001E-2</v>
      </c>
      <c r="U151">
        <v>40340000</v>
      </c>
      <c r="V151">
        <v>0.13800000000000001</v>
      </c>
      <c r="W151" t="s">
        <v>254</v>
      </c>
    </row>
    <row r="152" spans="1:23">
      <c r="A152" t="s">
        <v>161</v>
      </c>
      <c r="B152">
        <f>_xll.BDP("25916 HK Equity     ","WRT_EXER_PX")</f>
        <v>17500</v>
      </c>
      <c r="C152">
        <f>_xll.BDP("25916 HK Equity     ","LAST_PRICE")</f>
        <v>4.3999999999999997E-2</v>
      </c>
      <c r="D152" t="str">
        <f>_xll.BDP("25916 HK Equity     ","WRT_EXER_DT")</f>
        <v>29/9/2016</v>
      </c>
      <c r="E152" t="str">
        <f>_xll.BDP("25916 HK Equity     ","WRT_PUT_OR_CALL")</f>
        <v>Put</v>
      </c>
      <c r="F152" t="str">
        <f>_xll.BDP("25916 HK Equity     ","TIME")</f>
        <v>27/5/2016</v>
      </c>
      <c r="G152">
        <f>_xll.BDP("25916 HK Equity     ","RT_PX_CHG_PCT_1D")</f>
        <v>-10.2041</v>
      </c>
      <c r="H152">
        <f>_xll.BDP("25916 HK Equity     ","RT_PX_CHG_NET_1D")</f>
        <v>-5.0000000000000001E-3</v>
      </c>
      <c r="I152">
        <f>_xll.BDP("25916 HK Equity     ","VOLUME")</f>
        <v>0</v>
      </c>
      <c r="J152">
        <f>_xll.BDP("25916 HK Equity     ","BID")</f>
        <v>0.04</v>
      </c>
      <c r="K152">
        <f>_xll.BDP("25916 HK Equity     ","ASK")</f>
        <v>4.4999999999999998E-2</v>
      </c>
      <c r="M152" t="s">
        <v>161</v>
      </c>
      <c r="N152">
        <v>17500</v>
      </c>
      <c r="O152">
        <v>4.3999999999999997E-2</v>
      </c>
      <c r="P152" t="s">
        <v>246</v>
      </c>
      <c r="Q152" t="s">
        <v>251</v>
      </c>
      <c r="R152" t="s">
        <v>255</v>
      </c>
      <c r="S152">
        <v>-10.2041</v>
      </c>
      <c r="T152">
        <v>-5.0000000000000001E-3</v>
      </c>
      <c r="U152">
        <v>0</v>
      </c>
      <c r="V152">
        <v>0.04</v>
      </c>
      <c r="W152">
        <v>4.4999999999999998E-2</v>
      </c>
    </row>
    <row r="153" spans="1:23">
      <c r="A153" t="s">
        <v>162</v>
      </c>
      <c r="B153">
        <f>_xll.BDP("25948 HK Equity     ","WRT_EXER_PX")</f>
        <v>18400</v>
      </c>
      <c r="C153">
        <f>_xll.BDP("25948 HK Equity     ","LAST_PRICE")</f>
        <v>0.28000000000000003</v>
      </c>
      <c r="D153" t="str">
        <f>_xll.BDP("25948 HK Equity     ","WRT_EXER_DT")</f>
        <v>30/8/2016</v>
      </c>
      <c r="E153" t="str">
        <f>_xll.BDP("25948 HK Equity     ","WRT_PUT_OR_CALL")</f>
        <v>Call</v>
      </c>
      <c r="F153" t="str">
        <f>_xll.BDP("25948 HK Equity     ","TIME")</f>
        <v>27/5/2016</v>
      </c>
      <c r="G153">
        <f>_xll.BDP("25948 HK Equity     ","RT_PX_CHG_PCT_1D")</f>
        <v>7.69231</v>
      </c>
      <c r="H153">
        <f>_xll.BDP("25948 HK Equity     ","RT_PX_CHG_NET_1D")</f>
        <v>0.02</v>
      </c>
      <c r="I153">
        <f>_xll.BDP("25948 HK Equity     ","VOLUME")</f>
        <v>0</v>
      </c>
      <c r="J153">
        <f>_xll.BDP("25948 HK Equity     ","BID")</f>
        <v>0.28000000000000003</v>
      </c>
      <c r="K153">
        <f>_xll.BDP("25948 HK Equity     ","ASK")</f>
        <v>0.3</v>
      </c>
      <c r="M153" t="s">
        <v>162</v>
      </c>
      <c r="N153">
        <v>18400</v>
      </c>
      <c r="O153">
        <v>0.28000000000000003</v>
      </c>
      <c r="P153" t="s">
        <v>248</v>
      </c>
      <c r="Q153" t="s">
        <v>250</v>
      </c>
      <c r="R153" t="s">
        <v>255</v>
      </c>
      <c r="S153">
        <v>7.69231</v>
      </c>
      <c r="T153">
        <v>0.02</v>
      </c>
      <c r="U153">
        <v>0</v>
      </c>
      <c r="V153">
        <v>0.28000000000000003</v>
      </c>
      <c r="W153">
        <v>0.3</v>
      </c>
    </row>
    <row r="154" spans="1:23">
      <c r="A154" t="s">
        <v>163</v>
      </c>
      <c r="B154">
        <f>_xll.BDP("25960 HK Equity     ","WRT_EXER_PX")</f>
        <v>21088</v>
      </c>
      <c r="C154">
        <f>_xll.BDP("25960 HK Equity     ","LAST_PRICE")</f>
        <v>8.3000000000000004E-2</v>
      </c>
      <c r="D154" t="str">
        <f>_xll.BDP("25960 HK Equity     ","WRT_EXER_DT")</f>
        <v>29/9/2016</v>
      </c>
      <c r="E154" t="str">
        <f>_xll.BDP("25960 HK Equity     ","WRT_PUT_OR_CALL")</f>
        <v>Call</v>
      </c>
      <c r="F154" t="str">
        <f>_xll.BDP("25960 HK Equity     ","TIME")</f>
        <v>27/5/2016</v>
      </c>
      <c r="G154">
        <f>_xll.BDP("25960 HK Equity     ","RT_PX_CHG_PCT_1D")</f>
        <v>18.571400000000001</v>
      </c>
      <c r="H154">
        <f>_xll.BDP("25960 HK Equity     ","RT_PX_CHG_NET_1D")</f>
        <v>1.2999999999999999E-2</v>
      </c>
      <c r="I154">
        <f>_xll.BDP("25960 HK Equity     ","VOLUME")</f>
        <v>35500000</v>
      </c>
      <c r="J154" t="str">
        <f>_xll.BDP("25960 HK Equity     ","BID")</f>
        <v>#N/A N/A</v>
      </c>
      <c r="K154" t="str">
        <f>_xll.BDP("25960 HK Equity     ","ASK")</f>
        <v>#N/A N/A</v>
      </c>
      <c r="M154" t="s">
        <v>163</v>
      </c>
      <c r="N154">
        <v>21088</v>
      </c>
      <c r="O154">
        <v>8.3000000000000004E-2</v>
      </c>
      <c r="P154" t="s">
        <v>246</v>
      </c>
      <c r="Q154" t="s">
        <v>250</v>
      </c>
      <c r="R154" t="s">
        <v>255</v>
      </c>
      <c r="S154">
        <v>18.571400000000001</v>
      </c>
      <c r="T154">
        <v>1.2999999999999999E-2</v>
      </c>
      <c r="U154">
        <v>35500000</v>
      </c>
      <c r="V154" t="s">
        <v>254</v>
      </c>
      <c r="W154" t="s">
        <v>254</v>
      </c>
    </row>
    <row r="155" spans="1:23">
      <c r="A155" t="s">
        <v>164</v>
      </c>
      <c r="B155">
        <f>_xll.BDP("25986 HK Equity     ","WRT_EXER_PX")</f>
        <v>18000</v>
      </c>
      <c r="C155">
        <f>_xll.BDP("25986 HK Equity     ","LAST_PRICE")</f>
        <v>0.28000000000000003</v>
      </c>
      <c r="D155" t="str">
        <f>_xll.BDP("25986 HK Equity     ","WRT_EXER_DT")</f>
        <v>29/9/2016</v>
      </c>
      <c r="E155" t="str">
        <f>_xll.BDP("25986 HK Equity     ","WRT_PUT_OR_CALL")</f>
        <v>Call</v>
      </c>
      <c r="F155" t="str">
        <f>_xll.BDP("25986 HK Equity     ","TIME")</f>
        <v>27/5/2016</v>
      </c>
      <c r="G155">
        <f>_xll.BDP("25986 HK Equity     ","RT_PX_CHG_PCT_1D")</f>
        <v>3.7037</v>
      </c>
      <c r="H155">
        <f>_xll.BDP("25986 HK Equity     ","RT_PX_CHG_NET_1D")</f>
        <v>0.01</v>
      </c>
      <c r="I155">
        <f>_xll.BDP("25986 HK Equity     ","VOLUME")</f>
        <v>0</v>
      </c>
      <c r="J155">
        <f>_xll.BDP("25986 HK Equity     ","BID")</f>
        <v>0.28000000000000003</v>
      </c>
      <c r="K155">
        <f>_xll.BDP("25986 HK Equity     ","ASK")</f>
        <v>0.29499999999999998</v>
      </c>
      <c r="M155" t="s">
        <v>164</v>
      </c>
      <c r="N155">
        <v>18000</v>
      </c>
      <c r="O155">
        <v>0.28000000000000003</v>
      </c>
      <c r="P155" t="s">
        <v>246</v>
      </c>
      <c r="Q155" t="s">
        <v>250</v>
      </c>
      <c r="R155" t="s">
        <v>255</v>
      </c>
      <c r="S155">
        <v>3.7037</v>
      </c>
      <c r="T155">
        <v>0.01</v>
      </c>
      <c r="U155">
        <v>0</v>
      </c>
      <c r="V155">
        <v>0.28000000000000003</v>
      </c>
      <c r="W155">
        <v>0.29499999999999998</v>
      </c>
    </row>
    <row r="156" spans="1:23">
      <c r="A156" t="s">
        <v>165</v>
      </c>
      <c r="B156">
        <f>_xll.BDP("26036 HK Equity     ","WRT_EXER_PX")</f>
        <v>17600</v>
      </c>
      <c r="C156">
        <f>_xll.BDP("26036 HK Equity     ","LAST_PRICE")</f>
        <v>0.03</v>
      </c>
      <c r="D156" t="str">
        <f>_xll.BDP("26036 HK Equity     ","WRT_EXER_DT")</f>
        <v>30/8/2016</v>
      </c>
      <c r="E156" t="str">
        <f>_xll.BDP("26036 HK Equity     ","WRT_PUT_OR_CALL")</f>
        <v>Put</v>
      </c>
      <c r="F156" t="str">
        <f>_xll.BDP("26036 HK Equity     ","TIME")</f>
        <v>27/5/2016</v>
      </c>
      <c r="G156">
        <f>_xll.BDP("26036 HK Equity     ","RT_PX_CHG_PCT_1D")</f>
        <v>-9.0909099999999992</v>
      </c>
      <c r="H156">
        <f>_xll.BDP("26036 HK Equity     ","RT_PX_CHG_NET_1D")</f>
        <v>-3.0000000000000001E-3</v>
      </c>
      <c r="I156">
        <f>_xll.BDP("26036 HK Equity     ","VOLUME")</f>
        <v>250000</v>
      </c>
      <c r="J156">
        <f>_xll.BDP("26036 HK Equity     ","BID")</f>
        <v>0.03</v>
      </c>
      <c r="K156">
        <f>_xll.BDP("26036 HK Equity     ","ASK")</f>
        <v>3.1E-2</v>
      </c>
      <c r="M156" t="s">
        <v>165</v>
      </c>
      <c r="N156">
        <v>17600</v>
      </c>
      <c r="O156">
        <v>0.03</v>
      </c>
      <c r="P156" t="s">
        <v>248</v>
      </c>
      <c r="Q156" t="s">
        <v>251</v>
      </c>
      <c r="R156" t="s">
        <v>255</v>
      </c>
      <c r="S156">
        <v>-9.0909099999999992</v>
      </c>
      <c r="T156">
        <v>-3.0000000000000001E-3</v>
      </c>
      <c r="U156">
        <v>250000</v>
      </c>
      <c r="V156">
        <v>0.03</v>
      </c>
      <c r="W156">
        <v>3.1E-2</v>
      </c>
    </row>
    <row r="157" spans="1:23">
      <c r="A157" t="s">
        <v>166</v>
      </c>
      <c r="B157">
        <f>_xll.BDP("26201 HK Equity     ","WRT_EXER_PX")</f>
        <v>18708</v>
      </c>
      <c r="C157">
        <f>_xll.BDP("26201 HK Equity     ","LAST_PRICE")</f>
        <v>0.21</v>
      </c>
      <c r="D157" t="str">
        <f>_xll.BDP("26201 HK Equity     ","WRT_EXER_DT")</f>
        <v>30/8/2016</v>
      </c>
      <c r="E157" t="str">
        <f>_xll.BDP("26201 HK Equity     ","WRT_PUT_OR_CALL")</f>
        <v>Call</v>
      </c>
      <c r="F157" t="str">
        <f>_xll.BDP("26201 HK Equity     ","TIME")</f>
        <v>27/5/2016</v>
      </c>
      <c r="G157">
        <f>_xll.BDP("26201 HK Equity     ","RT_PX_CHG_PCT_1D")</f>
        <v>0</v>
      </c>
      <c r="H157">
        <f>_xll.BDP("26201 HK Equity     ","RT_PX_CHG_NET_1D")</f>
        <v>0</v>
      </c>
      <c r="I157">
        <f>_xll.BDP("26201 HK Equity     ","VOLUME")</f>
        <v>0</v>
      </c>
      <c r="J157" t="str">
        <f>_xll.BDP("26201 HK Equity     ","BID")</f>
        <v>#N/A N/A</v>
      </c>
      <c r="K157" t="str">
        <f>_xll.BDP("26201 HK Equity     ","ASK")</f>
        <v>#N/A N/A</v>
      </c>
      <c r="M157" t="s">
        <v>166</v>
      </c>
      <c r="N157">
        <v>18708</v>
      </c>
      <c r="O157">
        <v>0.21</v>
      </c>
      <c r="P157" t="s">
        <v>248</v>
      </c>
      <c r="Q157" t="s">
        <v>250</v>
      </c>
      <c r="R157" t="s">
        <v>255</v>
      </c>
      <c r="S157">
        <v>0</v>
      </c>
      <c r="T157">
        <v>0</v>
      </c>
      <c r="U157">
        <v>0</v>
      </c>
      <c r="V157" t="s">
        <v>254</v>
      </c>
      <c r="W157" t="s">
        <v>254</v>
      </c>
    </row>
    <row r="158" spans="1:23">
      <c r="A158" t="s">
        <v>167</v>
      </c>
      <c r="B158">
        <f>_xll.BDP("26206 HK Equity     ","WRT_EXER_PX")</f>
        <v>21000</v>
      </c>
      <c r="C158">
        <f>_xll.BDP("26206 HK Equity     ","LAST_PRICE")</f>
        <v>8.6999999999999994E-2</v>
      </c>
      <c r="D158" t="str">
        <f>_xll.BDP("26206 HK Equity     ","WRT_EXER_DT")</f>
        <v>29/9/2016</v>
      </c>
      <c r="E158" t="str">
        <f>_xll.BDP("26206 HK Equity     ","WRT_PUT_OR_CALL")</f>
        <v>Call</v>
      </c>
      <c r="F158" t="str">
        <f>_xll.BDP("26206 HK Equity     ","TIME")</f>
        <v>27/5/2016</v>
      </c>
      <c r="G158">
        <f>_xll.BDP("26206 HK Equity     ","RT_PX_CHG_PCT_1D")</f>
        <v>12.987</v>
      </c>
      <c r="H158">
        <f>_xll.BDP("26206 HK Equity     ","RT_PX_CHG_NET_1D")</f>
        <v>0.01</v>
      </c>
      <c r="I158">
        <f>_xll.BDP("26206 HK Equity     ","VOLUME")</f>
        <v>91610000</v>
      </c>
      <c r="J158">
        <f>_xll.BDP("26206 HK Equity     ","BID")</f>
        <v>8.5000000000000006E-2</v>
      </c>
      <c r="K158">
        <f>_xll.BDP("26206 HK Equity     ","ASK")</f>
        <v>8.6999999999999994E-2</v>
      </c>
      <c r="M158" t="s">
        <v>167</v>
      </c>
      <c r="N158">
        <v>21000</v>
      </c>
      <c r="O158">
        <v>8.6999999999999994E-2</v>
      </c>
      <c r="P158" t="s">
        <v>246</v>
      </c>
      <c r="Q158" t="s">
        <v>250</v>
      </c>
      <c r="R158" t="s">
        <v>255</v>
      </c>
      <c r="S158">
        <v>12.987</v>
      </c>
      <c r="T158">
        <v>0.01</v>
      </c>
      <c r="U158">
        <v>91610000</v>
      </c>
      <c r="V158">
        <v>8.5000000000000006E-2</v>
      </c>
      <c r="W158">
        <v>8.6999999999999994E-2</v>
      </c>
    </row>
    <row r="159" spans="1:23">
      <c r="A159" t="s">
        <v>168</v>
      </c>
      <c r="B159">
        <f>_xll.BDP("26320 HK Equity     ","WRT_EXER_PX")</f>
        <v>17600</v>
      </c>
      <c r="C159">
        <f>_xll.BDP("26320 HK Equity     ","LAST_PRICE")</f>
        <v>2.7E-2</v>
      </c>
      <c r="D159" t="str">
        <f>_xll.BDP("26320 HK Equity     ","WRT_EXER_DT")</f>
        <v>30/8/2016</v>
      </c>
      <c r="E159" t="str">
        <f>_xll.BDP("26320 HK Equity     ","WRT_PUT_OR_CALL")</f>
        <v>Put</v>
      </c>
      <c r="F159" t="str">
        <f>_xll.BDP("26320 HK Equity     ","TIME")</f>
        <v>27/5/2016</v>
      </c>
      <c r="G159">
        <f>_xll.BDP("26320 HK Equity     ","RT_PX_CHG_PCT_1D")</f>
        <v>0</v>
      </c>
      <c r="H159">
        <f>_xll.BDP("26320 HK Equity     ","RT_PX_CHG_NET_1D")</f>
        <v>0</v>
      </c>
      <c r="I159">
        <f>_xll.BDP("26320 HK Equity     ","VOLUME")</f>
        <v>1040000</v>
      </c>
      <c r="J159">
        <f>_xll.BDP("26320 HK Equity     ","BID")</f>
        <v>2.4E-2</v>
      </c>
      <c r="K159">
        <f>_xll.BDP("26320 HK Equity     ","ASK")</f>
        <v>2.8000000000000001E-2</v>
      </c>
      <c r="M159" t="s">
        <v>168</v>
      </c>
      <c r="N159">
        <v>17600</v>
      </c>
      <c r="O159">
        <v>2.7E-2</v>
      </c>
      <c r="P159" t="s">
        <v>248</v>
      </c>
      <c r="Q159" t="s">
        <v>251</v>
      </c>
      <c r="R159" t="s">
        <v>255</v>
      </c>
      <c r="S159">
        <v>0</v>
      </c>
      <c r="T159">
        <v>0</v>
      </c>
      <c r="U159">
        <v>1040000</v>
      </c>
      <c r="V159">
        <v>2.4E-2</v>
      </c>
      <c r="W159">
        <v>2.8000000000000001E-2</v>
      </c>
    </row>
    <row r="160" spans="1:23">
      <c r="A160" t="s">
        <v>169</v>
      </c>
      <c r="B160">
        <f>_xll.BDP("26362 HK Equity     ","WRT_EXER_PX")</f>
        <v>18400</v>
      </c>
      <c r="C160">
        <f>_xll.BDP("26362 HK Equity     ","LAST_PRICE")</f>
        <v>4.7E-2</v>
      </c>
      <c r="D160" t="str">
        <f>_xll.BDP("26362 HK Equity     ","WRT_EXER_DT")</f>
        <v>30/8/2016</v>
      </c>
      <c r="E160" t="str">
        <f>_xll.BDP("26362 HK Equity     ","WRT_PUT_OR_CALL")</f>
        <v>Put</v>
      </c>
      <c r="F160" t="str">
        <f>_xll.BDP("26362 HK Equity     ","TIME")</f>
        <v>27/5/2016</v>
      </c>
      <c r="G160">
        <f>_xll.BDP("26362 HK Equity     ","RT_PX_CHG_PCT_1D")</f>
        <v>-9.6153899999999997</v>
      </c>
      <c r="H160">
        <f>_xll.BDP("26362 HK Equity     ","RT_PX_CHG_NET_1D")</f>
        <v>-5.0000000000000001E-3</v>
      </c>
      <c r="I160">
        <f>_xll.BDP("26362 HK Equity     ","VOLUME")</f>
        <v>300000</v>
      </c>
      <c r="J160">
        <f>_xll.BDP("26362 HK Equity     ","BID")</f>
        <v>4.7E-2</v>
      </c>
      <c r="K160">
        <f>_xll.BDP("26362 HK Equity     ","ASK")</f>
        <v>4.8000000000000001E-2</v>
      </c>
      <c r="M160" t="s">
        <v>169</v>
      </c>
      <c r="N160">
        <v>18400</v>
      </c>
      <c r="O160">
        <v>4.7E-2</v>
      </c>
      <c r="P160" t="s">
        <v>248</v>
      </c>
      <c r="Q160" t="s">
        <v>251</v>
      </c>
      <c r="R160" t="s">
        <v>255</v>
      </c>
      <c r="S160">
        <v>-9.6153899999999997</v>
      </c>
      <c r="T160">
        <v>-5.0000000000000001E-3</v>
      </c>
      <c r="U160">
        <v>300000</v>
      </c>
      <c r="V160">
        <v>4.7E-2</v>
      </c>
      <c r="W160">
        <v>4.8000000000000001E-2</v>
      </c>
    </row>
    <row r="161" spans="1:23">
      <c r="A161" t="s">
        <v>170</v>
      </c>
      <c r="B161">
        <f>_xll.BDP("26485 HK Equity     ","WRT_EXER_PX")</f>
        <v>17448</v>
      </c>
      <c r="C161">
        <f>_xll.BDP("26485 HK Equity     ","LAST_PRICE")</f>
        <v>4.3999999999999997E-2</v>
      </c>
      <c r="D161" t="str">
        <f>_xll.BDP("26485 HK Equity     ","WRT_EXER_DT")</f>
        <v>29/9/2016</v>
      </c>
      <c r="E161" t="str">
        <f>_xll.BDP("26485 HK Equity     ","WRT_PUT_OR_CALL")</f>
        <v>Put</v>
      </c>
      <c r="F161" t="str">
        <f>_xll.BDP("26485 HK Equity     ","TIME")</f>
        <v>27/5/2016</v>
      </c>
      <c r="G161">
        <f>_xll.BDP("26485 HK Equity     ","RT_PX_CHG_PCT_1D")</f>
        <v>-10.2041</v>
      </c>
      <c r="H161">
        <f>_xll.BDP("26485 HK Equity     ","RT_PX_CHG_NET_1D")</f>
        <v>-5.0000000000000001E-3</v>
      </c>
      <c r="I161">
        <f>_xll.BDP("26485 HK Equity     ","VOLUME")</f>
        <v>14730000</v>
      </c>
      <c r="J161" t="str">
        <f>_xll.BDP("26485 HK Equity     ","BID")</f>
        <v>#N/A N/A</v>
      </c>
      <c r="K161" t="str">
        <f>_xll.BDP("26485 HK Equity     ","ASK")</f>
        <v>#N/A N/A</v>
      </c>
      <c r="M161" t="s">
        <v>170</v>
      </c>
      <c r="N161">
        <v>17448</v>
      </c>
      <c r="O161">
        <v>4.3999999999999997E-2</v>
      </c>
      <c r="P161" t="s">
        <v>246</v>
      </c>
      <c r="Q161" t="s">
        <v>251</v>
      </c>
      <c r="R161" t="s">
        <v>255</v>
      </c>
      <c r="S161">
        <v>-10.2041</v>
      </c>
      <c r="T161">
        <v>-5.0000000000000001E-3</v>
      </c>
      <c r="U161">
        <v>14730000</v>
      </c>
      <c r="V161" t="s">
        <v>254</v>
      </c>
      <c r="W161" t="s">
        <v>254</v>
      </c>
    </row>
    <row r="162" spans="1:23">
      <c r="A162" t="s">
        <v>171</v>
      </c>
      <c r="B162">
        <f>_xll.BDP("26532 HK Equity     ","WRT_EXER_PX")</f>
        <v>18000</v>
      </c>
      <c r="C162">
        <f>_xll.BDP("26532 HK Equity     ","LAST_PRICE")</f>
        <v>3.4000000000000002E-2</v>
      </c>
      <c r="D162" t="str">
        <f>_xll.BDP("26532 HK Equity     ","WRT_EXER_DT")</f>
        <v>30/8/2016</v>
      </c>
      <c r="E162" t="str">
        <f>_xll.BDP("26532 HK Equity     ","WRT_PUT_OR_CALL")</f>
        <v>Put</v>
      </c>
      <c r="F162" t="str">
        <f>_xll.BDP("26532 HK Equity     ","TIME")</f>
        <v>27/5/2016</v>
      </c>
      <c r="G162">
        <f>_xll.BDP("26532 HK Equity     ","RT_PX_CHG_PCT_1D")</f>
        <v>-5.5555599999999998</v>
      </c>
      <c r="H162">
        <f>_xll.BDP("26532 HK Equity     ","RT_PX_CHG_NET_1D")</f>
        <v>-2E-3</v>
      </c>
      <c r="I162">
        <f>_xll.BDP("26532 HK Equity     ","VOLUME")</f>
        <v>0</v>
      </c>
      <c r="J162">
        <f>_xll.BDP("26532 HK Equity     ","BID")</f>
        <v>3.2000000000000001E-2</v>
      </c>
      <c r="K162">
        <f>_xll.BDP("26532 HK Equity     ","ASK")</f>
        <v>3.4000000000000002E-2</v>
      </c>
      <c r="M162" t="s">
        <v>171</v>
      </c>
      <c r="N162">
        <v>18000</v>
      </c>
      <c r="O162">
        <v>3.4000000000000002E-2</v>
      </c>
      <c r="P162" t="s">
        <v>248</v>
      </c>
      <c r="Q162" t="s">
        <v>251</v>
      </c>
      <c r="R162" t="s">
        <v>255</v>
      </c>
      <c r="S162">
        <v>-5.5555599999999998</v>
      </c>
      <c r="T162">
        <v>-2E-3</v>
      </c>
      <c r="U162">
        <v>0</v>
      </c>
      <c r="V162">
        <v>3.2000000000000001E-2</v>
      </c>
      <c r="W162">
        <v>3.4000000000000002E-2</v>
      </c>
    </row>
    <row r="163" spans="1:23">
      <c r="A163" t="s">
        <v>172</v>
      </c>
      <c r="B163">
        <f>_xll.BDP("26559 HK Equity     ","WRT_EXER_PX")</f>
        <v>20298</v>
      </c>
      <c r="C163">
        <f>_xll.BDP("26559 HK Equity     ","LAST_PRICE")</f>
        <v>0.13800000000000001</v>
      </c>
      <c r="D163" t="str">
        <f>_xll.BDP("26559 HK Equity     ","WRT_EXER_DT")</f>
        <v>30/8/2016</v>
      </c>
      <c r="E163" t="str">
        <f>_xll.BDP("26559 HK Equity     ","WRT_PUT_OR_CALL")</f>
        <v>Call</v>
      </c>
      <c r="F163" t="str">
        <f>_xll.BDP("26559 HK Equity     ","TIME")</f>
        <v>27/5/2016</v>
      </c>
      <c r="G163">
        <f>_xll.BDP("26559 HK Equity     ","RT_PX_CHG_PCT_1D")</f>
        <v>11.2903</v>
      </c>
      <c r="H163">
        <f>_xll.BDP("26559 HK Equity     ","RT_PX_CHG_NET_1D")</f>
        <v>1.4E-2</v>
      </c>
      <c r="I163">
        <f>_xll.BDP("26559 HK Equity     ","VOLUME")</f>
        <v>446760000</v>
      </c>
      <c r="J163">
        <f>_xll.BDP("26559 HK Equity     ","BID")</f>
        <v>0.114</v>
      </c>
      <c r="K163" t="str">
        <f>_xll.BDP("26559 HK Equity     ","ASK")</f>
        <v>#N/A N/A</v>
      </c>
      <c r="M163" t="s">
        <v>172</v>
      </c>
      <c r="N163">
        <v>20298</v>
      </c>
      <c r="O163">
        <v>0.13800000000000001</v>
      </c>
      <c r="P163" t="s">
        <v>248</v>
      </c>
      <c r="Q163" t="s">
        <v>250</v>
      </c>
      <c r="R163" t="s">
        <v>255</v>
      </c>
      <c r="S163">
        <v>11.2903</v>
      </c>
      <c r="T163">
        <v>1.4E-2</v>
      </c>
      <c r="U163">
        <v>446760000</v>
      </c>
      <c r="V163">
        <v>0.114</v>
      </c>
      <c r="W163" t="s">
        <v>254</v>
      </c>
    </row>
    <row r="164" spans="1:23">
      <c r="A164" t="s">
        <v>173</v>
      </c>
      <c r="B164">
        <f>_xll.BDP("26585 HK Equity     ","WRT_EXER_PX")</f>
        <v>19800</v>
      </c>
      <c r="C164">
        <f>_xll.BDP("26585 HK Equity     ","LAST_PRICE")</f>
        <v>0.155</v>
      </c>
      <c r="D164" t="str">
        <f>_xll.BDP("26585 HK Equity     ","WRT_EXER_DT")</f>
        <v>30/8/2016</v>
      </c>
      <c r="E164" t="str">
        <f>_xll.BDP("26585 HK Equity     ","WRT_PUT_OR_CALL")</f>
        <v>Call</v>
      </c>
      <c r="F164" t="str">
        <f>_xll.BDP("26585 HK Equity     ","TIME")</f>
        <v>27/5/2016</v>
      </c>
      <c r="G164">
        <f>_xll.BDP("26585 HK Equity     ","RT_PX_CHG_PCT_1D")</f>
        <v>12.3188</v>
      </c>
      <c r="H164">
        <f>_xll.BDP("26585 HK Equity     ","RT_PX_CHG_NET_1D")</f>
        <v>1.7000000000000001E-2</v>
      </c>
      <c r="I164">
        <f>_xll.BDP("26585 HK Equity     ","VOLUME")</f>
        <v>3170000</v>
      </c>
      <c r="J164">
        <f>_xll.BDP("26585 HK Equity     ","BID")</f>
        <v>0.152</v>
      </c>
      <c r="K164">
        <f>_xll.BDP("26585 HK Equity     ","ASK")</f>
        <v>0.157</v>
      </c>
      <c r="M164" t="s">
        <v>173</v>
      </c>
      <c r="N164">
        <v>19800</v>
      </c>
      <c r="O164">
        <v>0.155</v>
      </c>
      <c r="P164" t="s">
        <v>248</v>
      </c>
      <c r="Q164" t="s">
        <v>250</v>
      </c>
      <c r="R164" t="s">
        <v>255</v>
      </c>
      <c r="S164">
        <v>12.3188</v>
      </c>
      <c r="T164">
        <v>1.7000000000000001E-2</v>
      </c>
      <c r="U164">
        <v>3170000</v>
      </c>
      <c r="V164">
        <v>0.152</v>
      </c>
      <c r="W164">
        <v>0.157</v>
      </c>
    </row>
    <row r="165" spans="1:23">
      <c r="A165" t="s">
        <v>174</v>
      </c>
      <c r="B165">
        <f>_xll.BDP("26753 HK Equity     ","WRT_EXER_PX")</f>
        <v>21400</v>
      </c>
      <c r="C165">
        <f>_xll.BDP("26753 HK Equity     ","LAST_PRICE")</f>
        <v>6.0999999999999999E-2</v>
      </c>
      <c r="D165" t="str">
        <f>_xll.BDP("26753 HK Equity     ","WRT_EXER_DT")</f>
        <v>29/9/2016</v>
      </c>
      <c r="E165" t="str">
        <f>_xll.BDP("26753 HK Equity     ","WRT_PUT_OR_CALL")</f>
        <v>Call</v>
      </c>
      <c r="F165" t="str">
        <f>_xll.BDP("26753 HK Equity     ","TIME")</f>
        <v>27/5/2016</v>
      </c>
      <c r="G165">
        <f>_xll.BDP("26753 HK Equity     ","RT_PX_CHG_PCT_1D")</f>
        <v>17.307699</v>
      </c>
      <c r="H165">
        <f>_xll.BDP("26753 HK Equity     ","RT_PX_CHG_NET_1D")</f>
        <v>8.9999999999999993E-3</v>
      </c>
      <c r="I165">
        <f>_xll.BDP("26753 HK Equity     ","VOLUME")</f>
        <v>1490000</v>
      </c>
      <c r="J165">
        <f>_xll.BDP("26753 HK Equity     ","BID")</f>
        <v>5.7000000000000002E-2</v>
      </c>
      <c r="K165">
        <f>_xll.BDP("26753 HK Equity     ","ASK")</f>
        <v>6.2E-2</v>
      </c>
      <c r="M165" t="s">
        <v>174</v>
      </c>
      <c r="N165">
        <v>21400</v>
      </c>
      <c r="O165">
        <v>6.0999999999999999E-2</v>
      </c>
      <c r="P165" t="s">
        <v>246</v>
      </c>
      <c r="Q165" t="s">
        <v>250</v>
      </c>
      <c r="R165" t="s">
        <v>255</v>
      </c>
      <c r="S165">
        <v>17.307699</v>
      </c>
      <c r="T165">
        <v>8.9999999999999993E-3</v>
      </c>
      <c r="U165">
        <v>1490000</v>
      </c>
      <c r="V165">
        <v>5.7000000000000002E-2</v>
      </c>
      <c r="W165">
        <v>6.2E-2</v>
      </c>
    </row>
    <row r="166" spans="1:23">
      <c r="A166" t="s">
        <v>175</v>
      </c>
      <c r="B166">
        <f>_xll.BDP("27112 HK Equity     ","WRT_EXER_PX")</f>
        <v>18308</v>
      </c>
      <c r="C166">
        <f>_xll.BDP("27112 HK Equity     ","LAST_PRICE")</f>
        <v>5.8999999999999997E-2</v>
      </c>
      <c r="D166" t="str">
        <f>_xll.BDP("27112 HK Equity     ","WRT_EXER_DT")</f>
        <v>29/9/2016</v>
      </c>
      <c r="E166" t="str">
        <f>_xll.BDP("27112 HK Equity     ","WRT_PUT_OR_CALL")</f>
        <v>Put</v>
      </c>
      <c r="F166" t="str">
        <f>_xll.BDP("27112 HK Equity     ","TIME")</f>
        <v>27/5/2016</v>
      </c>
      <c r="G166">
        <f>_xll.BDP("27112 HK Equity     ","RT_PX_CHG_PCT_1D")</f>
        <v>-11.940300000000001</v>
      </c>
      <c r="H166">
        <f>_xll.BDP("27112 HK Equity     ","RT_PX_CHG_NET_1D")</f>
        <v>-8.0000000000000002E-3</v>
      </c>
      <c r="I166">
        <f>_xll.BDP("27112 HK Equity     ","VOLUME")</f>
        <v>104230000</v>
      </c>
      <c r="J166" t="str">
        <f>_xll.BDP("27112 HK Equity     ","BID")</f>
        <v>#N/A N/A</v>
      </c>
      <c r="K166" t="str">
        <f>_xll.BDP("27112 HK Equity     ","ASK")</f>
        <v>#N/A N/A</v>
      </c>
      <c r="M166" t="s">
        <v>175</v>
      </c>
      <c r="N166">
        <v>18308</v>
      </c>
      <c r="O166">
        <v>5.8999999999999997E-2</v>
      </c>
      <c r="P166" t="s">
        <v>246</v>
      </c>
      <c r="Q166" t="s">
        <v>251</v>
      </c>
      <c r="R166" t="s">
        <v>255</v>
      </c>
      <c r="S166">
        <v>-11.940300000000001</v>
      </c>
      <c r="T166">
        <v>-8.0000000000000002E-3</v>
      </c>
      <c r="U166">
        <v>104230000</v>
      </c>
      <c r="V166" t="s">
        <v>254</v>
      </c>
      <c r="W166" t="s">
        <v>254</v>
      </c>
    </row>
    <row r="167" spans="1:23">
      <c r="A167" t="s">
        <v>176</v>
      </c>
      <c r="B167">
        <f>_xll.BDP("27188 HK Equity     ","WRT_EXER_PX")</f>
        <v>21500</v>
      </c>
      <c r="C167">
        <f>_xll.BDP("27188 HK Equity     ","LAST_PRICE")</f>
        <v>0.17699999999999999</v>
      </c>
      <c r="D167" t="str">
        <f>_xll.BDP("27188 HK Equity     ","WRT_EXER_DT")</f>
        <v>28/7/2016</v>
      </c>
      <c r="E167" t="str">
        <f>_xll.BDP("27188 HK Equity     ","WRT_PUT_OR_CALL")</f>
        <v>Put</v>
      </c>
      <c r="F167" t="str">
        <f>_xll.BDP("27188 HK Equity     ","TIME")</f>
        <v>27/5/2016</v>
      </c>
      <c r="G167">
        <f>_xll.BDP("27188 HK Equity     ","RT_PX_CHG_PCT_1D")</f>
        <v>-9.2307699999999997</v>
      </c>
      <c r="H167">
        <f>_xll.BDP("27188 HK Equity     ","RT_PX_CHG_NET_1D")</f>
        <v>-1.7999999999999999E-2</v>
      </c>
      <c r="I167">
        <f>_xll.BDP("27188 HK Equity     ","VOLUME")</f>
        <v>90000</v>
      </c>
      <c r="J167">
        <f>_xll.BDP("27188 HK Equity     ","BID")</f>
        <v>0.17299999999999999</v>
      </c>
      <c r="K167">
        <f>_xll.BDP("27188 HK Equity     ","ASK")</f>
        <v>0.17899999999999999</v>
      </c>
      <c r="M167" t="s">
        <v>176</v>
      </c>
      <c r="N167">
        <v>21500</v>
      </c>
      <c r="O167">
        <v>0.17699999999999999</v>
      </c>
      <c r="P167" t="s">
        <v>244</v>
      </c>
      <c r="Q167" t="s">
        <v>251</v>
      </c>
      <c r="R167" t="s">
        <v>255</v>
      </c>
      <c r="S167">
        <v>-9.2307699999999997</v>
      </c>
      <c r="T167">
        <v>-1.7999999999999999E-2</v>
      </c>
      <c r="U167">
        <v>90000</v>
      </c>
      <c r="V167">
        <v>0.17299999999999999</v>
      </c>
      <c r="W167">
        <v>0.17899999999999999</v>
      </c>
    </row>
    <row r="168" spans="1:23">
      <c r="A168" t="s">
        <v>177</v>
      </c>
      <c r="B168">
        <f>_xll.BDP("27280 HK Equity     ","WRT_EXER_PX")</f>
        <v>21800</v>
      </c>
      <c r="C168">
        <f>_xll.BDP("27280 HK Equity     ","LAST_PRICE")</f>
        <v>9.6000000000000002E-2</v>
      </c>
      <c r="D168" t="str">
        <f>_xll.BDP("27280 HK Equity     ","WRT_EXER_DT")</f>
        <v>28/10/2016</v>
      </c>
      <c r="E168" t="str">
        <f>_xll.BDP("27280 HK Equity     ","WRT_PUT_OR_CALL")</f>
        <v>Call</v>
      </c>
      <c r="F168" t="str">
        <f>_xll.BDP("27280 HK Equity     ","TIME")</f>
        <v>27/5/2016</v>
      </c>
      <c r="G168">
        <f>_xll.BDP("27280 HK Equity     ","RT_PX_CHG_PCT_1D")</f>
        <v>7.86517</v>
      </c>
      <c r="H168">
        <f>_xll.BDP("27280 HK Equity     ","RT_PX_CHG_NET_1D")</f>
        <v>7.0000000000000001E-3</v>
      </c>
      <c r="I168">
        <f>_xll.BDP("27280 HK Equity     ","VOLUME")</f>
        <v>180000</v>
      </c>
      <c r="J168">
        <f>_xll.BDP("27280 HK Equity     ","BID")</f>
        <v>9.6000000000000002E-2</v>
      </c>
      <c r="K168">
        <f>_xll.BDP("27280 HK Equity     ","ASK")</f>
        <v>9.8000000000000004E-2</v>
      </c>
      <c r="M168" t="s">
        <v>177</v>
      </c>
      <c r="N168">
        <v>21800</v>
      </c>
      <c r="O168">
        <v>9.6000000000000002E-2</v>
      </c>
      <c r="P168" t="s">
        <v>243</v>
      </c>
      <c r="Q168" t="s">
        <v>250</v>
      </c>
      <c r="R168" t="s">
        <v>255</v>
      </c>
      <c r="S168">
        <v>7.86517</v>
      </c>
      <c r="T168">
        <v>7.0000000000000001E-3</v>
      </c>
      <c r="U168">
        <v>180000</v>
      </c>
      <c r="V168">
        <v>9.6000000000000002E-2</v>
      </c>
      <c r="W168">
        <v>9.8000000000000004E-2</v>
      </c>
    </row>
    <row r="169" spans="1:23">
      <c r="A169" t="s">
        <v>178</v>
      </c>
      <c r="B169">
        <f>_xll.BDP("27284 HK Equity     ","WRT_EXER_PX")</f>
        <v>19800</v>
      </c>
      <c r="C169">
        <f>_xll.BDP("27284 HK Equity     ","LAST_PRICE")</f>
        <v>6.9000000000000006E-2</v>
      </c>
      <c r="D169" t="str">
        <f>_xll.BDP("27284 HK Equity     ","WRT_EXER_DT")</f>
        <v>28/7/2016</v>
      </c>
      <c r="E169" t="str">
        <f>_xll.BDP("27284 HK Equity     ","WRT_PUT_OR_CALL")</f>
        <v>Put</v>
      </c>
      <c r="F169" t="str">
        <f>_xll.BDP("27284 HK Equity     ","TIME")</f>
        <v>27/5/2016</v>
      </c>
      <c r="G169">
        <f>_xll.BDP("27284 HK Equity     ","RT_PX_CHG_PCT_1D")</f>
        <v>-15.8537</v>
      </c>
      <c r="H169">
        <f>_xll.BDP("27284 HK Equity     ","RT_PX_CHG_NET_1D")</f>
        <v>-1.2999999999999999E-2</v>
      </c>
      <c r="I169">
        <f>_xll.BDP("27284 HK Equity     ","VOLUME")</f>
        <v>3308320000</v>
      </c>
      <c r="J169">
        <f>_xll.BDP("27284 HK Equity     ","BID")</f>
        <v>6.9000000000000006E-2</v>
      </c>
      <c r="K169">
        <f>_xll.BDP("27284 HK Equity     ","ASK")</f>
        <v>7.0000000000000007E-2</v>
      </c>
      <c r="M169" t="s">
        <v>178</v>
      </c>
      <c r="N169">
        <v>19800</v>
      </c>
      <c r="O169">
        <v>6.9000000000000006E-2</v>
      </c>
      <c r="P169" t="s">
        <v>244</v>
      </c>
      <c r="Q169" t="s">
        <v>251</v>
      </c>
      <c r="R169" t="s">
        <v>255</v>
      </c>
      <c r="S169">
        <v>-15.8537</v>
      </c>
      <c r="T169">
        <v>-1.2999999999999999E-2</v>
      </c>
      <c r="U169">
        <v>3308320000</v>
      </c>
      <c r="V169">
        <v>6.9000000000000006E-2</v>
      </c>
      <c r="W169">
        <v>7.0000000000000007E-2</v>
      </c>
    </row>
    <row r="170" spans="1:23">
      <c r="A170" t="s">
        <v>179</v>
      </c>
      <c r="B170">
        <f>_xll.BDP("27422 HK Equity     ","WRT_EXER_PX")</f>
        <v>20800</v>
      </c>
      <c r="C170">
        <f>_xll.BDP("27422 HK Equity     ","LAST_PRICE")</f>
        <v>0.19</v>
      </c>
      <c r="D170" t="str">
        <f>_xll.BDP("27422 HK Equity     ","WRT_EXER_DT")</f>
        <v>29/9/2016</v>
      </c>
      <c r="E170" t="str">
        <f>_xll.BDP("27422 HK Equity     ","WRT_PUT_OR_CALL")</f>
        <v>Put</v>
      </c>
      <c r="F170" t="str">
        <f>_xll.BDP("27422 HK Equity     ","TIME")</f>
        <v>27/5/2016</v>
      </c>
      <c r="G170">
        <f>_xll.BDP("27422 HK Equity     ","RT_PX_CHG_PCT_1D")</f>
        <v>-7.3170700000000002</v>
      </c>
      <c r="H170">
        <f>_xll.BDP("27422 HK Equity     ","RT_PX_CHG_NET_1D")</f>
        <v>-1.4999999999999999E-2</v>
      </c>
      <c r="I170">
        <f>_xll.BDP("27422 HK Equity     ","VOLUME")</f>
        <v>0</v>
      </c>
      <c r="J170">
        <f>_xll.BDP("27422 HK Equity     ","BID")</f>
        <v>0.19</v>
      </c>
      <c r="K170">
        <f>_xll.BDP("27422 HK Equity     ","ASK")</f>
        <v>0.191</v>
      </c>
      <c r="M170" t="s">
        <v>179</v>
      </c>
      <c r="N170">
        <v>20800</v>
      </c>
      <c r="O170">
        <v>0.19</v>
      </c>
      <c r="P170" t="s">
        <v>246</v>
      </c>
      <c r="Q170" t="s">
        <v>251</v>
      </c>
      <c r="R170" t="s">
        <v>255</v>
      </c>
      <c r="S170">
        <v>-7.3170700000000002</v>
      </c>
      <c r="T170">
        <v>-1.4999999999999999E-2</v>
      </c>
      <c r="U170">
        <v>0</v>
      </c>
      <c r="V170">
        <v>0.19</v>
      </c>
      <c r="W170">
        <v>0.191</v>
      </c>
    </row>
    <row r="171" spans="1:23">
      <c r="A171" t="s">
        <v>180</v>
      </c>
      <c r="B171">
        <f>_xll.BDP("27562 HK Equity     ","WRT_EXER_PX")</f>
        <v>20298</v>
      </c>
      <c r="C171">
        <f>_xll.BDP("27562 HK Equity     ","LAST_PRICE")</f>
        <v>0.153</v>
      </c>
      <c r="D171" t="str">
        <f>_xll.BDP("27562 HK Equity     ","WRT_EXER_DT")</f>
        <v>29/9/2016</v>
      </c>
      <c r="E171" t="str">
        <f>_xll.BDP("27562 HK Equity     ","WRT_PUT_OR_CALL")</f>
        <v>Put</v>
      </c>
      <c r="F171" t="str">
        <f>_xll.BDP("27562 HK Equity     ","TIME")</f>
        <v>27/5/2016</v>
      </c>
      <c r="G171">
        <f>_xll.BDP("27562 HK Equity     ","RT_PX_CHG_PCT_1D")</f>
        <v>0</v>
      </c>
      <c r="H171">
        <f>_xll.BDP("27562 HK Equity     ","RT_PX_CHG_NET_1D")</f>
        <v>0</v>
      </c>
      <c r="I171">
        <f>_xll.BDP("27562 HK Equity     ","VOLUME")</f>
        <v>0</v>
      </c>
      <c r="J171">
        <f>_xll.BDP("27562 HK Equity     ","BID")</f>
        <v>0.03</v>
      </c>
      <c r="K171" t="str">
        <f>_xll.BDP("27562 HK Equity     ","ASK")</f>
        <v>#N/A N/A</v>
      </c>
      <c r="M171" t="s">
        <v>180</v>
      </c>
      <c r="N171">
        <v>20298</v>
      </c>
      <c r="O171">
        <v>0.153</v>
      </c>
      <c r="P171" t="s">
        <v>246</v>
      </c>
      <c r="Q171" t="s">
        <v>251</v>
      </c>
      <c r="R171" t="s">
        <v>255</v>
      </c>
      <c r="S171">
        <v>0</v>
      </c>
      <c r="T171">
        <v>0</v>
      </c>
      <c r="U171">
        <v>0</v>
      </c>
      <c r="V171">
        <v>0.03</v>
      </c>
      <c r="W171" t="s">
        <v>254</v>
      </c>
    </row>
    <row r="172" spans="1:23">
      <c r="A172" t="s">
        <v>181</v>
      </c>
      <c r="B172">
        <f>_xll.BDP("27891 HK Equity     ","WRT_EXER_PX")</f>
        <v>20300</v>
      </c>
      <c r="C172">
        <f>_xll.BDP("27891 HK Equity     ","LAST_PRICE")</f>
        <v>0.13800000000000001</v>
      </c>
      <c r="D172" t="str">
        <f>_xll.BDP("27891 HK Equity     ","WRT_EXER_DT")</f>
        <v>29/9/2016</v>
      </c>
      <c r="E172" t="str">
        <f>_xll.BDP("27891 HK Equity     ","WRT_PUT_OR_CALL")</f>
        <v>Put</v>
      </c>
      <c r="F172" t="str">
        <f>_xll.BDP("27891 HK Equity     ","TIME")</f>
        <v>27/5/2016</v>
      </c>
      <c r="G172">
        <f>_xll.BDP("27891 HK Equity     ","RT_PX_CHG_PCT_1D")</f>
        <v>-8</v>
      </c>
      <c r="H172">
        <f>_xll.BDP("27891 HK Equity     ","RT_PX_CHG_NET_1D")</f>
        <v>-1.2E-2</v>
      </c>
      <c r="I172">
        <f>_xll.BDP("27891 HK Equity     ","VOLUME")</f>
        <v>0</v>
      </c>
      <c r="J172">
        <f>_xll.BDP("27891 HK Equity     ","BID")</f>
        <v>0.13700000000000001</v>
      </c>
      <c r="K172">
        <f>_xll.BDP("27891 HK Equity     ","ASK")</f>
        <v>0.13900000000000001</v>
      </c>
      <c r="M172" t="s">
        <v>181</v>
      </c>
      <c r="N172">
        <v>20300</v>
      </c>
      <c r="O172">
        <v>0.13800000000000001</v>
      </c>
      <c r="P172" t="s">
        <v>246</v>
      </c>
      <c r="Q172" t="s">
        <v>251</v>
      </c>
      <c r="R172" t="s">
        <v>255</v>
      </c>
      <c r="S172">
        <v>-8</v>
      </c>
      <c r="T172">
        <v>-1.2E-2</v>
      </c>
      <c r="U172">
        <v>0</v>
      </c>
      <c r="V172">
        <v>0.13700000000000001</v>
      </c>
      <c r="W172">
        <v>0.13900000000000001</v>
      </c>
    </row>
    <row r="173" spans="1:23">
      <c r="A173" t="s">
        <v>182</v>
      </c>
      <c r="B173">
        <f>_xll.BDP("28081 HK Equity     ","WRT_EXER_PX")</f>
        <v>19288</v>
      </c>
      <c r="C173" t="str">
        <f>_xll.BDP("28081 HK Equity     ","LAST_PRICE")</f>
        <v>#N/A N/A</v>
      </c>
      <c r="D173" t="str">
        <f>_xll.BDP("28081 HK Equity     ","WRT_EXER_DT")</f>
        <v>29/9/2016</v>
      </c>
      <c r="E173" t="str">
        <f>_xll.BDP("28081 HK Equity     ","WRT_PUT_OR_CALL")</f>
        <v>Call</v>
      </c>
      <c r="F173" t="str">
        <f>_xll.BDP("28081 HK Equity     ","TIME")</f>
        <v>#N/A N/A</v>
      </c>
      <c r="G173" t="str">
        <f>_xll.BDP("28081 HK Equity     ","RT_PX_CHG_PCT_1D")</f>
        <v>#N/A N/A</v>
      </c>
      <c r="H173" t="str">
        <f>_xll.BDP("28081 HK Equity     ","RT_PX_CHG_NET_1D")</f>
        <v>#N/A N/A</v>
      </c>
      <c r="I173" t="str">
        <f>_xll.BDP("28081 HK Equity     ","VOLUME")</f>
        <v>#N/A N/A</v>
      </c>
      <c r="J173" t="str">
        <f>_xll.BDP("28081 HK Equity     ","BID")</f>
        <v>#N/A N/A</v>
      </c>
      <c r="K173" t="str">
        <f>_xll.BDP("28081 HK Equity     ","ASK")</f>
        <v>#N/A N/A</v>
      </c>
      <c r="M173" t="s">
        <v>182</v>
      </c>
      <c r="N173">
        <v>19288</v>
      </c>
      <c r="O173" t="s">
        <v>254</v>
      </c>
      <c r="P173" t="s">
        <v>246</v>
      </c>
      <c r="Q173" t="s">
        <v>250</v>
      </c>
      <c r="R173" t="s">
        <v>254</v>
      </c>
      <c r="S173" t="s">
        <v>254</v>
      </c>
      <c r="T173" t="s">
        <v>254</v>
      </c>
      <c r="U173" t="s">
        <v>254</v>
      </c>
      <c r="V173" t="s">
        <v>254</v>
      </c>
      <c r="W173" t="s">
        <v>254</v>
      </c>
    </row>
    <row r="174" spans="1:23">
      <c r="A174" t="s">
        <v>183</v>
      </c>
      <c r="B174">
        <f>_xll.BDP("28131 HK Equity     ","WRT_EXER_PX")</f>
        <v>18800</v>
      </c>
      <c r="C174" t="str">
        <f>_xll.BDP("28131 HK Equity     ","LAST_PRICE")</f>
        <v>#N/A N/A</v>
      </c>
      <c r="D174" t="str">
        <f>_xll.BDP("28131 HK Equity     ","WRT_EXER_DT")</f>
        <v>28/10/2016</v>
      </c>
      <c r="E174" t="str">
        <f>_xll.BDP("28131 HK Equity     ","WRT_PUT_OR_CALL")</f>
        <v>Put</v>
      </c>
      <c r="F174" t="str">
        <f>_xll.BDP("28131 HK Equity     ","TIME")</f>
        <v>#N/A N/A</v>
      </c>
      <c r="G174" t="str">
        <f>_xll.BDP("28131 HK Equity     ","RT_PX_CHG_PCT_1D")</f>
        <v>#N/A N/A</v>
      </c>
      <c r="H174" t="str">
        <f>_xll.BDP("28131 HK Equity     ","RT_PX_CHG_NET_1D")</f>
        <v>#N/A N/A</v>
      </c>
      <c r="I174" t="str">
        <f>_xll.BDP("28131 HK Equity     ","VOLUME")</f>
        <v>#N/A N/A</v>
      </c>
      <c r="J174">
        <f>_xll.BDP("28131 HK Equity     ","BID")</f>
        <v>9.8000000000000004E-2</v>
      </c>
      <c r="K174">
        <f>_xll.BDP("28131 HK Equity     ","ASK")</f>
        <v>9.9000000000000005E-2</v>
      </c>
      <c r="M174" t="s">
        <v>183</v>
      </c>
      <c r="N174">
        <v>18800</v>
      </c>
      <c r="O174" t="s">
        <v>254</v>
      </c>
      <c r="P174" t="s">
        <v>243</v>
      </c>
      <c r="Q174" t="s">
        <v>251</v>
      </c>
      <c r="R174" t="s">
        <v>254</v>
      </c>
      <c r="S174" t="s">
        <v>254</v>
      </c>
      <c r="T174" t="s">
        <v>254</v>
      </c>
      <c r="U174" t="s">
        <v>254</v>
      </c>
      <c r="V174">
        <v>9.8000000000000004E-2</v>
      </c>
      <c r="W174">
        <v>9.9000000000000005E-2</v>
      </c>
    </row>
    <row r="175" spans="1:23">
      <c r="A175" t="s">
        <v>184</v>
      </c>
      <c r="B175">
        <f>_xll.BDP("24452 HK Equity     ","WRT_EXER_PX")</f>
        <v>20400</v>
      </c>
      <c r="C175">
        <f>_xll.BDP("24452 HK Equity     ","LAST_PRICE")</f>
        <v>0.13</v>
      </c>
      <c r="D175" t="str">
        <f>_xll.BDP("24452 HK Equity     ","WRT_EXER_DT")</f>
        <v>29/9/2016</v>
      </c>
      <c r="E175" t="str">
        <f>_xll.BDP("24452 HK Equity     ","WRT_PUT_OR_CALL")</f>
        <v>Put</v>
      </c>
      <c r="F175" t="str">
        <f>_xll.BDP("24452 HK Equity     ","TIME")</f>
        <v>27/5/2016</v>
      </c>
      <c r="G175">
        <f>_xll.BDP("24452 HK Equity     ","RT_PX_CHG_PCT_1D")</f>
        <v>-9.7222200000000001</v>
      </c>
      <c r="H175">
        <f>_xll.BDP("24452 HK Equity     ","RT_PX_CHG_NET_1D")</f>
        <v>-1.4E-2</v>
      </c>
      <c r="I175">
        <f>_xll.BDP("24452 HK Equity     ","VOLUME")</f>
        <v>1680000</v>
      </c>
      <c r="J175">
        <f>_xll.BDP("24452 HK Equity     ","BID")</f>
        <v>0.13</v>
      </c>
      <c r="K175">
        <f>_xll.BDP("24452 HK Equity     ","ASK")</f>
        <v>0.13500000000000001</v>
      </c>
      <c r="M175" t="s">
        <v>184</v>
      </c>
      <c r="N175">
        <v>20400</v>
      </c>
      <c r="O175">
        <v>0.13</v>
      </c>
      <c r="P175" t="s">
        <v>246</v>
      </c>
      <c r="Q175" t="s">
        <v>251</v>
      </c>
      <c r="R175" t="s">
        <v>255</v>
      </c>
      <c r="S175">
        <v>-9.7222200000000001</v>
      </c>
      <c r="T175">
        <v>-1.4E-2</v>
      </c>
      <c r="U175">
        <v>1680000</v>
      </c>
      <c r="V175">
        <v>0.13</v>
      </c>
      <c r="W175">
        <v>0.13500000000000001</v>
      </c>
    </row>
    <row r="176" spans="1:23">
      <c r="A176" t="s">
        <v>185</v>
      </c>
      <c r="B176">
        <f>_xll.BDP("29179 HK Equity     ","WRT_EXER_PX")</f>
        <v>19000</v>
      </c>
      <c r="C176">
        <f>_xll.BDP("29179 HK Equity     ","LAST_PRICE")</f>
        <v>0.01</v>
      </c>
      <c r="D176" t="str">
        <f>_xll.BDP("29179 HK Equity     ","WRT_EXER_DT")</f>
        <v>30/5/2016</v>
      </c>
      <c r="E176" t="str">
        <f>_xll.BDP("29179 HK Equity     ","WRT_PUT_OR_CALL")</f>
        <v>Put</v>
      </c>
      <c r="F176" t="str">
        <f>_xll.BDP("29179 HK Equity     ","TIME")</f>
        <v>27/5/2016</v>
      </c>
      <c r="G176">
        <f>_xll.BDP("29179 HK Equity     ","RT_PX_CHG_PCT_1D")</f>
        <v>0</v>
      </c>
      <c r="H176">
        <f>_xll.BDP("29179 HK Equity     ","RT_PX_CHG_NET_1D")</f>
        <v>0</v>
      </c>
      <c r="I176">
        <f>_xll.BDP("29179 HK Equity     ","VOLUME")</f>
        <v>0</v>
      </c>
      <c r="J176" t="str">
        <f>_xll.BDP("29179 HK Equity     ","BID")</f>
        <v>#N/A N/A</v>
      </c>
      <c r="K176" t="str">
        <f>_xll.BDP("29179 HK Equity     ","ASK")</f>
        <v>#N/A N/A</v>
      </c>
      <c r="M176" t="s">
        <v>185</v>
      </c>
      <c r="N176">
        <v>19000</v>
      </c>
      <c r="O176">
        <v>0.01</v>
      </c>
      <c r="P176" t="s">
        <v>247</v>
      </c>
      <c r="Q176" t="s">
        <v>251</v>
      </c>
      <c r="R176" t="s">
        <v>255</v>
      </c>
      <c r="S176">
        <v>0</v>
      </c>
      <c r="T176">
        <v>0</v>
      </c>
      <c r="U176">
        <v>0</v>
      </c>
      <c r="V176" t="s">
        <v>254</v>
      </c>
      <c r="W176" t="s">
        <v>254</v>
      </c>
    </row>
    <row r="177" spans="1:23">
      <c r="A177" t="s">
        <v>186</v>
      </c>
      <c r="B177">
        <f>_xll.BDP("11158 HK Equity     ","WRT_EXER_PX")</f>
        <v>19000</v>
      </c>
      <c r="C177">
        <f>_xll.BDP("11158 HK Equity     ","LAST_PRICE")</f>
        <v>0.02</v>
      </c>
      <c r="D177" t="str">
        <f>_xll.BDP("11158 HK Equity     ","WRT_EXER_DT")</f>
        <v>29/6/2016</v>
      </c>
      <c r="E177" t="str">
        <f>_xll.BDP("11158 HK Equity     ","WRT_PUT_OR_CALL")</f>
        <v>Put</v>
      </c>
      <c r="F177" t="str">
        <f>_xll.BDP("11158 HK Equity     ","TIME")</f>
        <v>27/5/2016</v>
      </c>
      <c r="G177">
        <f>_xll.BDP("11158 HK Equity     ","RT_PX_CHG_PCT_1D")</f>
        <v>-13.0435</v>
      </c>
      <c r="H177">
        <f>_xll.BDP("11158 HK Equity     ","RT_PX_CHG_NET_1D")</f>
        <v>-3.0000000000000001E-3</v>
      </c>
      <c r="I177">
        <f>_xll.BDP("11158 HK Equity     ","VOLUME")</f>
        <v>25840000</v>
      </c>
      <c r="J177">
        <f>_xll.BDP("11158 HK Equity     ","BID")</f>
        <v>1.9E-2</v>
      </c>
      <c r="K177">
        <f>_xll.BDP("11158 HK Equity     ","ASK")</f>
        <v>0.02</v>
      </c>
      <c r="M177" t="s">
        <v>186</v>
      </c>
      <c r="N177">
        <v>19000</v>
      </c>
      <c r="O177">
        <v>0.02</v>
      </c>
      <c r="P177" t="s">
        <v>245</v>
      </c>
      <c r="Q177" t="s">
        <v>251</v>
      </c>
      <c r="R177" t="s">
        <v>255</v>
      </c>
      <c r="S177">
        <v>-13.0435</v>
      </c>
      <c r="T177">
        <v>-3.0000000000000001E-3</v>
      </c>
      <c r="U177">
        <v>25840000</v>
      </c>
      <c r="V177">
        <v>1.9E-2</v>
      </c>
      <c r="W177">
        <v>0.02</v>
      </c>
    </row>
    <row r="178" spans="1:23">
      <c r="A178" t="s">
        <v>187</v>
      </c>
      <c r="B178">
        <f>_xll.BDP("18766 HK Equity     ","WRT_EXER_PX")</f>
        <v>25000</v>
      </c>
      <c r="C178">
        <f>_xll.BDP("18766 HK Equity     ","LAST_PRICE")</f>
        <v>0.01</v>
      </c>
      <c r="D178" t="str">
        <f>_xll.BDP("18766 HK Equity     ","WRT_EXER_DT")</f>
        <v>29/6/2016</v>
      </c>
      <c r="E178" t="str">
        <f>_xll.BDP("18766 HK Equity     ","WRT_PUT_OR_CALL")</f>
        <v>Call</v>
      </c>
      <c r="F178" t="str">
        <f>_xll.BDP("18766 HK Equity     ","TIME")</f>
        <v>27/5/2016</v>
      </c>
      <c r="G178">
        <f>_xll.BDP("18766 HK Equity     ","RT_PX_CHG_PCT_1D")</f>
        <v>0</v>
      </c>
      <c r="H178">
        <f>_xll.BDP("18766 HK Equity     ","RT_PX_CHG_NET_1D")</f>
        <v>0</v>
      </c>
      <c r="I178">
        <f>_xll.BDP("18766 HK Equity     ","VOLUME")</f>
        <v>0</v>
      </c>
      <c r="J178" t="str">
        <f>_xll.BDP("18766 HK Equity     ","BID")</f>
        <v>#N/A N/A</v>
      </c>
      <c r="K178" t="str">
        <f>_xll.BDP("18766 HK Equity     ","ASK")</f>
        <v>#N/A N/A</v>
      </c>
      <c r="M178" t="s">
        <v>187</v>
      </c>
      <c r="N178">
        <v>25000</v>
      </c>
      <c r="O178">
        <v>0.01</v>
      </c>
      <c r="P178" t="s">
        <v>245</v>
      </c>
      <c r="Q178" t="s">
        <v>250</v>
      </c>
      <c r="R178" t="s">
        <v>255</v>
      </c>
      <c r="S178">
        <v>0</v>
      </c>
      <c r="T178">
        <v>0</v>
      </c>
      <c r="U178">
        <v>0</v>
      </c>
      <c r="V178" t="s">
        <v>254</v>
      </c>
      <c r="W178" t="s">
        <v>254</v>
      </c>
    </row>
    <row r="179" spans="1:23">
      <c r="A179" t="s">
        <v>188</v>
      </c>
      <c r="B179">
        <f>_xll.BDP("20431 HK Equity     ","WRT_EXER_PX")</f>
        <v>23288</v>
      </c>
      <c r="C179">
        <f>_xll.BDP("20431 HK Equity     ","LAST_PRICE")</f>
        <v>0.39500000000000002</v>
      </c>
      <c r="D179" t="str">
        <f>_xll.BDP("20431 HK Equity     ","WRT_EXER_DT")</f>
        <v>30/5/2016</v>
      </c>
      <c r="E179" t="str">
        <f>_xll.BDP("20431 HK Equity     ","WRT_PUT_OR_CALL")</f>
        <v>Put</v>
      </c>
      <c r="F179" t="str">
        <f>_xll.BDP("20431 HK Equity     ","TIME")</f>
        <v>27/5/2016</v>
      </c>
      <c r="G179">
        <f>_xll.BDP("20431 HK Equity     ","RT_PX_CHG_PCT_1D")</f>
        <v>0</v>
      </c>
      <c r="H179">
        <f>_xll.BDP("20431 HK Equity     ","RT_PX_CHG_NET_1D")</f>
        <v>0</v>
      </c>
      <c r="I179">
        <f>_xll.BDP("20431 HK Equity     ","VOLUME")</f>
        <v>0</v>
      </c>
      <c r="J179" t="str">
        <f>_xll.BDP("20431 HK Equity     ","BID")</f>
        <v>#N/A N/A</v>
      </c>
      <c r="K179" t="str">
        <f>_xll.BDP("20431 HK Equity     ","ASK")</f>
        <v>#N/A N/A</v>
      </c>
      <c r="M179" t="s">
        <v>188</v>
      </c>
      <c r="N179">
        <v>23288</v>
      </c>
      <c r="O179">
        <v>0.39500000000000002</v>
      </c>
      <c r="P179" t="s">
        <v>247</v>
      </c>
      <c r="Q179" t="s">
        <v>251</v>
      </c>
      <c r="R179" t="s">
        <v>255</v>
      </c>
      <c r="S179">
        <v>0</v>
      </c>
      <c r="T179">
        <v>0</v>
      </c>
      <c r="U179">
        <v>0</v>
      </c>
      <c r="V179" t="s">
        <v>254</v>
      </c>
      <c r="W179" t="s">
        <v>254</v>
      </c>
    </row>
    <row r="180" spans="1:23">
      <c r="A180" t="s">
        <v>189</v>
      </c>
      <c r="B180">
        <f>_xll.BDP("22235 HK Equity     ","WRT_EXER_PX")</f>
        <v>24518</v>
      </c>
      <c r="C180">
        <f>_xll.BDP("22235 HK Equity     ","LAST_PRICE")</f>
        <v>0.01</v>
      </c>
      <c r="D180" t="str">
        <f>_xll.BDP("22235 HK Equity     ","WRT_EXER_DT")</f>
        <v>30/5/2016</v>
      </c>
      <c r="E180" t="str">
        <f>_xll.BDP("22235 HK Equity     ","WRT_PUT_OR_CALL")</f>
        <v>Call</v>
      </c>
      <c r="F180" t="str">
        <f>_xll.BDP("22235 HK Equity     ","TIME")</f>
        <v>27/5/2016</v>
      </c>
      <c r="G180">
        <f>_xll.BDP("22235 HK Equity     ","RT_PX_CHG_PCT_1D")</f>
        <v>0</v>
      </c>
      <c r="H180">
        <f>_xll.BDP("22235 HK Equity     ","RT_PX_CHG_NET_1D")</f>
        <v>0</v>
      </c>
      <c r="I180">
        <f>_xll.BDP("22235 HK Equity     ","VOLUME")</f>
        <v>0</v>
      </c>
      <c r="J180" t="str">
        <f>_xll.BDP("22235 HK Equity     ","BID")</f>
        <v>#N/A N/A</v>
      </c>
      <c r="K180" t="str">
        <f>_xll.BDP("22235 HK Equity     ","ASK")</f>
        <v>#N/A N/A</v>
      </c>
      <c r="M180" t="s">
        <v>189</v>
      </c>
      <c r="N180">
        <v>24518</v>
      </c>
      <c r="O180">
        <v>0.01</v>
      </c>
      <c r="P180" t="s">
        <v>247</v>
      </c>
      <c r="Q180" t="s">
        <v>250</v>
      </c>
      <c r="R180" t="s">
        <v>255</v>
      </c>
      <c r="S180">
        <v>0</v>
      </c>
      <c r="T180">
        <v>0</v>
      </c>
      <c r="U180">
        <v>0</v>
      </c>
      <c r="V180" t="s">
        <v>254</v>
      </c>
      <c r="W180" t="s">
        <v>254</v>
      </c>
    </row>
    <row r="181" spans="1:23">
      <c r="A181" t="s">
        <v>190</v>
      </c>
      <c r="B181">
        <f>_xll.BDP("22320 HK Equity     ","WRT_EXER_PX")</f>
        <v>22000</v>
      </c>
      <c r="C181">
        <f>_xll.BDP("22320 HK Equity     ","LAST_PRICE")</f>
        <v>0.32</v>
      </c>
      <c r="D181" t="str">
        <f>_xll.BDP("22320 HK Equity     ","WRT_EXER_DT")</f>
        <v>30/5/2016</v>
      </c>
      <c r="E181" t="str">
        <f>_xll.BDP("22320 HK Equity     ","WRT_PUT_OR_CALL")</f>
        <v>Put</v>
      </c>
      <c r="F181" t="str">
        <f>_xll.BDP("22320 HK Equity     ","TIME")</f>
        <v>27/5/2016</v>
      </c>
      <c r="G181">
        <f>_xll.BDP("22320 HK Equity     ","RT_PX_CHG_PCT_1D")</f>
        <v>0</v>
      </c>
      <c r="H181">
        <f>_xll.BDP("22320 HK Equity     ","RT_PX_CHG_NET_1D")</f>
        <v>0</v>
      </c>
      <c r="I181">
        <f>_xll.BDP("22320 HK Equity     ","VOLUME")</f>
        <v>0</v>
      </c>
      <c r="J181" t="str">
        <f>_xll.BDP("22320 HK Equity     ","BID")</f>
        <v>#N/A N/A</v>
      </c>
      <c r="K181" t="str">
        <f>_xll.BDP("22320 HK Equity     ","ASK")</f>
        <v>#N/A N/A</v>
      </c>
      <c r="M181" t="s">
        <v>190</v>
      </c>
      <c r="N181">
        <v>22000</v>
      </c>
      <c r="O181">
        <v>0.32</v>
      </c>
      <c r="P181" t="s">
        <v>247</v>
      </c>
      <c r="Q181" t="s">
        <v>251</v>
      </c>
      <c r="R181" t="s">
        <v>255</v>
      </c>
      <c r="S181">
        <v>0</v>
      </c>
      <c r="T181">
        <v>0</v>
      </c>
      <c r="U181">
        <v>0</v>
      </c>
      <c r="V181" t="s">
        <v>254</v>
      </c>
      <c r="W181" t="s">
        <v>254</v>
      </c>
    </row>
    <row r="182" spans="1:23">
      <c r="A182" t="s">
        <v>191</v>
      </c>
      <c r="B182">
        <f>_xll.BDP("22947 HK Equity     ","WRT_EXER_PX")</f>
        <v>23800</v>
      </c>
      <c r="C182">
        <f>_xll.BDP("22947 HK Equity     ","LAST_PRICE")</f>
        <v>0.01</v>
      </c>
      <c r="D182" t="str">
        <f>_xll.BDP("22947 HK Equity     ","WRT_EXER_DT")</f>
        <v>30/5/2016</v>
      </c>
      <c r="E182" t="str">
        <f>_xll.BDP("22947 HK Equity     ","WRT_PUT_OR_CALL")</f>
        <v>Call</v>
      </c>
      <c r="F182" t="str">
        <f>_xll.BDP("22947 HK Equity     ","TIME")</f>
        <v>27/5/2016</v>
      </c>
      <c r="G182">
        <f>_xll.BDP("22947 HK Equity     ","RT_PX_CHG_PCT_1D")</f>
        <v>0</v>
      </c>
      <c r="H182">
        <f>_xll.BDP("22947 HK Equity     ","RT_PX_CHG_NET_1D")</f>
        <v>0</v>
      </c>
      <c r="I182">
        <f>_xll.BDP("22947 HK Equity     ","VOLUME")</f>
        <v>0</v>
      </c>
      <c r="J182" t="str">
        <f>_xll.BDP("22947 HK Equity     ","BID")</f>
        <v>#N/A N/A</v>
      </c>
      <c r="K182" t="str">
        <f>_xll.BDP("22947 HK Equity     ","ASK")</f>
        <v>#N/A N/A</v>
      </c>
      <c r="M182" t="s">
        <v>191</v>
      </c>
      <c r="N182">
        <v>23800</v>
      </c>
      <c r="O182">
        <v>0.01</v>
      </c>
      <c r="P182" t="s">
        <v>247</v>
      </c>
      <c r="Q182" t="s">
        <v>250</v>
      </c>
      <c r="R182" t="s">
        <v>255</v>
      </c>
      <c r="S182">
        <v>0</v>
      </c>
      <c r="T182">
        <v>0</v>
      </c>
      <c r="U182">
        <v>0</v>
      </c>
      <c r="V182" t="s">
        <v>254</v>
      </c>
      <c r="W182" t="s">
        <v>254</v>
      </c>
    </row>
    <row r="183" spans="1:23">
      <c r="A183" t="s">
        <v>192</v>
      </c>
      <c r="B183">
        <f>_xll.BDP("22993 HK Equity     ","WRT_EXER_PX")</f>
        <v>22088</v>
      </c>
      <c r="C183">
        <f>_xll.BDP("22993 HK Equity     ","LAST_PRICE")</f>
        <v>0.31</v>
      </c>
      <c r="D183" t="str">
        <f>_xll.BDP("22993 HK Equity     ","WRT_EXER_DT")</f>
        <v>30/5/2016</v>
      </c>
      <c r="E183" t="str">
        <f>_xll.BDP("22993 HK Equity     ","WRT_PUT_OR_CALL")</f>
        <v>Put</v>
      </c>
      <c r="F183" t="str">
        <f>_xll.BDP("22993 HK Equity     ","TIME")</f>
        <v>27/5/2016</v>
      </c>
      <c r="G183">
        <f>_xll.BDP("22993 HK Equity     ","RT_PX_CHG_PCT_1D")</f>
        <v>0</v>
      </c>
      <c r="H183">
        <f>_xll.BDP("22993 HK Equity     ","RT_PX_CHG_NET_1D")</f>
        <v>0</v>
      </c>
      <c r="I183">
        <f>_xll.BDP("22993 HK Equity     ","VOLUME")</f>
        <v>0</v>
      </c>
      <c r="J183" t="str">
        <f>_xll.BDP("22993 HK Equity     ","BID")</f>
        <v>#N/A N/A</v>
      </c>
      <c r="K183" t="str">
        <f>_xll.BDP("22993 HK Equity     ","ASK")</f>
        <v>#N/A N/A</v>
      </c>
      <c r="M183" t="s">
        <v>192</v>
      </c>
      <c r="N183">
        <v>22088</v>
      </c>
      <c r="O183">
        <v>0.31</v>
      </c>
      <c r="P183" t="s">
        <v>247</v>
      </c>
      <c r="Q183" t="s">
        <v>251</v>
      </c>
      <c r="R183" t="s">
        <v>255</v>
      </c>
      <c r="S183">
        <v>0</v>
      </c>
      <c r="T183">
        <v>0</v>
      </c>
      <c r="U183">
        <v>0</v>
      </c>
      <c r="V183" t="s">
        <v>254</v>
      </c>
      <c r="W183" t="s">
        <v>254</v>
      </c>
    </row>
    <row r="184" spans="1:23">
      <c r="A184" t="s">
        <v>193</v>
      </c>
      <c r="B184">
        <f>_xll.BDP("23524 HK Equity     ","WRT_EXER_PX")</f>
        <v>21600</v>
      </c>
      <c r="C184">
        <f>_xll.BDP("23524 HK Equity     ","LAST_PRICE")</f>
        <v>0.20200000000000001</v>
      </c>
      <c r="D184" t="str">
        <f>_xll.BDP("23524 HK Equity     ","WRT_EXER_DT")</f>
        <v>29/6/2016</v>
      </c>
      <c r="E184" t="str">
        <f>_xll.BDP("23524 HK Equity     ","WRT_PUT_OR_CALL")</f>
        <v>Put</v>
      </c>
      <c r="F184" t="str">
        <f>_xll.BDP("23524 HK Equity     ","TIME")</f>
        <v>27/5/2016</v>
      </c>
      <c r="G184">
        <f>_xll.BDP("23524 HK Equity     ","RT_PX_CHG_PCT_1D")</f>
        <v>-10.222200000000001</v>
      </c>
      <c r="H184">
        <f>_xll.BDP("23524 HK Equity     ","RT_PX_CHG_NET_1D")</f>
        <v>-2.3E-2</v>
      </c>
      <c r="I184">
        <f>_xll.BDP("23524 HK Equity     ","VOLUME")</f>
        <v>0</v>
      </c>
      <c r="J184" t="str">
        <f>_xll.BDP("23524 HK Equity     ","BID")</f>
        <v>#N/A N/A</v>
      </c>
      <c r="K184" t="str">
        <f>_xll.BDP("23524 HK Equity     ","ASK")</f>
        <v>#N/A N/A</v>
      </c>
      <c r="M184" t="s">
        <v>193</v>
      </c>
      <c r="N184">
        <v>21600</v>
      </c>
      <c r="O184">
        <v>0.20200000000000001</v>
      </c>
      <c r="P184" t="s">
        <v>245</v>
      </c>
      <c r="Q184" t="s">
        <v>251</v>
      </c>
      <c r="R184" t="s">
        <v>255</v>
      </c>
      <c r="S184">
        <v>-10.222200000000001</v>
      </c>
      <c r="T184">
        <v>-2.3E-2</v>
      </c>
      <c r="U184">
        <v>0</v>
      </c>
      <c r="V184" t="s">
        <v>254</v>
      </c>
      <c r="W184" t="s">
        <v>254</v>
      </c>
    </row>
    <row r="185" spans="1:23">
      <c r="A185" t="s">
        <v>194</v>
      </c>
      <c r="B185">
        <f>_xll.BDP("23885 HK Equity     ","WRT_EXER_PX")</f>
        <v>20500</v>
      </c>
      <c r="C185">
        <f>_xll.BDP("23885 HK Equity     ","LAST_PRICE")</f>
        <v>0.186</v>
      </c>
      <c r="D185" t="str">
        <f>_xll.BDP("23885 HK Equity     ","WRT_EXER_DT")</f>
        <v>29/9/2016</v>
      </c>
      <c r="E185" t="str">
        <f>_xll.BDP("23885 HK Equity     ","WRT_PUT_OR_CALL")</f>
        <v>Put</v>
      </c>
      <c r="F185" t="str">
        <f>_xll.BDP("23885 HK Equity     ","TIME")</f>
        <v>27/5/2016</v>
      </c>
      <c r="G185">
        <f>_xll.BDP("23885 HK Equity     ","RT_PX_CHG_PCT_1D")</f>
        <v>-10.1449</v>
      </c>
      <c r="H185">
        <f>_xll.BDP("23885 HK Equity     ","RT_PX_CHG_NET_1D")</f>
        <v>-2.1000000000000001E-2</v>
      </c>
      <c r="I185">
        <f>_xll.BDP("23885 HK Equity     ","VOLUME")</f>
        <v>560000</v>
      </c>
      <c r="J185">
        <f>_xll.BDP("23885 HK Equity     ","BID")</f>
        <v>0.183</v>
      </c>
      <c r="K185">
        <f>_xll.BDP("23885 HK Equity     ","ASK")</f>
        <v>0.187</v>
      </c>
      <c r="M185" t="s">
        <v>194</v>
      </c>
      <c r="N185">
        <v>20500</v>
      </c>
      <c r="O185">
        <v>0.186</v>
      </c>
      <c r="P185" t="s">
        <v>246</v>
      </c>
      <c r="Q185" t="s">
        <v>251</v>
      </c>
      <c r="R185" t="s">
        <v>255</v>
      </c>
      <c r="S185">
        <v>-10.1449</v>
      </c>
      <c r="T185">
        <v>-2.1000000000000001E-2</v>
      </c>
      <c r="U185">
        <v>560000</v>
      </c>
      <c r="V185">
        <v>0.183</v>
      </c>
      <c r="W185">
        <v>0.187</v>
      </c>
    </row>
    <row r="186" spans="1:23">
      <c r="A186" t="s">
        <v>195</v>
      </c>
      <c r="B186">
        <f>_xll.BDP("24106 HK Equity     ","WRT_EXER_PX")</f>
        <v>22000</v>
      </c>
      <c r="C186">
        <f>_xll.BDP("24106 HK Equity     ","LAST_PRICE")</f>
        <v>0.01</v>
      </c>
      <c r="D186" t="str">
        <f>_xll.BDP("24106 HK Equity     ","WRT_EXER_DT")</f>
        <v>29/6/2016</v>
      </c>
      <c r="E186" t="str">
        <f>_xll.BDP("24106 HK Equity     ","WRT_PUT_OR_CALL")</f>
        <v>Call</v>
      </c>
      <c r="F186" t="str">
        <f>_xll.BDP("24106 HK Equity     ","TIME")</f>
        <v>27/5/2016</v>
      </c>
      <c r="G186">
        <f>_xll.BDP("24106 HK Equity     ","RT_PX_CHG_PCT_1D")</f>
        <v>0</v>
      </c>
      <c r="H186">
        <f>_xll.BDP("24106 HK Equity     ","RT_PX_CHG_NET_1D")</f>
        <v>0</v>
      </c>
      <c r="I186">
        <f>_xll.BDP("24106 HK Equity     ","VOLUME")</f>
        <v>0</v>
      </c>
      <c r="J186" t="str">
        <f>_xll.BDP("24106 HK Equity     ","BID")</f>
        <v>#N/A N/A</v>
      </c>
      <c r="K186">
        <f>_xll.BDP("24106 HK Equity     ","ASK")</f>
        <v>0.01</v>
      </c>
      <c r="M186" t="s">
        <v>195</v>
      </c>
      <c r="N186">
        <v>22000</v>
      </c>
      <c r="O186">
        <v>0.01</v>
      </c>
      <c r="P186" t="s">
        <v>245</v>
      </c>
      <c r="Q186" t="s">
        <v>250</v>
      </c>
      <c r="R186" t="s">
        <v>255</v>
      </c>
      <c r="S186">
        <v>0</v>
      </c>
      <c r="T186">
        <v>0</v>
      </c>
      <c r="U186">
        <v>0</v>
      </c>
      <c r="V186" t="s">
        <v>254</v>
      </c>
      <c r="W186">
        <v>0.01</v>
      </c>
    </row>
    <row r="187" spans="1:23">
      <c r="A187" t="s">
        <v>196</v>
      </c>
      <c r="B187">
        <f>_xll.BDP("24374 HK Equity     ","WRT_EXER_PX")</f>
        <v>22200</v>
      </c>
      <c r="C187">
        <f>_xll.BDP("24374 HK Equity     ","LAST_PRICE")</f>
        <v>0.01</v>
      </c>
      <c r="D187" t="str">
        <f>_xll.BDP("24374 HK Equity     ","WRT_EXER_DT")</f>
        <v>29/6/2016</v>
      </c>
      <c r="E187" t="str">
        <f>_xll.BDP("24374 HK Equity     ","WRT_PUT_OR_CALL")</f>
        <v>Call</v>
      </c>
      <c r="F187" t="str">
        <f>_xll.BDP("24374 HK Equity     ","TIME")</f>
        <v>27/5/2016</v>
      </c>
      <c r="G187">
        <f>_xll.BDP("24374 HK Equity     ","RT_PX_CHG_PCT_1D")</f>
        <v>0</v>
      </c>
      <c r="H187">
        <f>_xll.BDP("24374 HK Equity     ","RT_PX_CHG_NET_1D")</f>
        <v>0</v>
      </c>
      <c r="I187">
        <f>_xll.BDP("24374 HK Equity     ","VOLUME")</f>
        <v>0</v>
      </c>
      <c r="J187" t="str">
        <f>_xll.BDP("24374 HK Equity     ","BID")</f>
        <v>#N/A N/A</v>
      </c>
      <c r="K187">
        <f>_xll.BDP("24374 HK Equity     ","ASK")</f>
        <v>0.01</v>
      </c>
      <c r="M187" t="s">
        <v>196</v>
      </c>
      <c r="N187">
        <v>22200</v>
      </c>
      <c r="O187">
        <v>0.01</v>
      </c>
      <c r="P187" t="s">
        <v>245</v>
      </c>
      <c r="Q187" t="s">
        <v>250</v>
      </c>
      <c r="R187" t="s">
        <v>255</v>
      </c>
      <c r="S187">
        <v>0</v>
      </c>
      <c r="T187">
        <v>0</v>
      </c>
      <c r="U187">
        <v>0</v>
      </c>
      <c r="V187" t="s">
        <v>254</v>
      </c>
      <c r="W187">
        <v>0.01</v>
      </c>
    </row>
    <row r="188" spans="1:23">
      <c r="A188" t="s">
        <v>197</v>
      </c>
      <c r="B188">
        <f>_xll.BDP("24663 HK Equity     ","WRT_EXER_PX")</f>
        <v>22700</v>
      </c>
      <c r="C188">
        <f>_xll.BDP("24663 HK Equity     ","LAST_PRICE")</f>
        <v>0.01</v>
      </c>
      <c r="D188" t="str">
        <f>_xll.BDP("24663 HK Equity     ","WRT_EXER_DT")</f>
        <v>30/5/2016</v>
      </c>
      <c r="E188" t="str">
        <f>_xll.BDP("24663 HK Equity     ","WRT_PUT_OR_CALL")</f>
        <v>Call</v>
      </c>
      <c r="F188" t="str">
        <f>_xll.BDP("24663 HK Equity     ","TIME")</f>
        <v>27/5/2016</v>
      </c>
      <c r="G188">
        <f>_xll.BDP("24663 HK Equity     ","RT_PX_CHG_PCT_1D")</f>
        <v>0</v>
      </c>
      <c r="H188">
        <f>_xll.BDP("24663 HK Equity     ","RT_PX_CHG_NET_1D")</f>
        <v>0</v>
      </c>
      <c r="I188">
        <f>_xll.BDP("24663 HK Equity     ","VOLUME")</f>
        <v>0</v>
      </c>
      <c r="J188" t="str">
        <f>_xll.BDP("24663 HK Equity     ","BID")</f>
        <v>#N/A N/A</v>
      </c>
      <c r="K188" t="str">
        <f>_xll.BDP("24663 HK Equity     ","ASK")</f>
        <v>#N/A N/A</v>
      </c>
      <c r="M188" t="s">
        <v>197</v>
      </c>
      <c r="N188">
        <v>22700</v>
      </c>
      <c r="O188">
        <v>0.01</v>
      </c>
      <c r="P188" t="s">
        <v>247</v>
      </c>
      <c r="Q188" t="s">
        <v>250</v>
      </c>
      <c r="R188" t="s">
        <v>255</v>
      </c>
      <c r="S188">
        <v>0</v>
      </c>
      <c r="T188">
        <v>0</v>
      </c>
      <c r="U188">
        <v>0</v>
      </c>
      <c r="V188" t="s">
        <v>254</v>
      </c>
      <c r="W188" t="s">
        <v>254</v>
      </c>
    </row>
    <row r="189" spans="1:23">
      <c r="A189" t="s">
        <v>198</v>
      </c>
      <c r="B189">
        <f>_xll.BDP("24680 HK Equity     ","WRT_EXER_PX")</f>
        <v>21000</v>
      </c>
      <c r="C189">
        <f>_xll.BDP("24680 HK Equity     ","LAST_PRICE")</f>
        <v>1.7999999999999999E-2</v>
      </c>
      <c r="D189" t="str">
        <f>_xll.BDP("24680 HK Equity     ","WRT_EXER_DT")</f>
        <v>29/6/2016</v>
      </c>
      <c r="E189" t="str">
        <f>_xll.BDP("24680 HK Equity     ","WRT_PUT_OR_CALL")</f>
        <v>Call</v>
      </c>
      <c r="F189" t="str">
        <f>_xll.BDP("24680 HK Equity     ","TIME")</f>
        <v>27/5/2016</v>
      </c>
      <c r="G189">
        <f>_xll.BDP("24680 HK Equity     ","RT_PX_CHG_PCT_1D")</f>
        <v>50</v>
      </c>
      <c r="H189">
        <f>_xll.BDP("24680 HK Equity     ","RT_PX_CHG_NET_1D")</f>
        <v>6.0000000000000001E-3</v>
      </c>
      <c r="I189">
        <f>_xll.BDP("24680 HK Equity     ","VOLUME")</f>
        <v>4800000</v>
      </c>
      <c r="J189">
        <f>_xll.BDP("24680 HK Equity     ","BID")</f>
        <v>1.4999999999999999E-2</v>
      </c>
      <c r="K189">
        <f>_xll.BDP("24680 HK Equity     ","ASK")</f>
        <v>1.7999999999999999E-2</v>
      </c>
      <c r="M189" t="s">
        <v>198</v>
      </c>
      <c r="N189">
        <v>21000</v>
      </c>
      <c r="O189">
        <v>1.7999999999999999E-2</v>
      </c>
      <c r="P189" t="s">
        <v>245</v>
      </c>
      <c r="Q189" t="s">
        <v>250</v>
      </c>
      <c r="R189" t="s">
        <v>255</v>
      </c>
      <c r="S189">
        <v>50</v>
      </c>
      <c r="T189">
        <v>6.0000000000000001E-3</v>
      </c>
      <c r="U189">
        <v>4800000</v>
      </c>
      <c r="V189">
        <v>1.4999999999999999E-2</v>
      </c>
      <c r="W189">
        <v>1.7999999999999999E-2</v>
      </c>
    </row>
    <row r="190" spans="1:23">
      <c r="A190" t="s">
        <v>199</v>
      </c>
      <c r="B190">
        <f>_xll.BDP("24712 HK Equity     ","WRT_EXER_PX")</f>
        <v>23600</v>
      </c>
      <c r="C190">
        <f>_xll.BDP("24712 HK Equity     ","LAST_PRICE")</f>
        <v>0.01</v>
      </c>
      <c r="D190" t="str">
        <f>_xll.BDP("24712 HK Equity     ","WRT_EXER_DT")</f>
        <v>28/7/2016</v>
      </c>
      <c r="E190" t="str">
        <f>_xll.BDP("24712 HK Equity     ","WRT_PUT_OR_CALL")</f>
        <v>Call</v>
      </c>
      <c r="F190" t="str">
        <f>_xll.BDP("24712 HK Equity     ","TIME")</f>
        <v>27/5/2016</v>
      </c>
      <c r="G190">
        <f>_xll.BDP("24712 HK Equity     ","RT_PX_CHG_PCT_1D")</f>
        <v>0</v>
      </c>
      <c r="H190">
        <f>_xll.BDP("24712 HK Equity     ","RT_PX_CHG_NET_1D")</f>
        <v>0</v>
      </c>
      <c r="I190">
        <f>_xll.BDP("24712 HK Equity     ","VOLUME")</f>
        <v>0</v>
      </c>
      <c r="J190" t="str">
        <f>_xll.BDP("24712 HK Equity     ","BID")</f>
        <v>#N/A N/A</v>
      </c>
      <c r="K190">
        <f>_xll.BDP("24712 HK Equity     ","ASK")</f>
        <v>0.01</v>
      </c>
      <c r="M190" t="s">
        <v>199</v>
      </c>
      <c r="N190">
        <v>23600</v>
      </c>
      <c r="O190">
        <v>0.01</v>
      </c>
      <c r="P190" t="s">
        <v>244</v>
      </c>
      <c r="Q190" t="s">
        <v>250</v>
      </c>
      <c r="R190" t="s">
        <v>255</v>
      </c>
      <c r="S190">
        <v>0</v>
      </c>
      <c r="T190">
        <v>0</v>
      </c>
      <c r="U190">
        <v>0</v>
      </c>
      <c r="V190" t="s">
        <v>254</v>
      </c>
      <c r="W190">
        <v>0.01</v>
      </c>
    </row>
    <row r="191" spans="1:23">
      <c r="A191" t="s">
        <v>200</v>
      </c>
      <c r="B191">
        <f>_xll.BDP("24825 HK Equity     ","WRT_EXER_PX")</f>
        <v>23600</v>
      </c>
      <c r="C191" t="str">
        <f>_xll.BDP("24825 HK Equity     ","LAST_PRICE")</f>
        <v>#N/A N/A</v>
      </c>
      <c r="D191" t="str">
        <f>_xll.BDP("24825 HK Equity     ","WRT_EXER_DT")</f>
        <v>28/7/2016</v>
      </c>
      <c r="E191" t="str">
        <f>_xll.BDP("24825 HK Equity     ","WRT_PUT_OR_CALL")</f>
        <v>Call</v>
      </c>
      <c r="F191" t="str">
        <f>_xll.BDP("24825 HK Equity     ","TIME")</f>
        <v>#N/A N/A</v>
      </c>
      <c r="G191" t="str">
        <f>_xll.BDP("24825 HK Equity     ","RT_PX_CHG_PCT_1D")</f>
        <v>#N/A N/A</v>
      </c>
      <c r="H191" t="str">
        <f>_xll.BDP("24825 HK Equity     ","RT_PX_CHG_NET_1D")</f>
        <v>#N/A N/A</v>
      </c>
      <c r="I191" t="str">
        <f>_xll.BDP("24825 HK Equity     ","VOLUME")</f>
        <v>#N/A N/A</v>
      </c>
      <c r="J191">
        <f>_xll.BDP("24825 HK Equity     ","BID")</f>
        <v>1.9E-2</v>
      </c>
      <c r="K191">
        <f>_xll.BDP("24825 HK Equity     ","ASK")</f>
        <v>2.1000000000000001E-2</v>
      </c>
      <c r="M191" t="s">
        <v>200</v>
      </c>
      <c r="N191">
        <v>23600</v>
      </c>
      <c r="O191" t="s">
        <v>254</v>
      </c>
      <c r="P191" t="s">
        <v>244</v>
      </c>
      <c r="Q191" t="s">
        <v>250</v>
      </c>
      <c r="R191" t="s">
        <v>254</v>
      </c>
      <c r="S191" t="s">
        <v>254</v>
      </c>
      <c r="T191" t="s">
        <v>254</v>
      </c>
      <c r="U191" t="s">
        <v>254</v>
      </c>
      <c r="V191">
        <v>1.9E-2</v>
      </c>
      <c r="W191">
        <v>2.1000000000000001E-2</v>
      </c>
    </row>
    <row r="192" spans="1:23">
      <c r="A192" t="s">
        <v>201</v>
      </c>
      <c r="B192">
        <f>_xll.BDP("24984 HK Equity     ","WRT_EXER_PX")</f>
        <v>21600</v>
      </c>
      <c r="C192">
        <f>_xll.BDP("24984 HK Equity     ","LAST_PRICE")</f>
        <v>0.02</v>
      </c>
      <c r="D192" t="str">
        <f>_xll.BDP("24984 HK Equity     ","WRT_EXER_DT")</f>
        <v>28/7/2016</v>
      </c>
      <c r="E192" t="str">
        <f>_xll.BDP("24984 HK Equity     ","WRT_PUT_OR_CALL")</f>
        <v>Call</v>
      </c>
      <c r="F192" t="str">
        <f>_xll.BDP("24984 HK Equity     ","TIME")</f>
        <v>27/5/2016</v>
      </c>
      <c r="G192">
        <f>_xll.BDP("24984 HK Equity     ","RT_PX_CHG_PCT_1D")</f>
        <v>25</v>
      </c>
      <c r="H192">
        <f>_xll.BDP("24984 HK Equity     ","RT_PX_CHG_NET_1D")</f>
        <v>4.0000000000000001E-3</v>
      </c>
      <c r="I192">
        <f>_xll.BDP("24984 HK Equity     ","VOLUME")</f>
        <v>19560000</v>
      </c>
      <c r="J192">
        <f>_xll.BDP("24984 HK Equity     ","BID")</f>
        <v>1.9E-2</v>
      </c>
      <c r="K192">
        <f>_xll.BDP("24984 HK Equity     ","ASK")</f>
        <v>2.1000000000000001E-2</v>
      </c>
      <c r="M192" t="s">
        <v>201</v>
      </c>
      <c r="N192">
        <v>21600</v>
      </c>
      <c r="O192">
        <v>0.02</v>
      </c>
      <c r="P192" t="s">
        <v>244</v>
      </c>
      <c r="Q192" t="s">
        <v>250</v>
      </c>
      <c r="R192" t="s">
        <v>255</v>
      </c>
      <c r="S192">
        <v>25</v>
      </c>
      <c r="T192">
        <v>4.0000000000000001E-3</v>
      </c>
      <c r="U192">
        <v>19560000</v>
      </c>
      <c r="V192">
        <v>1.9E-2</v>
      </c>
      <c r="W192">
        <v>2.1000000000000001E-2</v>
      </c>
    </row>
    <row r="193" spans="1:23">
      <c r="A193" t="s">
        <v>202</v>
      </c>
      <c r="B193">
        <f>_xll.BDP("25483 HK Equity     ","WRT_EXER_PX")</f>
        <v>21000</v>
      </c>
      <c r="C193">
        <f>_xll.BDP("25483 HK Equity     ","LAST_PRICE")</f>
        <v>7.9000000000000001E-2</v>
      </c>
      <c r="D193" t="str">
        <f>_xll.BDP("25483 HK Equity     ","WRT_EXER_DT")</f>
        <v>29/9/2016</v>
      </c>
      <c r="E193" t="str">
        <f>_xll.BDP("25483 HK Equity     ","WRT_PUT_OR_CALL")</f>
        <v>Call</v>
      </c>
      <c r="F193" t="str">
        <f>_xll.BDP("25483 HK Equity     ","TIME")</f>
        <v>27/5/2016</v>
      </c>
      <c r="G193">
        <f>_xll.BDP("25483 HK Equity     ","RT_PX_CHG_PCT_1D")</f>
        <v>23.4375</v>
      </c>
      <c r="H193">
        <f>_xll.BDP("25483 HK Equity     ","RT_PX_CHG_NET_1D")</f>
        <v>1.4999999999999999E-2</v>
      </c>
      <c r="I193">
        <f>_xll.BDP("25483 HK Equity     ","VOLUME")</f>
        <v>2010000</v>
      </c>
      <c r="J193">
        <f>_xll.BDP("25483 HK Equity     ","BID")</f>
        <v>7.2999999999999995E-2</v>
      </c>
      <c r="K193">
        <f>_xll.BDP("25483 HK Equity     ","ASK")</f>
        <v>7.9000000000000001E-2</v>
      </c>
      <c r="M193" t="s">
        <v>202</v>
      </c>
      <c r="N193">
        <v>21000</v>
      </c>
      <c r="O193">
        <v>7.9000000000000001E-2</v>
      </c>
      <c r="P193" t="s">
        <v>246</v>
      </c>
      <c r="Q193" t="s">
        <v>250</v>
      </c>
      <c r="R193" t="s">
        <v>255</v>
      </c>
      <c r="S193">
        <v>23.4375</v>
      </c>
      <c r="T193">
        <v>1.4999999999999999E-2</v>
      </c>
      <c r="U193">
        <v>2010000</v>
      </c>
      <c r="V193">
        <v>7.2999999999999995E-2</v>
      </c>
      <c r="W193">
        <v>7.9000000000000001E-2</v>
      </c>
    </row>
    <row r="194" spans="1:23">
      <c r="A194" t="s">
        <v>203</v>
      </c>
      <c r="B194">
        <f>_xll.BDP("25561 HK Equity     ","WRT_EXER_PX")</f>
        <v>19000</v>
      </c>
      <c r="C194">
        <f>_xll.BDP("25561 HK Equity     ","LAST_PRICE")</f>
        <v>0.17799999999999999</v>
      </c>
      <c r="D194" t="str">
        <f>_xll.BDP("25561 HK Equity     ","WRT_EXER_DT")</f>
        <v>28/7/2016</v>
      </c>
      <c r="E194" t="str">
        <f>_xll.BDP("25561 HK Equity     ","WRT_PUT_OR_CALL")</f>
        <v>Call</v>
      </c>
      <c r="F194" t="str">
        <f>_xll.BDP("25561 HK Equity     ","TIME")</f>
        <v>27/5/2016</v>
      </c>
      <c r="G194">
        <f>_xll.BDP("25561 HK Equity     ","RT_PX_CHG_PCT_1D")</f>
        <v>9.8765400000000003</v>
      </c>
      <c r="H194">
        <f>_xll.BDP("25561 HK Equity     ","RT_PX_CHG_NET_1D")</f>
        <v>1.6E-2</v>
      </c>
      <c r="I194">
        <f>_xll.BDP("25561 HK Equity     ","VOLUME")</f>
        <v>0</v>
      </c>
      <c r="J194">
        <f>_xll.BDP("25561 HK Equity     ","BID")</f>
        <v>0.17699999999999999</v>
      </c>
      <c r="K194">
        <f>_xll.BDP("25561 HK Equity     ","ASK")</f>
        <v>0.183</v>
      </c>
      <c r="M194" t="s">
        <v>203</v>
      </c>
      <c r="N194">
        <v>19000</v>
      </c>
      <c r="O194">
        <v>0.17799999999999999</v>
      </c>
      <c r="P194" t="s">
        <v>244</v>
      </c>
      <c r="Q194" t="s">
        <v>250</v>
      </c>
      <c r="R194" t="s">
        <v>255</v>
      </c>
      <c r="S194">
        <v>9.8765400000000003</v>
      </c>
      <c r="T194">
        <v>1.6E-2</v>
      </c>
      <c r="U194">
        <v>0</v>
      </c>
      <c r="V194">
        <v>0.17699999999999999</v>
      </c>
      <c r="W194">
        <v>0.183</v>
      </c>
    </row>
    <row r="195" spans="1:23">
      <c r="A195" t="s">
        <v>204</v>
      </c>
      <c r="B195">
        <f>_xll.BDP("25686 HK Equity     ","WRT_EXER_PX")</f>
        <v>18000</v>
      </c>
      <c r="C195">
        <f>_xll.BDP("25686 HK Equity     ","LAST_PRICE")</f>
        <v>0.23</v>
      </c>
      <c r="D195" t="str">
        <f>_xll.BDP("25686 HK Equity     ","WRT_EXER_DT")</f>
        <v>29/9/2016</v>
      </c>
      <c r="E195" t="str">
        <f>_xll.BDP("25686 HK Equity     ","WRT_PUT_OR_CALL")</f>
        <v>Call</v>
      </c>
      <c r="F195" t="str">
        <f>_xll.BDP("25686 HK Equity     ","TIME")</f>
        <v>27/5/2016</v>
      </c>
      <c r="G195">
        <f>_xll.BDP("25686 HK Equity     ","RT_PX_CHG_PCT_1D")</f>
        <v>5.99078</v>
      </c>
      <c r="H195">
        <f>_xll.BDP("25686 HK Equity     ","RT_PX_CHG_NET_1D")</f>
        <v>1.2999999999999999E-2</v>
      </c>
      <c r="I195">
        <f>_xll.BDP("25686 HK Equity     ","VOLUME")</f>
        <v>0</v>
      </c>
      <c r="J195">
        <f>_xll.BDP("25686 HK Equity     ","BID")</f>
        <v>0.23</v>
      </c>
      <c r="K195">
        <f>_xll.BDP("25686 HK Equity     ","ASK")</f>
        <v>0.23100000000000001</v>
      </c>
      <c r="M195" t="s">
        <v>204</v>
      </c>
      <c r="N195">
        <v>18000</v>
      </c>
      <c r="O195">
        <v>0.23</v>
      </c>
      <c r="P195" t="s">
        <v>246</v>
      </c>
      <c r="Q195" t="s">
        <v>250</v>
      </c>
      <c r="R195" t="s">
        <v>255</v>
      </c>
      <c r="S195">
        <v>5.99078</v>
      </c>
      <c r="T195">
        <v>1.2999999999999999E-2</v>
      </c>
      <c r="U195">
        <v>0</v>
      </c>
      <c r="V195">
        <v>0.23</v>
      </c>
      <c r="W195">
        <v>0.23100000000000001</v>
      </c>
    </row>
    <row r="196" spans="1:23">
      <c r="A196" t="s">
        <v>205</v>
      </c>
      <c r="B196">
        <f>_xll.BDP("25720 HK Equity     ","WRT_EXER_PX")</f>
        <v>19600</v>
      </c>
      <c r="C196">
        <f>_xll.BDP("25720 HK Equity     ","LAST_PRICE")</f>
        <v>4.3999999999999997E-2</v>
      </c>
      <c r="D196" t="str">
        <f>_xll.BDP("25720 HK Equity     ","WRT_EXER_DT")</f>
        <v>30/5/2016</v>
      </c>
      <c r="E196" t="str">
        <f>_xll.BDP("25720 HK Equity     ","WRT_PUT_OR_CALL")</f>
        <v>Call</v>
      </c>
      <c r="F196" t="str">
        <f>_xll.BDP("25720 HK Equity     ","TIME")</f>
        <v>27/5/2016</v>
      </c>
      <c r="G196">
        <f>_xll.BDP("25720 HK Equity     ","RT_PX_CHG_PCT_1D")</f>
        <v>0</v>
      </c>
      <c r="H196">
        <f>_xll.BDP("25720 HK Equity     ","RT_PX_CHG_NET_1D")</f>
        <v>0</v>
      </c>
      <c r="I196">
        <f>_xll.BDP("25720 HK Equity     ","VOLUME")</f>
        <v>0</v>
      </c>
      <c r="J196" t="str">
        <f>_xll.BDP("25720 HK Equity     ","BID")</f>
        <v>#N/A N/A</v>
      </c>
      <c r="K196" t="str">
        <f>_xll.BDP("25720 HK Equity     ","ASK")</f>
        <v>#N/A N/A</v>
      </c>
      <c r="M196" t="s">
        <v>205</v>
      </c>
      <c r="N196">
        <v>19600</v>
      </c>
      <c r="O196">
        <v>4.3999999999999997E-2</v>
      </c>
      <c r="P196" t="s">
        <v>247</v>
      </c>
      <c r="Q196" t="s">
        <v>250</v>
      </c>
      <c r="R196" t="s">
        <v>255</v>
      </c>
      <c r="S196">
        <v>0</v>
      </c>
      <c r="T196">
        <v>0</v>
      </c>
      <c r="U196">
        <v>0</v>
      </c>
      <c r="V196" t="s">
        <v>254</v>
      </c>
      <c r="W196" t="s">
        <v>254</v>
      </c>
    </row>
    <row r="197" spans="1:23">
      <c r="A197" t="s">
        <v>206</v>
      </c>
      <c r="B197">
        <f>_xll.BDP("25804 HK Equity     ","WRT_EXER_PX")</f>
        <v>19600</v>
      </c>
      <c r="C197">
        <f>_xll.BDP("25804 HK Equity     ","LAST_PRICE")</f>
        <v>0.13900000000000001</v>
      </c>
      <c r="D197" t="str">
        <f>_xll.BDP("25804 HK Equity     ","WRT_EXER_DT")</f>
        <v>29/9/2016</v>
      </c>
      <c r="E197" t="str">
        <f>_xll.BDP("25804 HK Equity     ","WRT_PUT_OR_CALL")</f>
        <v>Call</v>
      </c>
      <c r="F197" t="str">
        <f>_xll.BDP("25804 HK Equity     ","TIME")</f>
        <v>27/5/2016</v>
      </c>
      <c r="G197">
        <f>_xll.BDP("25804 HK Equity     ","RT_PX_CHG_PCT_1D")</f>
        <v>13.008100000000001</v>
      </c>
      <c r="H197">
        <f>_xll.BDP("25804 HK Equity     ","RT_PX_CHG_NET_1D")</f>
        <v>1.6E-2</v>
      </c>
      <c r="I197">
        <f>_xll.BDP("25804 HK Equity     ","VOLUME")</f>
        <v>910000</v>
      </c>
      <c r="J197">
        <f>_xll.BDP("25804 HK Equity     ","BID")</f>
        <v>0.13300000000000001</v>
      </c>
      <c r="K197">
        <f>_xll.BDP("25804 HK Equity     ","ASK")</f>
        <v>0.13900000000000001</v>
      </c>
      <c r="M197" t="s">
        <v>206</v>
      </c>
      <c r="N197">
        <v>19600</v>
      </c>
      <c r="O197">
        <v>0.13900000000000001</v>
      </c>
      <c r="P197" t="s">
        <v>246</v>
      </c>
      <c r="Q197" t="s">
        <v>250</v>
      </c>
      <c r="R197" t="s">
        <v>255</v>
      </c>
      <c r="S197">
        <v>13.008100000000001</v>
      </c>
      <c r="T197">
        <v>1.6E-2</v>
      </c>
      <c r="U197">
        <v>910000</v>
      </c>
      <c r="V197">
        <v>0.13300000000000001</v>
      </c>
      <c r="W197">
        <v>0.13900000000000001</v>
      </c>
    </row>
    <row r="198" spans="1:23">
      <c r="A198" t="s">
        <v>207</v>
      </c>
      <c r="B198">
        <f>_xll.BDP("25808 HK Equity     ","WRT_EXER_PX")</f>
        <v>19000</v>
      </c>
      <c r="C198">
        <f>_xll.BDP("25808 HK Equity     ","LAST_PRICE")</f>
        <v>0.02</v>
      </c>
      <c r="D198" t="str">
        <f>_xll.BDP("25808 HK Equity     ","WRT_EXER_DT")</f>
        <v>29/6/2016</v>
      </c>
      <c r="E198" t="str">
        <f>_xll.BDP("25808 HK Equity     ","WRT_PUT_OR_CALL")</f>
        <v>Put</v>
      </c>
      <c r="F198" t="str">
        <f>_xll.BDP("25808 HK Equity     ","TIME")</f>
        <v>27/5/2016</v>
      </c>
      <c r="G198">
        <f>_xll.BDP("25808 HK Equity     ","RT_PX_CHG_PCT_1D")</f>
        <v>-9.0909099999999992</v>
      </c>
      <c r="H198">
        <f>_xll.BDP("25808 HK Equity     ","RT_PX_CHG_NET_1D")</f>
        <v>-2E-3</v>
      </c>
      <c r="I198">
        <f>_xll.BDP("25808 HK Equity     ","VOLUME")</f>
        <v>24440000</v>
      </c>
      <c r="J198">
        <f>_xll.BDP("25808 HK Equity     ","BID")</f>
        <v>1.7999999999999999E-2</v>
      </c>
      <c r="K198">
        <f>_xll.BDP("25808 HK Equity     ","ASK")</f>
        <v>0.02</v>
      </c>
      <c r="M198" t="s">
        <v>207</v>
      </c>
      <c r="N198">
        <v>19000</v>
      </c>
      <c r="O198">
        <v>0.02</v>
      </c>
      <c r="P198" t="s">
        <v>245</v>
      </c>
      <c r="Q198" t="s">
        <v>251</v>
      </c>
      <c r="R198" t="s">
        <v>255</v>
      </c>
      <c r="S198">
        <v>-9.0909099999999992</v>
      </c>
      <c r="T198">
        <v>-2E-3</v>
      </c>
      <c r="U198">
        <v>24440000</v>
      </c>
      <c r="V198">
        <v>1.7999999999999999E-2</v>
      </c>
      <c r="W198">
        <v>0.02</v>
      </c>
    </row>
    <row r="199" spans="1:23">
      <c r="A199" t="s">
        <v>208</v>
      </c>
      <c r="B199">
        <f>_xll.BDP("25902 HK Equity     ","WRT_EXER_PX")</f>
        <v>18600</v>
      </c>
      <c r="C199">
        <f>_xll.BDP("25902 HK Equity     ","LAST_PRICE")</f>
        <v>0.2</v>
      </c>
      <c r="D199" t="str">
        <f>_xll.BDP("25902 HK Equity     ","WRT_EXER_DT")</f>
        <v>30/8/2016</v>
      </c>
      <c r="E199" t="str">
        <f>_xll.BDP("25902 HK Equity     ","WRT_PUT_OR_CALL")</f>
        <v>Call</v>
      </c>
      <c r="F199" t="str">
        <f>_xll.BDP("25902 HK Equity     ","TIME")</f>
        <v>27/5/2016</v>
      </c>
      <c r="G199">
        <f>_xll.BDP("25902 HK Equity     ","RT_PX_CHG_PCT_1D")</f>
        <v>8.1081099999999999</v>
      </c>
      <c r="H199">
        <f>_xll.BDP("25902 HK Equity     ","RT_PX_CHG_NET_1D")</f>
        <v>1.4999999999999999E-2</v>
      </c>
      <c r="I199">
        <f>_xll.BDP("25902 HK Equity     ","VOLUME")</f>
        <v>60000</v>
      </c>
      <c r="J199">
        <f>_xll.BDP("25902 HK Equity     ","BID")</f>
        <v>0.19900000000000001</v>
      </c>
      <c r="K199">
        <f>_xll.BDP("25902 HK Equity     ","ASK")</f>
        <v>0.2</v>
      </c>
      <c r="M199" t="s">
        <v>208</v>
      </c>
      <c r="N199">
        <v>18600</v>
      </c>
      <c r="O199">
        <v>0.2</v>
      </c>
      <c r="P199" t="s">
        <v>248</v>
      </c>
      <c r="Q199" t="s">
        <v>250</v>
      </c>
      <c r="R199" t="s">
        <v>255</v>
      </c>
      <c r="S199">
        <v>8.1081099999999999</v>
      </c>
      <c r="T199">
        <v>1.4999999999999999E-2</v>
      </c>
      <c r="U199">
        <v>60000</v>
      </c>
      <c r="V199">
        <v>0.19900000000000001</v>
      </c>
      <c r="W199">
        <v>0.2</v>
      </c>
    </row>
    <row r="200" spans="1:23">
      <c r="A200" t="s">
        <v>209</v>
      </c>
      <c r="B200">
        <f>_xll.BDP("25917 HK Equity     ","WRT_EXER_PX")</f>
        <v>18500</v>
      </c>
      <c r="C200">
        <f>_xll.BDP("25917 HK Equity     ","LAST_PRICE")</f>
        <v>4.1000000000000002E-2</v>
      </c>
      <c r="D200" t="str">
        <f>_xll.BDP("25917 HK Equity     ","WRT_EXER_DT")</f>
        <v>30/8/2016</v>
      </c>
      <c r="E200" t="str">
        <f>_xll.BDP("25917 HK Equity     ","WRT_PUT_OR_CALL")</f>
        <v>Put</v>
      </c>
      <c r="F200" t="str">
        <f>_xll.BDP("25917 HK Equity     ","TIME")</f>
        <v>27/5/2016</v>
      </c>
      <c r="G200">
        <f>_xll.BDP("25917 HK Equity     ","RT_PX_CHG_PCT_1D")</f>
        <v>-14.583299999999999</v>
      </c>
      <c r="H200">
        <f>_xll.BDP("25917 HK Equity     ","RT_PX_CHG_NET_1D")</f>
        <v>-7.0000000000000001E-3</v>
      </c>
      <c r="I200">
        <f>_xll.BDP("25917 HK Equity     ","VOLUME")</f>
        <v>2350000</v>
      </c>
      <c r="J200">
        <f>_xll.BDP("25917 HK Equity     ","BID")</f>
        <v>0.04</v>
      </c>
      <c r="K200">
        <f>_xll.BDP("25917 HK Equity     ","ASK")</f>
        <v>4.2999999999999997E-2</v>
      </c>
      <c r="M200" t="s">
        <v>209</v>
      </c>
      <c r="N200">
        <v>18500</v>
      </c>
      <c r="O200">
        <v>4.1000000000000002E-2</v>
      </c>
      <c r="P200" t="s">
        <v>248</v>
      </c>
      <c r="Q200" t="s">
        <v>251</v>
      </c>
      <c r="R200" t="s">
        <v>255</v>
      </c>
      <c r="S200">
        <v>-14.583299999999999</v>
      </c>
      <c r="T200">
        <v>-7.0000000000000001E-3</v>
      </c>
      <c r="U200">
        <v>2350000</v>
      </c>
      <c r="V200">
        <v>0.04</v>
      </c>
      <c r="W200">
        <v>4.2999999999999997E-2</v>
      </c>
    </row>
    <row r="201" spans="1:23">
      <c r="A201" t="s">
        <v>210</v>
      </c>
      <c r="B201">
        <f>_xll.BDP("25949 HK Equity     ","WRT_EXER_PX")</f>
        <v>20600</v>
      </c>
      <c r="C201">
        <f>_xll.BDP("25949 HK Equity     ","LAST_PRICE")</f>
        <v>9.2999999999999999E-2</v>
      </c>
      <c r="D201" t="str">
        <f>_xll.BDP("25949 HK Equity     ","WRT_EXER_DT")</f>
        <v>30/8/2016</v>
      </c>
      <c r="E201" t="str">
        <f>_xll.BDP("25949 HK Equity     ","WRT_PUT_OR_CALL")</f>
        <v>Call</v>
      </c>
      <c r="F201" t="str">
        <f>_xll.BDP("25949 HK Equity     ","TIME")</f>
        <v>27/5/2016</v>
      </c>
      <c r="G201">
        <f>_xll.BDP("25949 HK Equity     ","RT_PX_CHG_PCT_1D")</f>
        <v>12.0482</v>
      </c>
      <c r="H201">
        <f>_xll.BDP("25949 HK Equity     ","RT_PX_CHG_NET_1D")</f>
        <v>0.01</v>
      </c>
      <c r="I201">
        <f>_xll.BDP("25949 HK Equity     ","VOLUME")</f>
        <v>290090000</v>
      </c>
      <c r="J201">
        <f>_xll.BDP("25949 HK Equity     ","BID")</f>
        <v>9.1999999999999998E-2</v>
      </c>
      <c r="K201">
        <f>_xll.BDP("25949 HK Equity     ","ASK")</f>
        <v>9.2999999999999999E-2</v>
      </c>
      <c r="M201" t="s">
        <v>210</v>
      </c>
      <c r="N201">
        <v>20600</v>
      </c>
      <c r="O201">
        <v>9.2999999999999999E-2</v>
      </c>
      <c r="P201" t="s">
        <v>248</v>
      </c>
      <c r="Q201" t="s">
        <v>250</v>
      </c>
      <c r="R201" t="s">
        <v>255</v>
      </c>
      <c r="S201">
        <v>12.0482</v>
      </c>
      <c r="T201">
        <v>0.01</v>
      </c>
      <c r="U201">
        <v>290090000</v>
      </c>
      <c r="V201">
        <v>9.1999999999999998E-2</v>
      </c>
      <c r="W201">
        <v>9.2999999999999999E-2</v>
      </c>
    </row>
    <row r="202" spans="1:23">
      <c r="A202" t="s">
        <v>211</v>
      </c>
      <c r="B202">
        <f>_xll.BDP("25969 HK Equity     ","WRT_EXER_PX")</f>
        <v>16888</v>
      </c>
      <c r="C202">
        <f>_xll.BDP("25969 HK Equity     ","LAST_PRICE")</f>
        <v>3.7999999999999999E-2</v>
      </c>
      <c r="D202" t="str">
        <f>_xll.BDP("25969 HK Equity     ","WRT_EXER_DT")</f>
        <v>29/9/2016</v>
      </c>
      <c r="E202" t="str">
        <f>_xll.BDP("25969 HK Equity     ","WRT_PUT_OR_CALL")</f>
        <v>Put</v>
      </c>
      <c r="F202" t="str">
        <f>_xll.BDP("25969 HK Equity     ","TIME")</f>
        <v>27/5/2016</v>
      </c>
      <c r="G202">
        <f>_xll.BDP("25969 HK Equity     ","RT_PX_CHG_PCT_1D")</f>
        <v>0</v>
      </c>
      <c r="H202">
        <f>_xll.BDP("25969 HK Equity     ","RT_PX_CHG_NET_1D")</f>
        <v>0</v>
      </c>
      <c r="I202">
        <f>_xll.BDP("25969 HK Equity     ","VOLUME")</f>
        <v>100000</v>
      </c>
      <c r="J202" t="str">
        <f>_xll.BDP("25969 HK Equity     ","BID")</f>
        <v>#N/A N/A</v>
      </c>
      <c r="K202" t="str">
        <f>_xll.BDP("25969 HK Equity     ","ASK")</f>
        <v>#N/A N/A</v>
      </c>
      <c r="M202" t="s">
        <v>211</v>
      </c>
      <c r="N202">
        <v>16888</v>
      </c>
      <c r="O202">
        <v>3.7999999999999999E-2</v>
      </c>
      <c r="P202" t="s">
        <v>246</v>
      </c>
      <c r="Q202" t="s">
        <v>251</v>
      </c>
      <c r="R202" t="s">
        <v>255</v>
      </c>
      <c r="S202">
        <v>0</v>
      </c>
      <c r="T202">
        <v>0</v>
      </c>
      <c r="U202">
        <v>100000</v>
      </c>
      <c r="V202" t="s">
        <v>254</v>
      </c>
      <c r="W202" t="s">
        <v>254</v>
      </c>
    </row>
    <row r="203" spans="1:23">
      <c r="A203" t="s">
        <v>212</v>
      </c>
      <c r="B203">
        <f>_xll.BDP("26020 HK Equity     ","WRT_EXER_PX")</f>
        <v>17200</v>
      </c>
      <c r="C203">
        <f>_xll.BDP("26020 HK Equity     ","LAST_PRICE")</f>
        <v>0.29499999999999998</v>
      </c>
      <c r="D203" t="str">
        <f>_xll.BDP("26020 HK Equity     ","WRT_EXER_DT")</f>
        <v>28/10/2016</v>
      </c>
      <c r="E203" t="str">
        <f>_xll.BDP("26020 HK Equity     ","WRT_PUT_OR_CALL")</f>
        <v>Call</v>
      </c>
      <c r="F203" t="str">
        <f>_xll.BDP("26020 HK Equity     ","TIME")</f>
        <v>27/5/2016</v>
      </c>
      <c r="G203">
        <f>_xll.BDP("26020 HK Equity     ","RT_PX_CHG_PCT_1D")</f>
        <v>5.3571400000000002</v>
      </c>
      <c r="H203">
        <f>_xll.BDP("26020 HK Equity     ","RT_PX_CHG_NET_1D")</f>
        <v>1.4999999999999999E-2</v>
      </c>
      <c r="I203">
        <f>_xll.BDP("26020 HK Equity     ","VOLUME")</f>
        <v>0</v>
      </c>
      <c r="J203">
        <f>_xll.BDP("26020 HK Equity     ","BID")</f>
        <v>0.29499999999999998</v>
      </c>
      <c r="K203">
        <f>_xll.BDP("26020 HK Equity     ","ASK")</f>
        <v>0.3</v>
      </c>
      <c r="M203" t="s">
        <v>212</v>
      </c>
      <c r="N203">
        <v>17200</v>
      </c>
      <c r="O203">
        <v>0.29499999999999998</v>
      </c>
      <c r="P203" t="s">
        <v>243</v>
      </c>
      <c r="Q203" t="s">
        <v>250</v>
      </c>
      <c r="R203" t="s">
        <v>255</v>
      </c>
      <c r="S203">
        <v>5.3571400000000002</v>
      </c>
      <c r="T203">
        <v>1.4999999999999999E-2</v>
      </c>
      <c r="U203">
        <v>0</v>
      </c>
      <c r="V203">
        <v>0.29499999999999998</v>
      </c>
      <c r="W203">
        <v>0.3</v>
      </c>
    </row>
    <row r="204" spans="1:23">
      <c r="A204" t="s">
        <v>213</v>
      </c>
      <c r="B204">
        <f>_xll.BDP("26037 HK Equity     ","WRT_EXER_PX")</f>
        <v>17200</v>
      </c>
      <c r="C204">
        <f>_xll.BDP("26037 HK Equity     ","LAST_PRICE")</f>
        <v>0.04</v>
      </c>
      <c r="D204" t="str">
        <f>_xll.BDP("26037 HK Equity     ","WRT_EXER_DT")</f>
        <v>29/9/2016</v>
      </c>
      <c r="E204" t="str">
        <f>_xll.BDP("26037 HK Equity     ","WRT_PUT_OR_CALL")</f>
        <v>Put</v>
      </c>
      <c r="F204" t="str">
        <f>_xll.BDP("26037 HK Equity     ","TIME")</f>
        <v>27/5/2016</v>
      </c>
      <c r="G204">
        <f>_xll.BDP("26037 HK Equity     ","RT_PX_CHG_PCT_1D")</f>
        <v>-6.9767400000000004</v>
      </c>
      <c r="H204">
        <f>_xll.BDP("26037 HK Equity     ","RT_PX_CHG_NET_1D")</f>
        <v>-3.0000000000000001E-3</v>
      </c>
      <c r="I204">
        <f>_xll.BDP("26037 HK Equity     ","VOLUME")</f>
        <v>220000</v>
      </c>
      <c r="J204">
        <f>_xll.BDP("26037 HK Equity     ","BID")</f>
        <v>0.04</v>
      </c>
      <c r="K204">
        <f>_xll.BDP("26037 HK Equity     ","ASK")</f>
        <v>4.1000000000000002E-2</v>
      </c>
      <c r="M204" t="s">
        <v>213</v>
      </c>
      <c r="N204">
        <v>17200</v>
      </c>
      <c r="O204">
        <v>0.04</v>
      </c>
      <c r="P204" t="s">
        <v>246</v>
      </c>
      <c r="Q204" t="s">
        <v>251</v>
      </c>
      <c r="R204" t="s">
        <v>255</v>
      </c>
      <c r="S204">
        <v>-6.9767400000000004</v>
      </c>
      <c r="T204">
        <v>-3.0000000000000001E-3</v>
      </c>
      <c r="U204">
        <v>220000</v>
      </c>
      <c r="V204">
        <v>0.04</v>
      </c>
      <c r="W204">
        <v>4.1000000000000002E-2</v>
      </c>
    </row>
    <row r="205" spans="1:23">
      <c r="A205" t="s">
        <v>214</v>
      </c>
      <c r="B205">
        <f>_xll.BDP("26064 HK Equity     ","WRT_EXER_PX")</f>
        <v>18000</v>
      </c>
      <c r="C205">
        <f>_xll.BDP("26064 HK Equity     ","LAST_PRICE")</f>
        <v>0.23200000000000001</v>
      </c>
      <c r="D205" t="str">
        <f>_xll.BDP("26064 HK Equity     ","WRT_EXER_DT")</f>
        <v>29/9/2016</v>
      </c>
      <c r="E205" t="str">
        <f>_xll.BDP("26064 HK Equity     ","WRT_PUT_OR_CALL")</f>
        <v>Call</v>
      </c>
      <c r="F205" t="str">
        <f>_xll.BDP("26064 HK Equity     ","TIME")</f>
        <v>27/5/2016</v>
      </c>
      <c r="G205">
        <f>_xll.BDP("26064 HK Equity     ","RT_PX_CHG_PCT_1D")</f>
        <v>5.93607</v>
      </c>
      <c r="H205">
        <f>_xll.BDP("26064 HK Equity     ","RT_PX_CHG_NET_1D")</f>
        <v>1.2999999999999999E-2</v>
      </c>
      <c r="I205">
        <f>_xll.BDP("26064 HK Equity     ","VOLUME")</f>
        <v>0</v>
      </c>
      <c r="J205">
        <f>_xll.BDP("26064 HK Equity     ","BID")</f>
        <v>0.23</v>
      </c>
      <c r="K205">
        <f>_xll.BDP("26064 HK Equity     ","ASK")</f>
        <v>0.23499999999999999</v>
      </c>
      <c r="M205" t="s">
        <v>214</v>
      </c>
      <c r="N205">
        <v>18000</v>
      </c>
      <c r="O205">
        <v>0.23200000000000001</v>
      </c>
      <c r="P205" t="s">
        <v>246</v>
      </c>
      <c r="Q205" t="s">
        <v>250</v>
      </c>
      <c r="R205" t="s">
        <v>255</v>
      </c>
      <c r="S205">
        <v>5.93607</v>
      </c>
      <c r="T205">
        <v>1.2999999999999999E-2</v>
      </c>
      <c r="U205">
        <v>0</v>
      </c>
      <c r="V205">
        <v>0.23</v>
      </c>
      <c r="W205">
        <v>0.23499999999999999</v>
      </c>
    </row>
    <row r="206" spans="1:23">
      <c r="A206" t="s">
        <v>215</v>
      </c>
      <c r="B206">
        <f>_xll.BDP("26106 HK Equity     ","WRT_EXER_PX")</f>
        <v>17000</v>
      </c>
      <c r="C206">
        <f>_xll.BDP("26106 HK Equity     ","LAST_PRICE")</f>
        <v>0.03</v>
      </c>
      <c r="D206" t="str">
        <f>_xll.BDP("26106 HK Equity     ","WRT_EXER_DT")</f>
        <v>29/9/2016</v>
      </c>
      <c r="E206" t="str">
        <f>_xll.BDP("26106 HK Equity     ","WRT_PUT_OR_CALL")</f>
        <v>Put</v>
      </c>
      <c r="F206" t="str">
        <f>_xll.BDP("26106 HK Equity     ","TIME")</f>
        <v>27/5/2016</v>
      </c>
      <c r="G206">
        <f>_xll.BDP("26106 HK Equity     ","RT_PX_CHG_PCT_1D")</f>
        <v>0</v>
      </c>
      <c r="H206">
        <f>_xll.BDP("26106 HK Equity     ","RT_PX_CHG_NET_1D")</f>
        <v>0</v>
      </c>
      <c r="I206">
        <f>_xll.BDP("26106 HK Equity     ","VOLUME")</f>
        <v>0</v>
      </c>
      <c r="J206">
        <f>_xll.BDP("26106 HK Equity     ","BID")</f>
        <v>2.5999999999999999E-2</v>
      </c>
      <c r="K206">
        <f>_xll.BDP("26106 HK Equity     ","ASK")</f>
        <v>3.1E-2</v>
      </c>
      <c r="M206" t="s">
        <v>215</v>
      </c>
      <c r="N206">
        <v>17000</v>
      </c>
      <c r="O206">
        <v>0.03</v>
      </c>
      <c r="P206" t="s">
        <v>246</v>
      </c>
      <c r="Q206" t="s">
        <v>251</v>
      </c>
      <c r="R206" t="s">
        <v>255</v>
      </c>
      <c r="S206">
        <v>0</v>
      </c>
      <c r="T206">
        <v>0</v>
      </c>
      <c r="U206">
        <v>0</v>
      </c>
      <c r="V206">
        <v>2.5999999999999999E-2</v>
      </c>
      <c r="W206">
        <v>3.1E-2</v>
      </c>
    </row>
    <row r="207" spans="1:23">
      <c r="A207" t="s">
        <v>216</v>
      </c>
      <c r="B207">
        <f>_xll.BDP("26142 HK Equity     ","WRT_EXER_PX")</f>
        <v>17988</v>
      </c>
      <c r="C207">
        <f>_xll.BDP("26142 HK Equity     ","LAST_PRICE")</f>
        <v>2.7E-2</v>
      </c>
      <c r="D207" t="str">
        <f>_xll.BDP("26142 HK Equity     ","WRT_EXER_DT")</f>
        <v>30/8/2016</v>
      </c>
      <c r="E207" t="str">
        <f>_xll.BDP("26142 HK Equity     ","WRT_PUT_OR_CALL")</f>
        <v>Put</v>
      </c>
      <c r="F207" t="str">
        <f>_xll.BDP("26142 HK Equity     ","TIME")</f>
        <v>27/5/2016</v>
      </c>
      <c r="G207">
        <f>_xll.BDP("26142 HK Equity     ","RT_PX_CHG_PCT_1D")</f>
        <v>-12.9032</v>
      </c>
      <c r="H207">
        <f>_xll.BDP("26142 HK Equity     ","RT_PX_CHG_NET_1D")</f>
        <v>-4.0000000000000001E-3</v>
      </c>
      <c r="I207">
        <f>_xll.BDP("26142 HK Equity     ","VOLUME")</f>
        <v>490000</v>
      </c>
      <c r="J207">
        <f>_xll.BDP("26142 HK Equity     ","BID")</f>
        <v>2.7E-2</v>
      </c>
      <c r="K207">
        <f>_xll.BDP("26142 HK Equity     ","ASK")</f>
        <v>0.06</v>
      </c>
      <c r="M207" t="s">
        <v>216</v>
      </c>
      <c r="N207">
        <v>17988</v>
      </c>
      <c r="O207">
        <v>2.7E-2</v>
      </c>
      <c r="P207" t="s">
        <v>248</v>
      </c>
      <c r="Q207" t="s">
        <v>251</v>
      </c>
      <c r="R207" t="s">
        <v>255</v>
      </c>
      <c r="S207">
        <v>-12.9032</v>
      </c>
      <c r="T207">
        <v>-4.0000000000000001E-3</v>
      </c>
      <c r="U207">
        <v>490000</v>
      </c>
      <c r="V207">
        <v>2.7E-2</v>
      </c>
      <c r="W207">
        <v>0.06</v>
      </c>
    </row>
    <row r="208" spans="1:23">
      <c r="A208" t="s">
        <v>217</v>
      </c>
      <c r="B208">
        <f>_xll.BDP("26155 HK Equity     ","WRT_EXER_PX")</f>
        <v>17000</v>
      </c>
      <c r="C208">
        <f>_xll.BDP("26155 HK Equity     ","LAST_PRICE")</f>
        <v>5.2999999999999999E-2</v>
      </c>
      <c r="D208" t="str">
        <f>_xll.BDP("26155 HK Equity     ","WRT_EXER_DT")</f>
        <v>28/10/2016</v>
      </c>
      <c r="E208" t="str">
        <f>_xll.BDP("26155 HK Equity     ","WRT_PUT_OR_CALL")</f>
        <v>Put</v>
      </c>
      <c r="F208" t="str">
        <f>_xll.BDP("26155 HK Equity     ","TIME")</f>
        <v>27/5/2016</v>
      </c>
      <c r="G208">
        <f>_xll.BDP("26155 HK Equity     ","RT_PX_CHG_PCT_1D")</f>
        <v>-8.6206899999999997</v>
      </c>
      <c r="H208">
        <f>_xll.BDP("26155 HK Equity     ","RT_PX_CHG_NET_1D")</f>
        <v>-5.0000000000000001E-3</v>
      </c>
      <c r="I208">
        <f>_xll.BDP("26155 HK Equity     ","VOLUME")</f>
        <v>7510000</v>
      </c>
      <c r="J208">
        <f>_xll.BDP("26155 HK Equity     ","BID")</f>
        <v>5.0999999999999997E-2</v>
      </c>
      <c r="K208">
        <f>_xll.BDP("26155 HK Equity     ","ASK")</f>
        <v>5.2999999999999999E-2</v>
      </c>
      <c r="M208" t="s">
        <v>217</v>
      </c>
      <c r="N208">
        <v>17000</v>
      </c>
      <c r="O208">
        <v>5.2999999999999999E-2</v>
      </c>
      <c r="P208" t="s">
        <v>243</v>
      </c>
      <c r="Q208" t="s">
        <v>251</v>
      </c>
      <c r="R208" t="s">
        <v>255</v>
      </c>
      <c r="S208">
        <v>-8.6206899999999997</v>
      </c>
      <c r="T208">
        <v>-5.0000000000000001E-3</v>
      </c>
      <c r="U208">
        <v>7510000</v>
      </c>
      <c r="V208">
        <v>5.0999999999999997E-2</v>
      </c>
      <c r="W208">
        <v>5.2999999999999999E-2</v>
      </c>
    </row>
    <row r="209" spans="1:23">
      <c r="A209" t="s">
        <v>218</v>
      </c>
      <c r="B209">
        <f>_xll.BDP("26329 HK Equity     ","WRT_EXER_PX")</f>
        <v>18000</v>
      </c>
      <c r="C209" t="str">
        <f>_xll.BDP("26329 HK Equity     ","LAST_PRICE")</f>
        <v>#N/A N/A</v>
      </c>
      <c r="D209" t="str">
        <f>_xll.BDP("26329 HK Equity     ","WRT_EXER_DT")</f>
        <v>29/9/2016</v>
      </c>
      <c r="E209" t="str">
        <f>_xll.BDP("26329 HK Equity     ","WRT_PUT_OR_CALL")</f>
        <v>Call</v>
      </c>
      <c r="F209" t="str">
        <f>_xll.BDP("26329 HK Equity     ","TIME")</f>
        <v>#N/A N/A</v>
      </c>
      <c r="G209" t="str">
        <f>_xll.BDP("26329 HK Equity     ","RT_PX_CHG_PCT_1D")</f>
        <v>#N/A N/A</v>
      </c>
      <c r="H209" t="str">
        <f>_xll.BDP("26329 HK Equity     ","RT_PX_CHG_NET_1D")</f>
        <v>#N/A N/A</v>
      </c>
      <c r="I209" t="str">
        <f>_xll.BDP("26329 HK Equity     ","VOLUME")</f>
        <v>#N/A N/A</v>
      </c>
      <c r="J209">
        <f>_xll.BDP("26329 HK Equity     ","BID")</f>
        <v>0.25</v>
      </c>
      <c r="K209">
        <f>_xll.BDP("26329 HK Equity     ","ASK")</f>
        <v>0.27</v>
      </c>
      <c r="M209" t="s">
        <v>218</v>
      </c>
      <c r="N209">
        <v>18000</v>
      </c>
      <c r="O209" t="s">
        <v>254</v>
      </c>
      <c r="P209" t="s">
        <v>246</v>
      </c>
      <c r="Q209" t="s">
        <v>250</v>
      </c>
      <c r="R209" t="s">
        <v>254</v>
      </c>
      <c r="S209" t="s">
        <v>254</v>
      </c>
      <c r="T209" t="s">
        <v>254</v>
      </c>
      <c r="U209" t="s">
        <v>254</v>
      </c>
      <c r="V209">
        <v>0.25</v>
      </c>
      <c r="W209">
        <v>0.27</v>
      </c>
    </row>
    <row r="210" spans="1:23">
      <c r="A210" t="s">
        <v>219</v>
      </c>
      <c r="B210">
        <f>_xll.BDP("26487 HK Equity     ","WRT_EXER_PX")</f>
        <v>19698</v>
      </c>
      <c r="C210">
        <f>_xll.BDP("26487 HK Equity     ","LAST_PRICE")</f>
        <v>0.13300000000000001</v>
      </c>
      <c r="D210" t="str">
        <f>_xll.BDP("26487 HK Equity     ","WRT_EXER_DT")</f>
        <v>28/7/2016</v>
      </c>
      <c r="E210" t="str">
        <f>_xll.BDP("26487 HK Equity     ","WRT_PUT_OR_CALL")</f>
        <v>Call</v>
      </c>
      <c r="F210" t="str">
        <f>_xll.BDP("26487 HK Equity     ","TIME")</f>
        <v>27/5/2016</v>
      </c>
      <c r="G210">
        <f>_xll.BDP("26487 HK Equity     ","RT_PX_CHG_PCT_1D")</f>
        <v>0</v>
      </c>
      <c r="H210">
        <f>_xll.BDP("26487 HK Equity     ","RT_PX_CHG_NET_1D")</f>
        <v>0</v>
      </c>
      <c r="I210">
        <f>_xll.BDP("26487 HK Equity     ","VOLUME")</f>
        <v>0</v>
      </c>
      <c r="J210" t="str">
        <f>_xll.BDP("26487 HK Equity     ","BID")</f>
        <v>#N/A N/A</v>
      </c>
      <c r="K210" t="str">
        <f>_xll.BDP("26487 HK Equity     ","ASK")</f>
        <v>#N/A N/A</v>
      </c>
      <c r="M210" t="s">
        <v>219</v>
      </c>
      <c r="N210">
        <v>19698</v>
      </c>
      <c r="O210">
        <v>0.13300000000000001</v>
      </c>
      <c r="P210" t="s">
        <v>244</v>
      </c>
      <c r="Q210" t="s">
        <v>250</v>
      </c>
      <c r="R210" t="s">
        <v>255</v>
      </c>
      <c r="S210">
        <v>0</v>
      </c>
      <c r="T210">
        <v>0</v>
      </c>
      <c r="U210">
        <v>0</v>
      </c>
      <c r="V210" t="s">
        <v>254</v>
      </c>
      <c r="W210" t="s">
        <v>254</v>
      </c>
    </row>
    <row r="211" spans="1:23">
      <c r="A211" t="s">
        <v>220</v>
      </c>
      <c r="B211">
        <f>_xll.BDP("26491 HK Equity     ","WRT_EXER_PX")</f>
        <v>18588</v>
      </c>
      <c r="C211">
        <f>_xll.BDP("26491 HK Equity     ","LAST_PRICE")</f>
        <v>4.3999999999999997E-2</v>
      </c>
      <c r="D211" t="str">
        <f>_xll.BDP("26491 HK Equity     ","WRT_EXER_DT")</f>
        <v>30/8/2016</v>
      </c>
      <c r="E211" t="str">
        <f>_xll.BDP("26491 HK Equity     ","WRT_PUT_OR_CALL")</f>
        <v>Put</v>
      </c>
      <c r="F211" t="str">
        <f>_xll.BDP("26491 HK Equity     ","TIME")</f>
        <v>27/5/2016</v>
      </c>
      <c r="G211">
        <f>_xll.BDP("26491 HK Equity     ","RT_PX_CHG_PCT_1D")</f>
        <v>-15.384600000000001</v>
      </c>
      <c r="H211">
        <f>_xll.BDP("26491 HK Equity     ","RT_PX_CHG_NET_1D")</f>
        <v>-8.0000000000000002E-3</v>
      </c>
      <c r="I211">
        <f>_xll.BDP("26491 HK Equity     ","VOLUME")</f>
        <v>17770000</v>
      </c>
      <c r="J211" t="str">
        <f>_xll.BDP("26491 HK Equity     ","BID")</f>
        <v>#N/A N/A</v>
      </c>
      <c r="K211">
        <f>_xll.BDP("26491 HK Equity     ","ASK")</f>
        <v>4.4999999999999998E-2</v>
      </c>
      <c r="M211" t="s">
        <v>220</v>
      </c>
      <c r="N211">
        <v>18588</v>
      </c>
      <c r="O211">
        <v>4.3999999999999997E-2</v>
      </c>
      <c r="P211" t="s">
        <v>248</v>
      </c>
      <c r="Q211" t="s">
        <v>251</v>
      </c>
      <c r="R211" t="s">
        <v>255</v>
      </c>
      <c r="S211">
        <v>-15.384600000000001</v>
      </c>
      <c r="T211">
        <v>-8.0000000000000002E-3</v>
      </c>
      <c r="U211">
        <v>17770000</v>
      </c>
      <c r="V211" t="s">
        <v>254</v>
      </c>
      <c r="W211">
        <v>4.4999999999999998E-2</v>
      </c>
    </row>
    <row r="212" spans="1:23">
      <c r="A212" t="s">
        <v>221</v>
      </c>
      <c r="B212">
        <f>_xll.BDP("26589 HK Equity     ","WRT_EXER_PX")</f>
        <v>20200</v>
      </c>
      <c r="C212">
        <f>_xll.BDP("26589 HK Equity     ","LAST_PRICE")</f>
        <v>0.111</v>
      </c>
      <c r="D212" t="str">
        <f>_xll.BDP("26589 HK Equity     ","WRT_EXER_DT")</f>
        <v>29/9/2016</v>
      </c>
      <c r="E212" t="str">
        <f>_xll.BDP("26589 HK Equity     ","WRT_PUT_OR_CALL")</f>
        <v>Call</v>
      </c>
      <c r="F212" t="str">
        <f>_xll.BDP("26589 HK Equity     ","TIME")</f>
        <v>27/5/2016</v>
      </c>
      <c r="G212">
        <f>_xll.BDP("26589 HK Equity     ","RT_PX_CHG_PCT_1D")</f>
        <v>9.9009900000000002</v>
      </c>
      <c r="H212">
        <f>_xll.BDP("26589 HK Equity     ","RT_PX_CHG_NET_1D")</f>
        <v>0.01</v>
      </c>
      <c r="I212">
        <f>_xll.BDP("26589 HK Equity     ","VOLUME")</f>
        <v>1040000</v>
      </c>
      <c r="J212">
        <f>_xll.BDP("26589 HK Equity     ","BID")</f>
        <v>0.11</v>
      </c>
      <c r="K212">
        <f>_xll.BDP("26589 HK Equity     ","ASK")</f>
        <v>0.115</v>
      </c>
      <c r="M212" t="s">
        <v>221</v>
      </c>
      <c r="N212">
        <v>20200</v>
      </c>
      <c r="O212">
        <v>0.111</v>
      </c>
      <c r="P212" t="s">
        <v>246</v>
      </c>
      <c r="Q212" t="s">
        <v>250</v>
      </c>
      <c r="R212" t="s">
        <v>255</v>
      </c>
      <c r="S212">
        <v>9.9009900000000002</v>
      </c>
      <c r="T212">
        <v>0.01</v>
      </c>
      <c r="U212">
        <v>1040000</v>
      </c>
      <c r="V212">
        <v>0.11</v>
      </c>
      <c r="W212">
        <v>0.115</v>
      </c>
    </row>
    <row r="213" spans="1:23">
      <c r="A213" t="s">
        <v>222</v>
      </c>
      <c r="B213">
        <f>_xll.BDP("26667 HK Equity     ","WRT_EXER_PX")</f>
        <v>19200</v>
      </c>
      <c r="C213" t="str">
        <f>_xll.BDP("26667 HK Equity     ","LAST_PRICE")</f>
        <v>#N/A N/A</v>
      </c>
      <c r="D213" t="str">
        <f>_xll.BDP("26667 HK Equity     ","WRT_EXER_DT")</f>
        <v>29/9/2016</v>
      </c>
      <c r="E213" t="str">
        <f>_xll.BDP("26667 HK Equity     ","WRT_PUT_OR_CALL")</f>
        <v>Call</v>
      </c>
      <c r="F213" t="str">
        <f>_xll.BDP("26667 HK Equity     ","TIME")</f>
        <v>#N/A N/A</v>
      </c>
      <c r="G213" t="str">
        <f>_xll.BDP("26667 HK Equity     ","RT_PX_CHG_PCT_1D")</f>
        <v>#N/A N/A</v>
      </c>
      <c r="H213" t="str">
        <f>_xll.BDP("26667 HK Equity     ","RT_PX_CHG_NET_1D")</f>
        <v>#N/A N/A</v>
      </c>
      <c r="I213" t="str">
        <f>_xll.BDP("26667 HK Equity     ","VOLUME")</f>
        <v>#N/A N/A</v>
      </c>
      <c r="J213" t="str">
        <f>_xll.BDP("26667 HK Equity     ","BID")</f>
        <v>#N/A N/A</v>
      </c>
      <c r="K213" t="str">
        <f>_xll.BDP("26667 HK Equity     ","ASK")</f>
        <v>#N/A N/A</v>
      </c>
      <c r="M213" t="s">
        <v>222</v>
      </c>
      <c r="N213">
        <v>19200</v>
      </c>
      <c r="O213" t="s">
        <v>254</v>
      </c>
      <c r="P213" t="s">
        <v>246</v>
      </c>
      <c r="Q213" t="s">
        <v>250</v>
      </c>
      <c r="R213" t="s">
        <v>254</v>
      </c>
      <c r="S213" t="s">
        <v>254</v>
      </c>
      <c r="T213" t="s">
        <v>254</v>
      </c>
      <c r="U213" t="s">
        <v>254</v>
      </c>
      <c r="V213" t="s">
        <v>254</v>
      </c>
      <c r="W213" t="s">
        <v>254</v>
      </c>
    </row>
    <row r="214" spans="1:23">
      <c r="A214" t="s">
        <v>223</v>
      </c>
      <c r="B214">
        <f>_xll.BDP("26703 HK Equity     ","WRT_EXER_PX")</f>
        <v>18800</v>
      </c>
      <c r="C214">
        <f>_xll.BDP("26703 HK Equity     ","LAST_PRICE")</f>
        <v>7.0000000000000007E-2</v>
      </c>
      <c r="D214" t="str">
        <f>_xll.BDP("26703 HK Equity     ","WRT_EXER_DT")</f>
        <v>29/9/2016</v>
      </c>
      <c r="E214" t="str">
        <f>_xll.BDP("26703 HK Equity     ","WRT_PUT_OR_CALL")</f>
        <v>Put</v>
      </c>
      <c r="F214" t="str">
        <f>_xll.BDP("26703 HK Equity     ","TIME")</f>
        <v>27/5/2016</v>
      </c>
      <c r="G214">
        <f>_xll.BDP("26703 HK Equity     ","RT_PX_CHG_PCT_1D")</f>
        <v>-4.1095899999999999</v>
      </c>
      <c r="H214">
        <f>_xll.BDP("26703 HK Equity     ","RT_PX_CHG_NET_1D")</f>
        <v>-3.0000000000000001E-3</v>
      </c>
      <c r="I214">
        <f>_xll.BDP("26703 HK Equity     ","VOLUME")</f>
        <v>677720000</v>
      </c>
      <c r="J214">
        <f>_xll.BDP("26703 HK Equity     ","BID")</f>
        <v>6.9000000000000006E-2</v>
      </c>
      <c r="K214">
        <f>_xll.BDP("26703 HK Equity     ","ASK")</f>
        <v>7.0999999999999994E-2</v>
      </c>
      <c r="M214" t="s">
        <v>223</v>
      </c>
      <c r="N214">
        <v>18800</v>
      </c>
      <c r="O214">
        <v>7.0000000000000007E-2</v>
      </c>
      <c r="P214" t="s">
        <v>246</v>
      </c>
      <c r="Q214" t="s">
        <v>251</v>
      </c>
      <c r="R214" t="s">
        <v>255</v>
      </c>
      <c r="S214">
        <v>-4.1095899999999999</v>
      </c>
      <c r="T214">
        <v>-3.0000000000000001E-3</v>
      </c>
      <c r="U214">
        <v>677720000</v>
      </c>
      <c r="V214">
        <v>6.9000000000000006E-2</v>
      </c>
      <c r="W214">
        <v>7.0999999999999994E-2</v>
      </c>
    </row>
    <row r="215" spans="1:23">
      <c r="A215" t="s">
        <v>224</v>
      </c>
      <c r="B215">
        <f>_xll.BDP("26717 HK Equity     ","WRT_EXER_PX")</f>
        <v>19108</v>
      </c>
      <c r="C215">
        <f>_xll.BDP("26717 HK Equity     ","LAST_PRICE")</f>
        <v>6.4000000000000001E-2</v>
      </c>
      <c r="D215" t="str">
        <f>_xll.BDP("26717 HK Equity     ","WRT_EXER_DT")</f>
        <v>29/9/2016</v>
      </c>
      <c r="E215" t="str">
        <f>_xll.BDP("26717 HK Equity     ","WRT_PUT_OR_CALL")</f>
        <v>Put</v>
      </c>
      <c r="F215" t="str">
        <f>_xll.BDP("26717 HK Equity     ","TIME")</f>
        <v>27/5/2016</v>
      </c>
      <c r="G215">
        <f>_xll.BDP("26717 HK Equity     ","RT_PX_CHG_PCT_1D")</f>
        <v>-8.5714299999999994</v>
      </c>
      <c r="H215">
        <f>_xll.BDP("26717 HK Equity     ","RT_PX_CHG_NET_1D")</f>
        <v>-6.0000000000000001E-3</v>
      </c>
      <c r="I215">
        <f>_xll.BDP("26717 HK Equity     ","VOLUME")</f>
        <v>600000</v>
      </c>
      <c r="J215" t="str">
        <f>_xll.BDP("26717 HK Equity     ","BID")</f>
        <v>#N/A N/A</v>
      </c>
      <c r="K215">
        <f>_xll.BDP("26717 HK Equity     ","ASK")</f>
        <v>6.4000000000000001E-2</v>
      </c>
      <c r="M215" t="s">
        <v>224</v>
      </c>
      <c r="N215">
        <v>19108</v>
      </c>
      <c r="O215">
        <v>6.4000000000000001E-2</v>
      </c>
      <c r="P215" t="s">
        <v>246</v>
      </c>
      <c r="Q215" t="s">
        <v>251</v>
      </c>
      <c r="R215" t="s">
        <v>255</v>
      </c>
      <c r="S215">
        <v>-8.5714299999999994</v>
      </c>
      <c r="T215">
        <v>-6.0000000000000001E-3</v>
      </c>
      <c r="U215">
        <v>600000</v>
      </c>
      <c r="V215" t="s">
        <v>254</v>
      </c>
      <c r="W215">
        <v>6.4000000000000001E-2</v>
      </c>
    </row>
    <row r="216" spans="1:23">
      <c r="A216" t="s">
        <v>225</v>
      </c>
      <c r="B216">
        <f>_xll.BDP("26915 HK Equity     ","WRT_EXER_PX")</f>
        <v>20800</v>
      </c>
      <c r="C216">
        <f>_xll.BDP("26915 HK Equity     ","LAST_PRICE")</f>
        <v>0.158</v>
      </c>
      <c r="D216" t="str">
        <f>_xll.BDP("26915 HK Equity     ","WRT_EXER_DT")</f>
        <v>29/9/2016</v>
      </c>
      <c r="E216" t="str">
        <f>_xll.BDP("26915 HK Equity     ","WRT_PUT_OR_CALL")</f>
        <v>Put</v>
      </c>
      <c r="F216" t="str">
        <f>_xll.BDP("26915 HK Equity     ","TIME")</f>
        <v>27/5/2016</v>
      </c>
      <c r="G216">
        <f>_xll.BDP("26915 HK Equity     ","RT_PX_CHG_PCT_1D")</f>
        <v>-8.6705199999999998</v>
      </c>
      <c r="H216">
        <f>_xll.BDP("26915 HK Equity     ","RT_PX_CHG_NET_1D")</f>
        <v>-1.4999999999999999E-2</v>
      </c>
      <c r="I216">
        <f>_xll.BDP("26915 HK Equity     ","VOLUME")</f>
        <v>670000</v>
      </c>
      <c r="J216">
        <f>_xll.BDP("26915 HK Equity     ","BID")</f>
        <v>0.155</v>
      </c>
      <c r="K216">
        <f>_xll.BDP("26915 HK Equity     ","ASK")</f>
        <v>0.18</v>
      </c>
      <c r="M216" t="s">
        <v>225</v>
      </c>
      <c r="N216">
        <v>20800</v>
      </c>
      <c r="O216">
        <v>0.158</v>
      </c>
      <c r="P216" t="s">
        <v>246</v>
      </c>
      <c r="Q216" t="s">
        <v>251</v>
      </c>
      <c r="R216" t="s">
        <v>255</v>
      </c>
      <c r="S216">
        <v>-8.6705199999999998</v>
      </c>
      <c r="T216">
        <v>-1.4999999999999999E-2</v>
      </c>
      <c r="U216">
        <v>670000</v>
      </c>
      <c r="V216">
        <v>0.155</v>
      </c>
      <c r="W216">
        <v>0.18</v>
      </c>
    </row>
    <row r="217" spans="1:23">
      <c r="A217" t="s">
        <v>226</v>
      </c>
      <c r="B217">
        <f>_xll.BDP("27129 HK Equity     ","WRT_EXER_PX")</f>
        <v>19800</v>
      </c>
      <c r="C217">
        <f>_xll.BDP("27129 HK Equity     ","LAST_PRICE")</f>
        <v>7.0999999999999994E-2</v>
      </c>
      <c r="D217" t="str">
        <f>_xll.BDP("27129 HK Equity     ","WRT_EXER_DT")</f>
        <v>28/7/2016</v>
      </c>
      <c r="E217" t="str">
        <f>_xll.BDP("27129 HK Equity     ","WRT_PUT_OR_CALL")</f>
        <v>Put</v>
      </c>
      <c r="F217" t="str">
        <f>_xll.BDP("27129 HK Equity     ","TIME")</f>
        <v>27/5/2016</v>
      </c>
      <c r="G217">
        <f>_xll.BDP("27129 HK Equity     ","RT_PX_CHG_PCT_1D")</f>
        <v>-12.345700000000001</v>
      </c>
      <c r="H217">
        <f>_xll.BDP("27129 HK Equity     ","RT_PX_CHG_NET_1D")</f>
        <v>-0.01</v>
      </c>
      <c r="I217">
        <f>_xll.BDP("27129 HK Equity     ","VOLUME")</f>
        <v>62180000</v>
      </c>
      <c r="J217">
        <f>_xll.BDP("27129 HK Equity     ","BID")</f>
        <v>7.0999999999999994E-2</v>
      </c>
      <c r="K217">
        <f>_xll.BDP("27129 HK Equity     ","ASK")</f>
        <v>7.2999999999999995E-2</v>
      </c>
      <c r="M217" t="s">
        <v>226</v>
      </c>
      <c r="N217">
        <v>19800</v>
      </c>
      <c r="O217">
        <v>7.0999999999999994E-2</v>
      </c>
      <c r="P217" t="s">
        <v>244</v>
      </c>
      <c r="Q217" t="s">
        <v>251</v>
      </c>
      <c r="R217" t="s">
        <v>255</v>
      </c>
      <c r="S217">
        <v>-12.345700000000001</v>
      </c>
      <c r="T217">
        <v>-0.01</v>
      </c>
      <c r="U217">
        <v>62180000</v>
      </c>
      <c r="V217">
        <v>7.0999999999999994E-2</v>
      </c>
      <c r="W217">
        <v>7.2999999999999995E-2</v>
      </c>
    </row>
    <row r="218" spans="1:23">
      <c r="A218" t="s">
        <v>227</v>
      </c>
      <c r="B218">
        <f>_xll.BDP("27153 HK Equity     ","WRT_EXER_PX")</f>
        <v>20400</v>
      </c>
      <c r="C218">
        <f>_xll.BDP("27153 HK Equity     ","LAST_PRICE")</f>
        <v>0.08</v>
      </c>
      <c r="D218" t="str">
        <f>_xll.BDP("27153 HK Equity     ","WRT_EXER_DT")</f>
        <v>28/7/2016</v>
      </c>
      <c r="E218" t="str">
        <f>_xll.BDP("27153 HK Equity     ","WRT_PUT_OR_CALL")</f>
        <v>Put</v>
      </c>
      <c r="F218" t="str">
        <f>_xll.BDP("27153 HK Equity     ","TIME")</f>
        <v>27/5/2016</v>
      </c>
      <c r="G218">
        <f>_xll.BDP("27153 HK Equity     ","RT_PX_CHG_PCT_1D")</f>
        <v>-10.112399999999999</v>
      </c>
      <c r="H218">
        <f>_xll.BDP("27153 HK Equity     ","RT_PX_CHG_NET_1D")</f>
        <v>-8.9999999999999993E-3</v>
      </c>
      <c r="I218">
        <f>_xll.BDP("27153 HK Equity     ","VOLUME")</f>
        <v>1370000</v>
      </c>
      <c r="J218">
        <f>_xll.BDP("27153 HK Equity     ","BID")</f>
        <v>7.6999999999999999E-2</v>
      </c>
      <c r="K218">
        <f>_xll.BDP("27153 HK Equity     ","ASK")</f>
        <v>8.1000000000000003E-2</v>
      </c>
      <c r="M218" t="s">
        <v>227</v>
      </c>
      <c r="N218">
        <v>20400</v>
      </c>
      <c r="O218">
        <v>0.08</v>
      </c>
      <c r="P218" t="s">
        <v>244</v>
      </c>
      <c r="Q218" t="s">
        <v>251</v>
      </c>
      <c r="R218" t="s">
        <v>255</v>
      </c>
      <c r="S218">
        <v>-10.112399999999999</v>
      </c>
      <c r="T218">
        <v>-8.9999999999999993E-3</v>
      </c>
      <c r="U218">
        <v>1370000</v>
      </c>
      <c r="V218">
        <v>7.6999999999999999E-2</v>
      </c>
      <c r="W218">
        <v>8.1000000000000003E-2</v>
      </c>
    </row>
    <row r="219" spans="1:23">
      <c r="A219" t="s">
        <v>228</v>
      </c>
      <c r="B219">
        <f>_xll.BDP("27351 HK Equity     ","WRT_EXER_PX")</f>
        <v>21800</v>
      </c>
      <c r="C219" t="str">
        <f>_xll.BDP("27351 HK Equity     ","LAST_PRICE")</f>
        <v>#N/A N/A</v>
      </c>
      <c r="D219" t="str">
        <f>_xll.BDP("27351 HK Equity     ","WRT_EXER_DT")</f>
        <v>28/10/2016</v>
      </c>
      <c r="E219" t="str">
        <f>_xll.BDP("27351 HK Equity     ","WRT_PUT_OR_CALL")</f>
        <v>Call</v>
      </c>
      <c r="F219" t="str">
        <f>_xll.BDP("27351 HK Equity     ","TIME")</f>
        <v>#N/A N/A</v>
      </c>
      <c r="G219" t="str">
        <f>_xll.BDP("27351 HK Equity     ","RT_PX_CHG_PCT_1D")</f>
        <v>#N/A N/A</v>
      </c>
      <c r="H219" t="str">
        <f>_xll.BDP("27351 HK Equity     ","RT_PX_CHG_NET_1D")</f>
        <v>#N/A N/A</v>
      </c>
      <c r="I219" t="str">
        <f>_xll.BDP("27351 HK Equity     ","VOLUME")</f>
        <v>#N/A N/A</v>
      </c>
      <c r="J219" t="str">
        <f>_xll.BDP("27351 HK Equity     ","BID")</f>
        <v>#N/A N/A</v>
      </c>
      <c r="K219" t="str">
        <f>_xll.BDP("27351 HK Equity     ","ASK")</f>
        <v>#N/A N/A</v>
      </c>
      <c r="M219" t="s">
        <v>228</v>
      </c>
      <c r="N219">
        <v>21800</v>
      </c>
      <c r="O219" t="s">
        <v>254</v>
      </c>
      <c r="P219" t="s">
        <v>243</v>
      </c>
      <c r="Q219" t="s">
        <v>250</v>
      </c>
      <c r="R219" t="s">
        <v>254</v>
      </c>
      <c r="S219" t="s">
        <v>254</v>
      </c>
      <c r="T219" t="s">
        <v>254</v>
      </c>
      <c r="U219" t="s">
        <v>254</v>
      </c>
      <c r="V219" t="s">
        <v>254</v>
      </c>
      <c r="W219" t="s">
        <v>254</v>
      </c>
    </row>
    <row r="220" spans="1:23">
      <c r="A220" t="s">
        <v>229</v>
      </c>
      <c r="B220">
        <f>_xll.BDP("27359 HK Equity     ","WRT_EXER_PX")</f>
        <v>18800</v>
      </c>
      <c r="C220">
        <f>_xll.BDP("27359 HK Equity     ","LAST_PRICE")</f>
        <v>8.2000000000000003E-2</v>
      </c>
      <c r="D220" t="str">
        <f>_xll.BDP("27359 HK Equity     ","WRT_EXER_DT")</f>
        <v>28/10/2016</v>
      </c>
      <c r="E220" t="str">
        <f>_xll.BDP("27359 HK Equity     ","WRT_PUT_OR_CALL")</f>
        <v>Put</v>
      </c>
      <c r="F220" t="str">
        <f>_xll.BDP("27359 HK Equity     ","TIME")</f>
        <v>27/5/2016</v>
      </c>
      <c r="G220">
        <f>_xll.BDP("27359 HK Equity     ","RT_PX_CHG_PCT_1D")</f>
        <v>-9.89011</v>
      </c>
      <c r="H220">
        <f>_xll.BDP("27359 HK Equity     ","RT_PX_CHG_NET_1D")</f>
        <v>-8.9999999999999993E-3</v>
      </c>
      <c r="I220">
        <f>_xll.BDP("27359 HK Equity     ","VOLUME")</f>
        <v>0</v>
      </c>
      <c r="J220">
        <f>_xll.BDP("27359 HK Equity     ","BID")</f>
        <v>7.9000000000000001E-2</v>
      </c>
      <c r="K220">
        <f>_xll.BDP("27359 HK Equity     ","ASK")</f>
        <v>8.4000000000000005E-2</v>
      </c>
      <c r="M220" t="s">
        <v>229</v>
      </c>
      <c r="N220">
        <v>18800</v>
      </c>
      <c r="O220">
        <v>8.2000000000000003E-2</v>
      </c>
      <c r="P220" t="s">
        <v>243</v>
      </c>
      <c r="Q220" t="s">
        <v>251</v>
      </c>
      <c r="R220" t="s">
        <v>255</v>
      </c>
      <c r="S220">
        <v>-9.89011</v>
      </c>
      <c r="T220">
        <v>-8.9999999999999993E-3</v>
      </c>
      <c r="U220">
        <v>0</v>
      </c>
      <c r="V220">
        <v>7.9000000000000001E-2</v>
      </c>
      <c r="W220">
        <v>8.4000000000000005E-2</v>
      </c>
    </row>
    <row r="221" spans="1:23">
      <c r="A221" t="s">
        <v>230</v>
      </c>
      <c r="B221">
        <f>_xll.BDP("27459 HK Equity     ","WRT_EXER_PX")</f>
        <v>20800</v>
      </c>
      <c r="C221">
        <f>_xll.BDP("27459 HK Equity     ","LAST_PRICE")</f>
        <v>0.17</v>
      </c>
      <c r="D221" t="str">
        <f>_xll.BDP("27459 HK Equity     ","WRT_EXER_DT")</f>
        <v>29/9/2016</v>
      </c>
      <c r="E221" t="str">
        <f>_xll.BDP("27459 HK Equity     ","WRT_PUT_OR_CALL")</f>
        <v>Put</v>
      </c>
      <c r="F221" t="str">
        <f>_xll.BDP("27459 HK Equity     ","TIME")</f>
        <v>27/5/2016</v>
      </c>
      <c r="G221">
        <f>_xll.BDP("27459 HK Equity     ","RT_PX_CHG_PCT_1D")</f>
        <v>-9.0909099999999992</v>
      </c>
      <c r="H221">
        <f>_xll.BDP("27459 HK Equity     ","RT_PX_CHG_NET_1D")</f>
        <v>-1.7000000000000001E-2</v>
      </c>
      <c r="I221">
        <f>_xll.BDP("27459 HK Equity     ","VOLUME")</f>
        <v>459420000</v>
      </c>
      <c r="J221">
        <f>_xll.BDP("27459 HK Equity     ","BID")</f>
        <v>0.17</v>
      </c>
      <c r="K221">
        <f>_xll.BDP("27459 HK Equity     ","ASK")</f>
        <v>0.17199999999999999</v>
      </c>
      <c r="M221" t="s">
        <v>230</v>
      </c>
      <c r="N221">
        <v>20800</v>
      </c>
      <c r="O221">
        <v>0.17</v>
      </c>
      <c r="P221" t="s">
        <v>246</v>
      </c>
      <c r="Q221" t="s">
        <v>251</v>
      </c>
      <c r="R221" t="s">
        <v>255</v>
      </c>
      <c r="S221">
        <v>-9.0909099999999992</v>
      </c>
      <c r="T221">
        <v>-1.7000000000000001E-2</v>
      </c>
      <c r="U221">
        <v>459420000</v>
      </c>
      <c r="V221">
        <v>0.17</v>
      </c>
      <c r="W221">
        <v>0.17199999999999999</v>
      </c>
    </row>
    <row r="222" spans="1:23">
      <c r="A222" t="s">
        <v>231</v>
      </c>
      <c r="B222">
        <f>_xll.BDP("27559 HK Equity     ","WRT_EXER_PX")</f>
        <v>22108</v>
      </c>
      <c r="C222">
        <f>_xll.BDP("27559 HK Equity     ","LAST_PRICE")</f>
        <v>6.5000000000000002E-2</v>
      </c>
      <c r="D222" t="str">
        <f>_xll.BDP("27559 HK Equity     ","WRT_EXER_DT")</f>
        <v>28/10/2016</v>
      </c>
      <c r="E222" t="str">
        <f>_xll.BDP("27559 HK Equity     ","WRT_PUT_OR_CALL")</f>
        <v>Call</v>
      </c>
      <c r="F222" t="str">
        <f>_xll.BDP("27559 HK Equity     ","TIME")</f>
        <v>27/5/2016</v>
      </c>
      <c r="G222">
        <f>_xll.BDP("27559 HK Equity     ","RT_PX_CHG_PCT_1D")</f>
        <v>12.069000000000001</v>
      </c>
      <c r="H222">
        <f>_xll.BDP("27559 HK Equity     ","RT_PX_CHG_NET_1D")</f>
        <v>7.0000000000000001E-3</v>
      </c>
      <c r="I222">
        <f>_xll.BDP("27559 HK Equity     ","VOLUME")</f>
        <v>146220000</v>
      </c>
      <c r="J222" t="str">
        <f>_xll.BDP("27559 HK Equity     ","BID")</f>
        <v>#N/A N/A</v>
      </c>
      <c r="K222" t="str">
        <f>_xll.BDP("27559 HK Equity     ","ASK")</f>
        <v>#N/A N/A</v>
      </c>
      <c r="M222" t="s">
        <v>231</v>
      </c>
      <c r="N222">
        <v>22108</v>
      </c>
      <c r="O222">
        <v>6.5000000000000002E-2</v>
      </c>
      <c r="P222" t="s">
        <v>243</v>
      </c>
      <c r="Q222" t="s">
        <v>250</v>
      </c>
      <c r="R222" t="s">
        <v>255</v>
      </c>
      <c r="S222">
        <v>12.069000000000001</v>
      </c>
      <c r="T222">
        <v>7.0000000000000001E-3</v>
      </c>
      <c r="U222">
        <v>146220000</v>
      </c>
      <c r="V222" t="s">
        <v>254</v>
      </c>
      <c r="W222" t="s">
        <v>254</v>
      </c>
    </row>
    <row r="223" spans="1:23">
      <c r="A223" t="s">
        <v>232</v>
      </c>
      <c r="B223">
        <f>_xll.BDP("27564 HK Equity     ","WRT_EXER_PX")</f>
        <v>21400</v>
      </c>
      <c r="C223">
        <f>_xll.BDP("27564 HK Equity     ","LAST_PRICE")</f>
        <v>0.19600000000000001</v>
      </c>
      <c r="D223" t="str">
        <f>_xll.BDP("27564 HK Equity     ","WRT_EXER_DT")</f>
        <v>28/7/2016</v>
      </c>
      <c r="E223" t="str">
        <f>_xll.BDP("27564 HK Equity     ","WRT_PUT_OR_CALL")</f>
        <v>Put</v>
      </c>
      <c r="F223" t="str">
        <f>_xll.BDP("27564 HK Equity     ","TIME")</f>
        <v>27/5/2016</v>
      </c>
      <c r="G223">
        <f>_xll.BDP("27564 HK Equity     ","RT_PX_CHG_PCT_1D")</f>
        <v>0</v>
      </c>
      <c r="H223">
        <f>_xll.BDP("27564 HK Equity     ","RT_PX_CHG_NET_1D")</f>
        <v>0</v>
      </c>
      <c r="I223">
        <f>_xll.BDP("27564 HK Equity     ","VOLUME")</f>
        <v>0</v>
      </c>
      <c r="J223" t="str">
        <f>_xll.BDP("27564 HK Equity     ","BID")</f>
        <v>#N/A N/A</v>
      </c>
      <c r="K223" t="str">
        <f>_xll.BDP("27564 HK Equity     ","ASK")</f>
        <v>#N/A N/A</v>
      </c>
      <c r="M223" t="s">
        <v>232</v>
      </c>
      <c r="N223">
        <v>21400</v>
      </c>
      <c r="O223">
        <v>0.19600000000000001</v>
      </c>
      <c r="P223" t="s">
        <v>244</v>
      </c>
      <c r="Q223" t="s">
        <v>251</v>
      </c>
      <c r="R223" t="s">
        <v>255</v>
      </c>
      <c r="S223">
        <v>0</v>
      </c>
      <c r="T223">
        <v>0</v>
      </c>
      <c r="U223">
        <v>0</v>
      </c>
      <c r="V223" t="s">
        <v>254</v>
      </c>
      <c r="W223" t="s">
        <v>254</v>
      </c>
    </row>
    <row r="224" spans="1:23">
      <c r="A224" t="s">
        <v>233</v>
      </c>
      <c r="B224">
        <f>_xll.BDP("27592 HK Equity     ","WRT_EXER_PX")</f>
        <v>20600</v>
      </c>
      <c r="C224" t="str">
        <f>_xll.BDP("27592 HK Equity     ","LAST_PRICE")</f>
        <v>#N/A N/A</v>
      </c>
      <c r="D224" t="str">
        <f>_xll.BDP("27592 HK Equity     ","WRT_EXER_DT")</f>
        <v>29/9/2016</v>
      </c>
      <c r="E224" t="str">
        <f>_xll.BDP("27592 HK Equity     ","WRT_PUT_OR_CALL")</f>
        <v>Put</v>
      </c>
      <c r="F224" t="str">
        <f>_xll.BDP("27592 HK Equity     ","TIME")</f>
        <v>#N/A N/A</v>
      </c>
      <c r="G224" t="str">
        <f>_xll.BDP("27592 HK Equity     ","RT_PX_CHG_PCT_1D")</f>
        <v>#N/A N/A</v>
      </c>
      <c r="H224" t="str">
        <f>_xll.BDP("27592 HK Equity     ","RT_PX_CHG_NET_1D")</f>
        <v>#N/A N/A</v>
      </c>
      <c r="I224" t="str">
        <f>_xll.BDP("27592 HK Equity     ","VOLUME")</f>
        <v>#N/A N/A</v>
      </c>
      <c r="J224">
        <f>_xll.BDP("27592 HK Equity     ","BID")</f>
        <v>0.18099999999999999</v>
      </c>
      <c r="K224">
        <f>_xll.BDP("27592 HK Equity     ","ASK")</f>
        <v>0.183</v>
      </c>
      <c r="M224" t="s">
        <v>233</v>
      </c>
      <c r="N224">
        <v>20600</v>
      </c>
      <c r="O224" t="s">
        <v>254</v>
      </c>
      <c r="P224" t="s">
        <v>246</v>
      </c>
      <c r="Q224" t="s">
        <v>251</v>
      </c>
      <c r="R224" t="s">
        <v>254</v>
      </c>
      <c r="S224" t="s">
        <v>254</v>
      </c>
      <c r="T224" t="s">
        <v>254</v>
      </c>
      <c r="U224" t="s">
        <v>254</v>
      </c>
      <c r="V224">
        <v>0.18099999999999999</v>
      </c>
      <c r="W224">
        <v>0.183</v>
      </c>
    </row>
    <row r="225" spans="1:23">
      <c r="A225" t="s">
        <v>234</v>
      </c>
      <c r="B225">
        <f>_xll.BDP("27760 HK Equity     ","WRT_EXER_PX")</f>
        <v>21500</v>
      </c>
      <c r="C225">
        <f>_xll.BDP("27760 HK Equity     ","LAST_PRICE")</f>
        <v>4.2999999999999997E-2</v>
      </c>
      <c r="D225" t="str">
        <f>_xll.BDP("27760 HK Equity     ","WRT_EXER_DT")</f>
        <v>30/8/2016</v>
      </c>
      <c r="E225" t="str">
        <f>_xll.BDP("27760 HK Equity     ","WRT_PUT_OR_CALL")</f>
        <v>Call</v>
      </c>
      <c r="F225" t="str">
        <f>_xll.BDP("27760 HK Equity     ","TIME")</f>
        <v>27/5/2016</v>
      </c>
      <c r="G225">
        <f>_xll.BDP("27760 HK Equity     ","RT_PX_CHG_PCT_1D")</f>
        <v>22.857099999999999</v>
      </c>
      <c r="H225">
        <f>_xll.BDP("27760 HK Equity     ","RT_PX_CHG_NET_1D")</f>
        <v>8.0000000000000002E-3</v>
      </c>
      <c r="I225">
        <f>_xll.BDP("27760 HK Equity     ","VOLUME")</f>
        <v>4500000</v>
      </c>
      <c r="J225">
        <f>_xll.BDP("27760 HK Equity     ","BID")</f>
        <v>4.1000000000000002E-2</v>
      </c>
      <c r="K225">
        <f>_xll.BDP("27760 HK Equity     ","ASK")</f>
        <v>4.4999999999999998E-2</v>
      </c>
      <c r="M225" t="s">
        <v>234</v>
      </c>
      <c r="N225">
        <v>21500</v>
      </c>
      <c r="O225">
        <v>4.2999999999999997E-2</v>
      </c>
      <c r="P225" t="s">
        <v>248</v>
      </c>
      <c r="Q225" t="s">
        <v>250</v>
      </c>
      <c r="R225" t="s">
        <v>255</v>
      </c>
      <c r="S225">
        <v>22.857099999999999</v>
      </c>
      <c r="T225">
        <v>8.0000000000000002E-3</v>
      </c>
      <c r="U225">
        <v>4500000</v>
      </c>
      <c r="V225">
        <v>4.1000000000000002E-2</v>
      </c>
      <c r="W225">
        <v>4.4999999999999998E-2</v>
      </c>
    </row>
    <row r="226" spans="1:23">
      <c r="A226" t="s">
        <v>235</v>
      </c>
      <c r="B226">
        <f>_xll.BDP("27827 HK Equity     ","WRT_EXER_PX")</f>
        <v>19708</v>
      </c>
      <c r="C226">
        <f>_xll.BDP("27827 HK Equity     ","LAST_PRICE")</f>
        <v>0.11600000000000001</v>
      </c>
      <c r="D226" t="str">
        <f>_xll.BDP("27827 HK Equity     ","WRT_EXER_DT")</f>
        <v>28/10/2016</v>
      </c>
      <c r="E226" t="str">
        <f>_xll.BDP("27827 HK Equity     ","WRT_PUT_OR_CALL")</f>
        <v>Put</v>
      </c>
      <c r="F226" t="str">
        <f>_xll.BDP("27827 HK Equity     ","TIME")</f>
        <v>27/5/2016</v>
      </c>
      <c r="G226">
        <f>_xll.BDP("27827 HK Equity     ","RT_PX_CHG_PCT_1D")</f>
        <v>-8.6614199999999997</v>
      </c>
      <c r="H226">
        <f>_xll.BDP("27827 HK Equity     ","RT_PX_CHG_NET_1D")</f>
        <v>-1.0999999999999999E-2</v>
      </c>
      <c r="I226">
        <f>_xll.BDP("27827 HK Equity     ","VOLUME")</f>
        <v>40140000</v>
      </c>
      <c r="J226">
        <f>_xll.BDP("27827 HK Equity     ","BID")</f>
        <v>0.113</v>
      </c>
      <c r="K226">
        <f>_xll.BDP("27827 HK Equity     ","ASK")</f>
        <v>0.13200000000000001</v>
      </c>
      <c r="M226" t="s">
        <v>235</v>
      </c>
      <c r="N226">
        <v>19708</v>
      </c>
      <c r="O226">
        <v>0.11600000000000001</v>
      </c>
      <c r="P226" t="s">
        <v>243</v>
      </c>
      <c r="Q226" t="s">
        <v>251</v>
      </c>
      <c r="R226" t="s">
        <v>255</v>
      </c>
      <c r="S226">
        <v>-8.6614199999999997</v>
      </c>
      <c r="T226">
        <v>-1.0999999999999999E-2</v>
      </c>
      <c r="U226">
        <v>40140000</v>
      </c>
      <c r="V226">
        <v>0.113</v>
      </c>
      <c r="W226">
        <v>0.13200000000000001</v>
      </c>
    </row>
    <row r="227" spans="1:23">
      <c r="A227" t="s">
        <v>236</v>
      </c>
      <c r="B227">
        <f>_xll.BDP("27893 HK Equity     ","WRT_EXER_PX")</f>
        <v>19710</v>
      </c>
      <c r="C227">
        <f>_xll.BDP("27893 HK Equity     ","LAST_PRICE")</f>
        <v>0.11899999999999999</v>
      </c>
      <c r="D227" t="str">
        <f>_xll.BDP("27893 HK Equity     ","WRT_EXER_DT")</f>
        <v>28/10/2016</v>
      </c>
      <c r="E227" t="str">
        <f>_xll.BDP("27893 HK Equity     ","WRT_PUT_OR_CALL")</f>
        <v>Put</v>
      </c>
      <c r="F227" t="str">
        <f>_xll.BDP("27893 HK Equity     ","TIME")</f>
        <v>27/5/2016</v>
      </c>
      <c r="G227">
        <f>_xll.BDP("27893 HK Equity     ","RT_PX_CHG_PCT_1D")</f>
        <v>-9.1603100000000008</v>
      </c>
      <c r="H227">
        <f>_xll.BDP("27893 HK Equity     ","RT_PX_CHG_NET_1D")</f>
        <v>-1.2E-2</v>
      </c>
      <c r="I227">
        <f>_xll.BDP("27893 HK Equity     ","VOLUME")</f>
        <v>27940000</v>
      </c>
      <c r="J227">
        <f>_xll.BDP("27893 HK Equity     ","BID")</f>
        <v>0.11899999999999999</v>
      </c>
      <c r="K227">
        <f>_xll.BDP("27893 HK Equity     ","ASK")</f>
        <v>0.121</v>
      </c>
      <c r="M227" t="s">
        <v>236</v>
      </c>
      <c r="N227">
        <v>19710</v>
      </c>
      <c r="O227">
        <v>0.11899999999999999</v>
      </c>
      <c r="P227" t="s">
        <v>243</v>
      </c>
      <c r="Q227" t="s">
        <v>251</v>
      </c>
      <c r="R227" t="s">
        <v>255</v>
      </c>
      <c r="S227">
        <v>-9.1603100000000008</v>
      </c>
      <c r="T227">
        <v>-1.2E-2</v>
      </c>
      <c r="U227">
        <v>27940000</v>
      </c>
      <c r="V227">
        <v>0.11899999999999999</v>
      </c>
      <c r="W227">
        <v>0.121</v>
      </c>
    </row>
    <row r="228" spans="1:23">
      <c r="A228" t="s">
        <v>237</v>
      </c>
      <c r="B228">
        <f>_xll.BDP("28025 HK Equity     ","WRT_EXER_PX")</f>
        <v>19768</v>
      </c>
      <c r="C228">
        <f>_xll.BDP("28025 HK Equity     ","LAST_PRICE")</f>
        <v>0.19700000000000001</v>
      </c>
      <c r="D228" t="str">
        <f>_xll.BDP("28025 HK Equity     ","WRT_EXER_DT")</f>
        <v>28/10/2016</v>
      </c>
      <c r="E228" t="str">
        <f>_xll.BDP("28025 HK Equity     ","WRT_PUT_OR_CALL")</f>
        <v>Call</v>
      </c>
      <c r="F228" t="str">
        <f>_xll.BDP("28025 HK Equity     ","TIME")</f>
        <v>27/5/2016</v>
      </c>
      <c r="G228">
        <f>_xll.BDP("28025 HK Equity     ","RT_PX_CHG_PCT_1D")</f>
        <v>10.055899999999999</v>
      </c>
      <c r="H228">
        <f>_xll.BDP("28025 HK Equity     ","RT_PX_CHG_NET_1D")</f>
        <v>1.7999999999999999E-2</v>
      </c>
      <c r="I228">
        <f>_xll.BDP("28025 HK Equity     ","VOLUME")</f>
        <v>61840000</v>
      </c>
      <c r="J228">
        <f>_xll.BDP("28025 HK Equity     ","BID")</f>
        <v>0.19700000000000001</v>
      </c>
      <c r="K228">
        <f>_xll.BDP("28025 HK Equity     ","ASK")</f>
        <v>0.19900000000000001</v>
      </c>
      <c r="M228" t="s">
        <v>237</v>
      </c>
      <c r="N228">
        <v>19768</v>
      </c>
      <c r="O228">
        <v>0.19700000000000001</v>
      </c>
      <c r="P228" t="s">
        <v>243</v>
      </c>
      <c r="Q228" t="s">
        <v>250</v>
      </c>
      <c r="R228" t="s">
        <v>255</v>
      </c>
      <c r="S228">
        <v>10.055899999999999</v>
      </c>
      <c r="T228">
        <v>1.7999999999999999E-2</v>
      </c>
      <c r="U228">
        <v>61840000</v>
      </c>
      <c r="V228">
        <v>0.19700000000000001</v>
      </c>
      <c r="W228">
        <v>0.19900000000000001</v>
      </c>
    </row>
    <row r="229" spans="1:23">
      <c r="A229" t="s">
        <v>238</v>
      </c>
      <c r="B229">
        <f>_xll.BDP("28120 HK Equity     ","WRT_EXER_PX")</f>
        <v>19800</v>
      </c>
      <c r="C229" t="str">
        <f>_xll.BDP("28120 HK Equity     ","LAST_PRICE")</f>
        <v>#N/A N/A</v>
      </c>
      <c r="D229" t="str">
        <f>_xll.BDP("28120 HK Equity     ","WRT_EXER_DT")</f>
        <v>30/8/2016</v>
      </c>
      <c r="E229" t="str">
        <f>_xll.BDP("28120 HK Equity     ","WRT_PUT_OR_CALL")</f>
        <v>Call</v>
      </c>
      <c r="F229" t="str">
        <f>_xll.BDP("28120 HK Equity     ","TIME")</f>
        <v>#N/A N/A</v>
      </c>
      <c r="G229" t="str">
        <f>_xll.BDP("28120 HK Equity     ","RT_PX_CHG_PCT_1D")</f>
        <v>#N/A N/A</v>
      </c>
      <c r="H229" t="str">
        <f>_xll.BDP("28120 HK Equity     ","RT_PX_CHG_NET_1D")</f>
        <v>#N/A N/A</v>
      </c>
      <c r="I229" t="str">
        <f>_xll.BDP("28120 HK Equity     ","VOLUME")</f>
        <v>#N/A N/A</v>
      </c>
      <c r="J229">
        <f>_xll.BDP("28120 HK Equity     ","BID")</f>
        <v>0.19600000000000001</v>
      </c>
      <c r="K229">
        <f>_xll.BDP("28120 HK Equity     ","ASK")</f>
        <v>0.19900000000000001</v>
      </c>
      <c r="M229" t="s">
        <v>238</v>
      </c>
      <c r="N229">
        <v>19800</v>
      </c>
      <c r="O229" t="s">
        <v>254</v>
      </c>
      <c r="P229" t="s">
        <v>248</v>
      </c>
      <c r="Q229" t="s">
        <v>250</v>
      </c>
      <c r="R229" t="s">
        <v>254</v>
      </c>
      <c r="S229" t="s">
        <v>254</v>
      </c>
      <c r="T229" t="s">
        <v>254</v>
      </c>
      <c r="U229" t="s">
        <v>254</v>
      </c>
      <c r="V229">
        <v>0.19600000000000001</v>
      </c>
      <c r="W229">
        <v>0.19900000000000001</v>
      </c>
    </row>
    <row r="230" spans="1:23">
      <c r="A230" t="s">
        <v>239</v>
      </c>
      <c r="B230">
        <f>_xll.BDP("28172 HK Equity     ","WRT_EXER_PX")</f>
        <v>18800</v>
      </c>
      <c r="C230" t="str">
        <f>_xll.BDP("28172 HK Equity     ","LAST_PRICE")</f>
        <v>#N/A N/A</v>
      </c>
      <c r="D230" t="str">
        <f>_xll.BDP("28172 HK Equity     ","WRT_EXER_DT")</f>
        <v>29/9/2016</v>
      </c>
      <c r="E230" t="str">
        <f>_xll.BDP("28172 HK Equity     ","WRT_PUT_OR_CALL")</f>
        <v>Put</v>
      </c>
      <c r="F230" t="str">
        <f>_xll.BDP("28172 HK Equity     ","TIME")</f>
        <v>#N/A N/A</v>
      </c>
      <c r="G230" t="str">
        <f>_xll.BDP("28172 HK Equity     ","RT_PX_CHG_PCT_1D")</f>
        <v>#N/A N/A</v>
      </c>
      <c r="H230" t="str">
        <f>_xll.BDP("28172 HK Equity     ","RT_PX_CHG_NET_1D")</f>
        <v>#N/A N/A</v>
      </c>
      <c r="I230" t="str">
        <f>_xll.BDP("28172 HK Equity     ","VOLUME")</f>
        <v>#N/A N/A</v>
      </c>
      <c r="J230">
        <f>_xll.BDP("28172 HK Equity     ","BID")</f>
        <v>0.10299999999999999</v>
      </c>
      <c r="K230">
        <f>_xll.BDP("28172 HK Equity     ","ASK")</f>
        <v>0.107</v>
      </c>
      <c r="M230" t="s">
        <v>239</v>
      </c>
      <c r="N230">
        <v>18800</v>
      </c>
      <c r="O230" t="s">
        <v>254</v>
      </c>
      <c r="P230" t="s">
        <v>246</v>
      </c>
      <c r="Q230" t="s">
        <v>251</v>
      </c>
      <c r="R230" t="s">
        <v>254</v>
      </c>
      <c r="S230" t="s">
        <v>254</v>
      </c>
      <c r="T230" t="s">
        <v>254</v>
      </c>
      <c r="U230" t="s">
        <v>254</v>
      </c>
      <c r="V230">
        <v>0.10299999999999999</v>
      </c>
      <c r="W230">
        <v>0.107</v>
      </c>
    </row>
    <row r="231" spans="1:23">
      <c r="A231" t="s">
        <v>240</v>
      </c>
      <c r="B231">
        <f>_xll.BDP("28374 HK Equity     ","WRT_EXER_PX")</f>
        <v>19800</v>
      </c>
      <c r="C231" t="str">
        <f>_xll.BDP("28374 HK Equity     ","LAST_PRICE")</f>
        <v>#N/A N/A</v>
      </c>
      <c r="D231" t="str">
        <f>_xll.BDP("28374 HK Equity     ","WRT_EXER_DT")</f>
        <v>28/10/2016</v>
      </c>
      <c r="E231" t="str">
        <f>_xll.BDP("28374 HK Equity     ","WRT_PUT_OR_CALL")</f>
        <v>Call</v>
      </c>
      <c r="F231" t="str">
        <f>_xll.BDP("28374 HK Equity     ","TIME")</f>
        <v>#N/A N/A</v>
      </c>
      <c r="G231" t="str">
        <f>_xll.BDP("28374 HK Equity     ","RT_PX_CHG_PCT_1D")</f>
        <v>#N/A N/A</v>
      </c>
      <c r="H231" t="str">
        <f>_xll.BDP("28374 HK Equity     ","RT_PX_CHG_NET_1D")</f>
        <v>#N/A N/A</v>
      </c>
      <c r="I231" t="str">
        <f>_xll.BDP("28374 HK Equity     ","VOLUME")</f>
        <v>#N/A N/A</v>
      </c>
      <c r="J231" t="str">
        <f>_xll.BDP("28374 HK Equity     ","BID")</f>
        <v>#N/A N/A</v>
      </c>
      <c r="K231" t="str">
        <f>_xll.BDP("28374 HK Equity     ","ASK")</f>
        <v>#N/A N/A</v>
      </c>
      <c r="M231" t="s">
        <v>240</v>
      </c>
      <c r="N231">
        <v>19800</v>
      </c>
      <c r="O231" t="s">
        <v>254</v>
      </c>
      <c r="P231" t="s">
        <v>243</v>
      </c>
      <c r="Q231" t="s">
        <v>250</v>
      </c>
      <c r="R231" t="s">
        <v>254</v>
      </c>
      <c r="S231" t="s">
        <v>254</v>
      </c>
      <c r="T231" t="s">
        <v>254</v>
      </c>
      <c r="U231" t="s">
        <v>254</v>
      </c>
      <c r="V231" t="s">
        <v>254</v>
      </c>
      <c r="W231" t="s">
        <v>254</v>
      </c>
    </row>
    <row r="232" spans="1:23">
      <c r="A232" t="s">
        <v>241</v>
      </c>
      <c r="B232">
        <f>_xll.BDP("28393 HK Equity     ","WRT_EXER_PX")</f>
        <v>18828</v>
      </c>
      <c r="C232" t="str">
        <f>_xll.BDP("28393 HK Equity     ","LAST_PRICE")</f>
        <v>#N/A N/A</v>
      </c>
      <c r="D232" t="str">
        <f>_xll.BDP("28393 HK Equity     ","WRT_EXER_DT")</f>
        <v>28/10/2016</v>
      </c>
      <c r="E232" t="str">
        <f>_xll.BDP("28393 HK Equity     ","WRT_PUT_OR_CALL")</f>
        <v>Put</v>
      </c>
      <c r="F232" t="str">
        <f>_xll.BDP("28393 HK Equity     ","TIME")</f>
        <v>#N/A N/A</v>
      </c>
      <c r="G232" t="str">
        <f>_xll.BDP("28393 HK Equity     ","RT_PX_CHG_PCT_1D")</f>
        <v>#N/A N/A</v>
      </c>
      <c r="H232" t="str">
        <f>_xll.BDP("28393 HK Equity     ","RT_PX_CHG_NET_1D")</f>
        <v>#N/A N/A</v>
      </c>
      <c r="I232" t="str">
        <f>_xll.BDP("28393 HK Equity     ","VOLUME")</f>
        <v>#N/A N/A</v>
      </c>
      <c r="J232" t="str">
        <f>_xll.BDP("28393 HK Equity     ","BID")</f>
        <v>#N/A N/A</v>
      </c>
      <c r="K232" t="str">
        <f>_xll.BDP("28393 HK Equity     ","ASK")</f>
        <v>#N/A N/A</v>
      </c>
      <c r="M232" t="s">
        <v>241</v>
      </c>
      <c r="N232">
        <v>18828</v>
      </c>
      <c r="O232" t="s">
        <v>254</v>
      </c>
      <c r="P232" t="s">
        <v>243</v>
      </c>
      <c r="Q232" t="s">
        <v>251</v>
      </c>
      <c r="R232" t="s">
        <v>254</v>
      </c>
      <c r="S232" t="s">
        <v>254</v>
      </c>
      <c r="T232" t="s">
        <v>254</v>
      </c>
      <c r="U232" t="s">
        <v>254</v>
      </c>
      <c r="V232" t="s">
        <v>254</v>
      </c>
      <c r="W23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5"/>
  <sheetViews>
    <sheetView workbookViewId="0">
      <selection activeCell="P3" sqref="P3:P7"/>
    </sheetView>
  </sheetViews>
  <sheetFormatPr defaultRowHeight="15"/>
  <cols>
    <col min="1" max="1" width="19" bestFit="1" customWidth="1"/>
    <col min="5" max="5" width="9.5703125" bestFit="1" customWidth="1"/>
  </cols>
  <sheetData>
    <row r="3" spans="1:16">
      <c r="A3" s="1" t="s">
        <v>1</v>
      </c>
      <c r="B3" s="1" t="s">
        <v>3</v>
      </c>
      <c r="C3" s="1" t="s">
        <v>4</v>
      </c>
      <c r="D3" s="1" t="s">
        <v>0</v>
      </c>
      <c r="E3" s="1" t="s">
        <v>2</v>
      </c>
      <c r="O3" t="s">
        <v>245</v>
      </c>
      <c r="P3" t="s">
        <v>245</v>
      </c>
    </row>
    <row r="4" spans="1:16">
      <c r="A4">
        <v>16888</v>
      </c>
      <c r="B4" t="s">
        <v>246</v>
      </c>
      <c r="C4" t="s">
        <v>251</v>
      </c>
      <c r="D4" t="s">
        <v>211</v>
      </c>
      <c r="E4">
        <v>3.7999999999999999E-2</v>
      </c>
      <c r="G4">
        <v>16888</v>
      </c>
      <c r="H4" t="s">
        <v>246</v>
      </c>
      <c r="I4" t="s">
        <v>251</v>
      </c>
      <c r="J4" t="s">
        <v>211</v>
      </c>
      <c r="K4">
        <v>3.7999999999999999E-2</v>
      </c>
      <c r="O4" t="s">
        <v>246</v>
      </c>
      <c r="P4" t="s">
        <v>244</v>
      </c>
    </row>
    <row r="5" spans="1:16">
      <c r="A5">
        <v>17000</v>
      </c>
      <c r="B5" t="s">
        <v>243</v>
      </c>
      <c r="C5" t="s">
        <v>251</v>
      </c>
      <c r="D5" t="s">
        <v>217</v>
      </c>
      <c r="E5">
        <v>5.2999999999999999E-2</v>
      </c>
      <c r="G5">
        <v>17000</v>
      </c>
      <c r="H5" t="s">
        <v>243</v>
      </c>
      <c r="I5" t="s">
        <v>251</v>
      </c>
      <c r="J5" t="s">
        <v>217</v>
      </c>
      <c r="K5">
        <v>5.2999999999999999E-2</v>
      </c>
      <c r="O5" t="s">
        <v>243</v>
      </c>
      <c r="P5" t="s">
        <v>248</v>
      </c>
    </row>
    <row r="6" spans="1:16">
      <c r="B6" t="s">
        <v>246</v>
      </c>
      <c r="C6" t="s">
        <v>251</v>
      </c>
      <c r="D6" t="s">
        <v>215</v>
      </c>
      <c r="E6">
        <v>0.03</v>
      </c>
      <c r="G6">
        <f>G5</f>
        <v>17000</v>
      </c>
      <c r="H6" t="s">
        <v>246</v>
      </c>
      <c r="I6" t="s">
        <v>251</v>
      </c>
      <c r="J6" t="s">
        <v>215</v>
      </c>
      <c r="K6">
        <v>0.03</v>
      </c>
      <c r="O6" t="s">
        <v>248</v>
      </c>
      <c r="P6" t="s">
        <v>246</v>
      </c>
    </row>
    <row r="7" spans="1:16">
      <c r="D7" t="s">
        <v>106</v>
      </c>
      <c r="E7">
        <v>0.03</v>
      </c>
      <c r="G7">
        <f t="shared" ref="G7:I8" si="0">G6</f>
        <v>17000</v>
      </c>
      <c r="H7" t="str">
        <f t="shared" si="0"/>
        <v>29/9/2016</v>
      </c>
      <c r="I7" t="str">
        <f t="shared" si="0"/>
        <v>Put</v>
      </c>
      <c r="J7" t="s">
        <v>106</v>
      </c>
      <c r="K7">
        <v>0.03</v>
      </c>
      <c r="O7" t="s">
        <v>245</v>
      </c>
      <c r="P7" t="s">
        <v>243</v>
      </c>
    </row>
    <row r="8" spans="1:16">
      <c r="D8" t="s">
        <v>107</v>
      </c>
      <c r="E8">
        <v>3.1E-2</v>
      </c>
      <c r="G8">
        <f t="shared" si="0"/>
        <v>17000</v>
      </c>
      <c r="H8" t="str">
        <f t="shared" si="0"/>
        <v>29/9/2016</v>
      </c>
      <c r="I8" t="str">
        <f t="shared" si="0"/>
        <v>Put</v>
      </c>
      <c r="J8" t="s">
        <v>107</v>
      </c>
      <c r="K8">
        <v>3.1E-2</v>
      </c>
      <c r="O8" t="s">
        <v>244</v>
      </c>
    </row>
    <row r="9" spans="1:16">
      <c r="A9">
        <v>17200</v>
      </c>
      <c r="B9" t="s">
        <v>243</v>
      </c>
      <c r="C9" t="s">
        <v>250</v>
      </c>
      <c r="D9" t="s">
        <v>212</v>
      </c>
      <c r="E9">
        <v>0.29499999999999998</v>
      </c>
      <c r="G9">
        <v>17200</v>
      </c>
      <c r="H9" t="s">
        <v>243</v>
      </c>
      <c r="I9" t="s">
        <v>250</v>
      </c>
      <c r="J9" t="s">
        <v>212</v>
      </c>
      <c r="K9">
        <v>0.29499999999999998</v>
      </c>
    </row>
    <row r="10" spans="1:16">
      <c r="B10" t="s">
        <v>246</v>
      </c>
      <c r="C10" t="s">
        <v>251</v>
      </c>
      <c r="D10" t="s">
        <v>213</v>
      </c>
      <c r="E10">
        <v>0.04</v>
      </c>
      <c r="G10">
        <f>G9</f>
        <v>17200</v>
      </c>
      <c r="H10" t="s">
        <v>246</v>
      </c>
      <c r="I10" t="s">
        <v>251</v>
      </c>
      <c r="J10" t="s">
        <v>213</v>
      </c>
      <c r="K10">
        <v>0.04</v>
      </c>
    </row>
    <row r="11" spans="1:16">
      <c r="A11">
        <v>17448</v>
      </c>
      <c r="B11" t="s">
        <v>246</v>
      </c>
      <c r="C11" t="s">
        <v>251</v>
      </c>
      <c r="D11" t="s">
        <v>170</v>
      </c>
      <c r="E11">
        <v>4.3999999999999997E-2</v>
      </c>
      <c r="G11">
        <v>17448</v>
      </c>
      <c r="H11" t="s">
        <v>246</v>
      </c>
      <c r="I11" t="s">
        <v>251</v>
      </c>
      <c r="J11" t="s">
        <v>170</v>
      </c>
      <c r="K11">
        <v>4.3999999999999997E-2</v>
      </c>
    </row>
    <row r="12" spans="1:16">
      <c r="A12">
        <v>17500</v>
      </c>
      <c r="B12" t="s">
        <v>246</v>
      </c>
      <c r="C12" t="s">
        <v>251</v>
      </c>
      <c r="D12" t="s">
        <v>161</v>
      </c>
      <c r="E12">
        <v>4.3999999999999997E-2</v>
      </c>
      <c r="G12">
        <v>17500</v>
      </c>
      <c r="H12" t="s">
        <v>246</v>
      </c>
      <c r="I12" t="s">
        <v>251</v>
      </c>
      <c r="J12" t="s">
        <v>161</v>
      </c>
      <c r="K12">
        <v>4.3999999999999997E-2</v>
      </c>
    </row>
    <row r="13" spans="1:16">
      <c r="D13" t="s">
        <v>109</v>
      </c>
      <c r="E13">
        <v>4.8000000000000001E-2</v>
      </c>
      <c r="G13">
        <f t="shared" ref="G13:I13" si="1">G12</f>
        <v>17500</v>
      </c>
      <c r="H13" t="str">
        <f t="shared" si="1"/>
        <v>29/9/2016</v>
      </c>
      <c r="I13" t="str">
        <f t="shared" si="1"/>
        <v>Put</v>
      </c>
      <c r="J13" t="s">
        <v>109</v>
      </c>
      <c r="K13">
        <v>4.8000000000000001E-2</v>
      </c>
    </row>
    <row r="14" spans="1:16">
      <c r="A14">
        <v>17600</v>
      </c>
      <c r="B14" t="s">
        <v>246</v>
      </c>
      <c r="C14" t="s">
        <v>251</v>
      </c>
      <c r="D14" t="s">
        <v>29</v>
      </c>
      <c r="E14">
        <v>0.05</v>
      </c>
      <c r="G14">
        <v>17600</v>
      </c>
      <c r="H14" t="s">
        <v>246</v>
      </c>
      <c r="I14" t="s">
        <v>251</v>
      </c>
      <c r="J14" t="s">
        <v>29</v>
      </c>
      <c r="K14">
        <v>0.05</v>
      </c>
    </row>
    <row r="15" spans="1:16">
      <c r="B15" t="s">
        <v>248</v>
      </c>
      <c r="C15" t="s">
        <v>251</v>
      </c>
      <c r="D15" t="s">
        <v>165</v>
      </c>
      <c r="E15">
        <v>0.03</v>
      </c>
      <c r="G15">
        <f>G14</f>
        <v>17600</v>
      </c>
      <c r="H15" t="s">
        <v>248</v>
      </c>
      <c r="I15" t="s">
        <v>251</v>
      </c>
      <c r="J15" t="s">
        <v>165</v>
      </c>
      <c r="K15">
        <v>0.03</v>
      </c>
    </row>
    <row r="16" spans="1:16">
      <c r="D16" t="s">
        <v>168</v>
      </c>
      <c r="E16">
        <v>2.7E-2</v>
      </c>
      <c r="G16">
        <f t="shared" ref="G16:I16" si="2">G15</f>
        <v>17600</v>
      </c>
      <c r="H16" t="str">
        <f t="shared" si="2"/>
        <v>30/8/2016</v>
      </c>
      <c r="I16" t="str">
        <f t="shared" si="2"/>
        <v>Put</v>
      </c>
      <c r="J16" t="s">
        <v>168</v>
      </c>
      <c r="K16">
        <v>2.7E-2</v>
      </c>
    </row>
    <row r="17" spans="1:11">
      <c r="A17">
        <v>17800</v>
      </c>
      <c r="B17" t="s">
        <v>248</v>
      </c>
      <c r="C17" t="s">
        <v>251</v>
      </c>
      <c r="D17" t="s">
        <v>34</v>
      </c>
      <c r="E17">
        <v>0.03</v>
      </c>
      <c r="G17">
        <v>17800</v>
      </c>
      <c r="H17" t="s">
        <v>248</v>
      </c>
      <c r="I17" t="s">
        <v>251</v>
      </c>
      <c r="J17" t="s">
        <v>34</v>
      </c>
      <c r="K17">
        <v>0.03</v>
      </c>
    </row>
    <row r="18" spans="1:11">
      <c r="A18">
        <v>17988</v>
      </c>
      <c r="B18" t="s">
        <v>248</v>
      </c>
      <c r="C18" t="s">
        <v>251</v>
      </c>
      <c r="D18" t="s">
        <v>216</v>
      </c>
      <c r="E18">
        <v>2.7E-2</v>
      </c>
      <c r="G18">
        <v>17988</v>
      </c>
      <c r="H18" t="s">
        <v>248</v>
      </c>
      <c r="I18" t="s">
        <v>251</v>
      </c>
      <c r="J18" t="s">
        <v>216</v>
      </c>
      <c r="K18">
        <v>2.7E-2</v>
      </c>
    </row>
    <row r="19" spans="1:11">
      <c r="A19">
        <v>18000</v>
      </c>
      <c r="B19" t="s">
        <v>246</v>
      </c>
      <c r="C19" t="s">
        <v>250</v>
      </c>
      <c r="D19" t="s">
        <v>204</v>
      </c>
      <c r="E19">
        <v>0.23</v>
      </c>
      <c r="G19">
        <v>18000</v>
      </c>
      <c r="H19" t="s">
        <v>246</v>
      </c>
      <c r="I19" t="s">
        <v>250</v>
      </c>
      <c r="J19" t="s">
        <v>204</v>
      </c>
      <c r="K19">
        <v>0.23</v>
      </c>
    </row>
    <row r="20" spans="1:11">
      <c r="D20" t="s">
        <v>164</v>
      </c>
      <c r="E20">
        <v>0.28000000000000003</v>
      </c>
      <c r="G20">
        <f t="shared" ref="G20:G23" si="3">G19</f>
        <v>18000</v>
      </c>
      <c r="H20" t="str">
        <f t="shared" ref="H20:I22" si="4">H19</f>
        <v>29/9/2016</v>
      </c>
      <c r="I20" t="str">
        <f t="shared" si="4"/>
        <v>Call</v>
      </c>
      <c r="J20" t="s">
        <v>164</v>
      </c>
      <c r="K20">
        <v>0.28000000000000003</v>
      </c>
    </row>
    <row r="21" spans="1:11">
      <c r="D21" t="s">
        <v>214</v>
      </c>
      <c r="E21">
        <v>0.23200000000000001</v>
      </c>
      <c r="G21">
        <f t="shared" si="3"/>
        <v>18000</v>
      </c>
      <c r="H21" t="str">
        <f t="shared" si="4"/>
        <v>29/9/2016</v>
      </c>
      <c r="I21" t="str">
        <f t="shared" si="4"/>
        <v>Call</v>
      </c>
      <c r="J21" t="s">
        <v>214</v>
      </c>
      <c r="K21">
        <v>0.23200000000000001</v>
      </c>
    </row>
    <row r="22" spans="1:11">
      <c r="D22" t="s">
        <v>218</v>
      </c>
      <c r="E22" t="s">
        <v>254</v>
      </c>
      <c r="G22">
        <f t="shared" si="3"/>
        <v>18000</v>
      </c>
      <c r="H22" t="str">
        <f t="shared" si="4"/>
        <v>29/9/2016</v>
      </c>
      <c r="I22" t="str">
        <f t="shared" si="4"/>
        <v>Call</v>
      </c>
      <c r="J22" t="s">
        <v>218</v>
      </c>
      <c r="K22" t="s">
        <v>254</v>
      </c>
    </row>
    <row r="23" spans="1:11">
      <c r="B23" t="s">
        <v>248</v>
      </c>
      <c r="C23" t="s">
        <v>251</v>
      </c>
      <c r="D23" t="s">
        <v>36</v>
      </c>
      <c r="E23">
        <v>2.9000000000000001E-2</v>
      </c>
      <c r="G23">
        <f t="shared" si="3"/>
        <v>18000</v>
      </c>
      <c r="H23" t="s">
        <v>248</v>
      </c>
      <c r="I23" t="s">
        <v>251</v>
      </c>
      <c r="J23" t="s">
        <v>36</v>
      </c>
      <c r="K23">
        <v>2.9000000000000001E-2</v>
      </c>
    </row>
    <row r="24" spans="1:11">
      <c r="D24" t="s">
        <v>37</v>
      </c>
      <c r="E24">
        <v>3.7999999999999999E-2</v>
      </c>
      <c r="G24">
        <f t="shared" ref="G24:I25" si="5">G23</f>
        <v>18000</v>
      </c>
      <c r="H24" t="str">
        <f t="shared" si="5"/>
        <v>30/8/2016</v>
      </c>
      <c r="I24" t="str">
        <f t="shared" si="5"/>
        <v>Put</v>
      </c>
      <c r="J24" t="s">
        <v>37</v>
      </c>
      <c r="K24">
        <v>3.7999999999999999E-2</v>
      </c>
    </row>
    <row r="25" spans="1:11">
      <c r="D25" t="s">
        <v>171</v>
      </c>
      <c r="E25">
        <v>3.4000000000000002E-2</v>
      </c>
      <c r="G25">
        <f t="shared" si="5"/>
        <v>18000</v>
      </c>
      <c r="H25" t="str">
        <f t="shared" si="5"/>
        <v>30/8/2016</v>
      </c>
      <c r="I25" t="str">
        <f t="shared" si="5"/>
        <v>Put</v>
      </c>
      <c r="J25" t="s">
        <v>171</v>
      </c>
      <c r="K25">
        <v>3.4000000000000002E-2</v>
      </c>
    </row>
    <row r="26" spans="1:11">
      <c r="A26">
        <v>18308</v>
      </c>
      <c r="B26" t="s">
        <v>246</v>
      </c>
      <c r="C26" t="s">
        <v>251</v>
      </c>
      <c r="D26" t="s">
        <v>175</v>
      </c>
      <c r="E26">
        <v>5.8999999999999997E-2</v>
      </c>
      <c r="G26">
        <v>18308</v>
      </c>
      <c r="H26" t="s">
        <v>246</v>
      </c>
      <c r="I26" t="s">
        <v>251</v>
      </c>
      <c r="J26" t="s">
        <v>175</v>
      </c>
      <c r="K26">
        <v>5.8999999999999997E-2</v>
      </c>
    </row>
    <row r="27" spans="1:11">
      <c r="A27">
        <v>18400</v>
      </c>
      <c r="B27" t="s">
        <v>246</v>
      </c>
      <c r="C27" t="s">
        <v>251</v>
      </c>
      <c r="D27" t="s">
        <v>27</v>
      </c>
      <c r="E27">
        <v>6.8000000000000005E-2</v>
      </c>
      <c r="G27">
        <v>18400</v>
      </c>
      <c r="H27" t="s">
        <v>246</v>
      </c>
      <c r="I27" t="s">
        <v>251</v>
      </c>
      <c r="J27" t="s">
        <v>27</v>
      </c>
      <c r="K27">
        <v>6.8000000000000005E-2</v>
      </c>
    </row>
    <row r="28" spans="1:11">
      <c r="D28" t="s">
        <v>91</v>
      </c>
      <c r="E28">
        <v>0.06</v>
      </c>
      <c r="G28">
        <f t="shared" ref="G28:G30" si="6">G27</f>
        <v>18400</v>
      </c>
      <c r="H28" t="str">
        <f t="shared" ref="H28:I29" si="7">H27</f>
        <v>29/9/2016</v>
      </c>
      <c r="I28" t="str">
        <f t="shared" si="7"/>
        <v>Put</v>
      </c>
      <c r="J28" t="s">
        <v>91</v>
      </c>
      <c r="K28">
        <v>0.06</v>
      </c>
    </row>
    <row r="29" spans="1:11">
      <c r="D29" t="s">
        <v>43</v>
      </c>
      <c r="E29">
        <v>6.2E-2</v>
      </c>
      <c r="G29">
        <f t="shared" si="6"/>
        <v>18400</v>
      </c>
      <c r="H29" t="str">
        <f t="shared" si="7"/>
        <v>29/9/2016</v>
      </c>
      <c r="I29" t="str">
        <f t="shared" si="7"/>
        <v>Put</v>
      </c>
      <c r="J29" t="s">
        <v>43</v>
      </c>
      <c r="K29">
        <v>6.2E-2</v>
      </c>
    </row>
    <row r="30" spans="1:11">
      <c r="B30" t="s">
        <v>248</v>
      </c>
      <c r="C30" t="s">
        <v>250</v>
      </c>
      <c r="D30" t="s">
        <v>162</v>
      </c>
      <c r="E30">
        <v>0.28000000000000003</v>
      </c>
      <c r="G30">
        <f t="shared" si="6"/>
        <v>18400</v>
      </c>
      <c r="H30" t="s">
        <v>248</v>
      </c>
      <c r="I30" t="s">
        <v>250</v>
      </c>
      <c r="J30" t="s">
        <v>162</v>
      </c>
      <c r="K30">
        <v>0.28000000000000003</v>
      </c>
    </row>
    <row r="31" spans="1:11">
      <c r="C31" t="s">
        <v>251</v>
      </c>
      <c r="D31" t="s">
        <v>31</v>
      </c>
      <c r="E31">
        <v>4.4999999999999998E-2</v>
      </c>
      <c r="G31">
        <f t="shared" ref="G31:H31" si="8">G30</f>
        <v>18400</v>
      </c>
      <c r="H31" t="str">
        <f t="shared" si="8"/>
        <v>30/8/2016</v>
      </c>
      <c r="I31" t="s">
        <v>251</v>
      </c>
      <c r="J31" t="s">
        <v>31</v>
      </c>
      <c r="K31">
        <v>4.4999999999999998E-2</v>
      </c>
    </row>
    <row r="32" spans="1:11">
      <c r="D32" t="s">
        <v>169</v>
      </c>
      <c r="E32">
        <v>4.7E-2</v>
      </c>
      <c r="G32">
        <f t="shared" ref="G32:I32" si="9">G31</f>
        <v>18400</v>
      </c>
      <c r="H32" t="str">
        <f t="shared" si="9"/>
        <v>30/8/2016</v>
      </c>
      <c r="I32" t="str">
        <f t="shared" si="9"/>
        <v>Put</v>
      </c>
      <c r="J32" t="s">
        <v>169</v>
      </c>
      <c r="K32">
        <v>4.7E-2</v>
      </c>
    </row>
    <row r="33" spans="1:11">
      <c r="A33">
        <v>18500</v>
      </c>
      <c r="B33" t="s">
        <v>248</v>
      </c>
      <c r="C33" t="s">
        <v>251</v>
      </c>
      <c r="D33" t="s">
        <v>209</v>
      </c>
      <c r="E33">
        <v>4.1000000000000002E-2</v>
      </c>
      <c r="G33">
        <v>18500</v>
      </c>
      <c r="H33" t="s">
        <v>248</v>
      </c>
      <c r="I33" t="s">
        <v>251</v>
      </c>
      <c r="J33" t="s">
        <v>209</v>
      </c>
      <c r="K33">
        <v>4.1000000000000002E-2</v>
      </c>
    </row>
    <row r="34" spans="1:11">
      <c r="A34">
        <v>18588</v>
      </c>
      <c r="B34" t="s">
        <v>248</v>
      </c>
      <c r="C34" t="s">
        <v>251</v>
      </c>
      <c r="D34" t="s">
        <v>220</v>
      </c>
      <c r="E34">
        <v>4.3999999999999997E-2</v>
      </c>
      <c r="G34">
        <v>18588</v>
      </c>
      <c r="H34" t="s">
        <v>248</v>
      </c>
      <c r="I34" t="s">
        <v>251</v>
      </c>
      <c r="J34" t="s">
        <v>220</v>
      </c>
      <c r="K34">
        <v>4.3999999999999997E-2</v>
      </c>
    </row>
    <row r="35" spans="1:11">
      <c r="A35">
        <v>18600</v>
      </c>
      <c r="B35" t="s">
        <v>248</v>
      </c>
      <c r="C35" t="s">
        <v>250</v>
      </c>
      <c r="D35" t="s">
        <v>208</v>
      </c>
      <c r="E35">
        <v>0.2</v>
      </c>
      <c r="G35">
        <v>18600</v>
      </c>
      <c r="H35" t="s">
        <v>248</v>
      </c>
      <c r="I35" t="s">
        <v>250</v>
      </c>
      <c r="J35" t="s">
        <v>208</v>
      </c>
      <c r="K35">
        <v>0.2</v>
      </c>
    </row>
    <row r="36" spans="1:11">
      <c r="D36" t="s">
        <v>104</v>
      </c>
      <c r="E36">
        <v>0.20899999999999999</v>
      </c>
      <c r="G36">
        <f t="shared" ref="G36:I36" si="10">G35</f>
        <v>18600</v>
      </c>
      <c r="H36" t="str">
        <f t="shared" si="10"/>
        <v>30/8/2016</v>
      </c>
      <c r="I36" t="str">
        <f t="shared" si="10"/>
        <v>Call</v>
      </c>
      <c r="J36" t="s">
        <v>104</v>
      </c>
      <c r="K36">
        <v>0.20899999999999999</v>
      </c>
    </row>
    <row r="37" spans="1:11">
      <c r="A37">
        <v>18708</v>
      </c>
      <c r="B37" t="s">
        <v>248</v>
      </c>
      <c r="C37" t="s">
        <v>250</v>
      </c>
      <c r="D37" t="s">
        <v>166</v>
      </c>
      <c r="E37">
        <v>0.21</v>
      </c>
      <c r="G37">
        <v>18708</v>
      </c>
      <c r="H37" t="s">
        <v>248</v>
      </c>
      <c r="I37" t="s">
        <v>250</v>
      </c>
      <c r="J37" t="s">
        <v>166</v>
      </c>
      <c r="K37">
        <v>0.21</v>
      </c>
    </row>
    <row r="38" spans="1:11">
      <c r="A38">
        <v>18800</v>
      </c>
      <c r="B38" t="s">
        <v>243</v>
      </c>
      <c r="C38" t="s">
        <v>251</v>
      </c>
      <c r="D38" t="s">
        <v>157</v>
      </c>
      <c r="E38">
        <v>9.6000000000000002E-2</v>
      </c>
      <c r="G38">
        <v>18800</v>
      </c>
      <c r="H38" t="s">
        <v>243</v>
      </c>
      <c r="I38" t="s">
        <v>251</v>
      </c>
      <c r="J38" t="s">
        <v>157</v>
      </c>
      <c r="K38">
        <v>9.6000000000000002E-2</v>
      </c>
    </row>
    <row r="39" spans="1:11">
      <c r="D39" t="s">
        <v>229</v>
      </c>
      <c r="E39">
        <v>8.2000000000000003E-2</v>
      </c>
      <c r="G39">
        <f t="shared" ref="G39:G41" si="11">G38</f>
        <v>18800</v>
      </c>
      <c r="H39" t="str">
        <f t="shared" ref="H39:I40" si="12">H38</f>
        <v>28/10/2016</v>
      </c>
      <c r="I39" t="str">
        <f t="shared" si="12"/>
        <v>Put</v>
      </c>
      <c r="J39" t="s">
        <v>229</v>
      </c>
      <c r="K39">
        <v>8.2000000000000003E-2</v>
      </c>
    </row>
    <row r="40" spans="1:11">
      <c r="D40" t="s">
        <v>183</v>
      </c>
      <c r="E40" t="s">
        <v>254</v>
      </c>
      <c r="G40">
        <f t="shared" si="11"/>
        <v>18800</v>
      </c>
      <c r="H40" t="str">
        <f t="shared" si="12"/>
        <v>28/10/2016</v>
      </c>
      <c r="I40" t="str">
        <f t="shared" si="12"/>
        <v>Put</v>
      </c>
      <c r="J40" t="s">
        <v>183</v>
      </c>
      <c r="K40" t="s">
        <v>254</v>
      </c>
    </row>
    <row r="41" spans="1:11">
      <c r="B41" t="s">
        <v>246</v>
      </c>
      <c r="C41" t="s">
        <v>251</v>
      </c>
      <c r="D41" t="s">
        <v>223</v>
      </c>
      <c r="E41">
        <v>7.0000000000000007E-2</v>
      </c>
      <c r="G41">
        <f t="shared" si="11"/>
        <v>18800</v>
      </c>
      <c r="H41" t="s">
        <v>246</v>
      </c>
      <c r="I41" t="s">
        <v>251</v>
      </c>
      <c r="J41" t="s">
        <v>223</v>
      </c>
      <c r="K41">
        <v>7.0000000000000007E-2</v>
      </c>
    </row>
    <row r="42" spans="1:11">
      <c r="D42" t="s">
        <v>113</v>
      </c>
      <c r="E42">
        <v>6.8000000000000005E-2</v>
      </c>
      <c r="G42">
        <f t="shared" ref="G42:I43" si="13">G41</f>
        <v>18800</v>
      </c>
      <c r="H42" t="str">
        <f t="shared" si="13"/>
        <v>29/9/2016</v>
      </c>
      <c r="I42" t="str">
        <f t="shared" si="13"/>
        <v>Put</v>
      </c>
      <c r="J42" t="s">
        <v>113</v>
      </c>
      <c r="K42">
        <v>6.8000000000000005E-2</v>
      </c>
    </row>
    <row r="43" spans="1:11">
      <c r="D43" t="s">
        <v>239</v>
      </c>
      <c r="E43" t="s">
        <v>254</v>
      </c>
      <c r="G43">
        <f t="shared" si="13"/>
        <v>18800</v>
      </c>
      <c r="H43" t="str">
        <f t="shared" si="13"/>
        <v>29/9/2016</v>
      </c>
      <c r="I43" t="str">
        <f t="shared" si="13"/>
        <v>Put</v>
      </c>
      <c r="J43" t="s">
        <v>239</v>
      </c>
      <c r="K43" t="s">
        <v>254</v>
      </c>
    </row>
    <row r="44" spans="1:11">
      <c r="A44">
        <v>18828</v>
      </c>
      <c r="B44" t="s">
        <v>243</v>
      </c>
      <c r="C44" t="s">
        <v>251</v>
      </c>
      <c r="D44" t="s">
        <v>241</v>
      </c>
      <c r="E44" t="s">
        <v>254</v>
      </c>
      <c r="G44">
        <v>18828</v>
      </c>
      <c r="H44" t="s">
        <v>243</v>
      </c>
      <c r="I44" t="s">
        <v>251</v>
      </c>
      <c r="J44" t="s">
        <v>241</v>
      </c>
      <c r="K44" t="s">
        <v>254</v>
      </c>
    </row>
    <row r="45" spans="1:11">
      <c r="A45">
        <v>18888</v>
      </c>
      <c r="B45" t="s">
        <v>246</v>
      </c>
      <c r="C45" t="s">
        <v>251</v>
      </c>
      <c r="D45" t="s">
        <v>116</v>
      </c>
      <c r="E45">
        <v>6.4000000000000001E-2</v>
      </c>
      <c r="G45">
        <v>18888</v>
      </c>
      <c r="H45" t="s">
        <v>246</v>
      </c>
      <c r="I45" t="s">
        <v>251</v>
      </c>
      <c r="J45" t="s">
        <v>116</v>
      </c>
      <c r="K45">
        <v>6.4000000000000001E-2</v>
      </c>
    </row>
    <row r="46" spans="1:11">
      <c r="A46">
        <v>18908</v>
      </c>
      <c r="B46" t="s">
        <v>245</v>
      </c>
      <c r="C46" t="s">
        <v>251</v>
      </c>
      <c r="D46" t="s">
        <v>86</v>
      </c>
      <c r="E46">
        <v>1.7999999999999999E-2</v>
      </c>
      <c r="G46">
        <v>18908</v>
      </c>
      <c r="H46" t="s">
        <v>245</v>
      </c>
      <c r="I46" t="s">
        <v>251</v>
      </c>
      <c r="J46" t="s">
        <v>86</v>
      </c>
      <c r="K46">
        <v>1.7999999999999999E-2</v>
      </c>
    </row>
    <row r="47" spans="1:11">
      <c r="A47">
        <v>18968</v>
      </c>
      <c r="B47" t="s">
        <v>247</v>
      </c>
      <c r="C47" t="s">
        <v>251</v>
      </c>
      <c r="D47" t="s">
        <v>39</v>
      </c>
      <c r="E47">
        <v>0.01</v>
      </c>
      <c r="G47">
        <v>18968</v>
      </c>
      <c r="H47" t="s">
        <v>247</v>
      </c>
      <c r="I47" t="s">
        <v>251</v>
      </c>
      <c r="J47" t="s">
        <v>39</v>
      </c>
      <c r="K47">
        <v>0.01</v>
      </c>
    </row>
    <row r="48" spans="1:11">
      <c r="A48">
        <v>19000</v>
      </c>
      <c r="B48" t="s">
        <v>244</v>
      </c>
      <c r="C48" t="s">
        <v>250</v>
      </c>
      <c r="D48" t="s">
        <v>203</v>
      </c>
      <c r="E48">
        <v>0.17799999999999999</v>
      </c>
      <c r="G48">
        <v>19000</v>
      </c>
      <c r="H48" t="s">
        <v>244</v>
      </c>
      <c r="I48" t="s">
        <v>250</v>
      </c>
      <c r="J48" t="s">
        <v>203</v>
      </c>
      <c r="K48">
        <v>0.17799999999999999</v>
      </c>
    </row>
    <row r="49" spans="1:11">
      <c r="D49" t="s">
        <v>30</v>
      </c>
      <c r="E49">
        <v>0.21</v>
      </c>
      <c r="G49">
        <f t="shared" ref="G49:G57" si="14">G48</f>
        <v>19000</v>
      </c>
      <c r="H49" t="str">
        <f t="shared" ref="H49:I51" si="15">H48</f>
        <v>28/7/2016</v>
      </c>
      <c r="I49" t="str">
        <f t="shared" si="15"/>
        <v>Call</v>
      </c>
      <c r="J49" t="s">
        <v>30</v>
      </c>
      <c r="K49">
        <v>0.21</v>
      </c>
    </row>
    <row r="50" spans="1:11">
      <c r="D50" t="s">
        <v>99</v>
      </c>
      <c r="E50">
        <v>0.17799999999999999</v>
      </c>
      <c r="G50">
        <f t="shared" si="14"/>
        <v>19000</v>
      </c>
      <c r="H50" t="str">
        <f t="shared" si="15"/>
        <v>28/7/2016</v>
      </c>
      <c r="I50" t="str">
        <f t="shared" si="15"/>
        <v>Call</v>
      </c>
      <c r="J50" t="s">
        <v>99</v>
      </c>
      <c r="K50">
        <v>0.17799999999999999</v>
      </c>
    </row>
    <row r="51" spans="1:11">
      <c r="D51" t="s">
        <v>33</v>
      </c>
      <c r="E51">
        <v>0.191</v>
      </c>
      <c r="G51">
        <f t="shared" si="14"/>
        <v>19000</v>
      </c>
      <c r="H51" t="str">
        <f t="shared" si="15"/>
        <v>28/7/2016</v>
      </c>
      <c r="I51" t="str">
        <f t="shared" si="15"/>
        <v>Call</v>
      </c>
      <c r="J51" t="s">
        <v>33</v>
      </c>
      <c r="K51">
        <v>0.191</v>
      </c>
    </row>
    <row r="52" spans="1:11">
      <c r="B52" t="s">
        <v>245</v>
      </c>
      <c r="C52" t="s">
        <v>251</v>
      </c>
      <c r="D52" t="s">
        <v>186</v>
      </c>
      <c r="E52">
        <v>0.02</v>
      </c>
      <c r="G52">
        <f t="shared" si="14"/>
        <v>19000</v>
      </c>
      <c r="H52" t="s">
        <v>245</v>
      </c>
      <c r="I52" t="s">
        <v>251</v>
      </c>
      <c r="J52" t="s">
        <v>186</v>
      </c>
      <c r="K52">
        <v>0.02</v>
      </c>
    </row>
    <row r="53" spans="1:11">
      <c r="D53" t="s">
        <v>146</v>
      </c>
      <c r="E53">
        <v>1.9E-2</v>
      </c>
      <c r="G53">
        <f t="shared" si="14"/>
        <v>19000</v>
      </c>
      <c r="H53" t="str">
        <f t="shared" ref="H53:I55" si="16">H52</f>
        <v>29/6/2016</v>
      </c>
      <c r="I53" t="str">
        <f t="shared" si="16"/>
        <v>Put</v>
      </c>
      <c r="J53" t="s">
        <v>146</v>
      </c>
      <c r="K53">
        <v>1.9E-2</v>
      </c>
    </row>
    <row r="54" spans="1:11">
      <c r="D54" t="s">
        <v>207</v>
      </c>
      <c r="E54">
        <v>0.02</v>
      </c>
      <c r="G54">
        <f t="shared" si="14"/>
        <v>19000</v>
      </c>
      <c r="H54" t="str">
        <f t="shared" si="16"/>
        <v>29/6/2016</v>
      </c>
      <c r="I54" t="str">
        <f t="shared" si="16"/>
        <v>Put</v>
      </c>
      <c r="J54" t="s">
        <v>207</v>
      </c>
      <c r="K54">
        <v>0.02</v>
      </c>
    </row>
    <row r="55" spans="1:11">
      <c r="D55" t="s">
        <v>47</v>
      </c>
      <c r="E55">
        <v>1.9E-2</v>
      </c>
      <c r="G55">
        <f t="shared" si="14"/>
        <v>19000</v>
      </c>
      <c r="H55" t="str">
        <f t="shared" si="16"/>
        <v>29/6/2016</v>
      </c>
      <c r="I55" t="str">
        <f t="shared" si="16"/>
        <v>Put</v>
      </c>
      <c r="J55" t="s">
        <v>47</v>
      </c>
      <c r="K55">
        <v>1.9E-2</v>
      </c>
    </row>
    <row r="56" spans="1:11">
      <c r="B56" t="s">
        <v>246</v>
      </c>
      <c r="C56" t="s">
        <v>250</v>
      </c>
      <c r="D56" t="s">
        <v>35</v>
      </c>
      <c r="E56">
        <v>0.215</v>
      </c>
      <c r="G56">
        <f t="shared" si="14"/>
        <v>19000</v>
      </c>
      <c r="H56" t="s">
        <v>246</v>
      </c>
      <c r="I56" t="s">
        <v>250</v>
      </c>
      <c r="J56" t="s">
        <v>35</v>
      </c>
      <c r="K56">
        <v>0.215</v>
      </c>
    </row>
    <row r="57" spans="1:11">
      <c r="B57" t="s">
        <v>247</v>
      </c>
      <c r="C57" t="s">
        <v>251</v>
      </c>
      <c r="D57" t="s">
        <v>40</v>
      </c>
      <c r="E57">
        <v>0.01</v>
      </c>
      <c r="G57">
        <f t="shared" si="14"/>
        <v>19000</v>
      </c>
      <c r="H57" t="s">
        <v>247</v>
      </c>
      <c r="I57" t="s">
        <v>251</v>
      </c>
      <c r="J57" t="s">
        <v>40</v>
      </c>
      <c r="K57">
        <v>0.01</v>
      </c>
    </row>
    <row r="58" spans="1:11">
      <c r="D58" t="s">
        <v>185</v>
      </c>
      <c r="E58">
        <v>0.01</v>
      </c>
      <c r="G58">
        <f t="shared" ref="G58:I58" si="17">G57</f>
        <v>19000</v>
      </c>
      <c r="H58" t="str">
        <f t="shared" si="17"/>
        <v>30/5/2016</v>
      </c>
      <c r="I58" t="str">
        <f t="shared" si="17"/>
        <v>Put</v>
      </c>
      <c r="J58" t="s">
        <v>185</v>
      </c>
      <c r="K58">
        <v>0.01</v>
      </c>
    </row>
    <row r="59" spans="1:11">
      <c r="A59">
        <v>19088</v>
      </c>
      <c r="B59" t="s">
        <v>244</v>
      </c>
      <c r="C59" t="s">
        <v>250</v>
      </c>
      <c r="D59" t="s">
        <v>97</v>
      </c>
      <c r="E59">
        <v>0.16300000000000001</v>
      </c>
      <c r="G59">
        <v>19088</v>
      </c>
      <c r="H59" t="s">
        <v>244</v>
      </c>
      <c r="I59" t="s">
        <v>250</v>
      </c>
      <c r="J59" t="s">
        <v>97</v>
      </c>
      <c r="K59">
        <v>0.16300000000000001</v>
      </c>
    </row>
    <row r="60" spans="1:11">
      <c r="A60">
        <v>19108</v>
      </c>
      <c r="B60" t="s">
        <v>246</v>
      </c>
      <c r="C60" t="s">
        <v>251</v>
      </c>
      <c r="D60" t="s">
        <v>224</v>
      </c>
      <c r="E60">
        <v>6.4000000000000001E-2</v>
      </c>
      <c r="G60">
        <v>19108</v>
      </c>
      <c r="H60" t="s">
        <v>246</v>
      </c>
      <c r="I60" t="s">
        <v>251</v>
      </c>
      <c r="J60" t="s">
        <v>224</v>
      </c>
      <c r="K60">
        <v>6.4000000000000001E-2</v>
      </c>
    </row>
    <row r="61" spans="1:11">
      <c r="A61">
        <v>19168</v>
      </c>
      <c r="B61" t="s">
        <v>246</v>
      </c>
      <c r="C61" t="s">
        <v>250</v>
      </c>
      <c r="D61" t="s">
        <v>126</v>
      </c>
      <c r="E61">
        <v>0.20100000000000001</v>
      </c>
      <c r="G61">
        <v>19168</v>
      </c>
      <c r="H61" t="s">
        <v>246</v>
      </c>
      <c r="I61" t="s">
        <v>250</v>
      </c>
      <c r="J61" t="s">
        <v>126</v>
      </c>
      <c r="K61">
        <v>0.20100000000000001</v>
      </c>
    </row>
    <row r="62" spans="1:11">
      <c r="A62">
        <v>19200</v>
      </c>
      <c r="B62" t="s">
        <v>246</v>
      </c>
      <c r="C62" t="s">
        <v>250</v>
      </c>
      <c r="D62" t="s">
        <v>159</v>
      </c>
      <c r="E62">
        <v>0.20300000000000001</v>
      </c>
      <c r="G62">
        <v>19200</v>
      </c>
      <c r="H62" t="s">
        <v>246</v>
      </c>
      <c r="I62" t="s">
        <v>250</v>
      </c>
      <c r="J62" t="s">
        <v>159</v>
      </c>
      <c r="K62">
        <v>0.20300000000000001</v>
      </c>
    </row>
    <row r="63" spans="1:11">
      <c r="D63" t="s">
        <v>222</v>
      </c>
      <c r="E63" t="s">
        <v>254</v>
      </c>
      <c r="G63">
        <f t="shared" ref="G63:I63" si="18">G62</f>
        <v>19200</v>
      </c>
      <c r="H63" t="str">
        <f t="shared" si="18"/>
        <v>29/9/2016</v>
      </c>
      <c r="I63" t="str">
        <f t="shared" si="18"/>
        <v>Call</v>
      </c>
      <c r="J63" t="s">
        <v>222</v>
      </c>
      <c r="K63" t="s">
        <v>254</v>
      </c>
    </row>
    <row r="64" spans="1:11">
      <c r="C64" t="s">
        <v>251</v>
      </c>
      <c r="D64" t="s">
        <v>108</v>
      </c>
      <c r="E64">
        <v>6.5000000000000002E-2</v>
      </c>
      <c r="G64">
        <f t="shared" ref="G64:H64" si="19">G63</f>
        <v>19200</v>
      </c>
      <c r="H64" t="str">
        <f t="shared" si="19"/>
        <v>29/9/2016</v>
      </c>
      <c r="I64" t="s">
        <v>251</v>
      </c>
      <c r="J64" t="s">
        <v>108</v>
      </c>
      <c r="K64">
        <v>6.5000000000000002E-2</v>
      </c>
    </row>
    <row r="65" spans="1:11">
      <c r="D65" t="s">
        <v>49</v>
      </c>
      <c r="E65">
        <v>6.8000000000000005E-2</v>
      </c>
      <c r="G65">
        <f t="shared" ref="G65:I68" si="20">G64</f>
        <v>19200</v>
      </c>
      <c r="H65" t="str">
        <f t="shared" si="20"/>
        <v>29/9/2016</v>
      </c>
      <c r="I65" t="str">
        <f t="shared" si="20"/>
        <v>Put</v>
      </c>
      <c r="J65" t="s">
        <v>49</v>
      </c>
      <c r="K65">
        <v>6.8000000000000005E-2</v>
      </c>
    </row>
    <row r="66" spans="1:11">
      <c r="D66" t="s">
        <v>114</v>
      </c>
      <c r="E66">
        <v>7.1999999999999995E-2</v>
      </c>
      <c r="G66">
        <f t="shared" si="20"/>
        <v>19200</v>
      </c>
      <c r="H66" t="str">
        <f t="shared" si="20"/>
        <v>29/9/2016</v>
      </c>
      <c r="I66" t="str">
        <f t="shared" si="20"/>
        <v>Put</v>
      </c>
      <c r="J66" t="s">
        <v>114</v>
      </c>
      <c r="K66">
        <v>7.1999999999999995E-2</v>
      </c>
    </row>
    <row r="67" spans="1:11">
      <c r="D67" t="s">
        <v>119</v>
      </c>
      <c r="E67" t="s">
        <v>254</v>
      </c>
      <c r="G67">
        <f t="shared" si="20"/>
        <v>19200</v>
      </c>
      <c r="H67" t="str">
        <f t="shared" si="20"/>
        <v>29/9/2016</v>
      </c>
      <c r="I67" t="str">
        <f t="shared" si="20"/>
        <v>Put</v>
      </c>
      <c r="J67" t="s">
        <v>119</v>
      </c>
      <c r="K67" t="s">
        <v>254</v>
      </c>
    </row>
    <row r="68" spans="1:11">
      <c r="D68" t="s">
        <v>125</v>
      </c>
      <c r="E68">
        <v>8.5000000000000006E-2</v>
      </c>
      <c r="G68">
        <f t="shared" si="20"/>
        <v>19200</v>
      </c>
      <c r="H68" t="str">
        <f t="shared" si="20"/>
        <v>29/9/2016</v>
      </c>
      <c r="I68" t="str">
        <f t="shared" si="20"/>
        <v>Put</v>
      </c>
      <c r="J68" t="s">
        <v>125</v>
      </c>
      <c r="K68">
        <v>8.5000000000000006E-2</v>
      </c>
    </row>
    <row r="69" spans="1:11">
      <c r="A69">
        <v>19288</v>
      </c>
      <c r="B69" t="s">
        <v>246</v>
      </c>
      <c r="C69" t="s">
        <v>250</v>
      </c>
      <c r="D69" t="s">
        <v>182</v>
      </c>
      <c r="E69" t="s">
        <v>254</v>
      </c>
      <c r="G69">
        <v>19288</v>
      </c>
      <c r="H69" t="s">
        <v>246</v>
      </c>
      <c r="I69" t="s">
        <v>250</v>
      </c>
      <c r="J69" t="s">
        <v>182</v>
      </c>
      <c r="K69" t="s">
        <v>254</v>
      </c>
    </row>
    <row r="70" spans="1:11">
      <c r="A70">
        <v>19400</v>
      </c>
      <c r="B70" t="s">
        <v>244</v>
      </c>
      <c r="C70" t="s">
        <v>250</v>
      </c>
      <c r="D70" t="s">
        <v>155</v>
      </c>
      <c r="E70">
        <v>0.15</v>
      </c>
      <c r="G70">
        <v>19400</v>
      </c>
      <c r="H70" t="s">
        <v>244</v>
      </c>
      <c r="I70" t="s">
        <v>250</v>
      </c>
      <c r="J70" t="s">
        <v>155</v>
      </c>
      <c r="K70">
        <v>0.15</v>
      </c>
    </row>
    <row r="71" spans="1:11">
      <c r="D71" t="s">
        <v>110</v>
      </c>
      <c r="E71">
        <v>0.161</v>
      </c>
      <c r="G71">
        <f t="shared" ref="G71:I71" si="21">G70</f>
        <v>19400</v>
      </c>
      <c r="H71" t="str">
        <f t="shared" si="21"/>
        <v>28/7/2016</v>
      </c>
      <c r="I71" t="str">
        <f t="shared" si="21"/>
        <v>Call</v>
      </c>
      <c r="J71" t="s">
        <v>110</v>
      </c>
      <c r="K71">
        <v>0.161</v>
      </c>
    </row>
    <row r="72" spans="1:11">
      <c r="C72" t="s">
        <v>251</v>
      </c>
      <c r="D72" t="s">
        <v>151</v>
      </c>
      <c r="E72">
        <v>5.6000000000000001E-2</v>
      </c>
      <c r="G72">
        <f t="shared" ref="G72:H72" si="22">G71</f>
        <v>19400</v>
      </c>
      <c r="H72" t="str">
        <f t="shared" si="22"/>
        <v>28/7/2016</v>
      </c>
      <c r="I72" t="s">
        <v>251</v>
      </c>
      <c r="J72" t="s">
        <v>151</v>
      </c>
      <c r="K72">
        <v>5.6000000000000001E-2</v>
      </c>
    </row>
    <row r="73" spans="1:11">
      <c r="D73" t="s">
        <v>45</v>
      </c>
      <c r="E73">
        <v>0.06</v>
      </c>
      <c r="G73">
        <f t="shared" ref="G73:I74" si="23">G72</f>
        <v>19400</v>
      </c>
      <c r="H73" t="str">
        <f t="shared" si="23"/>
        <v>28/7/2016</v>
      </c>
      <c r="I73" t="str">
        <f t="shared" si="23"/>
        <v>Put</v>
      </c>
      <c r="J73" t="s">
        <v>45</v>
      </c>
      <c r="K73">
        <v>0.06</v>
      </c>
    </row>
    <row r="74" spans="1:11">
      <c r="D74" t="s">
        <v>51</v>
      </c>
      <c r="E74" t="s">
        <v>254</v>
      </c>
      <c r="G74">
        <f t="shared" si="23"/>
        <v>19400</v>
      </c>
      <c r="H74" t="str">
        <f t="shared" si="23"/>
        <v>28/7/2016</v>
      </c>
      <c r="I74" t="str">
        <f t="shared" si="23"/>
        <v>Put</v>
      </c>
      <c r="J74" t="s">
        <v>51</v>
      </c>
      <c r="K74" t="s">
        <v>254</v>
      </c>
    </row>
    <row r="75" spans="1:11">
      <c r="A75">
        <v>19408</v>
      </c>
      <c r="B75" t="s">
        <v>244</v>
      </c>
      <c r="C75" t="s">
        <v>251</v>
      </c>
      <c r="D75" t="s">
        <v>102</v>
      </c>
      <c r="E75">
        <v>4.9000000000000002E-2</v>
      </c>
      <c r="G75">
        <v>19408</v>
      </c>
      <c r="H75" t="s">
        <v>244</v>
      </c>
      <c r="I75" t="s">
        <v>251</v>
      </c>
      <c r="J75" t="s">
        <v>102</v>
      </c>
      <c r="K75">
        <v>4.9000000000000002E-2</v>
      </c>
    </row>
    <row r="76" spans="1:11">
      <c r="A76">
        <v>19488</v>
      </c>
      <c r="B76" t="s">
        <v>244</v>
      </c>
      <c r="C76" t="s">
        <v>250</v>
      </c>
      <c r="D76" t="s">
        <v>98</v>
      </c>
      <c r="E76">
        <v>0.13400000000000001</v>
      </c>
      <c r="G76">
        <v>19488</v>
      </c>
      <c r="H76" t="s">
        <v>244</v>
      </c>
      <c r="I76" t="s">
        <v>250</v>
      </c>
      <c r="J76" t="s">
        <v>98</v>
      </c>
      <c r="K76">
        <v>0.13400000000000001</v>
      </c>
    </row>
    <row r="77" spans="1:11">
      <c r="A77">
        <v>19500</v>
      </c>
      <c r="B77" t="s">
        <v>244</v>
      </c>
      <c r="C77" t="s">
        <v>251</v>
      </c>
      <c r="D77" t="s">
        <v>153</v>
      </c>
      <c r="E77">
        <v>5.5E-2</v>
      </c>
      <c r="G77">
        <v>19500</v>
      </c>
      <c r="H77" t="s">
        <v>244</v>
      </c>
      <c r="I77" t="s">
        <v>251</v>
      </c>
      <c r="J77" t="s">
        <v>153</v>
      </c>
      <c r="K77">
        <v>5.5E-2</v>
      </c>
    </row>
    <row r="78" spans="1:11">
      <c r="D78" t="s">
        <v>44</v>
      </c>
      <c r="E78">
        <v>5.1999999999999998E-2</v>
      </c>
      <c r="G78">
        <f t="shared" ref="G78:I78" si="24">G77</f>
        <v>19500</v>
      </c>
      <c r="H78" t="str">
        <f t="shared" si="24"/>
        <v>28/7/2016</v>
      </c>
      <c r="I78" t="str">
        <f t="shared" si="24"/>
        <v>Put</v>
      </c>
      <c r="J78" t="s">
        <v>44</v>
      </c>
      <c r="K78">
        <v>5.1999999999999998E-2</v>
      </c>
    </row>
    <row r="79" spans="1:11">
      <c r="A79">
        <v>19600</v>
      </c>
      <c r="B79" t="s">
        <v>244</v>
      </c>
      <c r="C79" t="s">
        <v>250</v>
      </c>
      <c r="D79" t="s">
        <v>93</v>
      </c>
      <c r="E79">
        <v>0.16200000000000001</v>
      </c>
      <c r="G79">
        <v>19600</v>
      </c>
      <c r="H79" t="s">
        <v>244</v>
      </c>
      <c r="I79" t="s">
        <v>250</v>
      </c>
      <c r="J79" t="s">
        <v>93</v>
      </c>
      <c r="K79">
        <v>0.16200000000000001</v>
      </c>
    </row>
    <row r="80" spans="1:11">
      <c r="D80" t="s">
        <v>160</v>
      </c>
      <c r="E80">
        <v>0.16400000000000001</v>
      </c>
      <c r="G80">
        <f t="shared" ref="G80:G82" si="25">G79</f>
        <v>19600</v>
      </c>
      <c r="H80" t="str">
        <f t="shared" ref="H80:I80" si="26">H79</f>
        <v>28/7/2016</v>
      </c>
      <c r="I80" t="str">
        <f t="shared" si="26"/>
        <v>Call</v>
      </c>
      <c r="J80" t="s">
        <v>160</v>
      </c>
      <c r="K80">
        <v>0.16400000000000001</v>
      </c>
    </row>
    <row r="81" spans="1:11">
      <c r="B81" t="s">
        <v>246</v>
      </c>
      <c r="C81" t="s">
        <v>250</v>
      </c>
      <c r="D81" t="s">
        <v>206</v>
      </c>
      <c r="E81">
        <v>0.13900000000000001</v>
      </c>
      <c r="G81">
        <f t="shared" si="25"/>
        <v>19600</v>
      </c>
      <c r="H81" t="s">
        <v>246</v>
      </c>
      <c r="I81" t="s">
        <v>250</v>
      </c>
      <c r="J81" t="s">
        <v>206</v>
      </c>
      <c r="K81">
        <v>0.13900000000000001</v>
      </c>
    </row>
    <row r="82" spans="1:11">
      <c r="B82" t="s">
        <v>247</v>
      </c>
      <c r="C82" t="s">
        <v>250</v>
      </c>
      <c r="D82" t="s">
        <v>12</v>
      </c>
      <c r="E82">
        <v>3.1E-2</v>
      </c>
      <c r="G82">
        <f t="shared" si="25"/>
        <v>19600</v>
      </c>
      <c r="H82" t="s">
        <v>247</v>
      </c>
      <c r="I82" t="s">
        <v>250</v>
      </c>
      <c r="J82" t="s">
        <v>12</v>
      </c>
      <c r="K82">
        <v>3.1E-2</v>
      </c>
    </row>
    <row r="83" spans="1:11">
      <c r="D83" t="s">
        <v>89</v>
      </c>
      <c r="E83">
        <v>3.5000000000000003E-2</v>
      </c>
      <c r="G83">
        <f t="shared" ref="G83:I84" si="27">G82</f>
        <v>19600</v>
      </c>
      <c r="H83" t="str">
        <f t="shared" si="27"/>
        <v>30/5/2016</v>
      </c>
      <c r="I83" t="str">
        <f t="shared" si="27"/>
        <v>Call</v>
      </c>
      <c r="J83" t="s">
        <v>89</v>
      </c>
      <c r="K83">
        <v>3.5000000000000003E-2</v>
      </c>
    </row>
    <row r="84" spans="1:11">
      <c r="D84" t="s">
        <v>205</v>
      </c>
      <c r="E84">
        <v>4.3999999999999997E-2</v>
      </c>
      <c r="G84">
        <f t="shared" si="27"/>
        <v>19600</v>
      </c>
      <c r="H84" t="str">
        <f t="shared" si="27"/>
        <v>30/5/2016</v>
      </c>
      <c r="I84" t="str">
        <f t="shared" si="27"/>
        <v>Call</v>
      </c>
      <c r="J84" t="s">
        <v>205</v>
      </c>
      <c r="K84">
        <v>4.3999999999999997E-2</v>
      </c>
    </row>
    <row r="85" spans="1:11">
      <c r="A85">
        <v>19698</v>
      </c>
      <c r="B85" t="s">
        <v>244</v>
      </c>
      <c r="C85" t="s">
        <v>250</v>
      </c>
      <c r="D85" t="s">
        <v>219</v>
      </c>
      <c r="E85">
        <v>0.13300000000000001</v>
      </c>
      <c r="G85">
        <v>19698</v>
      </c>
      <c r="H85" t="s">
        <v>244</v>
      </c>
      <c r="I85" t="s">
        <v>250</v>
      </c>
      <c r="J85" t="s">
        <v>219</v>
      </c>
      <c r="K85">
        <v>0.13300000000000001</v>
      </c>
    </row>
    <row r="86" spans="1:11">
      <c r="A86">
        <v>19708</v>
      </c>
      <c r="B86" t="s">
        <v>243</v>
      </c>
      <c r="C86" t="s">
        <v>251</v>
      </c>
      <c r="D86" t="s">
        <v>235</v>
      </c>
      <c r="E86" t="s">
        <v>254</v>
      </c>
      <c r="G86">
        <v>19708</v>
      </c>
      <c r="H86" t="s">
        <v>243</v>
      </c>
      <c r="I86" t="s">
        <v>251</v>
      </c>
      <c r="J86" t="s">
        <v>235</v>
      </c>
      <c r="K86" t="s">
        <v>254</v>
      </c>
    </row>
    <row r="87" spans="1:11">
      <c r="B87" t="s">
        <v>244</v>
      </c>
      <c r="C87" t="s">
        <v>251</v>
      </c>
      <c r="D87" t="s">
        <v>50</v>
      </c>
      <c r="E87">
        <v>5.8999999999999997E-2</v>
      </c>
      <c r="G87">
        <f>G86</f>
        <v>19708</v>
      </c>
      <c r="H87" t="s">
        <v>244</v>
      </c>
      <c r="I87" t="s">
        <v>251</v>
      </c>
      <c r="J87" t="s">
        <v>50</v>
      </c>
      <c r="K87">
        <v>5.8999999999999997E-2</v>
      </c>
    </row>
    <row r="88" spans="1:11">
      <c r="A88">
        <v>19710</v>
      </c>
      <c r="B88" t="s">
        <v>243</v>
      </c>
      <c r="C88" t="s">
        <v>251</v>
      </c>
      <c r="D88" t="s">
        <v>236</v>
      </c>
      <c r="E88">
        <v>0.11899999999999999</v>
      </c>
      <c r="G88">
        <v>19710</v>
      </c>
      <c r="H88" t="s">
        <v>243</v>
      </c>
      <c r="I88" t="s">
        <v>251</v>
      </c>
      <c r="J88" t="s">
        <v>236</v>
      </c>
      <c r="K88">
        <v>0.11899999999999999</v>
      </c>
    </row>
    <row r="89" spans="1:11">
      <c r="A89">
        <v>19768</v>
      </c>
      <c r="B89" t="s">
        <v>243</v>
      </c>
      <c r="C89" t="s">
        <v>250</v>
      </c>
      <c r="D89" t="s">
        <v>237</v>
      </c>
      <c r="E89">
        <v>0.19700000000000001</v>
      </c>
      <c r="G89">
        <v>19768</v>
      </c>
      <c r="H89" t="s">
        <v>243</v>
      </c>
      <c r="I89" t="s">
        <v>250</v>
      </c>
      <c r="J89" t="s">
        <v>237</v>
      </c>
      <c r="K89">
        <v>0.19700000000000001</v>
      </c>
    </row>
    <row r="90" spans="1:11">
      <c r="A90">
        <v>19800</v>
      </c>
      <c r="B90" t="s">
        <v>243</v>
      </c>
      <c r="C90" t="s">
        <v>250</v>
      </c>
      <c r="D90" t="s">
        <v>105</v>
      </c>
      <c r="E90">
        <v>0.191</v>
      </c>
      <c r="G90">
        <v>19800</v>
      </c>
      <c r="H90" t="s">
        <v>243</v>
      </c>
      <c r="I90" t="s">
        <v>250</v>
      </c>
      <c r="J90" t="s">
        <v>105</v>
      </c>
      <c r="K90">
        <v>0.191</v>
      </c>
    </row>
    <row r="91" spans="1:11">
      <c r="D91" t="s">
        <v>240</v>
      </c>
      <c r="E91" t="s">
        <v>254</v>
      </c>
      <c r="G91">
        <f t="shared" ref="G91:G96" si="28">G90</f>
        <v>19800</v>
      </c>
      <c r="H91" t="str">
        <f t="shared" ref="H91:H92" si="29">H90</f>
        <v>28/10/2016</v>
      </c>
      <c r="I91" t="str">
        <f>I90</f>
        <v>Call</v>
      </c>
      <c r="J91" t="s">
        <v>240</v>
      </c>
      <c r="K91" t="s">
        <v>254</v>
      </c>
    </row>
    <row r="92" spans="1:11">
      <c r="C92" t="s">
        <v>251</v>
      </c>
      <c r="D92" t="s">
        <v>120</v>
      </c>
      <c r="E92">
        <v>0.125</v>
      </c>
      <c r="G92">
        <f t="shared" si="28"/>
        <v>19800</v>
      </c>
      <c r="H92" t="str">
        <f t="shared" si="29"/>
        <v>28/10/2016</v>
      </c>
      <c r="I92" t="s">
        <v>251</v>
      </c>
      <c r="J92" t="s">
        <v>120</v>
      </c>
      <c r="K92">
        <v>0.125</v>
      </c>
    </row>
    <row r="93" spans="1:11">
      <c r="B93" t="s">
        <v>244</v>
      </c>
      <c r="C93" t="s">
        <v>251</v>
      </c>
      <c r="D93" t="s">
        <v>150</v>
      </c>
      <c r="E93">
        <v>7.2999999999999995E-2</v>
      </c>
      <c r="G93">
        <f t="shared" si="28"/>
        <v>19800</v>
      </c>
      <c r="H93" t="s">
        <v>244</v>
      </c>
      <c r="I93" t="s">
        <v>251</v>
      </c>
      <c r="J93" t="s">
        <v>150</v>
      </c>
      <c r="K93">
        <v>7.2999999999999995E-2</v>
      </c>
    </row>
    <row r="94" spans="1:11">
      <c r="D94" t="s">
        <v>226</v>
      </c>
      <c r="E94">
        <v>7.0999999999999994E-2</v>
      </c>
      <c r="G94">
        <f t="shared" si="28"/>
        <v>19800</v>
      </c>
      <c r="H94" t="str">
        <f t="shared" ref="H94:I95" si="30">H93</f>
        <v>28/7/2016</v>
      </c>
      <c r="I94" t="str">
        <f t="shared" si="30"/>
        <v>Put</v>
      </c>
      <c r="J94" t="s">
        <v>226</v>
      </c>
      <c r="K94">
        <v>7.0999999999999994E-2</v>
      </c>
    </row>
    <row r="95" spans="1:11">
      <c r="D95" t="s">
        <v>178</v>
      </c>
      <c r="E95">
        <v>6.9000000000000006E-2</v>
      </c>
      <c r="G95">
        <f t="shared" si="28"/>
        <v>19800</v>
      </c>
      <c r="H95" t="str">
        <f t="shared" si="30"/>
        <v>28/7/2016</v>
      </c>
      <c r="I95" t="str">
        <f t="shared" si="30"/>
        <v>Put</v>
      </c>
      <c r="J95" t="s">
        <v>178</v>
      </c>
      <c r="K95">
        <v>6.9000000000000006E-2</v>
      </c>
    </row>
    <row r="96" spans="1:11">
      <c r="B96" t="s">
        <v>248</v>
      </c>
      <c r="C96" t="s">
        <v>250</v>
      </c>
      <c r="D96" t="s">
        <v>38</v>
      </c>
      <c r="E96">
        <v>0.158</v>
      </c>
      <c r="G96">
        <f t="shared" si="28"/>
        <v>19800</v>
      </c>
      <c r="H96" t="s">
        <v>248</v>
      </c>
      <c r="I96" t="s">
        <v>250</v>
      </c>
      <c r="J96" t="s">
        <v>38</v>
      </c>
      <c r="K96">
        <v>0.158</v>
      </c>
    </row>
    <row r="97" spans="1:11">
      <c r="D97" t="s">
        <v>173</v>
      </c>
      <c r="E97">
        <v>0.155</v>
      </c>
      <c r="G97">
        <f t="shared" ref="G97:I98" si="31">G96</f>
        <v>19800</v>
      </c>
      <c r="H97" t="str">
        <f t="shared" si="31"/>
        <v>30/8/2016</v>
      </c>
      <c r="I97" t="str">
        <f t="shared" si="31"/>
        <v>Call</v>
      </c>
      <c r="J97" t="s">
        <v>173</v>
      </c>
      <c r="K97">
        <v>0.155</v>
      </c>
    </row>
    <row r="98" spans="1:11">
      <c r="D98" t="s">
        <v>238</v>
      </c>
      <c r="E98" t="s">
        <v>254</v>
      </c>
      <c r="G98">
        <f t="shared" si="31"/>
        <v>19800</v>
      </c>
      <c r="H98" t="str">
        <f t="shared" si="31"/>
        <v>30/8/2016</v>
      </c>
      <c r="I98" t="str">
        <f t="shared" si="31"/>
        <v>Call</v>
      </c>
      <c r="J98" t="s">
        <v>238</v>
      </c>
      <c r="K98" t="s">
        <v>254</v>
      </c>
    </row>
    <row r="99" spans="1:11">
      <c r="A99">
        <v>19888</v>
      </c>
      <c r="B99" t="s">
        <v>243</v>
      </c>
      <c r="C99" t="s">
        <v>250</v>
      </c>
      <c r="D99" t="s">
        <v>124</v>
      </c>
      <c r="E99" t="s">
        <v>254</v>
      </c>
      <c r="G99">
        <v>19888</v>
      </c>
      <c r="H99" t="s">
        <v>243</v>
      </c>
      <c r="I99" t="s">
        <v>250</v>
      </c>
      <c r="J99" t="s">
        <v>124</v>
      </c>
      <c r="K99" t="s">
        <v>254</v>
      </c>
    </row>
    <row r="100" spans="1:11">
      <c r="A100">
        <v>20000</v>
      </c>
      <c r="B100" t="s">
        <v>243</v>
      </c>
      <c r="C100" t="s">
        <v>251</v>
      </c>
      <c r="D100" t="s">
        <v>118</v>
      </c>
      <c r="E100">
        <v>0.17599999999999999</v>
      </c>
      <c r="G100">
        <v>20000</v>
      </c>
      <c r="H100" t="s">
        <v>243</v>
      </c>
      <c r="I100" t="s">
        <v>251</v>
      </c>
      <c r="J100" t="s">
        <v>118</v>
      </c>
      <c r="K100">
        <v>0.17599999999999999</v>
      </c>
    </row>
    <row r="101" spans="1:11">
      <c r="D101" t="s">
        <v>56</v>
      </c>
      <c r="E101">
        <v>0.14499999999999999</v>
      </c>
      <c r="G101">
        <f t="shared" ref="G101:G110" si="32">G100</f>
        <v>20000</v>
      </c>
      <c r="H101" t="str">
        <f t="shared" ref="H101:I101" si="33">H100</f>
        <v>28/10/2016</v>
      </c>
      <c r="I101" t="str">
        <f t="shared" si="33"/>
        <v>Put</v>
      </c>
      <c r="J101" t="s">
        <v>56</v>
      </c>
      <c r="K101">
        <v>0.14499999999999999</v>
      </c>
    </row>
    <row r="102" spans="1:11">
      <c r="B102" t="s">
        <v>245</v>
      </c>
      <c r="C102" t="s">
        <v>250</v>
      </c>
      <c r="D102" t="s">
        <v>129</v>
      </c>
      <c r="E102">
        <v>7.0999999999999994E-2</v>
      </c>
      <c r="G102">
        <f t="shared" si="32"/>
        <v>20000</v>
      </c>
      <c r="H102" t="s">
        <v>245</v>
      </c>
      <c r="I102" t="s">
        <v>250</v>
      </c>
      <c r="J102" t="s">
        <v>129</v>
      </c>
      <c r="K102">
        <v>7.0999999999999994E-2</v>
      </c>
    </row>
    <row r="103" spans="1:11">
      <c r="D103" t="s">
        <v>82</v>
      </c>
      <c r="E103">
        <v>7.3999999999999996E-2</v>
      </c>
      <c r="G103">
        <f t="shared" si="32"/>
        <v>20000</v>
      </c>
      <c r="H103" t="str">
        <f t="shared" ref="H103:H107" si="34">H102</f>
        <v>29/6/2016</v>
      </c>
      <c r="I103" t="str">
        <f t="shared" ref="I103:I106" si="35">I102</f>
        <v>Call</v>
      </c>
      <c r="J103" t="s">
        <v>82</v>
      </c>
      <c r="K103">
        <v>7.3999999999999996E-2</v>
      </c>
    </row>
    <row r="104" spans="1:11">
      <c r="D104" t="s">
        <v>90</v>
      </c>
      <c r="E104">
        <v>7.4999999999999997E-2</v>
      </c>
      <c r="G104">
        <f t="shared" si="32"/>
        <v>20000</v>
      </c>
      <c r="H104" t="str">
        <f t="shared" si="34"/>
        <v>29/6/2016</v>
      </c>
      <c r="I104" t="str">
        <f t="shared" si="35"/>
        <v>Call</v>
      </c>
      <c r="J104" t="s">
        <v>90</v>
      </c>
      <c r="K104">
        <v>7.4999999999999997E-2</v>
      </c>
    </row>
    <row r="105" spans="1:11">
      <c r="D105" t="s">
        <v>28</v>
      </c>
      <c r="E105">
        <v>7.8E-2</v>
      </c>
      <c r="G105">
        <f t="shared" si="32"/>
        <v>20000</v>
      </c>
      <c r="H105" t="str">
        <f t="shared" si="34"/>
        <v>29/6/2016</v>
      </c>
      <c r="I105" t="str">
        <f t="shared" si="35"/>
        <v>Call</v>
      </c>
      <c r="J105" t="s">
        <v>28</v>
      </c>
      <c r="K105">
        <v>7.8E-2</v>
      </c>
    </row>
    <row r="106" spans="1:11">
      <c r="D106" t="s">
        <v>156</v>
      </c>
      <c r="E106">
        <v>7.3999999999999996E-2</v>
      </c>
      <c r="G106">
        <f t="shared" si="32"/>
        <v>20000</v>
      </c>
      <c r="H106" t="str">
        <f t="shared" si="34"/>
        <v>29/6/2016</v>
      </c>
      <c r="I106" t="str">
        <f t="shared" si="35"/>
        <v>Call</v>
      </c>
      <c r="J106" t="s">
        <v>156</v>
      </c>
      <c r="K106">
        <v>7.3999999999999996E-2</v>
      </c>
    </row>
    <row r="107" spans="1:11">
      <c r="C107" t="s">
        <v>251</v>
      </c>
      <c r="D107" t="s">
        <v>75</v>
      </c>
      <c r="E107">
        <v>5.1999999999999998E-2</v>
      </c>
      <c r="G107">
        <f t="shared" si="32"/>
        <v>20000</v>
      </c>
      <c r="H107" t="str">
        <f t="shared" si="34"/>
        <v>29/6/2016</v>
      </c>
      <c r="I107" t="s">
        <v>251</v>
      </c>
      <c r="J107" t="s">
        <v>75</v>
      </c>
      <c r="K107">
        <v>5.1999999999999998E-2</v>
      </c>
    </row>
    <row r="108" spans="1:11">
      <c r="D108" t="s">
        <v>24</v>
      </c>
      <c r="E108">
        <v>5.7000000000000002E-2</v>
      </c>
      <c r="G108">
        <f t="shared" si="32"/>
        <v>20000</v>
      </c>
      <c r="H108" t="str">
        <f t="shared" ref="H108:I109" si="36">H107</f>
        <v>29/6/2016</v>
      </c>
      <c r="I108" t="str">
        <f t="shared" si="36"/>
        <v>Put</v>
      </c>
      <c r="J108" t="s">
        <v>24</v>
      </c>
      <c r="K108">
        <v>5.7000000000000002E-2</v>
      </c>
    </row>
    <row r="109" spans="1:11">
      <c r="D109" t="s">
        <v>128</v>
      </c>
      <c r="E109">
        <v>5.0999999999999997E-2</v>
      </c>
      <c r="G109">
        <f t="shared" si="32"/>
        <v>20000</v>
      </c>
      <c r="H109" t="str">
        <f t="shared" si="36"/>
        <v>29/6/2016</v>
      </c>
      <c r="I109" t="str">
        <f t="shared" si="36"/>
        <v>Put</v>
      </c>
      <c r="J109" t="s">
        <v>128</v>
      </c>
      <c r="K109">
        <v>5.0999999999999997E-2</v>
      </c>
    </row>
    <row r="110" spans="1:11">
      <c r="B110" t="s">
        <v>247</v>
      </c>
      <c r="C110" t="s">
        <v>251</v>
      </c>
      <c r="D110" t="s">
        <v>130</v>
      </c>
      <c r="E110">
        <v>2.9000000000000001E-2</v>
      </c>
      <c r="G110">
        <f t="shared" si="32"/>
        <v>20000</v>
      </c>
      <c r="H110" t="s">
        <v>247</v>
      </c>
      <c r="I110" t="s">
        <v>251</v>
      </c>
      <c r="J110" t="s">
        <v>130</v>
      </c>
      <c r="K110">
        <v>2.9000000000000001E-2</v>
      </c>
    </row>
    <row r="111" spans="1:11">
      <c r="D111" t="s">
        <v>103</v>
      </c>
      <c r="E111">
        <v>2.7E-2</v>
      </c>
      <c r="G111">
        <f t="shared" ref="G111:I111" si="37">G110</f>
        <v>20000</v>
      </c>
      <c r="H111" t="str">
        <f t="shared" si="37"/>
        <v>30/5/2016</v>
      </c>
      <c r="I111" t="str">
        <f t="shared" si="37"/>
        <v>Put</v>
      </c>
      <c r="J111" t="s">
        <v>103</v>
      </c>
      <c r="K111">
        <v>2.7E-2</v>
      </c>
    </row>
    <row r="112" spans="1:11">
      <c r="A112">
        <v>20088</v>
      </c>
      <c r="B112" t="s">
        <v>245</v>
      </c>
      <c r="C112" t="s">
        <v>250</v>
      </c>
      <c r="D112" t="s">
        <v>32</v>
      </c>
      <c r="E112">
        <v>6.7000000000000004E-2</v>
      </c>
      <c r="G112">
        <v>20088</v>
      </c>
      <c r="H112" t="s">
        <v>245</v>
      </c>
      <c r="I112" t="s">
        <v>250</v>
      </c>
      <c r="J112" t="s">
        <v>32</v>
      </c>
      <c r="K112">
        <v>6.7000000000000004E-2</v>
      </c>
    </row>
    <row r="113" spans="1:11">
      <c r="C113" t="s">
        <v>251</v>
      </c>
      <c r="D113" t="s">
        <v>138</v>
      </c>
      <c r="E113">
        <v>5.8999999999999997E-2</v>
      </c>
      <c r="G113">
        <f t="shared" ref="G113:H113" si="38">G112</f>
        <v>20088</v>
      </c>
      <c r="H113" t="str">
        <f t="shared" si="38"/>
        <v>29/6/2016</v>
      </c>
      <c r="I113" t="s">
        <v>251</v>
      </c>
      <c r="J113" t="s">
        <v>138</v>
      </c>
      <c r="K113">
        <v>5.8999999999999997E-2</v>
      </c>
    </row>
    <row r="114" spans="1:11">
      <c r="A114">
        <v>20200</v>
      </c>
      <c r="B114" t="s">
        <v>246</v>
      </c>
      <c r="C114" t="s">
        <v>250</v>
      </c>
      <c r="D114" t="s">
        <v>158</v>
      </c>
      <c r="E114">
        <v>0.11</v>
      </c>
      <c r="G114">
        <v>20200</v>
      </c>
      <c r="H114" t="s">
        <v>246</v>
      </c>
      <c r="I114" t="s">
        <v>250</v>
      </c>
      <c r="J114" t="s">
        <v>158</v>
      </c>
      <c r="K114">
        <v>0.11</v>
      </c>
    </row>
    <row r="115" spans="1:11">
      <c r="D115" t="s">
        <v>221</v>
      </c>
      <c r="E115">
        <v>0.111</v>
      </c>
      <c r="G115">
        <f t="shared" ref="G115:G116" si="39">G114</f>
        <v>20200</v>
      </c>
      <c r="H115" t="str">
        <f t="shared" ref="H115:I115" si="40">H114</f>
        <v>29/9/2016</v>
      </c>
      <c r="I115" t="str">
        <f t="shared" si="40"/>
        <v>Call</v>
      </c>
      <c r="J115" t="s">
        <v>221</v>
      </c>
      <c r="K115">
        <v>0.111</v>
      </c>
    </row>
    <row r="116" spans="1:11">
      <c r="B116" t="s">
        <v>248</v>
      </c>
      <c r="C116" t="s">
        <v>250</v>
      </c>
      <c r="D116" t="s">
        <v>96</v>
      </c>
      <c r="E116">
        <v>0.15</v>
      </c>
      <c r="G116">
        <f t="shared" si="39"/>
        <v>20200</v>
      </c>
      <c r="H116" t="s">
        <v>248</v>
      </c>
      <c r="I116" t="s">
        <v>250</v>
      </c>
      <c r="J116" t="s">
        <v>96</v>
      </c>
      <c r="K116">
        <v>0.15</v>
      </c>
    </row>
    <row r="117" spans="1:11">
      <c r="D117" t="s">
        <v>55</v>
      </c>
      <c r="E117">
        <v>0.14299999999999999</v>
      </c>
      <c r="G117">
        <f t="shared" ref="G117:I117" si="41">G116</f>
        <v>20200</v>
      </c>
      <c r="H117" t="str">
        <f t="shared" si="41"/>
        <v>30/8/2016</v>
      </c>
      <c r="I117" t="str">
        <f t="shared" si="41"/>
        <v>Call</v>
      </c>
      <c r="J117" t="s">
        <v>55</v>
      </c>
      <c r="K117">
        <v>0.14299999999999999</v>
      </c>
    </row>
    <row r="118" spans="1:11">
      <c r="A118">
        <v>20298</v>
      </c>
      <c r="B118" t="s">
        <v>246</v>
      </c>
      <c r="C118" t="s">
        <v>251</v>
      </c>
      <c r="D118" t="s">
        <v>180</v>
      </c>
      <c r="E118">
        <v>0.153</v>
      </c>
      <c r="G118">
        <v>20298</v>
      </c>
      <c r="H118" t="s">
        <v>246</v>
      </c>
      <c r="I118" t="s">
        <v>251</v>
      </c>
      <c r="J118" t="s">
        <v>180</v>
      </c>
      <c r="K118">
        <v>0.153</v>
      </c>
    </row>
    <row r="119" spans="1:11">
      <c r="B119" t="s">
        <v>248</v>
      </c>
      <c r="C119" t="s">
        <v>250</v>
      </c>
      <c r="D119" t="s">
        <v>172</v>
      </c>
      <c r="E119">
        <v>0.13800000000000001</v>
      </c>
      <c r="G119">
        <f>G118</f>
        <v>20298</v>
      </c>
      <c r="H119" t="s">
        <v>248</v>
      </c>
      <c r="I119" t="s">
        <v>250</v>
      </c>
      <c r="J119" t="s">
        <v>172</v>
      </c>
      <c r="K119">
        <v>0.13800000000000001</v>
      </c>
    </row>
    <row r="120" spans="1:11">
      <c r="A120">
        <v>20300</v>
      </c>
      <c r="B120" t="s">
        <v>246</v>
      </c>
      <c r="C120" t="s">
        <v>251</v>
      </c>
      <c r="D120" t="s">
        <v>181</v>
      </c>
      <c r="E120">
        <v>0.13800000000000001</v>
      </c>
      <c r="G120">
        <v>20300</v>
      </c>
      <c r="H120" t="s">
        <v>246</v>
      </c>
      <c r="I120" t="s">
        <v>251</v>
      </c>
      <c r="J120" t="s">
        <v>181</v>
      </c>
      <c r="K120">
        <v>0.13800000000000001</v>
      </c>
    </row>
    <row r="121" spans="1:11">
      <c r="A121">
        <v>20400</v>
      </c>
      <c r="B121" t="s">
        <v>244</v>
      </c>
      <c r="C121" t="s">
        <v>250</v>
      </c>
      <c r="D121" t="s">
        <v>88</v>
      </c>
      <c r="E121">
        <v>8.6999999999999994E-2</v>
      </c>
      <c r="G121">
        <v>20400</v>
      </c>
      <c r="H121" t="s">
        <v>244</v>
      </c>
      <c r="I121" t="s">
        <v>250</v>
      </c>
      <c r="J121" t="s">
        <v>88</v>
      </c>
      <c r="K121">
        <v>8.6999999999999994E-2</v>
      </c>
    </row>
    <row r="122" spans="1:11">
      <c r="D122" t="s">
        <v>95</v>
      </c>
      <c r="E122">
        <v>9.9000000000000005E-2</v>
      </c>
      <c r="G122">
        <f t="shared" ref="G122:G124" si="42">G121</f>
        <v>20400</v>
      </c>
      <c r="H122" t="str">
        <f t="shared" ref="H122:H123" si="43">H121</f>
        <v>28/7/2016</v>
      </c>
      <c r="I122" t="str">
        <f>I121</f>
        <v>Call</v>
      </c>
      <c r="J122" t="s">
        <v>95</v>
      </c>
      <c r="K122">
        <v>9.9000000000000005E-2</v>
      </c>
    </row>
    <row r="123" spans="1:11">
      <c r="C123" t="s">
        <v>251</v>
      </c>
      <c r="D123" t="s">
        <v>227</v>
      </c>
      <c r="E123">
        <v>0.08</v>
      </c>
      <c r="G123">
        <f t="shared" si="42"/>
        <v>20400</v>
      </c>
      <c r="H123" t="str">
        <f t="shared" si="43"/>
        <v>28/7/2016</v>
      </c>
      <c r="I123" t="s">
        <v>251</v>
      </c>
      <c r="J123" t="s">
        <v>227</v>
      </c>
      <c r="K123">
        <v>0.08</v>
      </c>
    </row>
    <row r="124" spans="1:11">
      <c r="B124" t="s">
        <v>246</v>
      </c>
      <c r="C124" t="s">
        <v>251</v>
      </c>
      <c r="D124" t="s">
        <v>184</v>
      </c>
      <c r="E124">
        <v>0.13</v>
      </c>
      <c r="G124">
        <f t="shared" si="42"/>
        <v>20400</v>
      </c>
      <c r="H124" t="s">
        <v>246</v>
      </c>
      <c r="I124" t="s">
        <v>251</v>
      </c>
      <c r="J124" t="s">
        <v>184</v>
      </c>
      <c r="K124">
        <v>0.13</v>
      </c>
    </row>
    <row r="125" spans="1:11">
      <c r="D125" t="s">
        <v>25</v>
      </c>
      <c r="E125">
        <v>0.154</v>
      </c>
      <c r="G125">
        <f t="shared" ref="G125:I125" si="44">G124</f>
        <v>20400</v>
      </c>
      <c r="H125" t="str">
        <f t="shared" si="44"/>
        <v>29/9/2016</v>
      </c>
      <c r="I125" t="str">
        <f t="shared" si="44"/>
        <v>Put</v>
      </c>
      <c r="J125" t="s">
        <v>25</v>
      </c>
      <c r="K125">
        <v>0.154</v>
      </c>
    </row>
    <row r="126" spans="1:11">
      <c r="A126">
        <v>20488</v>
      </c>
      <c r="B126" t="s">
        <v>244</v>
      </c>
      <c r="C126" t="s">
        <v>251</v>
      </c>
      <c r="D126" t="s">
        <v>152</v>
      </c>
      <c r="E126">
        <v>8.3000000000000004E-2</v>
      </c>
      <c r="G126">
        <v>20488</v>
      </c>
      <c r="H126" t="s">
        <v>244</v>
      </c>
      <c r="I126" t="s">
        <v>251</v>
      </c>
      <c r="J126" t="s">
        <v>152</v>
      </c>
      <c r="K126">
        <v>8.3000000000000004E-2</v>
      </c>
    </row>
    <row r="127" spans="1:11">
      <c r="A127">
        <v>20500</v>
      </c>
      <c r="B127" t="s">
        <v>246</v>
      </c>
      <c r="C127" t="s">
        <v>251</v>
      </c>
      <c r="D127" t="s">
        <v>194</v>
      </c>
      <c r="E127">
        <v>0.186</v>
      </c>
      <c r="G127">
        <v>20500</v>
      </c>
      <c r="H127" t="s">
        <v>246</v>
      </c>
      <c r="I127" t="s">
        <v>251</v>
      </c>
      <c r="J127" t="s">
        <v>194</v>
      </c>
      <c r="K127">
        <v>0.186</v>
      </c>
    </row>
    <row r="128" spans="1:11">
      <c r="A128">
        <v>20600</v>
      </c>
      <c r="B128" t="s">
        <v>246</v>
      </c>
      <c r="C128" t="s">
        <v>251</v>
      </c>
      <c r="D128" t="s">
        <v>78</v>
      </c>
      <c r="E128">
        <v>0.17399999999999999</v>
      </c>
      <c r="G128">
        <v>20600</v>
      </c>
      <c r="H128" t="s">
        <v>246</v>
      </c>
      <c r="I128" t="s">
        <v>251</v>
      </c>
      <c r="J128" t="s">
        <v>78</v>
      </c>
      <c r="K128">
        <v>0.17399999999999999</v>
      </c>
    </row>
    <row r="129" spans="1:11">
      <c r="D129" t="s">
        <v>233</v>
      </c>
      <c r="E129" t="s">
        <v>254</v>
      </c>
      <c r="G129">
        <f t="shared" ref="G129:G130" si="45">G128</f>
        <v>20600</v>
      </c>
      <c r="H129" t="str">
        <f t="shared" ref="H129:I129" si="46">H128</f>
        <v>29/9/2016</v>
      </c>
      <c r="I129" t="str">
        <f t="shared" si="46"/>
        <v>Put</v>
      </c>
      <c r="J129" t="s">
        <v>233</v>
      </c>
      <c r="K129" t="s">
        <v>254</v>
      </c>
    </row>
    <row r="130" spans="1:11">
      <c r="B130" t="s">
        <v>248</v>
      </c>
      <c r="C130" t="s">
        <v>250</v>
      </c>
      <c r="D130" t="s">
        <v>92</v>
      </c>
      <c r="E130">
        <v>0.10299999999999999</v>
      </c>
      <c r="G130">
        <f t="shared" si="45"/>
        <v>20600</v>
      </c>
      <c r="H130" t="s">
        <v>248</v>
      </c>
      <c r="I130" t="s">
        <v>250</v>
      </c>
      <c r="J130" t="s">
        <v>92</v>
      </c>
      <c r="K130">
        <v>0.10299999999999999</v>
      </c>
    </row>
    <row r="131" spans="1:11">
      <c r="D131" t="s">
        <v>210</v>
      </c>
      <c r="E131">
        <v>9.2999999999999999E-2</v>
      </c>
      <c r="G131">
        <f t="shared" ref="G131:I133" si="47">G130</f>
        <v>20600</v>
      </c>
      <c r="H131" t="str">
        <f t="shared" si="47"/>
        <v>30/8/2016</v>
      </c>
      <c r="I131" t="str">
        <f t="shared" si="47"/>
        <v>Call</v>
      </c>
      <c r="J131" t="s">
        <v>210</v>
      </c>
      <c r="K131">
        <v>9.2999999999999999E-2</v>
      </c>
    </row>
    <row r="132" spans="1:11">
      <c r="D132" t="s">
        <v>46</v>
      </c>
      <c r="E132">
        <v>8.6999999999999994E-2</v>
      </c>
      <c r="G132">
        <f t="shared" si="47"/>
        <v>20600</v>
      </c>
      <c r="H132" t="str">
        <f t="shared" si="47"/>
        <v>30/8/2016</v>
      </c>
      <c r="I132" t="str">
        <f t="shared" si="47"/>
        <v>Call</v>
      </c>
      <c r="J132" t="s">
        <v>46</v>
      </c>
      <c r="K132">
        <v>8.6999999999999994E-2</v>
      </c>
    </row>
    <row r="133" spans="1:11">
      <c r="D133" t="s">
        <v>123</v>
      </c>
      <c r="E133">
        <v>9.6000000000000002E-2</v>
      </c>
      <c r="G133">
        <f t="shared" si="47"/>
        <v>20600</v>
      </c>
      <c r="H133" t="str">
        <f t="shared" si="47"/>
        <v>30/8/2016</v>
      </c>
      <c r="I133" t="str">
        <f t="shared" si="47"/>
        <v>Call</v>
      </c>
      <c r="J133" t="s">
        <v>123</v>
      </c>
      <c r="K133">
        <v>9.6000000000000002E-2</v>
      </c>
    </row>
    <row r="134" spans="1:11">
      <c r="A134">
        <v>20698</v>
      </c>
      <c r="B134" t="s">
        <v>248</v>
      </c>
      <c r="C134" t="s">
        <v>250</v>
      </c>
      <c r="D134" t="s">
        <v>100</v>
      </c>
      <c r="E134">
        <v>0.09</v>
      </c>
      <c r="G134">
        <v>20698</v>
      </c>
      <c r="H134" t="s">
        <v>248</v>
      </c>
      <c r="I134" t="s">
        <v>250</v>
      </c>
      <c r="J134" t="s">
        <v>100</v>
      </c>
      <c r="K134">
        <v>0.09</v>
      </c>
    </row>
    <row r="135" spans="1:11">
      <c r="A135">
        <v>20800</v>
      </c>
      <c r="B135" t="s">
        <v>244</v>
      </c>
      <c r="C135" t="s">
        <v>250</v>
      </c>
      <c r="D135" t="s">
        <v>87</v>
      </c>
      <c r="E135">
        <v>6.6000000000000003E-2</v>
      </c>
      <c r="G135">
        <v>20800</v>
      </c>
      <c r="H135" t="s">
        <v>244</v>
      </c>
      <c r="I135" t="s">
        <v>250</v>
      </c>
      <c r="J135" t="s">
        <v>87</v>
      </c>
      <c r="K135">
        <v>6.6000000000000003E-2</v>
      </c>
    </row>
    <row r="136" spans="1:11">
      <c r="D136" t="s">
        <v>154</v>
      </c>
      <c r="E136">
        <v>0.06</v>
      </c>
      <c r="G136">
        <f t="shared" ref="G136:G138" si="48">G135</f>
        <v>20800</v>
      </c>
      <c r="H136" t="str">
        <f t="shared" ref="H136:I137" si="49">H135</f>
        <v>28/7/2016</v>
      </c>
      <c r="I136" t="str">
        <f t="shared" si="49"/>
        <v>Call</v>
      </c>
      <c r="J136" t="s">
        <v>154</v>
      </c>
      <c r="K136">
        <v>0.06</v>
      </c>
    </row>
    <row r="137" spans="1:11">
      <c r="D137" t="s">
        <v>41</v>
      </c>
      <c r="E137">
        <v>6.6000000000000003E-2</v>
      </c>
      <c r="G137">
        <f t="shared" si="48"/>
        <v>20800</v>
      </c>
      <c r="H137" t="str">
        <f t="shared" si="49"/>
        <v>28/7/2016</v>
      </c>
      <c r="I137" t="str">
        <f t="shared" si="49"/>
        <v>Call</v>
      </c>
      <c r="J137" t="s">
        <v>41</v>
      </c>
      <c r="K137">
        <v>6.6000000000000003E-2</v>
      </c>
    </row>
    <row r="138" spans="1:11">
      <c r="B138" t="s">
        <v>246</v>
      </c>
      <c r="C138" t="s">
        <v>251</v>
      </c>
      <c r="D138" t="s">
        <v>225</v>
      </c>
      <c r="E138">
        <v>0.158</v>
      </c>
      <c r="G138">
        <f t="shared" si="48"/>
        <v>20800</v>
      </c>
      <c r="H138" t="s">
        <v>246</v>
      </c>
      <c r="I138" t="s">
        <v>251</v>
      </c>
      <c r="J138" t="s">
        <v>225</v>
      </c>
      <c r="K138">
        <v>0.158</v>
      </c>
    </row>
    <row r="139" spans="1:11">
      <c r="D139" t="s">
        <v>179</v>
      </c>
      <c r="E139">
        <v>0.19</v>
      </c>
      <c r="G139">
        <f t="shared" ref="G139:I140" si="50">G138</f>
        <v>20800</v>
      </c>
      <c r="H139" t="str">
        <f t="shared" si="50"/>
        <v>29/9/2016</v>
      </c>
      <c r="I139" t="str">
        <f t="shared" si="50"/>
        <v>Put</v>
      </c>
      <c r="J139" t="s">
        <v>179</v>
      </c>
      <c r="K139">
        <v>0.19</v>
      </c>
    </row>
    <row r="140" spans="1:11">
      <c r="D140" t="s">
        <v>230</v>
      </c>
      <c r="E140" t="s">
        <v>254</v>
      </c>
      <c r="G140">
        <f t="shared" si="50"/>
        <v>20800</v>
      </c>
      <c r="H140" t="str">
        <f t="shared" si="50"/>
        <v>29/9/2016</v>
      </c>
      <c r="I140" t="str">
        <f t="shared" si="50"/>
        <v>Put</v>
      </c>
      <c r="J140" t="s">
        <v>230</v>
      </c>
      <c r="K140" t="s">
        <v>254</v>
      </c>
    </row>
    <row r="141" spans="1:11">
      <c r="A141">
        <v>20900</v>
      </c>
      <c r="B141" t="s">
        <v>245</v>
      </c>
      <c r="C141" t="s">
        <v>251</v>
      </c>
      <c r="D141" t="s">
        <v>65</v>
      </c>
      <c r="E141">
        <v>0.113</v>
      </c>
      <c r="G141">
        <v>20900</v>
      </c>
      <c r="H141" t="s">
        <v>245</v>
      </c>
      <c r="I141" t="s">
        <v>251</v>
      </c>
      <c r="J141" t="s">
        <v>65</v>
      </c>
      <c r="K141">
        <v>0.113</v>
      </c>
    </row>
    <row r="142" spans="1:11">
      <c r="B142" t="s">
        <v>248</v>
      </c>
      <c r="C142" t="s">
        <v>251</v>
      </c>
      <c r="D142" t="s">
        <v>122</v>
      </c>
      <c r="E142">
        <v>0.17899999999999999</v>
      </c>
      <c r="G142">
        <f>G141</f>
        <v>20900</v>
      </c>
      <c r="H142" t="s">
        <v>248</v>
      </c>
      <c r="I142" t="s">
        <v>251</v>
      </c>
      <c r="J142" t="s">
        <v>122</v>
      </c>
      <c r="K142">
        <v>0.17899999999999999</v>
      </c>
    </row>
    <row r="143" spans="1:11">
      <c r="A143">
        <v>21000</v>
      </c>
      <c r="B143" t="s">
        <v>245</v>
      </c>
      <c r="C143" t="s">
        <v>250</v>
      </c>
      <c r="D143" t="s">
        <v>13</v>
      </c>
      <c r="E143">
        <v>1.7000000000000001E-2</v>
      </c>
      <c r="G143">
        <v>21000</v>
      </c>
      <c r="H143" t="s">
        <v>245</v>
      </c>
      <c r="I143" t="s">
        <v>250</v>
      </c>
      <c r="J143" t="s">
        <v>13</v>
      </c>
      <c r="K143">
        <v>1.7000000000000001E-2</v>
      </c>
    </row>
    <row r="144" spans="1:11">
      <c r="D144" t="s">
        <v>22</v>
      </c>
      <c r="E144">
        <v>1.6E-2</v>
      </c>
      <c r="G144">
        <f t="shared" ref="G144:G153" si="51">G143</f>
        <v>21000</v>
      </c>
      <c r="H144" t="str">
        <f t="shared" ref="H144:H147" si="52">H143</f>
        <v>29/6/2016</v>
      </c>
      <c r="I144" t="str">
        <f t="shared" ref="I144:I146" si="53">I143</f>
        <v>Call</v>
      </c>
      <c r="J144" t="s">
        <v>22</v>
      </c>
      <c r="K144">
        <v>1.6E-2</v>
      </c>
    </row>
    <row r="145" spans="1:11">
      <c r="D145" t="s">
        <v>198</v>
      </c>
      <c r="E145">
        <v>1.7999999999999999E-2</v>
      </c>
      <c r="G145">
        <f t="shared" si="51"/>
        <v>21000</v>
      </c>
      <c r="H145" t="str">
        <f t="shared" si="52"/>
        <v>29/6/2016</v>
      </c>
      <c r="I145" t="str">
        <f t="shared" si="53"/>
        <v>Call</v>
      </c>
      <c r="J145" t="s">
        <v>198</v>
      </c>
      <c r="K145">
        <v>1.7999999999999999E-2</v>
      </c>
    </row>
    <row r="146" spans="1:11">
      <c r="D146" t="s">
        <v>127</v>
      </c>
      <c r="E146">
        <v>1.7999999999999999E-2</v>
      </c>
      <c r="G146">
        <f t="shared" si="51"/>
        <v>21000</v>
      </c>
      <c r="H146" t="str">
        <f t="shared" si="52"/>
        <v>29/6/2016</v>
      </c>
      <c r="I146" t="str">
        <f t="shared" si="53"/>
        <v>Call</v>
      </c>
      <c r="J146" t="s">
        <v>127</v>
      </c>
      <c r="K146">
        <v>1.7999999999999999E-2</v>
      </c>
    </row>
    <row r="147" spans="1:11">
      <c r="C147" t="s">
        <v>251</v>
      </c>
      <c r="D147" t="s">
        <v>139</v>
      </c>
      <c r="E147">
        <v>0.121</v>
      </c>
      <c r="G147">
        <f t="shared" si="51"/>
        <v>21000</v>
      </c>
      <c r="H147" t="str">
        <f t="shared" si="52"/>
        <v>29/6/2016</v>
      </c>
      <c r="I147" t="s">
        <v>251</v>
      </c>
      <c r="J147" t="s">
        <v>139</v>
      </c>
      <c r="K147">
        <v>0.121</v>
      </c>
    </row>
    <row r="148" spans="1:11">
      <c r="D148" t="s">
        <v>23</v>
      </c>
      <c r="E148">
        <v>0.13300000000000001</v>
      </c>
      <c r="G148">
        <f t="shared" si="51"/>
        <v>21000</v>
      </c>
      <c r="H148" t="str">
        <f t="shared" ref="H148:I148" si="54">H147</f>
        <v>29/6/2016</v>
      </c>
      <c r="I148" t="str">
        <f t="shared" si="54"/>
        <v>Put</v>
      </c>
      <c r="J148" t="s">
        <v>23</v>
      </c>
      <c r="K148">
        <v>0.13300000000000001</v>
      </c>
    </row>
    <row r="149" spans="1:11">
      <c r="B149" t="s">
        <v>246</v>
      </c>
      <c r="C149" t="s">
        <v>250</v>
      </c>
      <c r="D149" t="s">
        <v>202</v>
      </c>
      <c r="E149">
        <v>7.9000000000000001E-2</v>
      </c>
      <c r="G149">
        <f t="shared" si="51"/>
        <v>21000</v>
      </c>
      <c r="H149" t="s">
        <v>246</v>
      </c>
      <c r="I149" t="s">
        <v>250</v>
      </c>
      <c r="J149" t="s">
        <v>202</v>
      </c>
      <c r="K149">
        <v>7.9000000000000001E-2</v>
      </c>
    </row>
    <row r="150" spans="1:11">
      <c r="D150" t="s">
        <v>167</v>
      </c>
      <c r="E150">
        <v>8.6999999999999994E-2</v>
      </c>
      <c r="G150">
        <f t="shared" si="51"/>
        <v>21000</v>
      </c>
      <c r="H150" t="str">
        <f t="shared" ref="H150:I152" si="55">H149</f>
        <v>29/9/2016</v>
      </c>
      <c r="I150" t="str">
        <f t="shared" si="55"/>
        <v>Call</v>
      </c>
      <c r="J150" t="s">
        <v>167</v>
      </c>
      <c r="K150">
        <v>8.6999999999999994E-2</v>
      </c>
    </row>
    <row r="151" spans="1:11">
      <c r="D151" t="s">
        <v>111</v>
      </c>
      <c r="E151">
        <v>8.1000000000000003E-2</v>
      </c>
      <c r="G151">
        <f t="shared" si="51"/>
        <v>21000</v>
      </c>
      <c r="H151" t="str">
        <f t="shared" si="55"/>
        <v>29/9/2016</v>
      </c>
      <c r="I151" t="str">
        <f t="shared" si="55"/>
        <v>Call</v>
      </c>
      <c r="J151" t="s">
        <v>111</v>
      </c>
      <c r="K151">
        <v>8.1000000000000003E-2</v>
      </c>
    </row>
    <row r="152" spans="1:11">
      <c r="D152" t="s">
        <v>48</v>
      </c>
      <c r="E152">
        <v>8.7999999999999995E-2</v>
      </c>
      <c r="G152">
        <f t="shared" si="51"/>
        <v>21000</v>
      </c>
      <c r="H152" t="str">
        <f t="shared" si="55"/>
        <v>29/9/2016</v>
      </c>
      <c r="I152" t="str">
        <f t="shared" si="55"/>
        <v>Call</v>
      </c>
      <c r="J152" t="s">
        <v>48</v>
      </c>
      <c r="K152">
        <v>8.7999999999999995E-2</v>
      </c>
    </row>
    <row r="153" spans="1:11">
      <c r="B153" t="s">
        <v>248</v>
      </c>
      <c r="C153" t="s">
        <v>251</v>
      </c>
      <c r="D153" t="s">
        <v>18</v>
      </c>
      <c r="E153">
        <v>0.18</v>
      </c>
      <c r="G153">
        <f t="shared" si="51"/>
        <v>21000</v>
      </c>
      <c r="H153" t="s">
        <v>248</v>
      </c>
      <c r="I153" t="s">
        <v>251</v>
      </c>
      <c r="J153" t="s">
        <v>18</v>
      </c>
      <c r="K153">
        <v>0.18</v>
      </c>
    </row>
    <row r="154" spans="1:11">
      <c r="D154" t="s">
        <v>121</v>
      </c>
      <c r="E154">
        <v>0.193</v>
      </c>
      <c r="G154">
        <f t="shared" ref="G154:I155" si="56">G153</f>
        <v>21000</v>
      </c>
      <c r="H154" t="str">
        <f t="shared" si="56"/>
        <v>30/8/2016</v>
      </c>
      <c r="I154" t="str">
        <f t="shared" si="56"/>
        <v>Put</v>
      </c>
      <c r="J154" t="s">
        <v>121</v>
      </c>
      <c r="K154">
        <v>0.193</v>
      </c>
    </row>
    <row r="155" spans="1:11">
      <c r="D155" t="s">
        <v>61</v>
      </c>
      <c r="E155">
        <v>0.19900000000000001</v>
      </c>
      <c r="G155">
        <f t="shared" si="56"/>
        <v>21000</v>
      </c>
      <c r="H155" t="str">
        <f t="shared" si="56"/>
        <v>30/8/2016</v>
      </c>
      <c r="I155" t="str">
        <f t="shared" si="56"/>
        <v>Put</v>
      </c>
      <c r="J155" t="s">
        <v>61</v>
      </c>
      <c r="K155">
        <v>0.19900000000000001</v>
      </c>
    </row>
    <row r="156" spans="1:11">
      <c r="A156">
        <v>21088</v>
      </c>
      <c r="B156" t="s">
        <v>246</v>
      </c>
      <c r="C156" t="s">
        <v>250</v>
      </c>
      <c r="D156" t="s">
        <v>163</v>
      </c>
      <c r="E156">
        <v>8.3000000000000004E-2</v>
      </c>
      <c r="G156">
        <v>21088</v>
      </c>
      <c r="H156" t="s">
        <v>246</v>
      </c>
      <c r="I156" t="s">
        <v>250</v>
      </c>
      <c r="J156" t="s">
        <v>163</v>
      </c>
      <c r="K156">
        <v>8.3000000000000004E-2</v>
      </c>
    </row>
    <row r="157" spans="1:11">
      <c r="B157" t="s">
        <v>248</v>
      </c>
      <c r="C157" t="s">
        <v>251</v>
      </c>
      <c r="D157" t="s">
        <v>62</v>
      </c>
      <c r="E157" t="s">
        <v>254</v>
      </c>
      <c r="G157">
        <f>G156</f>
        <v>21088</v>
      </c>
      <c r="H157" t="s">
        <v>248</v>
      </c>
      <c r="I157" t="s">
        <v>251</v>
      </c>
      <c r="J157" t="s">
        <v>62</v>
      </c>
      <c r="K157" t="s">
        <v>254</v>
      </c>
    </row>
    <row r="158" spans="1:11">
      <c r="A158">
        <v>21100</v>
      </c>
      <c r="B158" t="s">
        <v>245</v>
      </c>
      <c r="C158" t="s">
        <v>250</v>
      </c>
      <c r="D158" t="s">
        <v>81</v>
      </c>
      <c r="E158">
        <v>1.4999999999999999E-2</v>
      </c>
      <c r="G158">
        <v>21100</v>
      </c>
      <c r="H158" t="s">
        <v>245</v>
      </c>
      <c r="I158" t="s">
        <v>250</v>
      </c>
      <c r="J158" t="s">
        <v>81</v>
      </c>
      <c r="K158">
        <v>1.4999999999999999E-2</v>
      </c>
    </row>
    <row r="159" spans="1:11">
      <c r="A159">
        <v>21400</v>
      </c>
      <c r="B159" t="s">
        <v>243</v>
      </c>
      <c r="C159" t="s">
        <v>251</v>
      </c>
      <c r="D159" t="s">
        <v>58</v>
      </c>
      <c r="E159">
        <v>0.21</v>
      </c>
      <c r="G159">
        <v>21400</v>
      </c>
      <c r="H159" t="s">
        <v>243</v>
      </c>
      <c r="I159" t="s">
        <v>251</v>
      </c>
      <c r="J159" t="s">
        <v>58</v>
      </c>
      <c r="K159">
        <v>0.21</v>
      </c>
    </row>
    <row r="160" spans="1:11">
      <c r="B160" t="s">
        <v>244</v>
      </c>
      <c r="C160" t="s">
        <v>251</v>
      </c>
      <c r="D160" t="s">
        <v>232</v>
      </c>
      <c r="E160">
        <v>0.19600000000000001</v>
      </c>
      <c r="G160">
        <f t="shared" ref="G160:G164" si="57">G159</f>
        <v>21400</v>
      </c>
      <c r="H160" t="s">
        <v>244</v>
      </c>
      <c r="I160" t="s">
        <v>251</v>
      </c>
      <c r="J160" t="s">
        <v>232</v>
      </c>
      <c r="K160">
        <v>0.19600000000000001</v>
      </c>
    </row>
    <row r="161" spans="1:11">
      <c r="B161" t="s">
        <v>246</v>
      </c>
      <c r="C161" t="s">
        <v>250</v>
      </c>
      <c r="D161" t="s">
        <v>101</v>
      </c>
      <c r="E161">
        <v>5.2999999999999999E-2</v>
      </c>
      <c r="G161">
        <f t="shared" si="57"/>
        <v>21400</v>
      </c>
      <c r="H161" t="s">
        <v>246</v>
      </c>
      <c r="I161" t="s">
        <v>250</v>
      </c>
      <c r="J161" t="s">
        <v>101</v>
      </c>
      <c r="K161">
        <v>5.2999999999999999E-2</v>
      </c>
    </row>
    <row r="162" spans="1:11">
      <c r="D162" t="s">
        <v>174</v>
      </c>
      <c r="E162">
        <v>6.0999999999999999E-2</v>
      </c>
      <c r="G162">
        <f t="shared" si="57"/>
        <v>21400</v>
      </c>
      <c r="H162" t="str">
        <f t="shared" ref="H162:I163" si="58">H161</f>
        <v>29/9/2016</v>
      </c>
      <c r="I162" t="str">
        <f t="shared" si="58"/>
        <v>Call</v>
      </c>
      <c r="J162" t="s">
        <v>174</v>
      </c>
      <c r="K162">
        <v>6.0999999999999999E-2</v>
      </c>
    </row>
    <row r="163" spans="1:11">
      <c r="D163" t="s">
        <v>112</v>
      </c>
      <c r="E163">
        <v>6.3E-2</v>
      </c>
      <c r="G163">
        <f t="shared" si="57"/>
        <v>21400</v>
      </c>
      <c r="H163" t="str">
        <f t="shared" si="58"/>
        <v>29/9/2016</v>
      </c>
      <c r="I163" t="str">
        <f t="shared" si="58"/>
        <v>Call</v>
      </c>
      <c r="J163" t="s">
        <v>112</v>
      </c>
      <c r="K163">
        <v>6.3E-2</v>
      </c>
    </row>
    <row r="164" spans="1:11">
      <c r="B164" t="s">
        <v>248</v>
      </c>
      <c r="C164" t="s">
        <v>250</v>
      </c>
      <c r="D164" t="s">
        <v>149</v>
      </c>
      <c r="E164">
        <v>4.7E-2</v>
      </c>
      <c r="G164">
        <f t="shared" si="57"/>
        <v>21400</v>
      </c>
      <c r="H164" t="s">
        <v>248</v>
      </c>
      <c r="I164" t="s">
        <v>250</v>
      </c>
      <c r="J164" t="s">
        <v>149</v>
      </c>
      <c r="K164">
        <v>4.7E-2</v>
      </c>
    </row>
    <row r="165" spans="1:11">
      <c r="D165" t="s">
        <v>94</v>
      </c>
      <c r="E165" t="s">
        <v>254</v>
      </c>
      <c r="G165">
        <f t="shared" ref="G165:I166" si="59">G164</f>
        <v>21400</v>
      </c>
      <c r="H165" t="str">
        <f t="shared" si="59"/>
        <v>30/8/2016</v>
      </c>
      <c r="I165" t="str">
        <f t="shared" si="59"/>
        <v>Call</v>
      </c>
      <c r="J165" t="s">
        <v>94</v>
      </c>
      <c r="K165" t="s">
        <v>254</v>
      </c>
    </row>
    <row r="166" spans="1:11">
      <c r="D166" t="s">
        <v>52</v>
      </c>
      <c r="E166">
        <v>5.5E-2</v>
      </c>
      <c r="G166">
        <f t="shared" si="59"/>
        <v>21400</v>
      </c>
      <c r="H166" t="str">
        <f t="shared" si="59"/>
        <v>30/8/2016</v>
      </c>
      <c r="I166" t="str">
        <f t="shared" si="59"/>
        <v>Call</v>
      </c>
      <c r="J166" t="s">
        <v>52</v>
      </c>
      <c r="K166">
        <v>5.5E-2</v>
      </c>
    </row>
    <row r="167" spans="1:11">
      <c r="A167">
        <v>21498</v>
      </c>
      <c r="B167" t="s">
        <v>246</v>
      </c>
      <c r="C167" t="s">
        <v>250</v>
      </c>
      <c r="D167" t="s">
        <v>42</v>
      </c>
      <c r="E167">
        <v>5.7000000000000002E-2</v>
      </c>
      <c r="G167">
        <v>21498</v>
      </c>
      <c r="H167" t="s">
        <v>246</v>
      </c>
      <c r="I167" t="s">
        <v>250</v>
      </c>
      <c r="J167" t="s">
        <v>42</v>
      </c>
      <c r="K167">
        <v>5.7000000000000002E-2</v>
      </c>
    </row>
    <row r="168" spans="1:11">
      <c r="A168">
        <v>21500</v>
      </c>
      <c r="B168" t="s">
        <v>244</v>
      </c>
      <c r="C168" t="s">
        <v>251</v>
      </c>
      <c r="D168" t="s">
        <v>83</v>
      </c>
      <c r="E168">
        <v>0.184</v>
      </c>
      <c r="G168">
        <v>21500</v>
      </c>
      <c r="H168" t="s">
        <v>244</v>
      </c>
      <c r="I168" t="s">
        <v>251</v>
      </c>
      <c r="J168" t="s">
        <v>83</v>
      </c>
      <c r="K168">
        <v>0.184</v>
      </c>
    </row>
    <row r="169" spans="1:11">
      <c r="D169" t="s">
        <v>176</v>
      </c>
      <c r="E169">
        <v>0.17699999999999999</v>
      </c>
      <c r="G169">
        <f t="shared" ref="G169:G171" si="60">G168</f>
        <v>21500</v>
      </c>
      <c r="H169" t="str">
        <f t="shared" ref="H169:I170" si="61">H168</f>
        <v>28/7/2016</v>
      </c>
      <c r="I169" t="str">
        <f t="shared" si="61"/>
        <v>Put</v>
      </c>
      <c r="J169" t="s">
        <v>176</v>
      </c>
      <c r="K169">
        <v>0.17699999999999999</v>
      </c>
    </row>
    <row r="170" spans="1:11">
      <c r="D170" t="s">
        <v>59</v>
      </c>
      <c r="E170">
        <v>0.185</v>
      </c>
      <c r="G170">
        <f t="shared" si="60"/>
        <v>21500</v>
      </c>
      <c r="H170" t="str">
        <f t="shared" si="61"/>
        <v>28/7/2016</v>
      </c>
      <c r="I170" t="str">
        <f t="shared" si="61"/>
        <v>Put</v>
      </c>
      <c r="J170" t="s">
        <v>59</v>
      </c>
      <c r="K170">
        <v>0.185</v>
      </c>
    </row>
    <row r="171" spans="1:11">
      <c r="B171" t="s">
        <v>248</v>
      </c>
      <c r="C171" t="s">
        <v>250</v>
      </c>
      <c r="D171" t="s">
        <v>234</v>
      </c>
      <c r="E171">
        <v>4.2999999999999997E-2</v>
      </c>
      <c r="G171">
        <f t="shared" si="60"/>
        <v>21500</v>
      </c>
      <c r="H171" t="s">
        <v>248</v>
      </c>
      <c r="I171" t="s">
        <v>250</v>
      </c>
      <c r="J171" t="s">
        <v>234</v>
      </c>
      <c r="K171">
        <v>4.2999999999999997E-2</v>
      </c>
    </row>
    <row r="172" spans="1:11">
      <c r="A172">
        <v>21600</v>
      </c>
      <c r="B172" t="s">
        <v>244</v>
      </c>
      <c r="C172" t="s">
        <v>250</v>
      </c>
      <c r="D172" t="s">
        <v>201</v>
      </c>
      <c r="E172">
        <v>0.02</v>
      </c>
      <c r="G172">
        <v>21600</v>
      </c>
      <c r="H172" t="s">
        <v>244</v>
      </c>
      <c r="I172" t="s">
        <v>250</v>
      </c>
      <c r="J172" t="s">
        <v>201</v>
      </c>
      <c r="K172">
        <v>0.02</v>
      </c>
    </row>
    <row r="173" spans="1:11">
      <c r="D173" t="s">
        <v>26</v>
      </c>
      <c r="E173">
        <v>1.7999999999999999E-2</v>
      </c>
      <c r="G173">
        <f t="shared" ref="G173:G175" si="62">G172</f>
        <v>21600</v>
      </c>
      <c r="H173" t="str">
        <f t="shared" ref="H173:H174" si="63">H172</f>
        <v>28/7/2016</v>
      </c>
      <c r="I173" t="str">
        <f>I172</f>
        <v>Call</v>
      </c>
      <c r="J173" t="s">
        <v>26</v>
      </c>
      <c r="K173">
        <v>1.7999999999999999E-2</v>
      </c>
    </row>
    <row r="174" spans="1:11">
      <c r="C174" t="s">
        <v>251</v>
      </c>
      <c r="D174" t="s">
        <v>60</v>
      </c>
      <c r="E174">
        <v>0.191</v>
      </c>
      <c r="G174">
        <f t="shared" si="62"/>
        <v>21600</v>
      </c>
      <c r="H174" t="str">
        <f t="shared" si="63"/>
        <v>28/7/2016</v>
      </c>
      <c r="I174" t="s">
        <v>251</v>
      </c>
      <c r="J174" t="s">
        <v>60</v>
      </c>
      <c r="K174">
        <v>0.191</v>
      </c>
    </row>
    <row r="175" spans="1:11">
      <c r="B175" t="s">
        <v>245</v>
      </c>
      <c r="C175" t="s">
        <v>251</v>
      </c>
      <c r="D175" t="s">
        <v>193</v>
      </c>
      <c r="E175">
        <v>0.20200000000000001</v>
      </c>
      <c r="G175">
        <f t="shared" si="62"/>
        <v>21600</v>
      </c>
      <c r="H175" t="s">
        <v>245</v>
      </c>
      <c r="I175" t="s">
        <v>251</v>
      </c>
      <c r="J175" t="s">
        <v>193</v>
      </c>
      <c r="K175">
        <v>0.20200000000000001</v>
      </c>
    </row>
    <row r="176" spans="1:11">
      <c r="D176" t="s">
        <v>85</v>
      </c>
      <c r="E176">
        <v>0.223</v>
      </c>
      <c r="G176">
        <f t="shared" ref="G176:I176" si="64">G175</f>
        <v>21600</v>
      </c>
      <c r="H176" t="str">
        <f t="shared" si="64"/>
        <v>29/6/2016</v>
      </c>
      <c r="I176" t="str">
        <f t="shared" si="64"/>
        <v>Put</v>
      </c>
      <c r="J176" t="s">
        <v>85</v>
      </c>
      <c r="K176">
        <v>0.223</v>
      </c>
    </row>
    <row r="177" spans="1:11">
      <c r="A177">
        <v>21800</v>
      </c>
      <c r="B177" t="s">
        <v>243</v>
      </c>
      <c r="C177" t="s">
        <v>250</v>
      </c>
      <c r="D177" t="s">
        <v>115</v>
      </c>
      <c r="E177" t="s">
        <v>254</v>
      </c>
      <c r="G177">
        <v>21800</v>
      </c>
      <c r="H177" t="s">
        <v>243</v>
      </c>
      <c r="I177" t="s">
        <v>250</v>
      </c>
      <c r="J177" t="s">
        <v>115</v>
      </c>
      <c r="K177" t="s">
        <v>254</v>
      </c>
    </row>
    <row r="178" spans="1:11">
      <c r="D178" t="s">
        <v>54</v>
      </c>
      <c r="E178" t="s">
        <v>254</v>
      </c>
      <c r="G178">
        <f t="shared" ref="G178:I182" si="65">G177</f>
        <v>21800</v>
      </c>
      <c r="H178" t="str">
        <f t="shared" si="65"/>
        <v>28/10/2016</v>
      </c>
      <c r="I178" t="str">
        <f t="shared" si="65"/>
        <v>Call</v>
      </c>
      <c r="J178" t="s">
        <v>54</v>
      </c>
      <c r="K178" t="s">
        <v>254</v>
      </c>
    </row>
    <row r="179" spans="1:11">
      <c r="D179" t="s">
        <v>177</v>
      </c>
      <c r="E179" t="s">
        <v>254</v>
      </c>
      <c r="G179">
        <f t="shared" si="65"/>
        <v>21800</v>
      </c>
      <c r="H179" t="str">
        <f t="shared" si="65"/>
        <v>28/10/2016</v>
      </c>
      <c r="I179" t="str">
        <f t="shared" si="65"/>
        <v>Call</v>
      </c>
      <c r="J179" t="s">
        <v>177</v>
      </c>
      <c r="K179" t="s">
        <v>254</v>
      </c>
    </row>
    <row r="180" spans="1:11">
      <c r="D180" t="s">
        <v>117</v>
      </c>
      <c r="E180">
        <v>6.9000000000000006E-2</v>
      </c>
      <c r="G180">
        <f t="shared" si="65"/>
        <v>21800</v>
      </c>
      <c r="H180" t="str">
        <f t="shared" si="65"/>
        <v>28/10/2016</v>
      </c>
      <c r="I180" t="str">
        <f t="shared" si="65"/>
        <v>Call</v>
      </c>
      <c r="J180" t="s">
        <v>117</v>
      </c>
      <c r="K180">
        <v>6.9000000000000006E-2</v>
      </c>
    </row>
    <row r="181" spans="1:11">
      <c r="D181" t="s">
        <v>228</v>
      </c>
      <c r="E181" t="s">
        <v>254</v>
      </c>
      <c r="G181">
        <f t="shared" si="65"/>
        <v>21800</v>
      </c>
      <c r="H181" t="str">
        <f t="shared" si="65"/>
        <v>28/10/2016</v>
      </c>
      <c r="I181" t="str">
        <f t="shared" si="65"/>
        <v>Call</v>
      </c>
      <c r="J181" t="s">
        <v>228</v>
      </c>
      <c r="K181" t="s">
        <v>254</v>
      </c>
    </row>
    <row r="182" spans="1:11">
      <c r="D182" t="s">
        <v>57</v>
      </c>
      <c r="E182">
        <v>6.7000000000000004E-2</v>
      </c>
      <c r="G182">
        <f t="shared" si="65"/>
        <v>21800</v>
      </c>
      <c r="H182" t="str">
        <f t="shared" si="65"/>
        <v>28/10/2016</v>
      </c>
      <c r="I182" t="str">
        <f t="shared" si="65"/>
        <v>Call</v>
      </c>
      <c r="J182" t="s">
        <v>57</v>
      </c>
      <c r="K182">
        <v>6.7000000000000004E-2</v>
      </c>
    </row>
    <row r="183" spans="1:11">
      <c r="A183">
        <v>21900</v>
      </c>
      <c r="B183" t="s">
        <v>243</v>
      </c>
      <c r="C183" t="s">
        <v>250</v>
      </c>
      <c r="D183" t="s">
        <v>63</v>
      </c>
      <c r="E183" t="s">
        <v>254</v>
      </c>
      <c r="G183">
        <v>21900</v>
      </c>
      <c r="H183" t="s">
        <v>243</v>
      </c>
      <c r="I183" t="s">
        <v>250</v>
      </c>
      <c r="J183" t="s">
        <v>63</v>
      </c>
      <c r="K183" t="s">
        <v>254</v>
      </c>
    </row>
    <row r="184" spans="1:11">
      <c r="A184">
        <v>22000</v>
      </c>
      <c r="B184" t="s">
        <v>243</v>
      </c>
      <c r="C184" t="s">
        <v>250</v>
      </c>
      <c r="D184" t="s">
        <v>53</v>
      </c>
      <c r="E184">
        <v>6.2E-2</v>
      </c>
      <c r="G184">
        <v>22000</v>
      </c>
      <c r="H184" t="s">
        <v>243</v>
      </c>
      <c r="I184" t="s">
        <v>250</v>
      </c>
      <c r="J184" t="s">
        <v>53</v>
      </c>
      <c r="K184">
        <v>6.2E-2</v>
      </c>
    </row>
    <row r="185" spans="1:11">
      <c r="B185" t="s">
        <v>245</v>
      </c>
      <c r="C185" t="s">
        <v>250</v>
      </c>
      <c r="D185" t="s">
        <v>17</v>
      </c>
      <c r="E185">
        <v>0.01</v>
      </c>
      <c r="G185">
        <f t="shared" ref="G185:G188" si="66">G184</f>
        <v>22000</v>
      </c>
      <c r="H185" t="s">
        <v>245</v>
      </c>
      <c r="I185" t="s">
        <v>250</v>
      </c>
      <c r="J185" t="s">
        <v>17</v>
      </c>
      <c r="K185">
        <v>0.01</v>
      </c>
    </row>
    <row r="186" spans="1:11">
      <c r="D186" t="s">
        <v>195</v>
      </c>
      <c r="E186">
        <v>0.01</v>
      </c>
      <c r="G186">
        <f t="shared" si="66"/>
        <v>22000</v>
      </c>
      <c r="H186" t="str">
        <f t="shared" ref="H186:I187" si="67">H185</f>
        <v>29/6/2016</v>
      </c>
      <c r="I186" t="str">
        <f t="shared" si="67"/>
        <v>Call</v>
      </c>
      <c r="J186" t="s">
        <v>195</v>
      </c>
      <c r="K186">
        <v>0.01</v>
      </c>
    </row>
    <row r="187" spans="1:11">
      <c r="D187" t="s">
        <v>80</v>
      </c>
      <c r="E187">
        <v>0.01</v>
      </c>
      <c r="G187">
        <f t="shared" si="66"/>
        <v>22000</v>
      </c>
      <c r="H187" t="str">
        <f t="shared" si="67"/>
        <v>29/6/2016</v>
      </c>
      <c r="I187" t="str">
        <f t="shared" si="67"/>
        <v>Call</v>
      </c>
      <c r="J187" t="s">
        <v>80</v>
      </c>
      <c r="K187">
        <v>0.01</v>
      </c>
    </row>
    <row r="188" spans="1:11">
      <c r="B188" t="s">
        <v>247</v>
      </c>
      <c r="C188" t="s">
        <v>251</v>
      </c>
      <c r="D188" t="s">
        <v>190</v>
      </c>
      <c r="E188">
        <v>0.32</v>
      </c>
      <c r="G188">
        <f t="shared" si="66"/>
        <v>22000</v>
      </c>
      <c r="H188" t="s">
        <v>247</v>
      </c>
      <c r="I188" t="s">
        <v>251</v>
      </c>
      <c r="J188" t="s">
        <v>190</v>
      </c>
      <c r="K188">
        <v>0.32</v>
      </c>
    </row>
    <row r="189" spans="1:11">
      <c r="A189">
        <v>22088</v>
      </c>
      <c r="B189" t="s">
        <v>247</v>
      </c>
      <c r="C189" t="s">
        <v>251</v>
      </c>
      <c r="D189" t="s">
        <v>192</v>
      </c>
      <c r="E189">
        <v>0.31</v>
      </c>
      <c r="G189">
        <v>22088</v>
      </c>
      <c r="H189" t="s">
        <v>247</v>
      </c>
      <c r="I189" t="s">
        <v>251</v>
      </c>
      <c r="J189" t="s">
        <v>192</v>
      </c>
      <c r="K189">
        <v>0.31</v>
      </c>
    </row>
    <row r="190" spans="1:11">
      <c r="A190">
        <v>22100</v>
      </c>
      <c r="B190" t="s">
        <v>245</v>
      </c>
      <c r="C190" t="s">
        <v>250</v>
      </c>
      <c r="D190" t="s">
        <v>148</v>
      </c>
      <c r="E190">
        <v>1.2999999999999999E-2</v>
      </c>
      <c r="G190">
        <v>22100</v>
      </c>
      <c r="H190" t="s">
        <v>245</v>
      </c>
      <c r="I190" t="s">
        <v>250</v>
      </c>
      <c r="J190" t="s">
        <v>148</v>
      </c>
      <c r="K190">
        <v>1.2999999999999999E-2</v>
      </c>
    </row>
    <row r="191" spans="1:11">
      <c r="C191" t="s">
        <v>251</v>
      </c>
      <c r="D191" t="s">
        <v>133</v>
      </c>
      <c r="E191">
        <v>0.24199999999999999</v>
      </c>
      <c r="G191">
        <f t="shared" ref="G191:H191" si="68">G190</f>
        <v>22100</v>
      </c>
      <c r="H191" t="str">
        <f t="shared" si="68"/>
        <v>29/6/2016</v>
      </c>
      <c r="I191" t="s">
        <v>251</v>
      </c>
      <c r="J191" t="s">
        <v>133</v>
      </c>
      <c r="K191">
        <v>0.24199999999999999</v>
      </c>
    </row>
    <row r="192" spans="1:11">
      <c r="A192">
        <v>22108</v>
      </c>
      <c r="B192" t="s">
        <v>243</v>
      </c>
      <c r="C192" t="s">
        <v>250</v>
      </c>
      <c r="D192" t="s">
        <v>231</v>
      </c>
      <c r="E192" t="s">
        <v>254</v>
      </c>
      <c r="G192">
        <v>22108</v>
      </c>
      <c r="H192" t="s">
        <v>243</v>
      </c>
      <c r="I192" t="s">
        <v>250</v>
      </c>
      <c r="J192" t="s">
        <v>231</v>
      </c>
      <c r="K192" t="s">
        <v>254</v>
      </c>
    </row>
    <row r="193" spans="1:11">
      <c r="A193">
        <v>22200</v>
      </c>
      <c r="B193" t="s">
        <v>245</v>
      </c>
      <c r="C193" t="s">
        <v>250</v>
      </c>
      <c r="D193" t="s">
        <v>196</v>
      </c>
      <c r="E193">
        <v>0.01</v>
      </c>
      <c r="G193">
        <v>22200</v>
      </c>
      <c r="H193" t="s">
        <v>245</v>
      </c>
      <c r="I193" t="s">
        <v>250</v>
      </c>
      <c r="J193" t="s">
        <v>196</v>
      </c>
      <c r="K193">
        <v>0.01</v>
      </c>
    </row>
    <row r="194" spans="1:11">
      <c r="D194" t="s">
        <v>84</v>
      </c>
      <c r="E194">
        <v>0.01</v>
      </c>
      <c r="G194">
        <f t="shared" ref="G194:I194" si="69">G193</f>
        <v>22200</v>
      </c>
      <c r="H194" t="str">
        <f t="shared" si="69"/>
        <v>29/6/2016</v>
      </c>
      <c r="I194" t="str">
        <f t="shared" si="69"/>
        <v>Call</v>
      </c>
      <c r="J194" t="s">
        <v>84</v>
      </c>
      <c r="K194">
        <v>0.01</v>
      </c>
    </row>
    <row r="195" spans="1:11">
      <c r="C195" t="s">
        <v>251</v>
      </c>
      <c r="D195" t="s">
        <v>131</v>
      </c>
      <c r="E195">
        <v>0.25</v>
      </c>
      <c r="G195">
        <f t="shared" ref="G195:H195" si="70">G194</f>
        <v>22200</v>
      </c>
      <c r="H195" t="str">
        <f t="shared" si="70"/>
        <v>29/6/2016</v>
      </c>
      <c r="I195" t="s">
        <v>251</v>
      </c>
      <c r="J195" t="s">
        <v>131</v>
      </c>
      <c r="K195">
        <v>0.25</v>
      </c>
    </row>
    <row r="196" spans="1:11">
      <c r="A196">
        <v>22308</v>
      </c>
      <c r="B196" t="s">
        <v>245</v>
      </c>
      <c r="C196" t="s">
        <v>250</v>
      </c>
      <c r="D196" t="s">
        <v>11</v>
      </c>
      <c r="E196">
        <v>0.01</v>
      </c>
      <c r="G196">
        <v>22308</v>
      </c>
      <c r="H196" t="s">
        <v>245</v>
      </c>
      <c r="I196" t="s">
        <v>250</v>
      </c>
      <c r="J196" t="s">
        <v>11</v>
      </c>
      <c r="K196">
        <v>0.01</v>
      </c>
    </row>
    <row r="197" spans="1:11">
      <c r="A197">
        <v>22500</v>
      </c>
      <c r="B197" t="s">
        <v>248</v>
      </c>
      <c r="C197" t="s">
        <v>251</v>
      </c>
      <c r="D197" t="s">
        <v>145</v>
      </c>
      <c r="E197">
        <v>0.246</v>
      </c>
      <c r="G197">
        <v>22500</v>
      </c>
      <c r="H197" t="s">
        <v>248</v>
      </c>
      <c r="I197" t="s">
        <v>251</v>
      </c>
      <c r="J197" t="s">
        <v>145</v>
      </c>
      <c r="K197">
        <v>0.246</v>
      </c>
    </row>
    <row r="198" spans="1:11">
      <c r="A198">
        <v>22600</v>
      </c>
      <c r="B198" t="s">
        <v>247</v>
      </c>
      <c r="C198" t="s">
        <v>250</v>
      </c>
      <c r="D198" t="s">
        <v>67</v>
      </c>
      <c r="E198">
        <v>0.01</v>
      </c>
      <c r="G198">
        <v>22600</v>
      </c>
      <c r="H198" t="s">
        <v>247</v>
      </c>
      <c r="I198" t="s">
        <v>250</v>
      </c>
      <c r="J198" t="s">
        <v>67</v>
      </c>
      <c r="K198">
        <v>0.01</v>
      </c>
    </row>
    <row r="199" spans="1:11">
      <c r="B199" t="s">
        <v>248</v>
      </c>
      <c r="C199" t="s">
        <v>250</v>
      </c>
      <c r="D199" t="s">
        <v>77</v>
      </c>
      <c r="E199">
        <v>1.7000000000000001E-2</v>
      </c>
      <c r="G199">
        <f>G198</f>
        <v>22600</v>
      </c>
      <c r="H199" t="s">
        <v>248</v>
      </c>
      <c r="I199" t="s">
        <v>250</v>
      </c>
      <c r="J199" t="s">
        <v>77</v>
      </c>
      <c r="K199">
        <v>1.7000000000000001E-2</v>
      </c>
    </row>
    <row r="200" spans="1:11">
      <c r="D200" t="s">
        <v>20</v>
      </c>
      <c r="E200">
        <v>1.9E-2</v>
      </c>
      <c r="G200">
        <f t="shared" ref="G200:I200" si="71">G199</f>
        <v>22600</v>
      </c>
      <c r="H200" t="str">
        <f t="shared" si="71"/>
        <v>30/8/2016</v>
      </c>
      <c r="I200" t="str">
        <f t="shared" si="71"/>
        <v>Call</v>
      </c>
      <c r="J200" t="s">
        <v>20</v>
      </c>
      <c r="K200">
        <v>1.9E-2</v>
      </c>
    </row>
    <row r="201" spans="1:11">
      <c r="A201">
        <v>22700</v>
      </c>
      <c r="B201" t="s">
        <v>247</v>
      </c>
      <c r="C201" t="s">
        <v>250</v>
      </c>
      <c r="D201" t="s">
        <v>76</v>
      </c>
      <c r="E201">
        <v>0.01</v>
      </c>
      <c r="G201">
        <v>22700</v>
      </c>
      <c r="H201" t="s">
        <v>247</v>
      </c>
      <c r="I201" t="s">
        <v>250</v>
      </c>
      <c r="J201" t="s">
        <v>76</v>
      </c>
      <c r="K201">
        <v>0.01</v>
      </c>
    </row>
    <row r="202" spans="1:11">
      <c r="D202" t="s">
        <v>197</v>
      </c>
      <c r="E202">
        <v>0.01</v>
      </c>
      <c r="G202">
        <f t="shared" ref="G202:I202" si="72">G201</f>
        <v>22700</v>
      </c>
      <c r="H202" t="str">
        <f t="shared" si="72"/>
        <v>30/5/2016</v>
      </c>
      <c r="I202" t="str">
        <f t="shared" si="72"/>
        <v>Call</v>
      </c>
      <c r="J202" t="s">
        <v>197</v>
      </c>
      <c r="K202">
        <v>0.01</v>
      </c>
    </row>
    <row r="203" spans="1:11">
      <c r="A203">
        <v>22800</v>
      </c>
      <c r="B203" t="s">
        <v>247</v>
      </c>
      <c r="C203" t="s">
        <v>251</v>
      </c>
      <c r="D203" t="s">
        <v>69</v>
      </c>
      <c r="E203">
        <v>0.41</v>
      </c>
      <c r="G203">
        <v>22800</v>
      </c>
      <c r="H203" t="s">
        <v>247</v>
      </c>
      <c r="I203" t="s">
        <v>251</v>
      </c>
      <c r="J203" t="s">
        <v>69</v>
      </c>
      <c r="K203">
        <v>0.41</v>
      </c>
    </row>
    <row r="204" spans="1:11">
      <c r="A204">
        <v>23000</v>
      </c>
      <c r="B204" t="s">
        <v>248</v>
      </c>
      <c r="C204" t="s">
        <v>250</v>
      </c>
      <c r="D204" t="s">
        <v>144</v>
      </c>
      <c r="E204">
        <v>2.4E-2</v>
      </c>
      <c r="G204">
        <v>23000</v>
      </c>
      <c r="H204" t="s">
        <v>248</v>
      </c>
      <c r="I204" t="s">
        <v>250</v>
      </c>
      <c r="J204" t="s">
        <v>144</v>
      </c>
      <c r="K204">
        <v>2.4E-2</v>
      </c>
    </row>
    <row r="205" spans="1:11">
      <c r="A205">
        <v>23200</v>
      </c>
      <c r="B205" t="s">
        <v>246</v>
      </c>
      <c r="C205" t="s">
        <v>250</v>
      </c>
      <c r="D205" t="s">
        <v>141</v>
      </c>
      <c r="E205">
        <v>1.6E-2</v>
      </c>
      <c r="G205">
        <v>23200</v>
      </c>
      <c r="H205" t="s">
        <v>246</v>
      </c>
      <c r="I205" t="s">
        <v>250</v>
      </c>
      <c r="J205" t="s">
        <v>141</v>
      </c>
      <c r="K205">
        <v>1.6E-2</v>
      </c>
    </row>
    <row r="206" spans="1:11">
      <c r="D206" t="s">
        <v>79</v>
      </c>
      <c r="E206">
        <v>1.7999999999999999E-2</v>
      </c>
      <c r="G206">
        <f t="shared" ref="G206:G208" si="73">G205</f>
        <v>23200</v>
      </c>
      <c r="H206" t="str">
        <f t="shared" ref="H206:I207" si="74">H205</f>
        <v>29/9/2016</v>
      </c>
      <c r="I206" t="str">
        <f t="shared" si="74"/>
        <v>Call</v>
      </c>
      <c r="J206" t="s">
        <v>79</v>
      </c>
      <c r="K206">
        <v>1.7999999999999999E-2</v>
      </c>
    </row>
    <row r="207" spans="1:11">
      <c r="D207" t="s">
        <v>147</v>
      </c>
      <c r="E207" t="s">
        <v>254</v>
      </c>
      <c r="G207">
        <f t="shared" si="73"/>
        <v>23200</v>
      </c>
      <c r="H207" t="str">
        <f t="shared" si="74"/>
        <v>29/9/2016</v>
      </c>
      <c r="I207" t="str">
        <f t="shared" si="74"/>
        <v>Call</v>
      </c>
      <c r="J207" t="s">
        <v>147</v>
      </c>
      <c r="K207" t="s">
        <v>254</v>
      </c>
    </row>
    <row r="208" spans="1:11">
      <c r="B208" t="s">
        <v>247</v>
      </c>
      <c r="C208" t="s">
        <v>250</v>
      </c>
      <c r="D208" t="s">
        <v>136</v>
      </c>
      <c r="E208">
        <v>1.4999999999999999E-2</v>
      </c>
      <c r="G208">
        <f t="shared" si="73"/>
        <v>23200</v>
      </c>
      <c r="H208" t="s">
        <v>247</v>
      </c>
      <c r="I208" t="s">
        <v>250</v>
      </c>
      <c r="J208" t="s">
        <v>136</v>
      </c>
      <c r="K208">
        <v>1.4999999999999999E-2</v>
      </c>
    </row>
    <row r="209" spans="1:11">
      <c r="D209" t="s">
        <v>143</v>
      </c>
      <c r="E209">
        <v>0.01</v>
      </c>
      <c r="G209">
        <f t="shared" ref="G209:I209" si="75">G208</f>
        <v>23200</v>
      </c>
      <c r="H209" t="str">
        <f t="shared" si="75"/>
        <v>30/5/2016</v>
      </c>
      <c r="I209" t="str">
        <f t="shared" si="75"/>
        <v>Call</v>
      </c>
      <c r="J209" t="s">
        <v>143</v>
      </c>
      <c r="K209">
        <v>0.01</v>
      </c>
    </row>
    <row r="210" spans="1:11">
      <c r="A210">
        <v>23288</v>
      </c>
      <c r="B210" t="s">
        <v>247</v>
      </c>
      <c r="C210" t="s">
        <v>250</v>
      </c>
      <c r="D210" t="s">
        <v>140</v>
      </c>
      <c r="E210">
        <v>0.01</v>
      </c>
      <c r="G210">
        <v>23288</v>
      </c>
      <c r="H210" t="s">
        <v>247</v>
      </c>
      <c r="I210" t="s">
        <v>250</v>
      </c>
      <c r="J210" t="s">
        <v>140</v>
      </c>
      <c r="K210">
        <v>0.01</v>
      </c>
    </row>
    <row r="211" spans="1:11">
      <c r="C211" t="s">
        <v>251</v>
      </c>
      <c r="D211" t="s">
        <v>188</v>
      </c>
      <c r="E211">
        <v>0.39500000000000002</v>
      </c>
      <c r="G211">
        <f t="shared" ref="G211:H211" si="76">G210</f>
        <v>23288</v>
      </c>
      <c r="H211" t="str">
        <f t="shared" si="76"/>
        <v>30/5/2016</v>
      </c>
      <c r="I211" t="s">
        <v>251</v>
      </c>
      <c r="J211" t="s">
        <v>188</v>
      </c>
      <c r="K211">
        <v>0.39500000000000002</v>
      </c>
    </row>
    <row r="212" spans="1:11">
      <c r="A212">
        <v>23300</v>
      </c>
      <c r="B212" t="s">
        <v>247</v>
      </c>
      <c r="C212" t="s">
        <v>250</v>
      </c>
      <c r="D212" t="s">
        <v>21</v>
      </c>
      <c r="E212">
        <v>1.4999999999999999E-2</v>
      </c>
      <c r="G212">
        <v>23300</v>
      </c>
      <c r="H212" t="s">
        <v>247</v>
      </c>
      <c r="I212" t="s">
        <v>250</v>
      </c>
      <c r="J212" t="s">
        <v>21</v>
      </c>
      <c r="K212">
        <v>1.4999999999999999E-2</v>
      </c>
    </row>
    <row r="213" spans="1:11">
      <c r="A213">
        <v>23500</v>
      </c>
      <c r="B213" t="s">
        <v>245</v>
      </c>
      <c r="C213" t="s">
        <v>251</v>
      </c>
      <c r="D213" t="s">
        <v>73</v>
      </c>
      <c r="E213">
        <v>0.39</v>
      </c>
      <c r="G213">
        <v>23500</v>
      </c>
      <c r="H213" t="s">
        <v>245</v>
      </c>
      <c r="I213" t="s">
        <v>251</v>
      </c>
      <c r="J213" t="s">
        <v>73</v>
      </c>
      <c r="K213">
        <v>0.39</v>
      </c>
    </row>
    <row r="214" spans="1:11">
      <c r="A214">
        <v>23600</v>
      </c>
      <c r="B214" t="s">
        <v>244</v>
      </c>
      <c r="C214" t="s">
        <v>250</v>
      </c>
      <c r="D214" t="s">
        <v>16</v>
      </c>
      <c r="E214">
        <v>0.01</v>
      </c>
      <c r="G214">
        <v>23600</v>
      </c>
      <c r="H214" t="s">
        <v>244</v>
      </c>
      <c r="I214" t="s">
        <v>250</v>
      </c>
      <c r="J214" t="s">
        <v>16</v>
      </c>
      <c r="K214">
        <v>0.01</v>
      </c>
    </row>
    <row r="215" spans="1:11">
      <c r="D215" t="s">
        <v>199</v>
      </c>
      <c r="E215">
        <v>0.01</v>
      </c>
      <c r="G215">
        <f t="shared" ref="G215:I216" si="77">G214</f>
        <v>23600</v>
      </c>
      <c r="H215" t="str">
        <f t="shared" si="77"/>
        <v>28/7/2016</v>
      </c>
      <c r="I215" t="str">
        <f t="shared" si="77"/>
        <v>Call</v>
      </c>
      <c r="J215" t="s">
        <v>199</v>
      </c>
      <c r="K215">
        <v>0.01</v>
      </c>
    </row>
    <row r="216" spans="1:11">
      <c r="D216" t="s">
        <v>200</v>
      </c>
      <c r="E216" t="s">
        <v>254</v>
      </c>
      <c r="G216">
        <f t="shared" si="77"/>
        <v>23600</v>
      </c>
      <c r="H216" t="str">
        <f t="shared" si="77"/>
        <v>28/7/2016</v>
      </c>
      <c r="I216" t="str">
        <f t="shared" si="77"/>
        <v>Call</v>
      </c>
      <c r="J216" t="s">
        <v>200</v>
      </c>
      <c r="K216" t="s">
        <v>254</v>
      </c>
    </row>
    <row r="217" spans="1:11">
      <c r="A217">
        <v>23800</v>
      </c>
      <c r="B217" t="s">
        <v>247</v>
      </c>
      <c r="C217" t="s">
        <v>250</v>
      </c>
      <c r="D217" t="s">
        <v>70</v>
      </c>
      <c r="E217">
        <v>0.01</v>
      </c>
      <c r="G217">
        <v>23800</v>
      </c>
      <c r="H217" t="s">
        <v>247</v>
      </c>
      <c r="I217" t="s">
        <v>250</v>
      </c>
      <c r="J217" t="s">
        <v>70</v>
      </c>
      <c r="K217">
        <v>0.01</v>
      </c>
    </row>
    <row r="218" spans="1:11">
      <c r="D218" t="s">
        <v>137</v>
      </c>
      <c r="E218">
        <v>0.01</v>
      </c>
      <c r="G218">
        <f t="shared" ref="G218:I219" si="78">G217</f>
        <v>23800</v>
      </c>
      <c r="H218" t="str">
        <f t="shared" si="78"/>
        <v>30/5/2016</v>
      </c>
      <c r="I218" t="str">
        <f t="shared" si="78"/>
        <v>Call</v>
      </c>
      <c r="J218" t="s">
        <v>137</v>
      </c>
      <c r="K218">
        <v>0.01</v>
      </c>
    </row>
    <row r="219" spans="1:11">
      <c r="D219" t="s">
        <v>191</v>
      </c>
      <c r="E219">
        <v>0.01</v>
      </c>
      <c r="G219">
        <f t="shared" si="78"/>
        <v>23800</v>
      </c>
      <c r="H219" t="str">
        <f t="shared" si="78"/>
        <v>30/5/2016</v>
      </c>
      <c r="I219" t="str">
        <f t="shared" si="78"/>
        <v>Call</v>
      </c>
      <c r="J219" t="s">
        <v>191</v>
      </c>
      <c r="K219">
        <v>0.01</v>
      </c>
    </row>
    <row r="220" spans="1:11">
      <c r="A220">
        <v>24288</v>
      </c>
      <c r="B220" t="s">
        <v>247</v>
      </c>
      <c r="C220" t="s">
        <v>250</v>
      </c>
      <c r="D220" t="s">
        <v>19</v>
      </c>
      <c r="E220">
        <v>0.01</v>
      </c>
      <c r="G220">
        <v>24288</v>
      </c>
      <c r="H220" t="s">
        <v>247</v>
      </c>
      <c r="I220" t="s">
        <v>250</v>
      </c>
      <c r="J220" t="s">
        <v>19</v>
      </c>
      <c r="K220">
        <v>0.01</v>
      </c>
    </row>
    <row r="221" spans="1:11">
      <c r="A221">
        <v>24400</v>
      </c>
      <c r="B221" t="s">
        <v>247</v>
      </c>
      <c r="C221" t="s">
        <v>250</v>
      </c>
      <c r="D221" t="s">
        <v>71</v>
      </c>
      <c r="E221">
        <v>1.2999999999999999E-2</v>
      </c>
      <c r="G221">
        <v>24400</v>
      </c>
      <c r="H221" t="s">
        <v>247</v>
      </c>
      <c r="I221" t="s">
        <v>250</v>
      </c>
      <c r="J221" t="s">
        <v>71</v>
      </c>
      <c r="K221">
        <v>1.2999999999999999E-2</v>
      </c>
    </row>
    <row r="222" spans="1:11">
      <c r="D222" t="s">
        <v>74</v>
      </c>
      <c r="E222" t="s">
        <v>254</v>
      </c>
      <c r="G222">
        <f t="shared" ref="G222:I224" si="79">G221</f>
        <v>24400</v>
      </c>
      <c r="H222" t="str">
        <f t="shared" si="79"/>
        <v>30/5/2016</v>
      </c>
      <c r="I222" t="str">
        <f t="shared" si="79"/>
        <v>Call</v>
      </c>
      <c r="J222" t="s">
        <v>74</v>
      </c>
      <c r="K222" t="s">
        <v>254</v>
      </c>
    </row>
    <row r="223" spans="1:11">
      <c r="D223" t="s">
        <v>135</v>
      </c>
      <c r="E223">
        <v>1.4E-2</v>
      </c>
      <c r="G223">
        <f t="shared" si="79"/>
        <v>24400</v>
      </c>
      <c r="H223" t="str">
        <f t="shared" si="79"/>
        <v>30/5/2016</v>
      </c>
      <c r="I223" t="str">
        <f t="shared" si="79"/>
        <v>Call</v>
      </c>
      <c r="J223" t="s">
        <v>135</v>
      </c>
      <c r="K223">
        <v>1.4E-2</v>
      </c>
    </row>
    <row r="224" spans="1:11">
      <c r="D224" t="s">
        <v>142</v>
      </c>
      <c r="E224" t="s">
        <v>254</v>
      </c>
      <c r="G224">
        <f t="shared" si="79"/>
        <v>24400</v>
      </c>
      <c r="H224" t="str">
        <f t="shared" si="79"/>
        <v>30/5/2016</v>
      </c>
      <c r="I224" t="str">
        <f t="shared" si="79"/>
        <v>Call</v>
      </c>
      <c r="J224" t="s">
        <v>142</v>
      </c>
      <c r="K224" t="s">
        <v>254</v>
      </c>
    </row>
    <row r="225" spans="1:11">
      <c r="A225">
        <v>24500</v>
      </c>
      <c r="B225" t="s">
        <v>247</v>
      </c>
      <c r="C225" t="s">
        <v>251</v>
      </c>
      <c r="D225" t="s">
        <v>132</v>
      </c>
      <c r="E225">
        <v>0.48</v>
      </c>
      <c r="G225">
        <v>24500</v>
      </c>
      <c r="H225" t="s">
        <v>247</v>
      </c>
      <c r="I225" t="s">
        <v>251</v>
      </c>
      <c r="J225" t="s">
        <v>132</v>
      </c>
      <c r="K225">
        <v>0.48</v>
      </c>
    </row>
    <row r="226" spans="1:11">
      <c r="A226">
        <v>24518</v>
      </c>
      <c r="B226" t="s">
        <v>247</v>
      </c>
      <c r="C226" t="s">
        <v>250</v>
      </c>
      <c r="D226" t="s">
        <v>189</v>
      </c>
      <c r="E226">
        <v>0.01</v>
      </c>
      <c r="G226">
        <v>24518</v>
      </c>
      <c r="H226" t="s">
        <v>247</v>
      </c>
      <c r="I226" t="s">
        <v>250</v>
      </c>
      <c r="J226" t="s">
        <v>189</v>
      </c>
      <c r="K226">
        <v>0.01</v>
      </c>
    </row>
    <row r="227" spans="1:11">
      <c r="A227">
        <v>25000</v>
      </c>
      <c r="B227" t="s">
        <v>244</v>
      </c>
      <c r="C227" t="s">
        <v>251</v>
      </c>
      <c r="D227" t="s">
        <v>66</v>
      </c>
      <c r="E227">
        <v>0.65</v>
      </c>
      <c r="G227">
        <v>25000</v>
      </c>
      <c r="H227" t="s">
        <v>244</v>
      </c>
      <c r="I227" t="s">
        <v>251</v>
      </c>
      <c r="J227" t="s">
        <v>66</v>
      </c>
      <c r="K227">
        <v>0.65</v>
      </c>
    </row>
    <row r="228" spans="1:11">
      <c r="B228" t="s">
        <v>245</v>
      </c>
      <c r="C228" t="s">
        <v>250</v>
      </c>
      <c r="D228" t="s">
        <v>14</v>
      </c>
      <c r="E228">
        <v>0.01</v>
      </c>
      <c r="G228">
        <f>G227</f>
        <v>25000</v>
      </c>
      <c r="H228" t="s">
        <v>245</v>
      </c>
      <c r="I228" t="s">
        <v>250</v>
      </c>
      <c r="J228" t="s">
        <v>14</v>
      </c>
      <c r="K228">
        <v>0.01</v>
      </c>
    </row>
    <row r="229" spans="1:11">
      <c r="D229" t="s">
        <v>187</v>
      </c>
      <c r="E229">
        <v>0.01</v>
      </c>
      <c r="G229">
        <f t="shared" ref="G229:I231" si="80">G228</f>
        <v>25000</v>
      </c>
      <c r="H229" t="str">
        <f t="shared" si="80"/>
        <v>29/6/2016</v>
      </c>
      <c r="I229" t="str">
        <f t="shared" si="80"/>
        <v>Call</v>
      </c>
      <c r="J229" t="s">
        <v>187</v>
      </c>
      <c r="K229">
        <v>0.01</v>
      </c>
    </row>
    <row r="230" spans="1:11">
      <c r="D230" t="s">
        <v>72</v>
      </c>
      <c r="E230" t="s">
        <v>254</v>
      </c>
      <c r="G230">
        <f t="shared" si="80"/>
        <v>25000</v>
      </c>
      <c r="H230" t="str">
        <f t="shared" si="80"/>
        <v>29/6/2016</v>
      </c>
      <c r="I230" t="str">
        <f t="shared" si="80"/>
        <v>Call</v>
      </c>
      <c r="J230" t="s">
        <v>72</v>
      </c>
      <c r="K230" t="s">
        <v>254</v>
      </c>
    </row>
    <row r="231" spans="1:11">
      <c r="D231" t="s">
        <v>134</v>
      </c>
      <c r="E231">
        <v>0.01</v>
      </c>
      <c r="G231">
        <f t="shared" si="80"/>
        <v>25000</v>
      </c>
      <c r="H231" t="str">
        <f t="shared" si="80"/>
        <v>29/6/2016</v>
      </c>
      <c r="I231" t="str">
        <f t="shared" si="80"/>
        <v>Call</v>
      </c>
      <c r="J231" t="s">
        <v>134</v>
      </c>
      <c r="K231">
        <v>0.01</v>
      </c>
    </row>
    <row r="232" spans="1:11">
      <c r="A232">
        <v>25118</v>
      </c>
      <c r="B232" t="s">
        <v>245</v>
      </c>
      <c r="C232" t="s">
        <v>250</v>
      </c>
      <c r="D232" t="s">
        <v>68</v>
      </c>
      <c r="E232">
        <v>0.01</v>
      </c>
      <c r="G232">
        <v>25118</v>
      </c>
      <c r="H232" t="s">
        <v>245</v>
      </c>
      <c r="I232" t="s">
        <v>250</v>
      </c>
      <c r="J232" t="s">
        <v>68</v>
      </c>
      <c r="K232">
        <v>0.01</v>
      </c>
    </row>
    <row r="233" spans="1:11">
      <c r="A233">
        <v>25288</v>
      </c>
      <c r="B233" t="s">
        <v>245</v>
      </c>
      <c r="C233" t="s">
        <v>250</v>
      </c>
      <c r="D233" t="s">
        <v>64</v>
      </c>
      <c r="E233">
        <v>0.01</v>
      </c>
      <c r="G233">
        <v>25288</v>
      </c>
      <c r="H233" t="s">
        <v>245</v>
      </c>
      <c r="I233" t="s">
        <v>250</v>
      </c>
      <c r="J233" t="s">
        <v>64</v>
      </c>
      <c r="K233">
        <v>0.01</v>
      </c>
    </row>
    <row r="234" spans="1:11">
      <c r="A234">
        <v>25400</v>
      </c>
      <c r="B234" t="s">
        <v>245</v>
      </c>
      <c r="C234" t="s">
        <v>250</v>
      </c>
      <c r="D234" t="s">
        <v>15</v>
      </c>
      <c r="E234">
        <v>1.4999999999999999E-2</v>
      </c>
      <c r="G234">
        <v>25400</v>
      </c>
      <c r="H234" t="s">
        <v>245</v>
      </c>
      <c r="I234" t="s">
        <v>250</v>
      </c>
      <c r="J234" t="s">
        <v>15</v>
      </c>
      <c r="K234">
        <v>1.4999999999999999E-2</v>
      </c>
    </row>
    <row r="235" spans="1:11">
      <c r="A23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85"/>
  <sheetViews>
    <sheetView topLeftCell="C1" workbookViewId="0">
      <selection activeCell="O3" sqref="O3"/>
    </sheetView>
  </sheetViews>
  <sheetFormatPr defaultRowHeight="15" outlineLevelCol="1"/>
  <cols>
    <col min="13" max="13" width="10.42578125" bestFit="1" customWidth="1"/>
    <col min="14" max="14" width="13.28515625" bestFit="1" customWidth="1"/>
    <col min="15" max="15" width="10.140625" bestFit="1" customWidth="1"/>
    <col min="23" max="23" width="9.140625" customWidth="1" outlineLevel="1"/>
  </cols>
  <sheetData>
    <row r="1" spans="4:30">
      <c r="M1">
        <f>SUM(M3:M85)</f>
        <v>125</v>
      </c>
      <c r="O1">
        <f>SUM(O3:O85)</f>
        <v>106</v>
      </c>
    </row>
    <row r="2" spans="4:30">
      <c r="D2" s="6">
        <f>SUM(D3:D85)</f>
        <v>0</v>
      </c>
      <c r="E2">
        <v>8</v>
      </c>
      <c r="F2">
        <v>7</v>
      </c>
      <c r="G2">
        <v>6</v>
      </c>
      <c r="H2">
        <v>5</v>
      </c>
      <c r="I2">
        <v>4</v>
      </c>
      <c r="J2">
        <v>3</v>
      </c>
      <c r="K2">
        <v>2</v>
      </c>
      <c r="L2">
        <v>1</v>
      </c>
      <c r="M2" t="s">
        <v>250</v>
      </c>
      <c r="N2" t="s">
        <v>252</v>
      </c>
      <c r="O2" t="s">
        <v>251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 s="6">
        <f>SUM(W3:W85)</f>
        <v>0</v>
      </c>
      <c r="Y2" t="s">
        <v>253</v>
      </c>
      <c r="Z2">
        <v>1</v>
      </c>
      <c r="AA2">
        <v>2</v>
      </c>
      <c r="AB2">
        <v>3</v>
      </c>
      <c r="AC2">
        <v>4</v>
      </c>
      <c r="AD2">
        <v>5</v>
      </c>
    </row>
    <row r="3" spans="4:30">
      <c r="D3" s="5">
        <f>SUMPRODUCT(--(E3:L3&lt;&gt;""))-M3</f>
        <v>0</v>
      </c>
      <c r="E3" t="str">
        <f t="array" ref="E3">IFERROR(INDEX(Source!$A$1:$A$250,SMALL(IF(--(Source!$B$1:$B$250=Sheet2!$N3)*--(Source!$E$1:$E$250=Sheet2!$M$2),ROW(Source!$B$1:$B$250),FALSE),E$2)),"")</f>
        <v/>
      </c>
      <c r="F3" t="str">
        <f t="array" ref="F3">IFERROR(INDEX(Source!$A$1:$A$250,SMALL(IF(--(Source!$B$1:$B$250=Sheet2!$N3)*--(Source!$E$1:$E$250=Sheet2!$M$2),ROW(Source!$B$1:$B$250),FALSE),F$2)),"")</f>
        <v/>
      </c>
      <c r="G3" t="str">
        <f t="array" ref="G3">IFERROR(INDEX(Source!$A$1:$A$250,SMALL(IF(--(Source!$B$1:$B$250=Sheet2!$N3)*--(Source!$E$1:$E$250=Sheet2!$M$2),ROW(Source!$B$1:$B$250),FALSE),G$2)),"")</f>
        <v/>
      </c>
      <c r="H3" t="str">
        <f t="array" ref="H3">IFERROR(INDEX(Source!$A$1:$A$250,SMALL(IF(--(Source!$B$1:$B$250=Sheet2!$N3)*--(Source!$E$1:$E$250=Sheet2!$M$2),ROW(Source!$B$1:$B$250),FALSE),H$2)),"")</f>
        <v/>
      </c>
      <c r="I3" t="str">
        <f t="array" ref="I3">IFERROR(INDEX(Source!$A$1:$A$250,SMALL(IF(--(Source!$B$1:$B$250=Sheet2!$N3)*--(Source!$E$1:$E$250=Sheet2!$M$2),ROW(Source!$B$1:$B$250),FALSE),I$2)),"")</f>
        <v/>
      </c>
      <c r="J3" t="str">
        <f t="array" ref="J3">IFERROR(INDEX(Source!$A$1:$A$250,SMALL(IF(--(Source!$B$1:$B$250=Sheet2!$N3)*--(Source!$E$1:$E$250=Sheet2!$M$2),ROW(Source!$B$1:$B$250),FALSE),J$2)),"")</f>
        <v/>
      </c>
      <c r="K3" t="str">
        <f t="array" ref="K3">IFERROR(INDEX(Source!$A$1:$A$250,SMALL(IF(--(Source!$B$1:$B$250=Sheet2!$N3)*--(Source!$E$1:$E$250=Sheet2!$M$2),ROW(Source!$B$1:$B$250),FALSE),K$2)),"")</f>
        <v/>
      </c>
      <c r="L3" t="str">
        <f t="array" ref="L3">IFERROR(INDEX(Source!$A$1:$A$250,SMALL(IF(--(Source!$B$1:$B$250=Sheet2!$N3)*--(Source!$E$1:$E$250=Sheet2!$M$2),ROW(Source!$B$1:$B$250),FALSE),L$2)),"")</f>
        <v/>
      </c>
      <c r="M3">
        <f>COUNTIFS(Source!$E:$E,"Call",Source!$B:$B,Sheet2!$N3)</f>
        <v>0</v>
      </c>
      <c r="N3">
        <v>16888</v>
      </c>
      <c r="O3">
        <f>COUNTIFS(Source!$E:$E,"Put",Source!$B:$B,Sheet2!$N3)</f>
        <v>1</v>
      </c>
      <c r="P3" t="str">
        <f t="array" ref="P3">IFERROR(INDEX(Source!$A$1:$A$250,SMALL(IF(--(Source!$B$1:$B$250=Sheet2!$N3)*--(Source!$E$1:$E$250=Sheet2!$O$2),ROW(Source!$B$1:$B$250),FALSE),P$2)),"")</f>
        <v>25969 HK Equity</v>
      </c>
      <c r="Q3" t="str">
        <f t="array" ref="Q3">IFERROR(INDEX(Source!$A$1:$A$250,SMALL(IF(--(Source!$B$1:$B$250=Sheet2!$N3)*--(Source!$E$1:$E$250=Sheet2!$O$2),ROW(Source!$B$1:$B$250),FALSE),Q$2)),"")</f>
        <v/>
      </c>
      <c r="R3" t="str">
        <f t="array" ref="R3">IFERROR(INDEX(Source!$A$1:$A$250,SMALL(IF(--(Source!$B$1:$B$250=Sheet2!$N3)*--(Source!$E$1:$E$250=Sheet2!$O$2),ROW(Source!$B$1:$B$250),FALSE),R$2)),"")</f>
        <v/>
      </c>
      <c r="S3" t="str">
        <f t="array" ref="S3">IFERROR(INDEX(Source!$A$1:$A$250,SMALL(IF(--(Source!$B$1:$B$250=Sheet2!$N3)*--(Source!$E$1:$E$250=Sheet2!$O$2),ROW(Source!$B$1:$B$250),FALSE),S$2)),"")</f>
        <v/>
      </c>
      <c r="T3" t="str">
        <f t="array" ref="T3">IFERROR(INDEX(Source!$A$1:$A$250,SMALL(IF(--(Source!$B$1:$B$250=Sheet2!$N3)*--(Source!$E$1:$E$250=Sheet2!$O$2),ROW(Source!$B$1:$B$250),FALSE),T$2)),"")</f>
        <v/>
      </c>
      <c r="U3" t="str">
        <f t="array" ref="U3">IFERROR(INDEX(Source!$A$1:$A$250,SMALL(IF(--(Source!$B$1:$B$250=Sheet2!$N3)*--(Source!$E$1:$E$250=Sheet2!$O$2),ROW(Source!$B$1:$B$250),FALSE),U$2)),"")</f>
        <v/>
      </c>
      <c r="V3" t="str">
        <f t="array" ref="V3">IFERROR(INDEX(Source!$A$1:$A$250,SMALL(IF(--(Source!$B$1:$B$250=Sheet2!$N3)*--(Source!$E$1:$E$250=Sheet2!$O$2),ROW(Source!$B$1:$B$250),FALSE),V$2)),"")</f>
        <v/>
      </c>
      <c r="W3" s="5">
        <f>SUMPRODUCT(--(P3:V3&lt;&gt;""))-O3</f>
        <v>0</v>
      </c>
    </row>
    <row r="4" spans="4:30">
      <c r="D4" s="5">
        <f t="shared" ref="D4:D67" si="0">SUMPRODUCT(--(E4:L4&lt;&gt;""))-M4</f>
        <v>0</v>
      </c>
      <c r="E4" t="str">
        <f t="array" ref="E4">IFERROR(INDEX(Source!$A$1:$A$250,SMALL(IF(--(Source!$B$1:$B$250=Sheet2!$N4)*--(Source!$E$1:$E$250=Sheet2!$M$2),ROW(Source!$B$1:$B$250),FALSE),E$2)),"")</f>
        <v/>
      </c>
      <c r="F4" t="str">
        <f t="array" ref="F4">IFERROR(INDEX(Source!$A$1:$A$250,SMALL(IF(--(Source!$B$1:$B$250=Sheet2!$N4)*--(Source!$E$1:$E$250=Sheet2!$M$2),ROW(Source!$B$1:$B$250),FALSE),F$2)),"")</f>
        <v/>
      </c>
      <c r="G4" t="str">
        <f t="array" ref="G4">IFERROR(INDEX(Source!$A$1:$A$250,SMALL(IF(--(Source!$B$1:$B$250=Sheet2!$N4)*--(Source!$E$1:$E$250=Sheet2!$M$2),ROW(Source!$B$1:$B$250),FALSE),G$2)),"")</f>
        <v/>
      </c>
      <c r="H4" t="str">
        <f t="array" ref="H4">IFERROR(INDEX(Source!$A$1:$A$250,SMALL(IF(--(Source!$B$1:$B$250=Sheet2!$N4)*--(Source!$E$1:$E$250=Sheet2!$M$2),ROW(Source!$B$1:$B$250),FALSE),H$2)),"")</f>
        <v/>
      </c>
      <c r="I4" t="str">
        <f t="array" ref="I4">IFERROR(INDEX(Source!$A$1:$A$250,SMALL(IF(--(Source!$B$1:$B$250=Sheet2!$N4)*--(Source!$E$1:$E$250=Sheet2!$M$2),ROW(Source!$B$1:$B$250),FALSE),I$2)),"")</f>
        <v/>
      </c>
      <c r="J4" t="str">
        <f t="array" ref="J4">IFERROR(INDEX(Source!$A$1:$A$250,SMALL(IF(--(Source!$B$1:$B$250=Sheet2!$N4)*--(Source!$E$1:$E$250=Sheet2!$M$2),ROW(Source!$B$1:$B$250),FALSE),J$2)),"")</f>
        <v/>
      </c>
      <c r="K4" t="str">
        <f t="array" ref="K4">IFERROR(INDEX(Source!$A$1:$A$250,SMALL(IF(--(Source!$B$1:$B$250=Sheet2!$N4)*--(Source!$E$1:$E$250=Sheet2!$M$2),ROW(Source!$B$1:$B$250),FALSE),K$2)),"")</f>
        <v/>
      </c>
      <c r="L4" t="str">
        <f t="array" ref="L4">IFERROR(INDEX(Source!$A$1:$A$250,SMALL(IF(--(Source!$B$1:$B$250=Sheet2!$N4)*--(Source!$E$1:$E$250=Sheet2!$M$2),ROW(Source!$B$1:$B$250),FALSE),L$2)),"")</f>
        <v/>
      </c>
      <c r="M4">
        <f>COUNTIFS(Source!$E:$E,"Call",Source!$B:$B,Sheet2!$N4)</f>
        <v>0</v>
      </c>
      <c r="N4">
        <v>17000</v>
      </c>
      <c r="O4">
        <f>COUNTIFS(Source!$E:$E,"Put",Source!$B:$B,Sheet2!$N4)</f>
        <v>4</v>
      </c>
      <c r="P4" t="str">
        <f t="array" ref="P4">IFERROR(INDEX(Source!$A$1:$A$250,SMALL(IF(--(Source!$B$1:$B$250=Sheet2!$N4)*--(Source!$E$1:$E$250=Sheet2!$O$2),ROW(Source!$B$1:$B$250),FALSE),P$2)),"")</f>
        <v>26399 HK Equity</v>
      </c>
      <c r="Q4" t="str">
        <f t="array" ref="Q4">IFERROR(INDEX(Source!$A$1:$A$250,SMALL(IF(--(Source!$B$1:$B$250=Sheet2!$N4)*--(Source!$E$1:$E$250=Sheet2!$O$2),ROW(Source!$B$1:$B$250),FALSE),Q$2)),"")</f>
        <v>26444 HK Equity</v>
      </c>
      <c r="R4" t="str">
        <f t="array" ref="R4">IFERROR(INDEX(Source!$A$1:$A$250,SMALL(IF(--(Source!$B$1:$B$250=Sheet2!$N4)*--(Source!$E$1:$E$250=Sheet2!$O$2),ROW(Source!$B$1:$B$250),FALSE),R$2)),"")</f>
        <v>26106 HK Equity</v>
      </c>
      <c r="S4" t="str">
        <f t="array" ref="S4">IFERROR(INDEX(Source!$A$1:$A$250,SMALL(IF(--(Source!$B$1:$B$250=Sheet2!$N4)*--(Source!$E$1:$E$250=Sheet2!$O$2),ROW(Source!$B$1:$B$250),FALSE),S$2)),"")</f>
        <v>26155 HK Equity</v>
      </c>
      <c r="T4" t="str">
        <f t="array" ref="T4">IFERROR(INDEX(Source!$A$1:$A$250,SMALL(IF(--(Source!$B$1:$B$250=Sheet2!$N4)*--(Source!$E$1:$E$250=Sheet2!$O$2),ROW(Source!$B$1:$B$250),FALSE),T$2)),"")</f>
        <v/>
      </c>
      <c r="U4" t="str">
        <f t="array" ref="U4">IFERROR(INDEX(Source!$A$1:$A$250,SMALL(IF(--(Source!$B$1:$B$250=Sheet2!$N4)*--(Source!$E$1:$E$250=Sheet2!$O$2),ROW(Source!$B$1:$B$250),FALSE),U$2)),"")</f>
        <v/>
      </c>
      <c r="V4" t="str">
        <f t="array" ref="V4">IFERROR(INDEX(Source!$A$1:$A$250,SMALL(IF(--(Source!$B$1:$B$250=Sheet2!$N4)*--(Source!$E$1:$E$250=Sheet2!$O$2),ROW(Source!$B$1:$B$250),FALSE),V$2)),"")</f>
        <v/>
      </c>
      <c r="W4" s="5">
        <f t="shared" ref="W4:W67" si="1">SUMPRODUCT(--(P4:V4&lt;&gt;""))-O4</f>
        <v>0</v>
      </c>
    </row>
    <row r="5" spans="4:30">
      <c r="D5" s="5">
        <f t="shared" si="0"/>
        <v>0</v>
      </c>
      <c r="E5" t="str">
        <f t="array" ref="E5">IFERROR(INDEX(Source!$A$1:$A$250,SMALL(IF(--(Source!$B$1:$B$250=Sheet2!$N5)*--(Source!$E$1:$E$250=Sheet2!$M$2),ROW(Source!$B$1:$B$250),FALSE),E$2)),"")</f>
        <v/>
      </c>
      <c r="F5" t="str">
        <f t="array" ref="F5">IFERROR(INDEX(Source!$A$1:$A$250,SMALL(IF(--(Source!$B$1:$B$250=Sheet2!$N5)*--(Source!$E$1:$E$250=Sheet2!$M$2),ROW(Source!$B$1:$B$250),FALSE),F$2)),"")</f>
        <v/>
      </c>
      <c r="G5" t="str">
        <f t="array" ref="G5">IFERROR(INDEX(Source!$A$1:$A$250,SMALL(IF(--(Source!$B$1:$B$250=Sheet2!$N5)*--(Source!$E$1:$E$250=Sheet2!$M$2),ROW(Source!$B$1:$B$250),FALSE),G$2)),"")</f>
        <v/>
      </c>
      <c r="H5" t="str">
        <f t="array" ref="H5">IFERROR(INDEX(Source!$A$1:$A$250,SMALL(IF(--(Source!$B$1:$B$250=Sheet2!$N5)*--(Source!$E$1:$E$250=Sheet2!$M$2),ROW(Source!$B$1:$B$250),FALSE),H$2)),"")</f>
        <v/>
      </c>
      <c r="I5" t="str">
        <f t="array" ref="I5">IFERROR(INDEX(Source!$A$1:$A$250,SMALL(IF(--(Source!$B$1:$B$250=Sheet2!$N5)*--(Source!$E$1:$E$250=Sheet2!$M$2),ROW(Source!$B$1:$B$250),FALSE),I$2)),"")</f>
        <v/>
      </c>
      <c r="J5" t="str">
        <f t="array" ref="J5">IFERROR(INDEX(Source!$A$1:$A$250,SMALL(IF(--(Source!$B$1:$B$250=Sheet2!$N5)*--(Source!$E$1:$E$250=Sheet2!$M$2),ROW(Source!$B$1:$B$250),FALSE),J$2)),"")</f>
        <v/>
      </c>
      <c r="K5" t="str">
        <f t="array" ref="K5">IFERROR(INDEX(Source!$A$1:$A$250,SMALL(IF(--(Source!$B$1:$B$250=Sheet2!$N5)*--(Source!$E$1:$E$250=Sheet2!$M$2),ROW(Source!$B$1:$B$250),FALSE),K$2)),"")</f>
        <v/>
      </c>
      <c r="L5" t="str">
        <f t="array" ref="L5">IFERROR(INDEX(Source!$A$1:$A$250,SMALL(IF(--(Source!$B$1:$B$250=Sheet2!$N5)*--(Source!$E$1:$E$250=Sheet2!$M$2),ROW(Source!$B$1:$B$250),FALSE),L$2)),"")</f>
        <v>26020 HK Equity</v>
      </c>
      <c r="M5">
        <f>COUNTIFS(Source!$E:$E,"Call",Source!$B:$B,Sheet2!$N5)</f>
        <v>1</v>
      </c>
      <c r="N5">
        <v>17200</v>
      </c>
      <c r="O5">
        <f>COUNTIFS(Source!$E:$E,"Put",Source!$B:$B,Sheet2!$N5)</f>
        <v>1</v>
      </c>
      <c r="P5" t="str">
        <f t="array" ref="P5">IFERROR(INDEX(Source!$A$1:$A$250,SMALL(IF(--(Source!$B$1:$B$250=Sheet2!$N5)*--(Source!$E$1:$E$250=Sheet2!$O$2),ROW(Source!$B$1:$B$250),FALSE),P$2)),"")</f>
        <v>26037 HK Equity</v>
      </c>
      <c r="Q5" t="str">
        <f t="array" ref="Q5">IFERROR(INDEX(Source!$A$1:$A$250,SMALL(IF(--(Source!$B$1:$B$250=Sheet2!$N5)*--(Source!$E$1:$E$250=Sheet2!$O$2),ROW(Source!$B$1:$B$250),FALSE),Q$2)),"")</f>
        <v/>
      </c>
      <c r="R5" t="str">
        <f t="array" ref="R5">IFERROR(INDEX(Source!$A$1:$A$250,SMALL(IF(--(Source!$B$1:$B$250=Sheet2!$N5)*--(Source!$E$1:$E$250=Sheet2!$O$2),ROW(Source!$B$1:$B$250),FALSE),R$2)),"")</f>
        <v/>
      </c>
      <c r="S5" t="str">
        <f t="array" ref="S5">IFERROR(INDEX(Source!$A$1:$A$250,SMALL(IF(--(Source!$B$1:$B$250=Sheet2!$N5)*--(Source!$E$1:$E$250=Sheet2!$O$2),ROW(Source!$B$1:$B$250),FALSE),S$2)),"")</f>
        <v/>
      </c>
      <c r="T5" t="str">
        <f t="array" ref="T5">IFERROR(INDEX(Source!$A$1:$A$250,SMALL(IF(--(Source!$B$1:$B$250=Sheet2!$N5)*--(Source!$E$1:$E$250=Sheet2!$O$2),ROW(Source!$B$1:$B$250),FALSE),T$2)),"")</f>
        <v/>
      </c>
      <c r="U5" t="str">
        <f t="array" ref="U5">IFERROR(INDEX(Source!$A$1:$A$250,SMALL(IF(--(Source!$B$1:$B$250=Sheet2!$N5)*--(Source!$E$1:$E$250=Sheet2!$O$2),ROW(Source!$B$1:$B$250),FALSE),U$2)),"")</f>
        <v/>
      </c>
      <c r="V5" t="str">
        <f t="array" ref="V5">IFERROR(INDEX(Source!$A$1:$A$250,SMALL(IF(--(Source!$B$1:$B$250=Sheet2!$N5)*--(Source!$E$1:$E$250=Sheet2!$O$2),ROW(Source!$B$1:$B$250),FALSE),V$2)),"")</f>
        <v/>
      </c>
      <c r="W5" s="5">
        <f t="shared" si="1"/>
        <v>0</v>
      </c>
    </row>
    <row r="6" spans="4:30">
      <c r="D6" s="5">
        <f t="shared" si="0"/>
        <v>0</v>
      </c>
      <c r="E6" t="str">
        <f t="array" ref="E6">IFERROR(INDEX(Source!$A$1:$A$250,SMALL(IF(--(Source!$B$1:$B$250=Sheet2!$N6)*--(Source!$E$1:$E$250=Sheet2!$M$2),ROW(Source!$B$1:$B$250),FALSE),E$2)),"")</f>
        <v/>
      </c>
      <c r="F6" t="str">
        <f t="array" ref="F6">IFERROR(INDEX(Source!$A$1:$A$250,SMALL(IF(--(Source!$B$1:$B$250=Sheet2!$N6)*--(Source!$E$1:$E$250=Sheet2!$M$2),ROW(Source!$B$1:$B$250),FALSE),F$2)),"")</f>
        <v/>
      </c>
      <c r="G6" t="str">
        <f t="array" ref="G6">IFERROR(INDEX(Source!$A$1:$A$250,SMALL(IF(--(Source!$B$1:$B$250=Sheet2!$N6)*--(Source!$E$1:$E$250=Sheet2!$M$2),ROW(Source!$B$1:$B$250),FALSE),G$2)),"")</f>
        <v/>
      </c>
      <c r="H6" t="str">
        <f t="array" ref="H6">IFERROR(INDEX(Source!$A$1:$A$250,SMALL(IF(--(Source!$B$1:$B$250=Sheet2!$N6)*--(Source!$E$1:$E$250=Sheet2!$M$2),ROW(Source!$B$1:$B$250),FALSE),H$2)),"")</f>
        <v/>
      </c>
      <c r="I6" t="str">
        <f t="array" ref="I6">IFERROR(INDEX(Source!$A$1:$A$250,SMALL(IF(--(Source!$B$1:$B$250=Sheet2!$N6)*--(Source!$E$1:$E$250=Sheet2!$M$2),ROW(Source!$B$1:$B$250),FALSE),I$2)),"")</f>
        <v/>
      </c>
      <c r="J6" t="str">
        <f t="array" ref="J6">IFERROR(INDEX(Source!$A$1:$A$250,SMALL(IF(--(Source!$B$1:$B$250=Sheet2!$N6)*--(Source!$E$1:$E$250=Sheet2!$M$2),ROW(Source!$B$1:$B$250),FALSE),J$2)),"")</f>
        <v/>
      </c>
      <c r="K6" t="str">
        <f t="array" ref="K6">IFERROR(INDEX(Source!$A$1:$A$250,SMALL(IF(--(Source!$B$1:$B$250=Sheet2!$N6)*--(Source!$E$1:$E$250=Sheet2!$M$2),ROW(Source!$B$1:$B$250),FALSE),K$2)),"")</f>
        <v/>
      </c>
      <c r="L6" t="str">
        <f t="array" ref="L6">IFERROR(INDEX(Source!$A$1:$A$250,SMALL(IF(--(Source!$B$1:$B$250=Sheet2!$N6)*--(Source!$E$1:$E$250=Sheet2!$M$2),ROW(Source!$B$1:$B$250),FALSE),L$2)),"")</f>
        <v/>
      </c>
      <c r="M6">
        <f>COUNTIFS(Source!$E:$E,"Call",Source!$B:$B,Sheet2!$N6)</f>
        <v>0</v>
      </c>
      <c r="N6">
        <v>17448</v>
      </c>
      <c r="O6">
        <f>COUNTIFS(Source!$E:$E,"Put",Source!$B:$B,Sheet2!$N6)</f>
        <v>1</v>
      </c>
      <c r="P6" t="str">
        <f t="array" ref="P6">IFERROR(INDEX(Source!$A$1:$A$250,SMALL(IF(--(Source!$B$1:$B$250=Sheet2!$N6)*--(Source!$E$1:$E$250=Sheet2!$O$2),ROW(Source!$B$1:$B$250),FALSE),P$2)),"")</f>
        <v>26485 HK Equity</v>
      </c>
      <c r="Q6" t="str">
        <f t="array" ref="Q6">IFERROR(INDEX(Source!$A$1:$A$250,SMALL(IF(--(Source!$B$1:$B$250=Sheet2!$N6)*--(Source!$E$1:$E$250=Sheet2!$O$2),ROW(Source!$B$1:$B$250),FALSE),Q$2)),"")</f>
        <v/>
      </c>
      <c r="R6" t="str">
        <f t="array" ref="R6">IFERROR(INDEX(Source!$A$1:$A$250,SMALL(IF(--(Source!$B$1:$B$250=Sheet2!$N6)*--(Source!$E$1:$E$250=Sheet2!$O$2),ROW(Source!$B$1:$B$250),FALSE),R$2)),"")</f>
        <v/>
      </c>
      <c r="S6" t="str">
        <f t="array" ref="S6">IFERROR(INDEX(Source!$A$1:$A$250,SMALL(IF(--(Source!$B$1:$B$250=Sheet2!$N6)*--(Source!$E$1:$E$250=Sheet2!$O$2),ROW(Source!$B$1:$B$250),FALSE),S$2)),"")</f>
        <v/>
      </c>
      <c r="T6" t="str">
        <f t="array" ref="T6">IFERROR(INDEX(Source!$A$1:$A$250,SMALL(IF(--(Source!$B$1:$B$250=Sheet2!$N6)*--(Source!$E$1:$E$250=Sheet2!$O$2),ROW(Source!$B$1:$B$250),FALSE),T$2)),"")</f>
        <v/>
      </c>
      <c r="U6" t="str">
        <f t="array" ref="U6">IFERROR(INDEX(Source!$A$1:$A$250,SMALL(IF(--(Source!$B$1:$B$250=Sheet2!$N6)*--(Source!$E$1:$E$250=Sheet2!$O$2),ROW(Source!$B$1:$B$250),FALSE),U$2)),"")</f>
        <v/>
      </c>
      <c r="V6" t="str">
        <f t="array" ref="V6">IFERROR(INDEX(Source!$A$1:$A$250,SMALL(IF(--(Source!$B$1:$B$250=Sheet2!$N6)*--(Source!$E$1:$E$250=Sheet2!$O$2),ROW(Source!$B$1:$B$250),FALSE),V$2)),"")</f>
        <v/>
      </c>
      <c r="W6" s="5">
        <f t="shared" si="1"/>
        <v>0</v>
      </c>
    </row>
    <row r="7" spans="4:30">
      <c r="D7" s="5">
        <f t="shared" si="0"/>
        <v>0</v>
      </c>
      <c r="E7" t="str">
        <f t="array" ref="E7">IFERROR(INDEX(Source!$A$1:$A$250,SMALL(IF(--(Source!$B$1:$B$250=Sheet2!$N7)*--(Source!$E$1:$E$250=Sheet2!$M$2),ROW(Source!$B$1:$B$250),FALSE),E$2)),"")</f>
        <v/>
      </c>
      <c r="F7" t="str">
        <f t="array" ref="F7">IFERROR(INDEX(Source!$A$1:$A$250,SMALL(IF(--(Source!$B$1:$B$250=Sheet2!$N7)*--(Source!$E$1:$E$250=Sheet2!$M$2),ROW(Source!$B$1:$B$250),FALSE),F$2)),"")</f>
        <v/>
      </c>
      <c r="G7" t="str">
        <f t="array" ref="G7">IFERROR(INDEX(Source!$A$1:$A$250,SMALL(IF(--(Source!$B$1:$B$250=Sheet2!$N7)*--(Source!$E$1:$E$250=Sheet2!$M$2),ROW(Source!$B$1:$B$250),FALSE),G$2)),"")</f>
        <v/>
      </c>
      <c r="H7" t="str">
        <f t="array" ref="H7">IFERROR(INDEX(Source!$A$1:$A$250,SMALL(IF(--(Source!$B$1:$B$250=Sheet2!$N7)*--(Source!$E$1:$E$250=Sheet2!$M$2),ROW(Source!$B$1:$B$250),FALSE),H$2)),"")</f>
        <v/>
      </c>
      <c r="I7" t="str">
        <f t="array" ref="I7">IFERROR(INDEX(Source!$A$1:$A$250,SMALL(IF(--(Source!$B$1:$B$250=Sheet2!$N7)*--(Source!$E$1:$E$250=Sheet2!$M$2),ROW(Source!$B$1:$B$250),FALSE),I$2)),"")</f>
        <v/>
      </c>
      <c r="J7" t="str">
        <f t="array" ref="J7">IFERROR(INDEX(Source!$A$1:$A$250,SMALL(IF(--(Source!$B$1:$B$250=Sheet2!$N7)*--(Source!$E$1:$E$250=Sheet2!$M$2),ROW(Source!$B$1:$B$250),FALSE),J$2)),"")</f>
        <v/>
      </c>
      <c r="K7" t="str">
        <f t="array" ref="K7">IFERROR(INDEX(Source!$A$1:$A$250,SMALL(IF(--(Source!$B$1:$B$250=Sheet2!$N7)*--(Source!$E$1:$E$250=Sheet2!$M$2),ROW(Source!$B$1:$B$250),FALSE),K$2)),"")</f>
        <v/>
      </c>
      <c r="L7" t="str">
        <f t="array" ref="L7">IFERROR(INDEX(Source!$A$1:$A$250,SMALL(IF(--(Source!$B$1:$B$250=Sheet2!$N7)*--(Source!$E$1:$E$250=Sheet2!$M$2),ROW(Source!$B$1:$B$250),FALSE),L$2)),"")</f>
        <v/>
      </c>
      <c r="M7">
        <f>COUNTIFS(Source!$E:$E,"Call",Source!$B:$B,Sheet2!$N7)</f>
        <v>0</v>
      </c>
      <c r="N7">
        <v>17500</v>
      </c>
      <c r="O7">
        <f>COUNTIFS(Source!$E:$E,"Put",Source!$B:$B,Sheet2!$N7)</f>
        <v>2</v>
      </c>
      <c r="P7" t="str">
        <f t="array" ref="P7">IFERROR(INDEX(Source!$A$1:$A$250,SMALL(IF(--(Source!$B$1:$B$250=Sheet2!$N7)*--(Source!$E$1:$E$250=Sheet2!$O$2),ROW(Source!$B$1:$B$250),FALSE),P$2)),"")</f>
        <v>26540 HK Equity</v>
      </c>
      <c r="Q7" t="str">
        <f t="array" ref="Q7">IFERROR(INDEX(Source!$A$1:$A$250,SMALL(IF(--(Source!$B$1:$B$250=Sheet2!$N7)*--(Source!$E$1:$E$250=Sheet2!$O$2),ROW(Source!$B$1:$B$250),FALSE),Q$2)),"")</f>
        <v>25916 HK Equity</v>
      </c>
      <c r="R7" t="str">
        <f t="array" ref="R7">IFERROR(INDEX(Source!$A$1:$A$250,SMALL(IF(--(Source!$B$1:$B$250=Sheet2!$N7)*--(Source!$E$1:$E$250=Sheet2!$O$2),ROW(Source!$B$1:$B$250),FALSE),R$2)),"")</f>
        <v/>
      </c>
      <c r="S7" t="str">
        <f t="array" ref="S7">IFERROR(INDEX(Source!$A$1:$A$250,SMALL(IF(--(Source!$B$1:$B$250=Sheet2!$N7)*--(Source!$E$1:$E$250=Sheet2!$O$2),ROW(Source!$B$1:$B$250),FALSE),S$2)),"")</f>
        <v/>
      </c>
      <c r="T7" t="str">
        <f t="array" ref="T7">IFERROR(INDEX(Source!$A$1:$A$250,SMALL(IF(--(Source!$B$1:$B$250=Sheet2!$N7)*--(Source!$E$1:$E$250=Sheet2!$O$2),ROW(Source!$B$1:$B$250),FALSE),T$2)),"")</f>
        <v/>
      </c>
      <c r="U7" t="str">
        <f t="array" ref="U7">IFERROR(INDEX(Source!$A$1:$A$250,SMALL(IF(--(Source!$B$1:$B$250=Sheet2!$N7)*--(Source!$E$1:$E$250=Sheet2!$O$2),ROW(Source!$B$1:$B$250),FALSE),U$2)),"")</f>
        <v/>
      </c>
      <c r="V7" t="str">
        <f t="array" ref="V7">IFERROR(INDEX(Source!$A$1:$A$250,SMALL(IF(--(Source!$B$1:$B$250=Sheet2!$N7)*--(Source!$E$1:$E$250=Sheet2!$O$2),ROW(Source!$B$1:$B$250),FALSE),V$2)),"")</f>
        <v/>
      </c>
      <c r="W7" s="5">
        <f t="shared" si="1"/>
        <v>0</v>
      </c>
    </row>
    <row r="8" spans="4:30">
      <c r="D8" s="5">
        <f t="shared" si="0"/>
        <v>0</v>
      </c>
      <c r="E8" t="str">
        <f t="array" ref="E8">IFERROR(INDEX(Source!$A$1:$A$250,SMALL(IF(--(Source!$B$1:$B$250=Sheet2!$N8)*--(Source!$E$1:$E$250=Sheet2!$M$2),ROW(Source!$B$1:$B$250),FALSE),E$2)),"")</f>
        <v/>
      </c>
      <c r="F8" t="str">
        <f t="array" ref="F8">IFERROR(INDEX(Source!$A$1:$A$250,SMALL(IF(--(Source!$B$1:$B$250=Sheet2!$N8)*--(Source!$E$1:$E$250=Sheet2!$M$2),ROW(Source!$B$1:$B$250),FALSE),F$2)),"")</f>
        <v/>
      </c>
      <c r="G8" t="str">
        <f t="array" ref="G8">IFERROR(INDEX(Source!$A$1:$A$250,SMALL(IF(--(Source!$B$1:$B$250=Sheet2!$N8)*--(Source!$E$1:$E$250=Sheet2!$M$2),ROW(Source!$B$1:$B$250),FALSE),G$2)),"")</f>
        <v/>
      </c>
      <c r="H8" t="str">
        <f t="array" ref="H8">IFERROR(INDEX(Source!$A$1:$A$250,SMALL(IF(--(Source!$B$1:$B$250=Sheet2!$N8)*--(Source!$E$1:$E$250=Sheet2!$M$2),ROW(Source!$B$1:$B$250),FALSE),H$2)),"")</f>
        <v/>
      </c>
      <c r="I8" t="str">
        <f t="array" ref="I8">IFERROR(INDEX(Source!$A$1:$A$250,SMALL(IF(--(Source!$B$1:$B$250=Sheet2!$N8)*--(Source!$E$1:$E$250=Sheet2!$M$2),ROW(Source!$B$1:$B$250),FALSE),I$2)),"")</f>
        <v/>
      </c>
      <c r="J8" t="str">
        <f t="array" ref="J8">IFERROR(INDEX(Source!$A$1:$A$250,SMALL(IF(--(Source!$B$1:$B$250=Sheet2!$N8)*--(Source!$E$1:$E$250=Sheet2!$M$2),ROW(Source!$B$1:$B$250),FALSE),J$2)),"")</f>
        <v/>
      </c>
      <c r="K8" t="str">
        <f t="array" ref="K8">IFERROR(INDEX(Source!$A$1:$A$250,SMALL(IF(--(Source!$B$1:$B$250=Sheet2!$N8)*--(Source!$E$1:$E$250=Sheet2!$M$2),ROW(Source!$B$1:$B$250),FALSE),K$2)),"")</f>
        <v/>
      </c>
      <c r="L8" t="str">
        <f t="array" ref="L8">IFERROR(INDEX(Source!$A$1:$A$250,SMALL(IF(--(Source!$B$1:$B$250=Sheet2!$N8)*--(Source!$E$1:$E$250=Sheet2!$M$2),ROW(Source!$B$1:$B$250),FALSE),L$2)),"")</f>
        <v/>
      </c>
      <c r="M8">
        <f>COUNTIFS(Source!$E:$E,"Call",Source!$B:$B,Sheet2!$N8)</f>
        <v>0</v>
      </c>
      <c r="N8">
        <v>17600</v>
      </c>
      <c r="O8">
        <f>COUNTIFS(Source!$E:$E,"Put",Source!$B:$B,Sheet2!$N8)</f>
        <v>3</v>
      </c>
      <c r="P8" t="str">
        <f t="array" ref="P8">IFERROR(INDEX(Source!$A$1:$A$250,SMALL(IF(--(Source!$B$1:$B$250=Sheet2!$N8)*--(Source!$E$1:$E$250=Sheet2!$O$2),ROW(Source!$B$1:$B$250),FALSE),P$2)),"")</f>
        <v>25625 HK Equity</v>
      </c>
      <c r="Q8" t="str">
        <f t="array" ref="Q8">IFERROR(INDEX(Source!$A$1:$A$250,SMALL(IF(--(Source!$B$1:$B$250=Sheet2!$N8)*--(Source!$E$1:$E$250=Sheet2!$O$2),ROW(Source!$B$1:$B$250),FALSE),Q$2)),"")</f>
        <v>26036 HK Equity</v>
      </c>
      <c r="R8" t="str">
        <f t="array" ref="R8">IFERROR(INDEX(Source!$A$1:$A$250,SMALL(IF(--(Source!$B$1:$B$250=Sheet2!$N8)*--(Source!$E$1:$E$250=Sheet2!$O$2),ROW(Source!$B$1:$B$250),FALSE),R$2)),"")</f>
        <v>26320 HK Equity</v>
      </c>
      <c r="S8" t="str">
        <f t="array" ref="S8">IFERROR(INDEX(Source!$A$1:$A$250,SMALL(IF(--(Source!$B$1:$B$250=Sheet2!$N8)*--(Source!$E$1:$E$250=Sheet2!$O$2),ROW(Source!$B$1:$B$250),FALSE),S$2)),"")</f>
        <v/>
      </c>
      <c r="T8" t="str">
        <f t="array" ref="T8">IFERROR(INDEX(Source!$A$1:$A$250,SMALL(IF(--(Source!$B$1:$B$250=Sheet2!$N8)*--(Source!$E$1:$E$250=Sheet2!$O$2),ROW(Source!$B$1:$B$250),FALSE),T$2)),"")</f>
        <v/>
      </c>
      <c r="U8" t="str">
        <f t="array" ref="U8">IFERROR(INDEX(Source!$A$1:$A$250,SMALL(IF(--(Source!$B$1:$B$250=Sheet2!$N8)*--(Source!$E$1:$E$250=Sheet2!$O$2),ROW(Source!$B$1:$B$250),FALSE),U$2)),"")</f>
        <v/>
      </c>
      <c r="V8" t="str">
        <f t="array" ref="V8">IFERROR(INDEX(Source!$A$1:$A$250,SMALL(IF(--(Source!$B$1:$B$250=Sheet2!$N8)*--(Source!$E$1:$E$250=Sheet2!$O$2),ROW(Source!$B$1:$B$250),FALSE),V$2)),"")</f>
        <v/>
      </c>
      <c r="W8" s="5">
        <f t="shared" si="1"/>
        <v>0</v>
      </c>
    </row>
    <row r="9" spans="4:30">
      <c r="D9" s="5">
        <f t="shared" si="0"/>
        <v>0</v>
      </c>
      <c r="E9" t="str">
        <f t="array" ref="E9">IFERROR(INDEX(Source!$A$1:$A$250,SMALL(IF(--(Source!$B$1:$B$250=Sheet2!$N9)*--(Source!$E$1:$E$250=Sheet2!$M$2),ROW(Source!$B$1:$B$250),FALSE),E$2)),"")</f>
        <v/>
      </c>
      <c r="F9" t="str">
        <f t="array" ref="F9">IFERROR(INDEX(Source!$A$1:$A$250,SMALL(IF(--(Source!$B$1:$B$250=Sheet2!$N9)*--(Source!$E$1:$E$250=Sheet2!$M$2),ROW(Source!$B$1:$B$250),FALSE),F$2)),"")</f>
        <v/>
      </c>
      <c r="G9" t="str">
        <f t="array" ref="G9">IFERROR(INDEX(Source!$A$1:$A$250,SMALL(IF(--(Source!$B$1:$B$250=Sheet2!$N9)*--(Source!$E$1:$E$250=Sheet2!$M$2),ROW(Source!$B$1:$B$250),FALSE),G$2)),"")</f>
        <v/>
      </c>
      <c r="H9" t="str">
        <f t="array" ref="H9">IFERROR(INDEX(Source!$A$1:$A$250,SMALL(IF(--(Source!$B$1:$B$250=Sheet2!$N9)*--(Source!$E$1:$E$250=Sheet2!$M$2),ROW(Source!$B$1:$B$250),FALSE),H$2)),"")</f>
        <v/>
      </c>
      <c r="I9" t="str">
        <f t="array" ref="I9">IFERROR(INDEX(Source!$A$1:$A$250,SMALL(IF(--(Source!$B$1:$B$250=Sheet2!$N9)*--(Source!$E$1:$E$250=Sheet2!$M$2),ROW(Source!$B$1:$B$250),FALSE),I$2)),"")</f>
        <v/>
      </c>
      <c r="J9" t="str">
        <f t="array" ref="J9">IFERROR(INDEX(Source!$A$1:$A$250,SMALL(IF(--(Source!$B$1:$B$250=Sheet2!$N9)*--(Source!$E$1:$E$250=Sheet2!$M$2),ROW(Source!$B$1:$B$250),FALSE),J$2)),"")</f>
        <v/>
      </c>
      <c r="K9" t="str">
        <f t="array" ref="K9">IFERROR(INDEX(Source!$A$1:$A$250,SMALL(IF(--(Source!$B$1:$B$250=Sheet2!$N9)*--(Source!$E$1:$E$250=Sheet2!$M$2),ROW(Source!$B$1:$B$250),FALSE),K$2)),"")</f>
        <v/>
      </c>
      <c r="L9" t="str">
        <f t="array" ref="L9">IFERROR(INDEX(Source!$A$1:$A$250,SMALL(IF(--(Source!$B$1:$B$250=Sheet2!$N9)*--(Source!$E$1:$E$250=Sheet2!$M$2),ROW(Source!$B$1:$B$250),FALSE),L$2)),"")</f>
        <v/>
      </c>
      <c r="M9">
        <f>COUNTIFS(Source!$E:$E,"Call",Source!$B:$B,Sheet2!$N9)</f>
        <v>0</v>
      </c>
      <c r="N9">
        <v>17800</v>
      </c>
      <c r="O9">
        <f>COUNTIFS(Source!$E:$E,"Put",Source!$B:$B,Sheet2!$N9)</f>
        <v>1</v>
      </c>
      <c r="P9" t="str">
        <f t="array" ref="P9">IFERROR(INDEX(Source!$A$1:$A$250,SMALL(IF(--(Source!$B$1:$B$250=Sheet2!$N9)*--(Source!$E$1:$E$250=Sheet2!$O$2),ROW(Source!$B$1:$B$250),FALSE),P$2)),"")</f>
        <v>25946 HK Equity</v>
      </c>
      <c r="Q9" t="str">
        <f t="array" ref="Q9">IFERROR(INDEX(Source!$A$1:$A$250,SMALL(IF(--(Source!$B$1:$B$250=Sheet2!$N9)*--(Source!$E$1:$E$250=Sheet2!$O$2),ROW(Source!$B$1:$B$250),FALSE),Q$2)),"")</f>
        <v/>
      </c>
      <c r="R9" t="str">
        <f t="array" ref="R9">IFERROR(INDEX(Source!$A$1:$A$250,SMALL(IF(--(Source!$B$1:$B$250=Sheet2!$N9)*--(Source!$E$1:$E$250=Sheet2!$O$2),ROW(Source!$B$1:$B$250),FALSE),R$2)),"")</f>
        <v/>
      </c>
      <c r="S9" t="str">
        <f t="array" ref="S9">IFERROR(INDEX(Source!$A$1:$A$250,SMALL(IF(--(Source!$B$1:$B$250=Sheet2!$N9)*--(Source!$E$1:$E$250=Sheet2!$O$2),ROW(Source!$B$1:$B$250),FALSE),S$2)),"")</f>
        <v/>
      </c>
      <c r="T9" t="str">
        <f t="array" ref="T9">IFERROR(INDEX(Source!$A$1:$A$250,SMALL(IF(--(Source!$B$1:$B$250=Sheet2!$N9)*--(Source!$E$1:$E$250=Sheet2!$O$2),ROW(Source!$B$1:$B$250),FALSE),T$2)),"")</f>
        <v/>
      </c>
      <c r="U9" t="str">
        <f t="array" ref="U9">IFERROR(INDEX(Source!$A$1:$A$250,SMALL(IF(--(Source!$B$1:$B$250=Sheet2!$N9)*--(Source!$E$1:$E$250=Sheet2!$O$2),ROW(Source!$B$1:$B$250),FALSE),U$2)),"")</f>
        <v/>
      </c>
      <c r="V9" t="str">
        <f t="array" ref="V9">IFERROR(INDEX(Source!$A$1:$A$250,SMALL(IF(--(Source!$B$1:$B$250=Sheet2!$N9)*--(Source!$E$1:$E$250=Sheet2!$O$2),ROW(Source!$B$1:$B$250),FALSE),V$2)),"")</f>
        <v/>
      </c>
      <c r="W9" s="5">
        <f t="shared" si="1"/>
        <v>0</v>
      </c>
    </row>
    <row r="10" spans="4:30">
      <c r="D10" s="5">
        <f t="shared" si="0"/>
        <v>0</v>
      </c>
      <c r="E10" t="str">
        <f t="array" ref="E10">IFERROR(INDEX(Source!$A$1:$A$250,SMALL(IF(--(Source!$B$1:$B$250=Sheet2!$N10)*--(Source!$E$1:$E$250=Sheet2!$M$2),ROW(Source!$B$1:$B$250),FALSE),E$2)),"")</f>
        <v/>
      </c>
      <c r="F10" t="str">
        <f t="array" ref="F10">IFERROR(INDEX(Source!$A$1:$A$250,SMALL(IF(--(Source!$B$1:$B$250=Sheet2!$N10)*--(Source!$E$1:$E$250=Sheet2!$M$2),ROW(Source!$B$1:$B$250),FALSE),F$2)),"")</f>
        <v/>
      </c>
      <c r="G10" t="str">
        <f t="array" ref="G10">IFERROR(INDEX(Source!$A$1:$A$250,SMALL(IF(--(Source!$B$1:$B$250=Sheet2!$N10)*--(Source!$E$1:$E$250=Sheet2!$M$2),ROW(Source!$B$1:$B$250),FALSE),G$2)),"")</f>
        <v/>
      </c>
      <c r="H10" t="str">
        <f t="array" ref="H10">IFERROR(INDEX(Source!$A$1:$A$250,SMALL(IF(--(Source!$B$1:$B$250=Sheet2!$N10)*--(Source!$E$1:$E$250=Sheet2!$M$2),ROW(Source!$B$1:$B$250),FALSE),H$2)),"")</f>
        <v/>
      </c>
      <c r="I10" t="str">
        <f t="array" ref="I10">IFERROR(INDEX(Source!$A$1:$A$250,SMALL(IF(--(Source!$B$1:$B$250=Sheet2!$N10)*--(Source!$E$1:$E$250=Sheet2!$M$2),ROW(Source!$B$1:$B$250),FALSE),I$2)),"")</f>
        <v/>
      </c>
      <c r="J10" t="str">
        <f t="array" ref="J10">IFERROR(INDEX(Source!$A$1:$A$250,SMALL(IF(--(Source!$B$1:$B$250=Sheet2!$N10)*--(Source!$E$1:$E$250=Sheet2!$M$2),ROW(Source!$B$1:$B$250),FALSE),J$2)),"")</f>
        <v/>
      </c>
      <c r="K10" t="str">
        <f t="array" ref="K10">IFERROR(INDEX(Source!$A$1:$A$250,SMALL(IF(--(Source!$B$1:$B$250=Sheet2!$N10)*--(Source!$E$1:$E$250=Sheet2!$M$2),ROW(Source!$B$1:$B$250),FALSE),K$2)),"")</f>
        <v/>
      </c>
      <c r="L10" t="str">
        <f t="array" ref="L10">IFERROR(INDEX(Source!$A$1:$A$250,SMALL(IF(--(Source!$B$1:$B$250=Sheet2!$N10)*--(Source!$E$1:$E$250=Sheet2!$M$2),ROW(Source!$B$1:$B$250),FALSE),L$2)),"")</f>
        <v/>
      </c>
      <c r="M10">
        <f>COUNTIFS(Source!$E:$E,"Call",Source!$B:$B,Sheet2!$N10)</f>
        <v>0</v>
      </c>
      <c r="N10">
        <v>17988</v>
      </c>
      <c r="O10">
        <f>COUNTIFS(Source!$E:$E,"Put",Source!$B:$B,Sheet2!$N10)</f>
        <v>1</v>
      </c>
      <c r="P10" t="str">
        <f t="array" ref="P10">IFERROR(INDEX(Source!$A$1:$A$250,SMALL(IF(--(Source!$B$1:$B$250=Sheet2!$N10)*--(Source!$E$1:$E$250=Sheet2!$O$2),ROW(Source!$B$1:$B$250),FALSE),P$2)),"")</f>
        <v>26142 HK Equity</v>
      </c>
      <c r="Q10" t="str">
        <f t="array" ref="Q10">IFERROR(INDEX(Source!$A$1:$A$250,SMALL(IF(--(Source!$B$1:$B$250=Sheet2!$N10)*--(Source!$E$1:$E$250=Sheet2!$O$2),ROW(Source!$B$1:$B$250),FALSE),Q$2)),"")</f>
        <v/>
      </c>
      <c r="R10" t="str">
        <f t="array" ref="R10">IFERROR(INDEX(Source!$A$1:$A$250,SMALL(IF(--(Source!$B$1:$B$250=Sheet2!$N10)*--(Source!$E$1:$E$250=Sheet2!$O$2),ROW(Source!$B$1:$B$250),FALSE),R$2)),"")</f>
        <v/>
      </c>
      <c r="S10" t="str">
        <f t="array" ref="S10">IFERROR(INDEX(Source!$A$1:$A$250,SMALL(IF(--(Source!$B$1:$B$250=Sheet2!$N10)*--(Source!$E$1:$E$250=Sheet2!$O$2),ROW(Source!$B$1:$B$250),FALSE),S$2)),"")</f>
        <v/>
      </c>
      <c r="T10" t="str">
        <f t="array" ref="T10">IFERROR(INDEX(Source!$A$1:$A$250,SMALL(IF(--(Source!$B$1:$B$250=Sheet2!$N10)*--(Source!$E$1:$E$250=Sheet2!$O$2),ROW(Source!$B$1:$B$250),FALSE),T$2)),"")</f>
        <v/>
      </c>
      <c r="U10" t="str">
        <f t="array" ref="U10">IFERROR(INDEX(Source!$A$1:$A$250,SMALL(IF(--(Source!$B$1:$B$250=Sheet2!$N10)*--(Source!$E$1:$E$250=Sheet2!$O$2),ROW(Source!$B$1:$B$250),FALSE),U$2)),"")</f>
        <v/>
      </c>
      <c r="V10" t="str">
        <f t="array" ref="V10">IFERROR(INDEX(Source!$A$1:$A$250,SMALL(IF(--(Source!$B$1:$B$250=Sheet2!$N10)*--(Source!$E$1:$E$250=Sheet2!$O$2),ROW(Source!$B$1:$B$250),FALSE),V$2)),"")</f>
        <v/>
      </c>
      <c r="W10" s="5">
        <f t="shared" si="1"/>
        <v>0</v>
      </c>
    </row>
    <row r="11" spans="4:30">
      <c r="D11" s="5">
        <f t="shared" si="0"/>
        <v>0</v>
      </c>
      <c r="E11" t="str">
        <f t="array" ref="E11">IFERROR(INDEX(Source!$A$1:$A$250,SMALL(IF(--(Source!$B$1:$B$250=Sheet2!$N11)*--(Source!$E$1:$E$250=Sheet2!$M$2),ROW(Source!$B$1:$B$250),FALSE),E$2)),"")</f>
        <v/>
      </c>
      <c r="F11" t="str">
        <f t="array" ref="F11">IFERROR(INDEX(Source!$A$1:$A$250,SMALL(IF(--(Source!$B$1:$B$250=Sheet2!$N11)*--(Source!$E$1:$E$250=Sheet2!$M$2),ROW(Source!$B$1:$B$250),FALSE),F$2)),"")</f>
        <v/>
      </c>
      <c r="G11" t="str">
        <f t="array" ref="G11">IFERROR(INDEX(Source!$A$1:$A$250,SMALL(IF(--(Source!$B$1:$B$250=Sheet2!$N11)*--(Source!$E$1:$E$250=Sheet2!$M$2),ROW(Source!$B$1:$B$250),FALSE),G$2)),"")</f>
        <v/>
      </c>
      <c r="H11" t="str">
        <f t="array" ref="H11">IFERROR(INDEX(Source!$A$1:$A$250,SMALL(IF(--(Source!$B$1:$B$250=Sheet2!$N11)*--(Source!$E$1:$E$250=Sheet2!$M$2),ROW(Source!$B$1:$B$250),FALSE),H$2)),"")</f>
        <v/>
      </c>
      <c r="I11" t="str">
        <f t="array" ref="I11">IFERROR(INDEX(Source!$A$1:$A$250,SMALL(IF(--(Source!$B$1:$B$250=Sheet2!$N11)*--(Source!$E$1:$E$250=Sheet2!$M$2),ROW(Source!$B$1:$B$250),FALSE),I$2)),"")</f>
        <v>26329 HK Equity</v>
      </c>
      <c r="J11" t="str">
        <f t="array" ref="J11">IFERROR(INDEX(Source!$A$1:$A$250,SMALL(IF(--(Source!$B$1:$B$250=Sheet2!$N11)*--(Source!$E$1:$E$250=Sheet2!$M$2),ROW(Source!$B$1:$B$250),FALSE),J$2)),"")</f>
        <v>26064 HK Equity</v>
      </c>
      <c r="K11" t="str">
        <f t="array" ref="K11">IFERROR(INDEX(Source!$A$1:$A$250,SMALL(IF(--(Source!$B$1:$B$250=Sheet2!$N11)*--(Source!$E$1:$E$250=Sheet2!$M$2),ROW(Source!$B$1:$B$250),FALSE),K$2)),"")</f>
        <v>25686 HK Equity</v>
      </c>
      <c r="L11" t="str">
        <f t="array" ref="L11">IFERROR(INDEX(Source!$A$1:$A$250,SMALL(IF(--(Source!$B$1:$B$250=Sheet2!$N11)*--(Source!$E$1:$E$250=Sheet2!$M$2),ROW(Source!$B$1:$B$250),FALSE),L$2)),"")</f>
        <v>25986 HK Equity</v>
      </c>
      <c r="M11">
        <f>COUNTIFS(Source!$E:$E,"Call",Source!$B:$B,Sheet2!$N11)</f>
        <v>4</v>
      </c>
      <c r="N11">
        <v>18000</v>
      </c>
      <c r="O11">
        <f>COUNTIFS(Source!$E:$E,"Put",Source!$B:$B,Sheet2!$N11)</f>
        <v>3</v>
      </c>
      <c r="P11" t="str">
        <f t="array" ref="P11">IFERROR(INDEX(Source!$A$1:$A$250,SMALL(IF(--(Source!$B$1:$B$250=Sheet2!$N11)*--(Source!$E$1:$E$250=Sheet2!$O$2),ROW(Source!$B$1:$B$250),FALSE),P$2)),"")</f>
        <v>25994 HK Equity</v>
      </c>
      <c r="Q11" t="str">
        <f t="array" ref="Q11">IFERROR(INDEX(Source!$A$1:$A$250,SMALL(IF(--(Source!$B$1:$B$250=Sheet2!$N11)*--(Source!$E$1:$E$250=Sheet2!$O$2),ROW(Source!$B$1:$B$250),FALSE),Q$2)),"")</f>
        <v>26052 HK Equity</v>
      </c>
      <c r="R11" t="str">
        <f t="array" ref="R11">IFERROR(INDEX(Source!$A$1:$A$250,SMALL(IF(--(Source!$B$1:$B$250=Sheet2!$N11)*--(Source!$E$1:$E$250=Sheet2!$O$2),ROW(Source!$B$1:$B$250),FALSE),R$2)),"")</f>
        <v>26532 HK Equity</v>
      </c>
      <c r="S11" t="str">
        <f t="array" ref="S11">IFERROR(INDEX(Source!$A$1:$A$250,SMALL(IF(--(Source!$B$1:$B$250=Sheet2!$N11)*--(Source!$E$1:$E$250=Sheet2!$O$2),ROW(Source!$B$1:$B$250),FALSE),S$2)),"")</f>
        <v/>
      </c>
      <c r="T11" t="str">
        <f t="array" ref="T11">IFERROR(INDEX(Source!$A$1:$A$250,SMALL(IF(--(Source!$B$1:$B$250=Sheet2!$N11)*--(Source!$E$1:$E$250=Sheet2!$O$2),ROW(Source!$B$1:$B$250),FALSE),T$2)),"")</f>
        <v/>
      </c>
      <c r="U11" t="str">
        <f t="array" ref="U11">IFERROR(INDEX(Source!$A$1:$A$250,SMALL(IF(--(Source!$B$1:$B$250=Sheet2!$N11)*--(Source!$E$1:$E$250=Sheet2!$O$2),ROW(Source!$B$1:$B$250),FALSE),U$2)),"")</f>
        <v/>
      </c>
      <c r="V11" t="str">
        <f t="array" ref="V11">IFERROR(INDEX(Source!$A$1:$A$250,SMALL(IF(--(Source!$B$1:$B$250=Sheet2!$N11)*--(Source!$E$1:$E$250=Sheet2!$O$2),ROW(Source!$B$1:$B$250),FALSE),V$2)),"")</f>
        <v/>
      </c>
      <c r="W11" s="5">
        <f t="shared" si="1"/>
        <v>0</v>
      </c>
    </row>
    <row r="12" spans="4:30">
      <c r="D12" s="5">
        <f t="shared" si="0"/>
        <v>0</v>
      </c>
      <c r="E12" t="str">
        <f t="array" ref="E12">IFERROR(INDEX(Source!$A$1:$A$250,SMALL(IF(--(Source!$B$1:$B$250=Sheet2!$N12)*--(Source!$E$1:$E$250=Sheet2!$M$2),ROW(Source!$B$1:$B$250),FALSE),E$2)),"")</f>
        <v/>
      </c>
      <c r="F12" t="str">
        <f t="array" ref="F12">IFERROR(INDEX(Source!$A$1:$A$250,SMALL(IF(--(Source!$B$1:$B$250=Sheet2!$N12)*--(Source!$E$1:$E$250=Sheet2!$M$2),ROW(Source!$B$1:$B$250),FALSE),F$2)),"")</f>
        <v/>
      </c>
      <c r="G12" t="str">
        <f t="array" ref="G12">IFERROR(INDEX(Source!$A$1:$A$250,SMALL(IF(--(Source!$B$1:$B$250=Sheet2!$N12)*--(Source!$E$1:$E$250=Sheet2!$M$2),ROW(Source!$B$1:$B$250),FALSE),G$2)),"")</f>
        <v/>
      </c>
      <c r="H12" t="str">
        <f t="array" ref="H12">IFERROR(INDEX(Source!$A$1:$A$250,SMALL(IF(--(Source!$B$1:$B$250=Sheet2!$N12)*--(Source!$E$1:$E$250=Sheet2!$M$2),ROW(Source!$B$1:$B$250),FALSE),H$2)),"")</f>
        <v/>
      </c>
      <c r="I12" t="str">
        <f t="array" ref="I12">IFERROR(INDEX(Source!$A$1:$A$250,SMALL(IF(--(Source!$B$1:$B$250=Sheet2!$N12)*--(Source!$E$1:$E$250=Sheet2!$M$2),ROW(Source!$B$1:$B$250),FALSE),I$2)),"")</f>
        <v/>
      </c>
      <c r="J12" t="str">
        <f t="array" ref="J12">IFERROR(INDEX(Source!$A$1:$A$250,SMALL(IF(--(Source!$B$1:$B$250=Sheet2!$N12)*--(Source!$E$1:$E$250=Sheet2!$M$2),ROW(Source!$B$1:$B$250),FALSE),J$2)),"")</f>
        <v/>
      </c>
      <c r="K12" t="str">
        <f t="array" ref="K12">IFERROR(INDEX(Source!$A$1:$A$250,SMALL(IF(--(Source!$B$1:$B$250=Sheet2!$N12)*--(Source!$E$1:$E$250=Sheet2!$M$2),ROW(Source!$B$1:$B$250),FALSE),K$2)),"")</f>
        <v/>
      </c>
      <c r="L12" t="str">
        <f t="array" ref="L12">IFERROR(INDEX(Source!$A$1:$A$250,SMALL(IF(--(Source!$B$1:$B$250=Sheet2!$N12)*--(Source!$E$1:$E$250=Sheet2!$M$2),ROW(Source!$B$1:$B$250),FALSE),L$2)),"")</f>
        <v/>
      </c>
      <c r="M12">
        <f>COUNTIFS(Source!$E:$E,"Call",Source!$B:$B,Sheet2!$N12)</f>
        <v>0</v>
      </c>
      <c r="N12">
        <v>18308</v>
      </c>
      <c r="O12">
        <f>COUNTIFS(Source!$E:$E,"Put",Source!$B:$B,Sheet2!$N12)</f>
        <v>1</v>
      </c>
      <c r="P12" t="str">
        <f t="array" ref="P12">IFERROR(INDEX(Source!$A$1:$A$250,SMALL(IF(--(Source!$B$1:$B$250=Sheet2!$N12)*--(Source!$E$1:$E$250=Sheet2!$O$2),ROW(Source!$B$1:$B$250),FALSE),P$2)),"")</f>
        <v>27112 HK Equity</v>
      </c>
      <c r="Q12" t="str">
        <f t="array" ref="Q12">IFERROR(INDEX(Source!$A$1:$A$250,SMALL(IF(--(Source!$B$1:$B$250=Sheet2!$N12)*--(Source!$E$1:$E$250=Sheet2!$O$2),ROW(Source!$B$1:$B$250),FALSE),Q$2)),"")</f>
        <v/>
      </c>
      <c r="R12" t="str">
        <f t="array" ref="R12">IFERROR(INDEX(Source!$A$1:$A$250,SMALL(IF(--(Source!$B$1:$B$250=Sheet2!$N12)*--(Source!$E$1:$E$250=Sheet2!$O$2),ROW(Source!$B$1:$B$250),FALSE),R$2)),"")</f>
        <v/>
      </c>
      <c r="S12" t="str">
        <f t="array" ref="S12">IFERROR(INDEX(Source!$A$1:$A$250,SMALL(IF(--(Source!$B$1:$B$250=Sheet2!$N12)*--(Source!$E$1:$E$250=Sheet2!$O$2),ROW(Source!$B$1:$B$250),FALSE),S$2)),"")</f>
        <v/>
      </c>
      <c r="T12" t="str">
        <f t="array" ref="T12">IFERROR(INDEX(Source!$A$1:$A$250,SMALL(IF(--(Source!$B$1:$B$250=Sheet2!$N12)*--(Source!$E$1:$E$250=Sheet2!$O$2),ROW(Source!$B$1:$B$250),FALSE),T$2)),"")</f>
        <v/>
      </c>
      <c r="U12" t="str">
        <f t="array" ref="U12">IFERROR(INDEX(Source!$A$1:$A$250,SMALL(IF(--(Source!$B$1:$B$250=Sheet2!$N12)*--(Source!$E$1:$E$250=Sheet2!$O$2),ROW(Source!$B$1:$B$250),FALSE),U$2)),"")</f>
        <v/>
      </c>
      <c r="V12" t="str">
        <f t="array" ref="V12">IFERROR(INDEX(Source!$A$1:$A$250,SMALL(IF(--(Source!$B$1:$B$250=Sheet2!$N12)*--(Source!$E$1:$E$250=Sheet2!$O$2),ROW(Source!$B$1:$B$250),FALSE),V$2)),"")</f>
        <v/>
      </c>
      <c r="W12" s="5">
        <f t="shared" si="1"/>
        <v>0</v>
      </c>
    </row>
    <row r="13" spans="4:30">
      <c r="D13" s="5">
        <f t="shared" si="0"/>
        <v>0</v>
      </c>
      <c r="E13" t="str">
        <f t="array" ref="E13">IFERROR(INDEX(Source!$A$1:$A$250,SMALL(IF(--(Source!$B$1:$B$250=Sheet2!$N13)*--(Source!$E$1:$E$250=Sheet2!$M$2),ROW(Source!$B$1:$B$250),FALSE),E$2)),"")</f>
        <v/>
      </c>
      <c r="F13" t="str">
        <f t="array" ref="F13">IFERROR(INDEX(Source!$A$1:$A$250,SMALL(IF(--(Source!$B$1:$B$250=Sheet2!$N13)*--(Source!$E$1:$E$250=Sheet2!$M$2),ROW(Source!$B$1:$B$250),FALSE),F$2)),"")</f>
        <v/>
      </c>
      <c r="G13" t="str">
        <f t="array" ref="G13">IFERROR(INDEX(Source!$A$1:$A$250,SMALL(IF(--(Source!$B$1:$B$250=Sheet2!$N13)*--(Source!$E$1:$E$250=Sheet2!$M$2),ROW(Source!$B$1:$B$250),FALSE),G$2)),"")</f>
        <v/>
      </c>
      <c r="H13" t="str">
        <f t="array" ref="H13">IFERROR(INDEX(Source!$A$1:$A$250,SMALL(IF(--(Source!$B$1:$B$250=Sheet2!$N13)*--(Source!$E$1:$E$250=Sheet2!$M$2),ROW(Source!$B$1:$B$250),FALSE),H$2)),"")</f>
        <v/>
      </c>
      <c r="I13" t="str">
        <f t="array" ref="I13">IFERROR(INDEX(Source!$A$1:$A$250,SMALL(IF(--(Source!$B$1:$B$250=Sheet2!$N13)*--(Source!$E$1:$E$250=Sheet2!$M$2),ROW(Source!$B$1:$B$250),FALSE),I$2)),"")</f>
        <v/>
      </c>
      <c r="J13" t="str">
        <f t="array" ref="J13">IFERROR(INDEX(Source!$A$1:$A$250,SMALL(IF(--(Source!$B$1:$B$250=Sheet2!$N13)*--(Source!$E$1:$E$250=Sheet2!$M$2),ROW(Source!$B$1:$B$250),FALSE),J$2)),"")</f>
        <v/>
      </c>
      <c r="K13" t="str">
        <f t="array" ref="K13">IFERROR(INDEX(Source!$A$1:$A$250,SMALL(IF(--(Source!$B$1:$B$250=Sheet2!$N13)*--(Source!$E$1:$E$250=Sheet2!$M$2),ROW(Source!$B$1:$B$250),FALSE),K$2)),"")</f>
        <v/>
      </c>
      <c r="L13" t="str">
        <f t="array" ref="L13">IFERROR(INDEX(Source!$A$1:$A$250,SMALL(IF(--(Source!$B$1:$B$250=Sheet2!$N13)*--(Source!$E$1:$E$250=Sheet2!$M$2),ROW(Source!$B$1:$B$250),FALSE),L$2)),"")</f>
        <v>25948 HK Equity</v>
      </c>
      <c r="M13">
        <f>COUNTIFS(Source!$E:$E,"Call",Source!$B:$B,Sheet2!$N13)</f>
        <v>1</v>
      </c>
      <c r="N13">
        <v>18400</v>
      </c>
      <c r="O13">
        <f>COUNTIFS(Source!$E:$E,"Put",Source!$B:$B,Sheet2!$N13)</f>
        <v>5</v>
      </c>
      <c r="P13" t="str">
        <f t="array" ref="P13">IFERROR(INDEX(Source!$A$1:$A$250,SMALL(IF(--(Source!$B$1:$B$250=Sheet2!$N13)*--(Source!$E$1:$E$250=Sheet2!$O$2),ROW(Source!$B$1:$B$250),FALSE),P$2)),"")</f>
        <v>25548 HK Equity</v>
      </c>
      <c r="Q13" t="str">
        <f t="array" ref="Q13">IFERROR(INDEX(Source!$A$1:$A$250,SMALL(IF(--(Source!$B$1:$B$250=Sheet2!$N13)*--(Source!$E$1:$E$250=Sheet2!$O$2),ROW(Source!$B$1:$B$250),FALSE),Q$2)),"")</f>
        <v>25698 HK Equity</v>
      </c>
      <c r="R13" t="str">
        <f t="array" ref="R13">IFERROR(INDEX(Source!$A$1:$A$250,SMALL(IF(--(Source!$B$1:$B$250=Sheet2!$N13)*--(Source!$E$1:$E$250=Sheet2!$O$2),ROW(Source!$B$1:$B$250),FALSE),R$2)),"")</f>
        <v>26668 HK Equity</v>
      </c>
      <c r="S13" t="str">
        <f t="array" ref="S13">IFERROR(INDEX(Source!$A$1:$A$250,SMALL(IF(--(Source!$B$1:$B$250=Sheet2!$N13)*--(Source!$E$1:$E$250=Sheet2!$O$2),ROW(Source!$B$1:$B$250),FALSE),S$2)),"")</f>
        <v>25579 HK Equity</v>
      </c>
      <c r="T13" t="str">
        <f t="array" ref="T13">IFERROR(INDEX(Source!$A$1:$A$250,SMALL(IF(--(Source!$B$1:$B$250=Sheet2!$N13)*--(Source!$E$1:$E$250=Sheet2!$O$2),ROW(Source!$B$1:$B$250),FALSE),T$2)),"")</f>
        <v>26362 HK Equity</v>
      </c>
      <c r="U13" t="str">
        <f t="array" ref="U13">IFERROR(INDEX(Source!$A$1:$A$250,SMALL(IF(--(Source!$B$1:$B$250=Sheet2!$N13)*--(Source!$E$1:$E$250=Sheet2!$O$2),ROW(Source!$B$1:$B$250),FALSE),U$2)),"")</f>
        <v/>
      </c>
      <c r="V13" t="str">
        <f t="array" ref="V13">IFERROR(INDEX(Source!$A$1:$A$250,SMALL(IF(--(Source!$B$1:$B$250=Sheet2!$N13)*--(Source!$E$1:$E$250=Sheet2!$O$2),ROW(Source!$B$1:$B$250),FALSE),V$2)),"")</f>
        <v/>
      </c>
      <c r="W13" s="5">
        <f t="shared" si="1"/>
        <v>0</v>
      </c>
    </row>
    <row r="14" spans="4:30">
      <c r="D14" s="5">
        <f t="shared" si="0"/>
        <v>0</v>
      </c>
      <c r="E14" t="str">
        <f t="array" ref="E14">IFERROR(INDEX(Source!$A$1:$A$250,SMALL(IF(--(Source!$B$1:$B$250=Sheet2!$N14)*--(Source!$E$1:$E$250=Sheet2!$M$2),ROW(Source!$B$1:$B$250),FALSE),E$2)),"")</f>
        <v/>
      </c>
      <c r="F14" t="str">
        <f t="array" ref="F14">IFERROR(INDEX(Source!$A$1:$A$250,SMALL(IF(--(Source!$B$1:$B$250=Sheet2!$N14)*--(Source!$E$1:$E$250=Sheet2!$M$2),ROW(Source!$B$1:$B$250),FALSE),F$2)),"")</f>
        <v/>
      </c>
      <c r="G14" t="str">
        <f t="array" ref="G14">IFERROR(INDEX(Source!$A$1:$A$250,SMALL(IF(--(Source!$B$1:$B$250=Sheet2!$N14)*--(Source!$E$1:$E$250=Sheet2!$M$2),ROW(Source!$B$1:$B$250),FALSE),G$2)),"")</f>
        <v/>
      </c>
      <c r="H14" t="str">
        <f t="array" ref="H14">IFERROR(INDEX(Source!$A$1:$A$250,SMALL(IF(--(Source!$B$1:$B$250=Sheet2!$N14)*--(Source!$E$1:$E$250=Sheet2!$M$2),ROW(Source!$B$1:$B$250),FALSE),H$2)),"")</f>
        <v/>
      </c>
      <c r="I14" t="str">
        <f t="array" ref="I14">IFERROR(INDEX(Source!$A$1:$A$250,SMALL(IF(--(Source!$B$1:$B$250=Sheet2!$N14)*--(Source!$E$1:$E$250=Sheet2!$M$2),ROW(Source!$B$1:$B$250),FALSE),I$2)),"")</f>
        <v/>
      </c>
      <c r="J14" t="str">
        <f t="array" ref="J14">IFERROR(INDEX(Source!$A$1:$A$250,SMALL(IF(--(Source!$B$1:$B$250=Sheet2!$N14)*--(Source!$E$1:$E$250=Sheet2!$M$2),ROW(Source!$B$1:$B$250),FALSE),J$2)),"")</f>
        <v/>
      </c>
      <c r="K14" t="str">
        <f t="array" ref="K14">IFERROR(INDEX(Source!$A$1:$A$250,SMALL(IF(--(Source!$B$1:$B$250=Sheet2!$N14)*--(Source!$E$1:$E$250=Sheet2!$M$2),ROW(Source!$B$1:$B$250),FALSE),K$2)),"")</f>
        <v/>
      </c>
      <c r="L14" t="str">
        <f t="array" ref="L14">IFERROR(INDEX(Source!$A$1:$A$250,SMALL(IF(--(Source!$B$1:$B$250=Sheet2!$N14)*--(Source!$E$1:$E$250=Sheet2!$M$2),ROW(Source!$B$1:$B$250),FALSE),L$2)),"")</f>
        <v/>
      </c>
      <c r="M14">
        <f>COUNTIFS(Source!$E:$E,"Call",Source!$B:$B,Sheet2!$N14)</f>
        <v>0</v>
      </c>
      <c r="N14">
        <v>18500</v>
      </c>
      <c r="O14">
        <f>COUNTIFS(Source!$E:$E,"Put",Source!$B:$B,Sheet2!$N14)</f>
        <v>1</v>
      </c>
      <c r="P14" t="str">
        <f t="array" ref="P14">IFERROR(INDEX(Source!$A$1:$A$250,SMALL(IF(--(Source!$B$1:$B$250=Sheet2!$N14)*--(Source!$E$1:$E$250=Sheet2!$O$2),ROW(Source!$B$1:$B$250),FALSE),P$2)),"")</f>
        <v>25917 HK Equity</v>
      </c>
      <c r="Q14" t="str">
        <f t="array" ref="Q14">IFERROR(INDEX(Source!$A$1:$A$250,SMALL(IF(--(Source!$B$1:$B$250=Sheet2!$N14)*--(Source!$E$1:$E$250=Sheet2!$O$2),ROW(Source!$B$1:$B$250),FALSE),Q$2)),"")</f>
        <v/>
      </c>
      <c r="R14" t="str">
        <f t="array" ref="R14">IFERROR(INDEX(Source!$A$1:$A$250,SMALL(IF(--(Source!$B$1:$B$250=Sheet2!$N14)*--(Source!$E$1:$E$250=Sheet2!$O$2),ROW(Source!$B$1:$B$250),FALSE),R$2)),"")</f>
        <v/>
      </c>
      <c r="S14" t="str">
        <f t="array" ref="S14">IFERROR(INDEX(Source!$A$1:$A$250,SMALL(IF(--(Source!$B$1:$B$250=Sheet2!$N14)*--(Source!$E$1:$E$250=Sheet2!$O$2),ROW(Source!$B$1:$B$250),FALSE),S$2)),"")</f>
        <v/>
      </c>
      <c r="T14" t="str">
        <f t="array" ref="T14">IFERROR(INDEX(Source!$A$1:$A$250,SMALL(IF(--(Source!$B$1:$B$250=Sheet2!$N14)*--(Source!$E$1:$E$250=Sheet2!$O$2),ROW(Source!$B$1:$B$250),FALSE),T$2)),"")</f>
        <v/>
      </c>
      <c r="U14" t="str">
        <f t="array" ref="U14">IFERROR(INDEX(Source!$A$1:$A$250,SMALL(IF(--(Source!$B$1:$B$250=Sheet2!$N14)*--(Source!$E$1:$E$250=Sheet2!$O$2),ROW(Source!$B$1:$B$250),FALSE),U$2)),"")</f>
        <v/>
      </c>
      <c r="V14" t="str">
        <f t="array" ref="V14">IFERROR(INDEX(Source!$A$1:$A$250,SMALL(IF(--(Source!$B$1:$B$250=Sheet2!$N14)*--(Source!$E$1:$E$250=Sheet2!$O$2),ROW(Source!$B$1:$B$250),FALSE),V$2)),"")</f>
        <v/>
      </c>
      <c r="W14" s="5">
        <f t="shared" si="1"/>
        <v>0</v>
      </c>
    </row>
    <row r="15" spans="4:30">
      <c r="D15" s="5">
        <f t="shared" si="0"/>
        <v>0</v>
      </c>
      <c r="E15" t="str">
        <f t="array" ref="E15">IFERROR(INDEX(Source!$A$1:$A$250,SMALL(IF(--(Source!$B$1:$B$250=Sheet2!$N15)*--(Source!$E$1:$E$250=Sheet2!$M$2),ROW(Source!$B$1:$B$250),FALSE),E$2)),"")</f>
        <v/>
      </c>
      <c r="F15" t="str">
        <f t="array" ref="F15">IFERROR(INDEX(Source!$A$1:$A$250,SMALL(IF(--(Source!$B$1:$B$250=Sheet2!$N15)*--(Source!$E$1:$E$250=Sheet2!$M$2),ROW(Source!$B$1:$B$250),FALSE),F$2)),"")</f>
        <v/>
      </c>
      <c r="G15" t="str">
        <f t="array" ref="G15">IFERROR(INDEX(Source!$A$1:$A$250,SMALL(IF(--(Source!$B$1:$B$250=Sheet2!$N15)*--(Source!$E$1:$E$250=Sheet2!$M$2),ROW(Source!$B$1:$B$250),FALSE),G$2)),"")</f>
        <v/>
      </c>
      <c r="H15" t="str">
        <f t="array" ref="H15">IFERROR(INDEX(Source!$A$1:$A$250,SMALL(IF(--(Source!$B$1:$B$250=Sheet2!$N15)*--(Source!$E$1:$E$250=Sheet2!$M$2),ROW(Source!$B$1:$B$250),FALSE),H$2)),"")</f>
        <v/>
      </c>
      <c r="I15" t="str">
        <f t="array" ref="I15">IFERROR(INDEX(Source!$A$1:$A$250,SMALL(IF(--(Source!$B$1:$B$250=Sheet2!$N15)*--(Source!$E$1:$E$250=Sheet2!$M$2),ROW(Source!$B$1:$B$250),FALSE),I$2)),"")</f>
        <v/>
      </c>
      <c r="J15" t="str">
        <f t="array" ref="J15">IFERROR(INDEX(Source!$A$1:$A$250,SMALL(IF(--(Source!$B$1:$B$250=Sheet2!$N15)*--(Source!$E$1:$E$250=Sheet2!$M$2),ROW(Source!$B$1:$B$250),FALSE),J$2)),"")</f>
        <v/>
      </c>
      <c r="K15" t="str">
        <f t="array" ref="K15">IFERROR(INDEX(Source!$A$1:$A$250,SMALL(IF(--(Source!$B$1:$B$250=Sheet2!$N15)*--(Source!$E$1:$E$250=Sheet2!$M$2),ROW(Source!$B$1:$B$250),FALSE),K$2)),"")</f>
        <v/>
      </c>
      <c r="L15" t="str">
        <f t="array" ref="L15">IFERROR(INDEX(Source!$A$1:$A$250,SMALL(IF(--(Source!$B$1:$B$250=Sheet2!$N15)*--(Source!$E$1:$E$250=Sheet2!$M$2),ROW(Source!$B$1:$B$250),FALSE),L$2)),"")</f>
        <v/>
      </c>
      <c r="M15">
        <f>COUNTIFS(Source!$E:$E,"Call",Source!$B:$B,Sheet2!$N15)</f>
        <v>0</v>
      </c>
      <c r="N15">
        <v>18588</v>
      </c>
      <c r="O15">
        <f>COUNTIFS(Source!$E:$E,"Put",Source!$B:$B,Sheet2!$N15)</f>
        <v>1</v>
      </c>
      <c r="P15" t="str">
        <f t="array" ref="P15">IFERROR(INDEX(Source!$A$1:$A$250,SMALL(IF(--(Source!$B$1:$B$250=Sheet2!$N15)*--(Source!$E$1:$E$250=Sheet2!$O$2),ROW(Source!$B$1:$B$250),FALSE),P$2)),"")</f>
        <v>26491 HK Equity</v>
      </c>
      <c r="Q15" t="str">
        <f t="array" ref="Q15">IFERROR(INDEX(Source!$A$1:$A$250,SMALL(IF(--(Source!$B$1:$B$250=Sheet2!$N15)*--(Source!$E$1:$E$250=Sheet2!$O$2),ROW(Source!$B$1:$B$250),FALSE),Q$2)),"")</f>
        <v/>
      </c>
      <c r="R15" t="str">
        <f t="array" ref="R15">IFERROR(INDEX(Source!$A$1:$A$250,SMALL(IF(--(Source!$B$1:$B$250=Sheet2!$N15)*--(Source!$E$1:$E$250=Sheet2!$O$2),ROW(Source!$B$1:$B$250),FALSE),R$2)),"")</f>
        <v/>
      </c>
      <c r="S15" t="str">
        <f t="array" ref="S15">IFERROR(INDEX(Source!$A$1:$A$250,SMALL(IF(--(Source!$B$1:$B$250=Sheet2!$N15)*--(Source!$E$1:$E$250=Sheet2!$O$2),ROW(Source!$B$1:$B$250),FALSE),S$2)),"")</f>
        <v/>
      </c>
      <c r="T15" t="str">
        <f t="array" ref="T15">IFERROR(INDEX(Source!$A$1:$A$250,SMALL(IF(--(Source!$B$1:$B$250=Sheet2!$N15)*--(Source!$E$1:$E$250=Sheet2!$O$2),ROW(Source!$B$1:$B$250),FALSE),T$2)),"")</f>
        <v/>
      </c>
      <c r="U15" t="str">
        <f t="array" ref="U15">IFERROR(INDEX(Source!$A$1:$A$250,SMALL(IF(--(Source!$B$1:$B$250=Sheet2!$N15)*--(Source!$E$1:$E$250=Sheet2!$O$2),ROW(Source!$B$1:$B$250),FALSE),U$2)),"")</f>
        <v/>
      </c>
      <c r="V15" t="str">
        <f t="array" ref="V15">IFERROR(INDEX(Source!$A$1:$A$250,SMALL(IF(--(Source!$B$1:$B$250=Sheet2!$N15)*--(Source!$E$1:$E$250=Sheet2!$O$2),ROW(Source!$B$1:$B$250),FALSE),V$2)),"")</f>
        <v/>
      </c>
      <c r="W15" s="5">
        <f t="shared" si="1"/>
        <v>0</v>
      </c>
    </row>
    <row r="16" spans="4:30">
      <c r="D16" s="5">
        <f t="shared" si="0"/>
        <v>0</v>
      </c>
      <c r="E16" t="str">
        <f t="array" ref="E16">IFERROR(INDEX(Source!$A$1:$A$250,SMALL(IF(--(Source!$B$1:$B$250=Sheet2!$N16)*--(Source!$E$1:$E$250=Sheet2!$M$2),ROW(Source!$B$1:$B$250),FALSE),E$2)),"")</f>
        <v/>
      </c>
      <c r="F16" t="str">
        <f t="array" ref="F16">IFERROR(INDEX(Source!$A$1:$A$250,SMALL(IF(--(Source!$B$1:$B$250=Sheet2!$N16)*--(Source!$E$1:$E$250=Sheet2!$M$2),ROW(Source!$B$1:$B$250),FALSE),F$2)),"")</f>
        <v/>
      </c>
      <c r="G16" t="str">
        <f t="array" ref="G16">IFERROR(INDEX(Source!$A$1:$A$250,SMALL(IF(--(Source!$B$1:$B$250=Sheet2!$N16)*--(Source!$E$1:$E$250=Sheet2!$M$2),ROW(Source!$B$1:$B$250),FALSE),G$2)),"")</f>
        <v/>
      </c>
      <c r="H16" t="str">
        <f t="array" ref="H16">IFERROR(INDEX(Source!$A$1:$A$250,SMALL(IF(--(Source!$B$1:$B$250=Sheet2!$N16)*--(Source!$E$1:$E$250=Sheet2!$M$2),ROW(Source!$B$1:$B$250),FALSE),H$2)),"")</f>
        <v/>
      </c>
      <c r="I16" t="str">
        <f t="array" ref="I16">IFERROR(INDEX(Source!$A$1:$A$250,SMALL(IF(--(Source!$B$1:$B$250=Sheet2!$N16)*--(Source!$E$1:$E$250=Sheet2!$M$2),ROW(Source!$B$1:$B$250),FALSE),I$2)),"")</f>
        <v/>
      </c>
      <c r="J16" t="str">
        <f t="array" ref="J16">IFERROR(INDEX(Source!$A$1:$A$250,SMALL(IF(--(Source!$B$1:$B$250=Sheet2!$N16)*--(Source!$E$1:$E$250=Sheet2!$M$2),ROW(Source!$B$1:$B$250),FALSE),J$2)),"")</f>
        <v/>
      </c>
      <c r="K16" t="str">
        <f t="array" ref="K16">IFERROR(INDEX(Source!$A$1:$A$250,SMALL(IF(--(Source!$B$1:$B$250=Sheet2!$N16)*--(Source!$E$1:$E$250=Sheet2!$M$2),ROW(Source!$B$1:$B$250),FALSE),K$2)),"")</f>
        <v>25902 HK Equity</v>
      </c>
      <c r="L16" t="str">
        <f t="array" ref="L16">IFERROR(INDEX(Source!$A$1:$A$250,SMALL(IF(--(Source!$B$1:$B$250=Sheet2!$N16)*--(Source!$E$1:$E$250=Sheet2!$M$2),ROW(Source!$B$1:$B$250),FALSE),L$2)),"")</f>
        <v>26319 HK Equity</v>
      </c>
      <c r="M16">
        <f>COUNTIFS(Source!$E:$E,"Call",Source!$B:$B,Sheet2!$N16)</f>
        <v>2</v>
      </c>
      <c r="N16">
        <v>18600</v>
      </c>
      <c r="O16">
        <f>COUNTIFS(Source!$E:$E,"Put",Source!$B:$B,Sheet2!$N16)</f>
        <v>0</v>
      </c>
      <c r="P16" t="str">
        <f t="array" ref="P16">IFERROR(INDEX(Source!$A$1:$A$250,SMALL(IF(--(Source!$B$1:$B$250=Sheet2!$N16)*--(Source!$E$1:$E$250=Sheet2!$O$2),ROW(Source!$B$1:$B$250),FALSE),P$2)),"")</f>
        <v/>
      </c>
      <c r="Q16" t="str">
        <f t="array" ref="Q16">IFERROR(INDEX(Source!$A$1:$A$250,SMALL(IF(--(Source!$B$1:$B$250=Sheet2!$N16)*--(Source!$E$1:$E$250=Sheet2!$O$2),ROW(Source!$B$1:$B$250),FALSE),Q$2)),"")</f>
        <v/>
      </c>
      <c r="R16" t="str">
        <f t="array" ref="R16">IFERROR(INDEX(Source!$A$1:$A$250,SMALL(IF(--(Source!$B$1:$B$250=Sheet2!$N16)*--(Source!$E$1:$E$250=Sheet2!$O$2),ROW(Source!$B$1:$B$250),FALSE),R$2)),"")</f>
        <v/>
      </c>
      <c r="S16" t="str">
        <f t="array" ref="S16">IFERROR(INDEX(Source!$A$1:$A$250,SMALL(IF(--(Source!$B$1:$B$250=Sheet2!$N16)*--(Source!$E$1:$E$250=Sheet2!$O$2),ROW(Source!$B$1:$B$250),FALSE),S$2)),"")</f>
        <v/>
      </c>
      <c r="T16" t="str">
        <f t="array" ref="T16">IFERROR(INDEX(Source!$A$1:$A$250,SMALL(IF(--(Source!$B$1:$B$250=Sheet2!$N16)*--(Source!$E$1:$E$250=Sheet2!$O$2),ROW(Source!$B$1:$B$250),FALSE),T$2)),"")</f>
        <v/>
      </c>
      <c r="U16" t="str">
        <f t="array" ref="U16">IFERROR(INDEX(Source!$A$1:$A$250,SMALL(IF(--(Source!$B$1:$B$250=Sheet2!$N16)*--(Source!$E$1:$E$250=Sheet2!$O$2),ROW(Source!$B$1:$B$250),FALSE),U$2)),"")</f>
        <v/>
      </c>
      <c r="V16" t="str">
        <f t="array" ref="V16">IFERROR(INDEX(Source!$A$1:$A$250,SMALL(IF(--(Source!$B$1:$B$250=Sheet2!$N16)*--(Source!$E$1:$E$250=Sheet2!$O$2),ROW(Source!$B$1:$B$250),FALSE),V$2)),"")</f>
        <v/>
      </c>
      <c r="W16" s="5">
        <f t="shared" si="1"/>
        <v>0</v>
      </c>
    </row>
    <row r="17" spans="4:23">
      <c r="D17" s="5">
        <f t="shared" si="0"/>
        <v>0</v>
      </c>
      <c r="E17" t="str">
        <f t="array" ref="E17">IFERROR(INDEX(Source!$A$1:$A$250,SMALL(IF(--(Source!$B$1:$B$250=Sheet2!$N17)*--(Source!$E$1:$E$250=Sheet2!$M$2),ROW(Source!$B$1:$B$250),FALSE),E$2)),"")</f>
        <v/>
      </c>
      <c r="F17" t="str">
        <f t="array" ref="F17">IFERROR(INDEX(Source!$A$1:$A$250,SMALL(IF(--(Source!$B$1:$B$250=Sheet2!$N17)*--(Source!$E$1:$E$250=Sheet2!$M$2),ROW(Source!$B$1:$B$250),FALSE),F$2)),"")</f>
        <v/>
      </c>
      <c r="G17" t="str">
        <f t="array" ref="G17">IFERROR(INDEX(Source!$A$1:$A$250,SMALL(IF(--(Source!$B$1:$B$250=Sheet2!$N17)*--(Source!$E$1:$E$250=Sheet2!$M$2),ROW(Source!$B$1:$B$250),FALSE),G$2)),"")</f>
        <v/>
      </c>
      <c r="H17" t="str">
        <f t="array" ref="H17">IFERROR(INDEX(Source!$A$1:$A$250,SMALL(IF(--(Source!$B$1:$B$250=Sheet2!$N17)*--(Source!$E$1:$E$250=Sheet2!$M$2),ROW(Source!$B$1:$B$250),FALSE),H$2)),"")</f>
        <v/>
      </c>
      <c r="I17" t="str">
        <f t="array" ref="I17">IFERROR(INDEX(Source!$A$1:$A$250,SMALL(IF(--(Source!$B$1:$B$250=Sheet2!$N17)*--(Source!$E$1:$E$250=Sheet2!$M$2),ROW(Source!$B$1:$B$250),FALSE),I$2)),"")</f>
        <v/>
      </c>
      <c r="J17" t="str">
        <f t="array" ref="J17">IFERROR(INDEX(Source!$A$1:$A$250,SMALL(IF(--(Source!$B$1:$B$250=Sheet2!$N17)*--(Source!$E$1:$E$250=Sheet2!$M$2),ROW(Source!$B$1:$B$250),FALSE),J$2)),"")</f>
        <v/>
      </c>
      <c r="K17" t="str">
        <f t="array" ref="K17">IFERROR(INDEX(Source!$A$1:$A$250,SMALL(IF(--(Source!$B$1:$B$250=Sheet2!$N17)*--(Source!$E$1:$E$250=Sheet2!$M$2),ROW(Source!$B$1:$B$250),FALSE),K$2)),"")</f>
        <v/>
      </c>
      <c r="L17" t="str">
        <f t="array" ref="L17">IFERROR(INDEX(Source!$A$1:$A$250,SMALL(IF(--(Source!$B$1:$B$250=Sheet2!$N17)*--(Source!$E$1:$E$250=Sheet2!$M$2),ROW(Source!$B$1:$B$250),FALSE),L$2)),"")</f>
        <v>26201 HK Equity</v>
      </c>
      <c r="M17">
        <f>COUNTIFS(Source!$E:$E,"Call",Source!$B:$B,Sheet2!$N17)</f>
        <v>1</v>
      </c>
      <c r="N17">
        <v>18708</v>
      </c>
      <c r="O17">
        <f>COUNTIFS(Source!$E:$E,"Put",Source!$B:$B,Sheet2!$N17)</f>
        <v>0</v>
      </c>
      <c r="P17" t="str">
        <f t="array" ref="P17">IFERROR(INDEX(Source!$A$1:$A$250,SMALL(IF(--(Source!$B$1:$B$250=Sheet2!$N17)*--(Source!$E$1:$E$250=Sheet2!$O$2),ROW(Source!$B$1:$B$250),FALSE),P$2)),"")</f>
        <v/>
      </c>
      <c r="Q17" t="str">
        <f t="array" ref="Q17">IFERROR(INDEX(Source!$A$1:$A$250,SMALL(IF(--(Source!$B$1:$B$250=Sheet2!$N17)*--(Source!$E$1:$E$250=Sheet2!$O$2),ROW(Source!$B$1:$B$250),FALSE),Q$2)),"")</f>
        <v/>
      </c>
      <c r="R17" t="str">
        <f t="array" ref="R17">IFERROR(INDEX(Source!$A$1:$A$250,SMALL(IF(--(Source!$B$1:$B$250=Sheet2!$N17)*--(Source!$E$1:$E$250=Sheet2!$O$2),ROW(Source!$B$1:$B$250),FALSE),R$2)),"")</f>
        <v/>
      </c>
      <c r="S17" t="str">
        <f t="array" ref="S17">IFERROR(INDEX(Source!$A$1:$A$250,SMALL(IF(--(Source!$B$1:$B$250=Sheet2!$N17)*--(Source!$E$1:$E$250=Sheet2!$O$2),ROW(Source!$B$1:$B$250),FALSE),S$2)),"")</f>
        <v/>
      </c>
      <c r="T17" t="str">
        <f t="array" ref="T17">IFERROR(INDEX(Source!$A$1:$A$250,SMALL(IF(--(Source!$B$1:$B$250=Sheet2!$N17)*--(Source!$E$1:$E$250=Sheet2!$O$2),ROW(Source!$B$1:$B$250),FALSE),T$2)),"")</f>
        <v/>
      </c>
      <c r="U17" t="str">
        <f t="array" ref="U17">IFERROR(INDEX(Source!$A$1:$A$250,SMALL(IF(--(Source!$B$1:$B$250=Sheet2!$N17)*--(Source!$E$1:$E$250=Sheet2!$O$2),ROW(Source!$B$1:$B$250),FALSE),U$2)),"")</f>
        <v/>
      </c>
      <c r="V17" t="str">
        <f t="array" ref="V17">IFERROR(INDEX(Source!$A$1:$A$250,SMALL(IF(--(Source!$B$1:$B$250=Sheet2!$N17)*--(Source!$E$1:$E$250=Sheet2!$O$2),ROW(Source!$B$1:$B$250),FALSE),V$2)),"")</f>
        <v/>
      </c>
      <c r="W17" s="5">
        <f t="shared" si="1"/>
        <v>0</v>
      </c>
    </row>
    <row r="18" spans="4:23">
      <c r="D18" s="5">
        <f t="shared" si="0"/>
        <v>0</v>
      </c>
      <c r="E18" t="str">
        <f t="array" ref="E18">IFERROR(INDEX(Source!$A$1:$A$250,SMALL(IF(--(Source!$B$1:$B$250=Sheet2!$N18)*--(Source!$E$1:$E$250=Sheet2!$M$2),ROW(Source!$B$1:$B$250),FALSE),E$2)),"")</f>
        <v/>
      </c>
      <c r="F18" t="str">
        <f t="array" ref="F18">IFERROR(INDEX(Source!$A$1:$A$250,SMALL(IF(--(Source!$B$1:$B$250=Sheet2!$N18)*--(Source!$E$1:$E$250=Sheet2!$M$2),ROW(Source!$B$1:$B$250),FALSE),F$2)),"")</f>
        <v/>
      </c>
      <c r="G18" t="str">
        <f t="array" ref="G18">IFERROR(INDEX(Source!$A$1:$A$250,SMALL(IF(--(Source!$B$1:$B$250=Sheet2!$N18)*--(Source!$E$1:$E$250=Sheet2!$M$2),ROW(Source!$B$1:$B$250),FALSE),G$2)),"")</f>
        <v/>
      </c>
      <c r="H18" t="str">
        <f t="array" ref="H18">IFERROR(INDEX(Source!$A$1:$A$250,SMALL(IF(--(Source!$B$1:$B$250=Sheet2!$N18)*--(Source!$E$1:$E$250=Sheet2!$M$2),ROW(Source!$B$1:$B$250),FALSE),H$2)),"")</f>
        <v/>
      </c>
      <c r="I18" t="str">
        <f t="array" ref="I18">IFERROR(INDEX(Source!$A$1:$A$250,SMALL(IF(--(Source!$B$1:$B$250=Sheet2!$N18)*--(Source!$E$1:$E$250=Sheet2!$M$2),ROW(Source!$B$1:$B$250),FALSE),I$2)),"")</f>
        <v/>
      </c>
      <c r="J18" t="str">
        <f t="array" ref="J18">IFERROR(INDEX(Source!$A$1:$A$250,SMALL(IF(--(Source!$B$1:$B$250=Sheet2!$N18)*--(Source!$E$1:$E$250=Sheet2!$M$2),ROW(Source!$B$1:$B$250),FALSE),J$2)),"")</f>
        <v/>
      </c>
      <c r="K18" t="str">
        <f t="array" ref="K18">IFERROR(INDEX(Source!$A$1:$A$250,SMALL(IF(--(Source!$B$1:$B$250=Sheet2!$N18)*--(Source!$E$1:$E$250=Sheet2!$M$2),ROW(Source!$B$1:$B$250),FALSE),K$2)),"")</f>
        <v/>
      </c>
      <c r="L18" t="str">
        <f t="array" ref="L18">IFERROR(INDEX(Source!$A$1:$A$250,SMALL(IF(--(Source!$B$1:$B$250=Sheet2!$N18)*--(Source!$E$1:$E$250=Sheet2!$M$2),ROW(Source!$B$1:$B$250),FALSE),L$2)),"")</f>
        <v/>
      </c>
      <c r="M18">
        <f>COUNTIFS(Source!$E:$E,"Call",Source!$B:$B,Sheet2!$N18)</f>
        <v>0</v>
      </c>
      <c r="N18">
        <v>18800</v>
      </c>
      <c r="O18">
        <f>COUNTIFS(Source!$E:$E,"Put",Source!$B:$B,Sheet2!$N18)</f>
        <v>6</v>
      </c>
      <c r="P18" t="str">
        <f t="array" ref="P18">IFERROR(INDEX(Source!$A$1:$A$250,SMALL(IF(--(Source!$B$1:$B$250=Sheet2!$N18)*--(Source!$E$1:$E$250=Sheet2!$O$2),ROW(Source!$B$1:$B$250),FALSE),P$2)),"")</f>
        <v>26874 HK Equity</v>
      </c>
      <c r="Q18" t="str">
        <f t="array" ref="Q18">IFERROR(INDEX(Source!$A$1:$A$250,SMALL(IF(--(Source!$B$1:$B$250=Sheet2!$N18)*--(Source!$E$1:$E$250=Sheet2!$O$2),ROW(Source!$B$1:$B$250),FALSE),Q$2)),"")</f>
        <v>25713 HK Equity</v>
      </c>
      <c r="R18" t="str">
        <f t="array" ref="R18">IFERROR(INDEX(Source!$A$1:$A$250,SMALL(IF(--(Source!$B$1:$B$250=Sheet2!$N18)*--(Source!$E$1:$E$250=Sheet2!$O$2),ROW(Source!$B$1:$B$250),FALSE),R$2)),"")</f>
        <v>28131 HK Equity</v>
      </c>
      <c r="S18" t="str">
        <f t="array" ref="S18">IFERROR(INDEX(Source!$A$1:$A$250,SMALL(IF(--(Source!$B$1:$B$250=Sheet2!$N18)*--(Source!$E$1:$E$250=Sheet2!$O$2),ROW(Source!$B$1:$B$250),FALSE),S$2)),"")</f>
        <v>26703 HK Equity</v>
      </c>
      <c r="T18" t="str">
        <f t="array" ref="T18">IFERROR(INDEX(Source!$A$1:$A$250,SMALL(IF(--(Source!$B$1:$B$250=Sheet2!$N18)*--(Source!$E$1:$E$250=Sheet2!$O$2),ROW(Source!$B$1:$B$250),FALSE),T$2)),"")</f>
        <v>27359 HK Equity</v>
      </c>
      <c r="U18" t="str">
        <f t="array" ref="U18">IFERROR(INDEX(Source!$A$1:$A$250,SMALL(IF(--(Source!$B$1:$B$250=Sheet2!$N18)*--(Source!$E$1:$E$250=Sheet2!$O$2),ROW(Source!$B$1:$B$250),FALSE),U$2)),"")</f>
        <v>28172 HK Equity</v>
      </c>
      <c r="V18" t="str">
        <f t="array" ref="V18">IFERROR(INDEX(Source!$A$1:$A$250,SMALL(IF(--(Source!$B$1:$B$250=Sheet2!$N18)*--(Source!$E$1:$E$250=Sheet2!$O$2),ROW(Source!$B$1:$B$250),FALSE),V$2)),"")</f>
        <v/>
      </c>
      <c r="W18" s="5">
        <f t="shared" si="1"/>
        <v>0</v>
      </c>
    </row>
    <row r="19" spans="4:23">
      <c r="D19" s="5">
        <f t="shared" si="0"/>
        <v>0</v>
      </c>
      <c r="E19" t="str">
        <f t="array" ref="E19">IFERROR(INDEX(Source!$A$1:$A$250,SMALL(IF(--(Source!$B$1:$B$250=Sheet2!$N19)*--(Source!$E$1:$E$250=Sheet2!$M$2),ROW(Source!$B$1:$B$250),FALSE),E$2)),"")</f>
        <v/>
      </c>
      <c r="F19" t="str">
        <f t="array" ref="F19">IFERROR(INDEX(Source!$A$1:$A$250,SMALL(IF(--(Source!$B$1:$B$250=Sheet2!$N19)*--(Source!$E$1:$E$250=Sheet2!$M$2),ROW(Source!$B$1:$B$250),FALSE),F$2)),"")</f>
        <v/>
      </c>
      <c r="G19" t="str">
        <f t="array" ref="G19">IFERROR(INDEX(Source!$A$1:$A$250,SMALL(IF(--(Source!$B$1:$B$250=Sheet2!$N19)*--(Source!$E$1:$E$250=Sheet2!$M$2),ROW(Source!$B$1:$B$250),FALSE),G$2)),"")</f>
        <v/>
      </c>
      <c r="H19" t="str">
        <f t="array" ref="H19">IFERROR(INDEX(Source!$A$1:$A$250,SMALL(IF(--(Source!$B$1:$B$250=Sheet2!$N19)*--(Source!$E$1:$E$250=Sheet2!$M$2),ROW(Source!$B$1:$B$250),FALSE),H$2)),"")</f>
        <v/>
      </c>
      <c r="I19" t="str">
        <f t="array" ref="I19">IFERROR(INDEX(Source!$A$1:$A$250,SMALL(IF(--(Source!$B$1:$B$250=Sheet2!$N19)*--(Source!$E$1:$E$250=Sheet2!$M$2),ROW(Source!$B$1:$B$250),FALSE),I$2)),"")</f>
        <v/>
      </c>
      <c r="J19" t="str">
        <f t="array" ref="J19">IFERROR(INDEX(Source!$A$1:$A$250,SMALL(IF(--(Source!$B$1:$B$250=Sheet2!$N19)*--(Source!$E$1:$E$250=Sheet2!$M$2),ROW(Source!$B$1:$B$250),FALSE),J$2)),"")</f>
        <v/>
      </c>
      <c r="K19" t="str">
        <f t="array" ref="K19">IFERROR(INDEX(Source!$A$1:$A$250,SMALL(IF(--(Source!$B$1:$B$250=Sheet2!$N19)*--(Source!$E$1:$E$250=Sheet2!$M$2),ROW(Source!$B$1:$B$250),FALSE),K$2)),"")</f>
        <v/>
      </c>
      <c r="L19" t="str">
        <f t="array" ref="L19">IFERROR(INDEX(Source!$A$1:$A$250,SMALL(IF(--(Source!$B$1:$B$250=Sheet2!$N19)*--(Source!$E$1:$E$250=Sheet2!$M$2),ROW(Source!$B$1:$B$250),FALSE),L$2)),"")</f>
        <v/>
      </c>
      <c r="M19">
        <f>COUNTIFS(Source!$E:$E,"Call",Source!$B:$B,Sheet2!$N19)</f>
        <v>0</v>
      </c>
      <c r="N19">
        <v>18828</v>
      </c>
      <c r="O19">
        <f>COUNTIFS(Source!$E:$E,"Put",Source!$B:$B,Sheet2!$N19)</f>
        <v>1</v>
      </c>
      <c r="P19" t="str">
        <f t="array" ref="P19">IFERROR(INDEX(Source!$A$1:$A$250,SMALL(IF(--(Source!$B$1:$B$250=Sheet2!$N19)*--(Source!$E$1:$E$250=Sheet2!$O$2),ROW(Source!$B$1:$B$250),FALSE),P$2)),"")</f>
        <v>28393 HK Equity</v>
      </c>
      <c r="Q19" t="str">
        <f t="array" ref="Q19">IFERROR(INDEX(Source!$A$1:$A$250,SMALL(IF(--(Source!$B$1:$B$250=Sheet2!$N19)*--(Source!$E$1:$E$250=Sheet2!$O$2),ROW(Source!$B$1:$B$250),FALSE),Q$2)),"")</f>
        <v/>
      </c>
      <c r="R19" t="str">
        <f t="array" ref="R19">IFERROR(INDEX(Source!$A$1:$A$250,SMALL(IF(--(Source!$B$1:$B$250=Sheet2!$N19)*--(Source!$E$1:$E$250=Sheet2!$O$2),ROW(Source!$B$1:$B$250),FALSE),R$2)),"")</f>
        <v/>
      </c>
      <c r="S19" t="str">
        <f t="array" ref="S19">IFERROR(INDEX(Source!$A$1:$A$250,SMALL(IF(--(Source!$B$1:$B$250=Sheet2!$N19)*--(Source!$E$1:$E$250=Sheet2!$O$2),ROW(Source!$B$1:$B$250),FALSE),S$2)),"")</f>
        <v/>
      </c>
      <c r="T19" t="str">
        <f t="array" ref="T19">IFERROR(INDEX(Source!$A$1:$A$250,SMALL(IF(--(Source!$B$1:$B$250=Sheet2!$N19)*--(Source!$E$1:$E$250=Sheet2!$O$2),ROW(Source!$B$1:$B$250),FALSE),T$2)),"")</f>
        <v/>
      </c>
      <c r="U19" t="str">
        <f t="array" ref="U19">IFERROR(INDEX(Source!$A$1:$A$250,SMALL(IF(--(Source!$B$1:$B$250=Sheet2!$N19)*--(Source!$E$1:$E$250=Sheet2!$O$2),ROW(Source!$B$1:$B$250),FALSE),U$2)),"")</f>
        <v/>
      </c>
      <c r="V19" t="str">
        <f t="array" ref="V19">IFERROR(INDEX(Source!$A$1:$A$250,SMALL(IF(--(Source!$B$1:$B$250=Sheet2!$N19)*--(Source!$E$1:$E$250=Sheet2!$O$2),ROW(Source!$B$1:$B$250),FALSE),V$2)),"")</f>
        <v/>
      </c>
      <c r="W19" s="5">
        <f t="shared" si="1"/>
        <v>0</v>
      </c>
    </row>
    <row r="20" spans="4:23">
      <c r="D20" s="5">
        <f t="shared" si="0"/>
        <v>0</v>
      </c>
      <c r="E20" t="str">
        <f t="array" ref="E20">IFERROR(INDEX(Source!$A$1:$A$250,SMALL(IF(--(Source!$B$1:$B$250=Sheet2!$N20)*--(Source!$E$1:$E$250=Sheet2!$M$2),ROW(Source!$B$1:$B$250),FALSE),E$2)),"")</f>
        <v/>
      </c>
      <c r="F20" t="str">
        <f t="array" ref="F20">IFERROR(INDEX(Source!$A$1:$A$250,SMALL(IF(--(Source!$B$1:$B$250=Sheet2!$N20)*--(Source!$E$1:$E$250=Sheet2!$M$2),ROW(Source!$B$1:$B$250),FALSE),F$2)),"")</f>
        <v/>
      </c>
      <c r="G20" t="str">
        <f t="array" ref="G20">IFERROR(INDEX(Source!$A$1:$A$250,SMALL(IF(--(Source!$B$1:$B$250=Sheet2!$N20)*--(Source!$E$1:$E$250=Sheet2!$M$2),ROW(Source!$B$1:$B$250),FALSE),G$2)),"")</f>
        <v/>
      </c>
      <c r="H20" t="str">
        <f t="array" ref="H20">IFERROR(INDEX(Source!$A$1:$A$250,SMALL(IF(--(Source!$B$1:$B$250=Sheet2!$N20)*--(Source!$E$1:$E$250=Sheet2!$M$2),ROW(Source!$B$1:$B$250),FALSE),H$2)),"")</f>
        <v/>
      </c>
      <c r="I20" t="str">
        <f t="array" ref="I20">IFERROR(INDEX(Source!$A$1:$A$250,SMALL(IF(--(Source!$B$1:$B$250=Sheet2!$N20)*--(Source!$E$1:$E$250=Sheet2!$M$2),ROW(Source!$B$1:$B$250),FALSE),I$2)),"")</f>
        <v/>
      </c>
      <c r="J20" t="str">
        <f t="array" ref="J20">IFERROR(INDEX(Source!$A$1:$A$250,SMALL(IF(--(Source!$B$1:$B$250=Sheet2!$N20)*--(Source!$E$1:$E$250=Sheet2!$M$2),ROW(Source!$B$1:$B$250),FALSE),J$2)),"")</f>
        <v/>
      </c>
      <c r="K20" t="str">
        <f t="array" ref="K20">IFERROR(INDEX(Source!$A$1:$A$250,SMALL(IF(--(Source!$B$1:$B$250=Sheet2!$N20)*--(Source!$E$1:$E$250=Sheet2!$M$2),ROW(Source!$B$1:$B$250),FALSE),K$2)),"")</f>
        <v/>
      </c>
      <c r="L20" t="str">
        <f t="array" ref="L20">IFERROR(INDEX(Source!$A$1:$A$250,SMALL(IF(--(Source!$B$1:$B$250=Sheet2!$N20)*--(Source!$E$1:$E$250=Sheet2!$M$2),ROW(Source!$B$1:$B$250),FALSE),L$2)),"")</f>
        <v/>
      </c>
      <c r="M20">
        <f>COUNTIFS(Source!$E:$E,"Call",Source!$B:$B,Sheet2!$N20)</f>
        <v>0</v>
      </c>
      <c r="N20">
        <v>18888</v>
      </c>
      <c r="O20">
        <f>COUNTIFS(Source!$E:$E,"Put",Source!$B:$B,Sheet2!$N20)</f>
        <v>1</v>
      </c>
      <c r="P20" t="str">
        <f t="array" ref="P20">IFERROR(INDEX(Source!$A$1:$A$250,SMALL(IF(--(Source!$B$1:$B$250=Sheet2!$N20)*--(Source!$E$1:$E$250=Sheet2!$O$2),ROW(Source!$B$1:$B$250),FALSE),P$2)),"")</f>
        <v>27111 HK Equity</v>
      </c>
      <c r="Q20" t="str">
        <f t="array" ref="Q20">IFERROR(INDEX(Source!$A$1:$A$250,SMALL(IF(--(Source!$B$1:$B$250=Sheet2!$N20)*--(Source!$E$1:$E$250=Sheet2!$O$2),ROW(Source!$B$1:$B$250),FALSE),Q$2)),"")</f>
        <v/>
      </c>
      <c r="R20" t="str">
        <f t="array" ref="R20">IFERROR(INDEX(Source!$A$1:$A$250,SMALL(IF(--(Source!$B$1:$B$250=Sheet2!$N20)*--(Source!$E$1:$E$250=Sheet2!$O$2),ROW(Source!$B$1:$B$250),FALSE),R$2)),"")</f>
        <v/>
      </c>
      <c r="S20" t="str">
        <f t="array" ref="S20">IFERROR(INDEX(Source!$A$1:$A$250,SMALL(IF(--(Source!$B$1:$B$250=Sheet2!$N20)*--(Source!$E$1:$E$250=Sheet2!$O$2),ROW(Source!$B$1:$B$250),FALSE),S$2)),"")</f>
        <v/>
      </c>
      <c r="T20" t="str">
        <f t="array" ref="T20">IFERROR(INDEX(Source!$A$1:$A$250,SMALL(IF(--(Source!$B$1:$B$250=Sheet2!$N20)*--(Source!$E$1:$E$250=Sheet2!$O$2),ROW(Source!$B$1:$B$250),FALSE),T$2)),"")</f>
        <v/>
      </c>
      <c r="U20" t="str">
        <f t="array" ref="U20">IFERROR(INDEX(Source!$A$1:$A$250,SMALL(IF(--(Source!$B$1:$B$250=Sheet2!$N20)*--(Source!$E$1:$E$250=Sheet2!$O$2),ROW(Source!$B$1:$B$250),FALSE),U$2)),"")</f>
        <v/>
      </c>
      <c r="V20" t="str">
        <f t="array" ref="V20">IFERROR(INDEX(Source!$A$1:$A$250,SMALL(IF(--(Source!$B$1:$B$250=Sheet2!$N20)*--(Source!$E$1:$E$250=Sheet2!$O$2),ROW(Source!$B$1:$B$250),FALSE),V$2)),"")</f>
        <v/>
      </c>
      <c r="W20" s="5">
        <f t="shared" si="1"/>
        <v>0</v>
      </c>
    </row>
    <row r="21" spans="4:23">
      <c r="D21" s="5">
        <f t="shared" si="0"/>
        <v>0</v>
      </c>
      <c r="E21" t="str">
        <f t="array" ref="E21">IFERROR(INDEX(Source!$A$1:$A$250,SMALL(IF(--(Source!$B$1:$B$250=Sheet2!$N21)*--(Source!$E$1:$E$250=Sheet2!$M$2),ROW(Source!$B$1:$B$250),FALSE),E$2)),"")</f>
        <v/>
      </c>
      <c r="F21" t="str">
        <f t="array" ref="F21">IFERROR(INDEX(Source!$A$1:$A$250,SMALL(IF(--(Source!$B$1:$B$250=Sheet2!$N21)*--(Source!$E$1:$E$250=Sheet2!$M$2),ROW(Source!$B$1:$B$250),FALSE),F$2)),"")</f>
        <v/>
      </c>
      <c r="G21" t="str">
        <f t="array" ref="G21">IFERROR(INDEX(Source!$A$1:$A$250,SMALL(IF(--(Source!$B$1:$B$250=Sheet2!$N21)*--(Source!$E$1:$E$250=Sheet2!$M$2),ROW(Source!$B$1:$B$250),FALSE),G$2)),"")</f>
        <v/>
      </c>
      <c r="H21" t="str">
        <f t="array" ref="H21">IFERROR(INDEX(Source!$A$1:$A$250,SMALL(IF(--(Source!$B$1:$B$250=Sheet2!$N21)*--(Source!$E$1:$E$250=Sheet2!$M$2),ROW(Source!$B$1:$B$250),FALSE),H$2)),"")</f>
        <v/>
      </c>
      <c r="I21" t="str">
        <f t="array" ref="I21">IFERROR(INDEX(Source!$A$1:$A$250,SMALL(IF(--(Source!$B$1:$B$250=Sheet2!$N21)*--(Source!$E$1:$E$250=Sheet2!$M$2),ROW(Source!$B$1:$B$250),FALSE),I$2)),"")</f>
        <v/>
      </c>
      <c r="J21" t="str">
        <f t="array" ref="J21">IFERROR(INDEX(Source!$A$1:$A$250,SMALL(IF(--(Source!$B$1:$B$250=Sheet2!$N21)*--(Source!$E$1:$E$250=Sheet2!$M$2),ROW(Source!$B$1:$B$250),FALSE),J$2)),"")</f>
        <v/>
      </c>
      <c r="K21" t="str">
        <f t="array" ref="K21">IFERROR(INDEX(Source!$A$1:$A$250,SMALL(IF(--(Source!$B$1:$B$250=Sheet2!$N21)*--(Source!$E$1:$E$250=Sheet2!$M$2),ROW(Source!$B$1:$B$250),FALSE),K$2)),"")</f>
        <v/>
      </c>
      <c r="L21" t="str">
        <f t="array" ref="L21">IFERROR(INDEX(Source!$A$1:$A$250,SMALL(IF(--(Source!$B$1:$B$250=Sheet2!$N21)*--(Source!$E$1:$E$250=Sheet2!$M$2),ROW(Source!$B$1:$B$250),FALSE),L$2)),"")</f>
        <v/>
      </c>
      <c r="M21">
        <f>COUNTIFS(Source!$E:$E,"Call",Source!$B:$B,Sheet2!$N21)</f>
        <v>0</v>
      </c>
      <c r="N21">
        <v>18908</v>
      </c>
      <c r="O21">
        <f>COUNTIFS(Source!$E:$E,"Put",Source!$B:$B,Sheet2!$N21)</f>
        <v>1</v>
      </c>
      <c r="P21" t="str">
        <f t="array" ref="P21">IFERROR(INDEX(Source!$A$1:$A$250,SMALL(IF(--(Source!$B$1:$B$250=Sheet2!$N21)*--(Source!$E$1:$E$250=Sheet2!$O$2),ROW(Source!$B$1:$B$250),FALSE),P$2)),"")</f>
        <v>25195 HK Equity</v>
      </c>
      <c r="Q21" t="str">
        <f t="array" ref="Q21">IFERROR(INDEX(Source!$A$1:$A$250,SMALL(IF(--(Source!$B$1:$B$250=Sheet2!$N21)*--(Source!$E$1:$E$250=Sheet2!$O$2),ROW(Source!$B$1:$B$250),FALSE),Q$2)),"")</f>
        <v/>
      </c>
      <c r="R21" t="str">
        <f t="array" ref="R21">IFERROR(INDEX(Source!$A$1:$A$250,SMALL(IF(--(Source!$B$1:$B$250=Sheet2!$N21)*--(Source!$E$1:$E$250=Sheet2!$O$2),ROW(Source!$B$1:$B$250),FALSE),R$2)),"")</f>
        <v/>
      </c>
      <c r="S21" t="str">
        <f t="array" ref="S21">IFERROR(INDEX(Source!$A$1:$A$250,SMALL(IF(--(Source!$B$1:$B$250=Sheet2!$N21)*--(Source!$E$1:$E$250=Sheet2!$O$2),ROW(Source!$B$1:$B$250),FALSE),S$2)),"")</f>
        <v/>
      </c>
      <c r="T21" t="str">
        <f t="array" ref="T21">IFERROR(INDEX(Source!$A$1:$A$250,SMALL(IF(--(Source!$B$1:$B$250=Sheet2!$N21)*--(Source!$E$1:$E$250=Sheet2!$O$2),ROW(Source!$B$1:$B$250),FALSE),T$2)),"")</f>
        <v/>
      </c>
      <c r="U21" t="str">
        <f t="array" ref="U21">IFERROR(INDEX(Source!$A$1:$A$250,SMALL(IF(--(Source!$B$1:$B$250=Sheet2!$N21)*--(Source!$E$1:$E$250=Sheet2!$O$2),ROW(Source!$B$1:$B$250),FALSE),U$2)),"")</f>
        <v/>
      </c>
      <c r="V21" t="str">
        <f t="array" ref="V21">IFERROR(INDEX(Source!$A$1:$A$250,SMALL(IF(--(Source!$B$1:$B$250=Sheet2!$N21)*--(Source!$E$1:$E$250=Sheet2!$O$2),ROW(Source!$B$1:$B$250),FALSE),V$2)),"")</f>
        <v/>
      </c>
      <c r="W21" s="5">
        <f t="shared" si="1"/>
        <v>0</v>
      </c>
    </row>
    <row r="22" spans="4:23">
      <c r="D22" s="5">
        <f t="shared" si="0"/>
        <v>0</v>
      </c>
      <c r="E22" t="str">
        <f t="array" ref="E22">IFERROR(INDEX(Source!$A$1:$A$250,SMALL(IF(--(Source!$B$1:$B$250=Sheet2!$N22)*--(Source!$E$1:$E$250=Sheet2!$M$2),ROW(Source!$B$1:$B$250),FALSE),E$2)),"")</f>
        <v/>
      </c>
      <c r="F22" t="str">
        <f t="array" ref="F22">IFERROR(INDEX(Source!$A$1:$A$250,SMALL(IF(--(Source!$B$1:$B$250=Sheet2!$N22)*--(Source!$E$1:$E$250=Sheet2!$M$2),ROW(Source!$B$1:$B$250),FALSE),F$2)),"")</f>
        <v/>
      </c>
      <c r="G22" t="str">
        <f t="array" ref="G22">IFERROR(INDEX(Source!$A$1:$A$250,SMALL(IF(--(Source!$B$1:$B$250=Sheet2!$N22)*--(Source!$E$1:$E$250=Sheet2!$M$2),ROW(Source!$B$1:$B$250),FALSE),G$2)),"")</f>
        <v/>
      </c>
      <c r="H22" t="str">
        <f t="array" ref="H22">IFERROR(INDEX(Source!$A$1:$A$250,SMALL(IF(--(Source!$B$1:$B$250=Sheet2!$N22)*--(Source!$E$1:$E$250=Sheet2!$M$2),ROW(Source!$B$1:$B$250),FALSE),H$2)),"")</f>
        <v/>
      </c>
      <c r="I22" t="str">
        <f t="array" ref="I22">IFERROR(INDEX(Source!$A$1:$A$250,SMALL(IF(--(Source!$B$1:$B$250=Sheet2!$N22)*--(Source!$E$1:$E$250=Sheet2!$M$2),ROW(Source!$B$1:$B$250),FALSE),I$2)),"")</f>
        <v/>
      </c>
      <c r="J22" t="str">
        <f t="array" ref="J22">IFERROR(INDEX(Source!$A$1:$A$250,SMALL(IF(--(Source!$B$1:$B$250=Sheet2!$N22)*--(Source!$E$1:$E$250=Sheet2!$M$2),ROW(Source!$B$1:$B$250),FALSE),J$2)),"")</f>
        <v/>
      </c>
      <c r="K22" t="str">
        <f t="array" ref="K22">IFERROR(INDEX(Source!$A$1:$A$250,SMALL(IF(--(Source!$B$1:$B$250=Sheet2!$N22)*--(Source!$E$1:$E$250=Sheet2!$M$2),ROW(Source!$B$1:$B$250),FALSE),K$2)),"")</f>
        <v/>
      </c>
      <c r="L22" t="str">
        <f t="array" ref="L22">IFERROR(INDEX(Source!$A$1:$A$250,SMALL(IF(--(Source!$B$1:$B$250=Sheet2!$N22)*--(Source!$E$1:$E$250=Sheet2!$M$2),ROW(Source!$B$1:$B$250),FALSE),L$2)),"")</f>
        <v/>
      </c>
      <c r="M22">
        <f>COUNTIFS(Source!$E:$E,"Call",Source!$B:$B,Sheet2!$N22)</f>
        <v>0</v>
      </c>
      <c r="N22">
        <v>18968</v>
      </c>
      <c r="O22">
        <f>COUNTIFS(Source!$E:$E,"Put",Source!$B:$B,Sheet2!$N22)</f>
        <v>1</v>
      </c>
      <c r="P22" t="str">
        <f t="array" ref="P22">IFERROR(INDEX(Source!$A$1:$A$250,SMALL(IF(--(Source!$B$1:$B$250=Sheet2!$N22)*--(Source!$E$1:$E$250=Sheet2!$O$2),ROW(Source!$B$1:$B$250),FALSE),P$2)),"")</f>
        <v>26143 HK Equity</v>
      </c>
      <c r="Q22" t="str">
        <f t="array" ref="Q22">IFERROR(INDEX(Source!$A$1:$A$250,SMALL(IF(--(Source!$B$1:$B$250=Sheet2!$N22)*--(Source!$E$1:$E$250=Sheet2!$O$2),ROW(Source!$B$1:$B$250),FALSE),Q$2)),"")</f>
        <v/>
      </c>
      <c r="R22" t="str">
        <f t="array" ref="R22">IFERROR(INDEX(Source!$A$1:$A$250,SMALL(IF(--(Source!$B$1:$B$250=Sheet2!$N22)*--(Source!$E$1:$E$250=Sheet2!$O$2),ROW(Source!$B$1:$B$250),FALSE),R$2)),"")</f>
        <v/>
      </c>
      <c r="S22" t="str">
        <f t="array" ref="S22">IFERROR(INDEX(Source!$A$1:$A$250,SMALL(IF(--(Source!$B$1:$B$250=Sheet2!$N22)*--(Source!$E$1:$E$250=Sheet2!$O$2),ROW(Source!$B$1:$B$250),FALSE),S$2)),"")</f>
        <v/>
      </c>
      <c r="T22" t="str">
        <f t="array" ref="T22">IFERROR(INDEX(Source!$A$1:$A$250,SMALL(IF(--(Source!$B$1:$B$250=Sheet2!$N22)*--(Source!$E$1:$E$250=Sheet2!$O$2),ROW(Source!$B$1:$B$250),FALSE),T$2)),"")</f>
        <v/>
      </c>
      <c r="U22" t="str">
        <f t="array" ref="U22">IFERROR(INDEX(Source!$A$1:$A$250,SMALL(IF(--(Source!$B$1:$B$250=Sheet2!$N22)*--(Source!$E$1:$E$250=Sheet2!$O$2),ROW(Source!$B$1:$B$250),FALSE),U$2)),"")</f>
        <v/>
      </c>
      <c r="V22" t="str">
        <f t="array" ref="V22">IFERROR(INDEX(Source!$A$1:$A$250,SMALL(IF(--(Source!$B$1:$B$250=Sheet2!$N22)*--(Source!$E$1:$E$250=Sheet2!$O$2),ROW(Source!$B$1:$B$250),FALSE),V$2)),"")</f>
        <v/>
      </c>
      <c r="W22" s="5">
        <f t="shared" si="1"/>
        <v>0</v>
      </c>
    </row>
    <row r="23" spans="4:23">
      <c r="D23" s="5">
        <f t="shared" si="0"/>
        <v>0</v>
      </c>
      <c r="E23" t="str">
        <f t="array" ref="E23">IFERROR(INDEX(Source!$A$1:$A$250,SMALL(IF(--(Source!$B$1:$B$250=Sheet2!$N23)*--(Source!$E$1:$E$250=Sheet2!$M$2),ROW(Source!$B$1:$B$250),FALSE),E$2)),"")</f>
        <v/>
      </c>
      <c r="F23" t="str">
        <f t="array" ref="F23">IFERROR(INDEX(Source!$A$1:$A$250,SMALL(IF(--(Source!$B$1:$B$250=Sheet2!$N23)*--(Source!$E$1:$E$250=Sheet2!$M$2),ROW(Source!$B$1:$B$250),FALSE),F$2)),"")</f>
        <v/>
      </c>
      <c r="G23" t="str">
        <f t="array" ref="G23">IFERROR(INDEX(Source!$A$1:$A$250,SMALL(IF(--(Source!$B$1:$B$250=Sheet2!$N23)*--(Source!$E$1:$E$250=Sheet2!$M$2),ROW(Source!$B$1:$B$250),FALSE),G$2)),"")</f>
        <v/>
      </c>
      <c r="H23" t="str">
        <f t="array" ref="H23">IFERROR(INDEX(Source!$A$1:$A$250,SMALL(IF(--(Source!$B$1:$B$250=Sheet2!$N23)*--(Source!$E$1:$E$250=Sheet2!$M$2),ROW(Source!$B$1:$B$250),FALSE),H$2)),"")</f>
        <v>25561 HK Equity</v>
      </c>
      <c r="I23" t="str">
        <f t="array" ref="I23">IFERROR(INDEX(Source!$A$1:$A$250,SMALL(IF(--(Source!$B$1:$B$250=Sheet2!$N23)*--(Source!$E$1:$E$250=Sheet2!$M$2),ROW(Source!$B$1:$B$250),FALSE),I$2)),"")</f>
        <v>25915 HK Equity</v>
      </c>
      <c r="J23" t="str">
        <f t="array" ref="J23">IFERROR(INDEX(Source!$A$1:$A$250,SMALL(IF(--(Source!$B$1:$B$250=Sheet2!$N23)*--(Source!$E$1:$E$250=Sheet2!$M$2),ROW(Source!$B$1:$B$250),FALSE),J$2)),"")</f>
        <v>25984 HK Equity</v>
      </c>
      <c r="K23" t="str">
        <f t="array" ref="K23">IFERROR(INDEX(Source!$A$1:$A$250,SMALL(IF(--(Source!$B$1:$B$250=Sheet2!$N23)*--(Source!$E$1:$E$250=Sheet2!$M$2),ROW(Source!$B$1:$B$250),FALSE),K$2)),"")</f>
        <v>25919 HK Equity</v>
      </c>
      <c r="L23" t="str">
        <f t="array" ref="L23">IFERROR(INDEX(Source!$A$1:$A$250,SMALL(IF(--(Source!$B$1:$B$250=Sheet2!$N23)*--(Source!$E$1:$E$250=Sheet2!$M$2),ROW(Source!$B$1:$B$250),FALSE),L$2)),"")</f>
        <v>25660 HK Equity</v>
      </c>
      <c r="M23">
        <f>COUNTIFS(Source!$E:$E,"Call",Source!$B:$B,Sheet2!$N23)</f>
        <v>5</v>
      </c>
      <c r="N23">
        <v>19000</v>
      </c>
      <c r="O23">
        <f>COUNTIFS(Source!$E:$E,"Put",Source!$B:$B,Sheet2!$N23)</f>
        <v>6</v>
      </c>
      <c r="P23" t="str">
        <f t="array" ref="P23">IFERROR(INDEX(Source!$A$1:$A$250,SMALL(IF(--(Source!$B$1:$B$250=Sheet2!$N23)*--(Source!$E$1:$E$250=Sheet2!$O$2),ROW(Source!$B$1:$B$250),FALSE),P$2)),"")</f>
        <v>26190 HK Equity</v>
      </c>
      <c r="Q23" t="str">
        <f t="array" ref="Q23">IFERROR(INDEX(Source!$A$1:$A$250,SMALL(IF(--(Source!$B$1:$B$250=Sheet2!$N23)*--(Source!$E$1:$E$250=Sheet2!$O$2),ROW(Source!$B$1:$B$250),FALSE),Q$2)),"")</f>
        <v>26764 HK Equity</v>
      </c>
      <c r="R23" t="str">
        <f t="array" ref="R23">IFERROR(INDEX(Source!$A$1:$A$250,SMALL(IF(--(Source!$B$1:$B$250=Sheet2!$N23)*--(Source!$E$1:$E$250=Sheet2!$O$2),ROW(Source!$B$1:$B$250),FALSE),R$2)),"")</f>
        <v>24691 HK Equity</v>
      </c>
      <c r="S23" t="str">
        <f t="array" ref="S23">IFERROR(INDEX(Source!$A$1:$A$250,SMALL(IF(--(Source!$B$1:$B$250=Sheet2!$N23)*--(Source!$E$1:$E$250=Sheet2!$O$2),ROW(Source!$B$1:$B$250),FALSE),S$2)),"")</f>
        <v>29179 HK Equity</v>
      </c>
      <c r="T23" t="str">
        <f t="array" ref="T23">IFERROR(INDEX(Source!$A$1:$A$250,SMALL(IF(--(Source!$B$1:$B$250=Sheet2!$N23)*--(Source!$E$1:$E$250=Sheet2!$O$2),ROW(Source!$B$1:$B$250),FALSE),T$2)),"")</f>
        <v>11158 HK Equity</v>
      </c>
      <c r="U23" t="str">
        <f t="array" ref="U23">IFERROR(INDEX(Source!$A$1:$A$250,SMALL(IF(--(Source!$B$1:$B$250=Sheet2!$N23)*--(Source!$E$1:$E$250=Sheet2!$O$2),ROW(Source!$B$1:$B$250),FALSE),U$2)),"")</f>
        <v>25808 HK Equity</v>
      </c>
      <c r="V23" t="str">
        <f t="array" ref="V23">IFERROR(INDEX(Source!$A$1:$A$250,SMALL(IF(--(Source!$B$1:$B$250=Sheet2!$N23)*--(Source!$E$1:$E$250=Sheet2!$O$2),ROW(Source!$B$1:$B$250),FALSE),V$2)),"")</f>
        <v/>
      </c>
      <c r="W23" s="5">
        <f t="shared" si="1"/>
        <v>0</v>
      </c>
    </row>
    <row r="24" spans="4:23">
      <c r="D24" s="5">
        <f t="shared" si="0"/>
        <v>0</v>
      </c>
      <c r="E24" t="str">
        <f t="array" ref="E24">IFERROR(INDEX(Source!$A$1:$A$250,SMALL(IF(--(Source!$B$1:$B$250=Sheet2!$N24)*--(Source!$E$1:$E$250=Sheet2!$M$2),ROW(Source!$B$1:$B$250),FALSE),E$2)),"")</f>
        <v/>
      </c>
      <c r="F24" t="str">
        <f t="array" ref="F24">IFERROR(INDEX(Source!$A$1:$A$250,SMALL(IF(--(Source!$B$1:$B$250=Sheet2!$N24)*--(Source!$E$1:$E$250=Sheet2!$M$2),ROW(Source!$B$1:$B$250),FALSE),F$2)),"")</f>
        <v/>
      </c>
      <c r="G24" t="str">
        <f t="array" ref="G24">IFERROR(INDEX(Source!$A$1:$A$250,SMALL(IF(--(Source!$B$1:$B$250=Sheet2!$N24)*--(Source!$E$1:$E$250=Sheet2!$M$2),ROW(Source!$B$1:$B$250),FALSE),G$2)),"")</f>
        <v/>
      </c>
      <c r="H24" t="str">
        <f t="array" ref="H24">IFERROR(INDEX(Source!$A$1:$A$250,SMALL(IF(--(Source!$B$1:$B$250=Sheet2!$N24)*--(Source!$E$1:$E$250=Sheet2!$M$2),ROW(Source!$B$1:$B$250),FALSE),H$2)),"")</f>
        <v/>
      </c>
      <c r="I24" t="str">
        <f t="array" ref="I24">IFERROR(INDEX(Source!$A$1:$A$250,SMALL(IF(--(Source!$B$1:$B$250=Sheet2!$N24)*--(Source!$E$1:$E$250=Sheet2!$M$2),ROW(Source!$B$1:$B$250),FALSE),I$2)),"")</f>
        <v/>
      </c>
      <c r="J24" t="str">
        <f t="array" ref="J24">IFERROR(INDEX(Source!$A$1:$A$250,SMALL(IF(--(Source!$B$1:$B$250=Sheet2!$N24)*--(Source!$E$1:$E$250=Sheet2!$M$2),ROW(Source!$B$1:$B$250),FALSE),J$2)),"")</f>
        <v/>
      </c>
      <c r="K24" t="str">
        <f t="array" ref="K24">IFERROR(INDEX(Source!$A$1:$A$250,SMALL(IF(--(Source!$B$1:$B$250=Sheet2!$N24)*--(Source!$E$1:$E$250=Sheet2!$M$2),ROW(Source!$B$1:$B$250),FALSE),K$2)),"")</f>
        <v/>
      </c>
      <c r="L24" t="str">
        <f t="array" ref="L24">IFERROR(INDEX(Source!$A$1:$A$250,SMALL(IF(--(Source!$B$1:$B$250=Sheet2!$N24)*--(Source!$E$1:$E$250=Sheet2!$M$2),ROW(Source!$B$1:$B$250),FALSE),L$2)),"")</f>
        <v>25898 HK Equity</v>
      </c>
      <c r="M24">
        <f>COUNTIFS(Source!$E:$E,"Call",Source!$B:$B,Sheet2!$N24)</f>
        <v>1</v>
      </c>
      <c r="N24">
        <v>19088</v>
      </c>
      <c r="O24">
        <f>COUNTIFS(Source!$E:$E,"Put",Source!$B:$B,Sheet2!$N24)</f>
        <v>0</v>
      </c>
      <c r="P24" t="str">
        <f t="array" ref="P24">IFERROR(INDEX(Source!$A$1:$A$250,SMALL(IF(--(Source!$B$1:$B$250=Sheet2!$N24)*--(Source!$E$1:$E$250=Sheet2!$O$2),ROW(Source!$B$1:$B$250),FALSE),P$2)),"")</f>
        <v/>
      </c>
      <c r="Q24" t="str">
        <f t="array" ref="Q24">IFERROR(INDEX(Source!$A$1:$A$250,SMALL(IF(--(Source!$B$1:$B$250=Sheet2!$N24)*--(Source!$E$1:$E$250=Sheet2!$O$2),ROW(Source!$B$1:$B$250),FALSE),Q$2)),"")</f>
        <v/>
      </c>
      <c r="R24" t="str">
        <f t="array" ref="R24">IFERROR(INDEX(Source!$A$1:$A$250,SMALL(IF(--(Source!$B$1:$B$250=Sheet2!$N24)*--(Source!$E$1:$E$250=Sheet2!$O$2),ROW(Source!$B$1:$B$250),FALSE),R$2)),"")</f>
        <v/>
      </c>
      <c r="S24" t="str">
        <f t="array" ref="S24">IFERROR(INDEX(Source!$A$1:$A$250,SMALL(IF(--(Source!$B$1:$B$250=Sheet2!$N24)*--(Source!$E$1:$E$250=Sheet2!$O$2),ROW(Source!$B$1:$B$250),FALSE),S$2)),"")</f>
        <v/>
      </c>
      <c r="T24" t="str">
        <f t="array" ref="T24">IFERROR(INDEX(Source!$A$1:$A$250,SMALL(IF(--(Source!$B$1:$B$250=Sheet2!$N24)*--(Source!$E$1:$E$250=Sheet2!$O$2),ROW(Source!$B$1:$B$250),FALSE),T$2)),"")</f>
        <v/>
      </c>
      <c r="U24" t="str">
        <f t="array" ref="U24">IFERROR(INDEX(Source!$A$1:$A$250,SMALL(IF(--(Source!$B$1:$B$250=Sheet2!$N24)*--(Source!$E$1:$E$250=Sheet2!$O$2),ROW(Source!$B$1:$B$250),FALSE),U$2)),"")</f>
        <v/>
      </c>
      <c r="V24" t="str">
        <f t="array" ref="V24">IFERROR(INDEX(Source!$A$1:$A$250,SMALL(IF(--(Source!$B$1:$B$250=Sheet2!$N24)*--(Source!$E$1:$E$250=Sheet2!$O$2),ROW(Source!$B$1:$B$250),FALSE),V$2)),"")</f>
        <v/>
      </c>
      <c r="W24" s="5">
        <f t="shared" si="1"/>
        <v>0</v>
      </c>
    </row>
    <row r="25" spans="4:23">
      <c r="D25" s="5">
        <f t="shared" si="0"/>
        <v>0</v>
      </c>
      <c r="E25" t="str">
        <f t="array" ref="E25">IFERROR(INDEX(Source!$A$1:$A$250,SMALL(IF(--(Source!$B$1:$B$250=Sheet2!$N25)*--(Source!$E$1:$E$250=Sheet2!$M$2),ROW(Source!$B$1:$B$250),FALSE),E$2)),"")</f>
        <v/>
      </c>
      <c r="F25" t="str">
        <f t="array" ref="F25">IFERROR(INDEX(Source!$A$1:$A$250,SMALL(IF(--(Source!$B$1:$B$250=Sheet2!$N25)*--(Source!$E$1:$E$250=Sheet2!$M$2),ROW(Source!$B$1:$B$250),FALSE),F$2)),"")</f>
        <v/>
      </c>
      <c r="G25" t="str">
        <f t="array" ref="G25">IFERROR(INDEX(Source!$A$1:$A$250,SMALL(IF(--(Source!$B$1:$B$250=Sheet2!$N25)*--(Source!$E$1:$E$250=Sheet2!$M$2),ROW(Source!$B$1:$B$250),FALSE),G$2)),"")</f>
        <v/>
      </c>
      <c r="H25" t="str">
        <f t="array" ref="H25">IFERROR(INDEX(Source!$A$1:$A$250,SMALL(IF(--(Source!$B$1:$B$250=Sheet2!$N25)*--(Source!$E$1:$E$250=Sheet2!$M$2),ROW(Source!$B$1:$B$250),FALSE),H$2)),"")</f>
        <v/>
      </c>
      <c r="I25" t="str">
        <f t="array" ref="I25">IFERROR(INDEX(Source!$A$1:$A$250,SMALL(IF(--(Source!$B$1:$B$250=Sheet2!$N25)*--(Source!$E$1:$E$250=Sheet2!$M$2),ROW(Source!$B$1:$B$250),FALSE),I$2)),"")</f>
        <v/>
      </c>
      <c r="J25" t="str">
        <f t="array" ref="J25">IFERROR(INDEX(Source!$A$1:$A$250,SMALL(IF(--(Source!$B$1:$B$250=Sheet2!$N25)*--(Source!$E$1:$E$250=Sheet2!$M$2),ROW(Source!$B$1:$B$250),FALSE),J$2)),"")</f>
        <v/>
      </c>
      <c r="K25" t="str">
        <f t="array" ref="K25">IFERROR(INDEX(Source!$A$1:$A$250,SMALL(IF(--(Source!$B$1:$B$250=Sheet2!$N25)*--(Source!$E$1:$E$250=Sheet2!$M$2),ROW(Source!$B$1:$B$250),FALSE),K$2)),"")</f>
        <v/>
      </c>
      <c r="L25" t="str">
        <f t="array" ref="L25">IFERROR(INDEX(Source!$A$1:$A$250,SMALL(IF(--(Source!$B$1:$B$250=Sheet2!$N25)*--(Source!$E$1:$E$250=Sheet2!$M$2),ROW(Source!$B$1:$B$250),FALSE),L$2)),"")</f>
        <v/>
      </c>
      <c r="M25">
        <f>COUNTIFS(Source!$E:$E,"Call",Source!$B:$B,Sheet2!$N25)</f>
        <v>0</v>
      </c>
      <c r="N25">
        <v>19108</v>
      </c>
      <c r="O25">
        <f>COUNTIFS(Source!$E:$E,"Put",Source!$B:$B,Sheet2!$N25)</f>
        <v>1</v>
      </c>
      <c r="P25" t="str">
        <f t="array" ref="P25">IFERROR(INDEX(Source!$A$1:$A$250,SMALL(IF(--(Source!$B$1:$B$250=Sheet2!$N25)*--(Source!$E$1:$E$250=Sheet2!$O$2),ROW(Source!$B$1:$B$250),FALSE),P$2)),"")</f>
        <v>26717 HK Equity</v>
      </c>
      <c r="Q25" t="str">
        <f t="array" ref="Q25">IFERROR(INDEX(Source!$A$1:$A$250,SMALL(IF(--(Source!$B$1:$B$250=Sheet2!$N25)*--(Source!$E$1:$E$250=Sheet2!$O$2),ROW(Source!$B$1:$B$250),FALSE),Q$2)),"")</f>
        <v/>
      </c>
      <c r="R25" t="str">
        <f t="array" ref="R25">IFERROR(INDEX(Source!$A$1:$A$250,SMALL(IF(--(Source!$B$1:$B$250=Sheet2!$N25)*--(Source!$E$1:$E$250=Sheet2!$O$2),ROW(Source!$B$1:$B$250),FALSE),R$2)),"")</f>
        <v/>
      </c>
      <c r="S25" t="str">
        <f t="array" ref="S25">IFERROR(INDEX(Source!$A$1:$A$250,SMALL(IF(--(Source!$B$1:$B$250=Sheet2!$N25)*--(Source!$E$1:$E$250=Sheet2!$O$2),ROW(Source!$B$1:$B$250),FALSE),S$2)),"")</f>
        <v/>
      </c>
      <c r="T25" t="str">
        <f t="array" ref="T25">IFERROR(INDEX(Source!$A$1:$A$250,SMALL(IF(--(Source!$B$1:$B$250=Sheet2!$N25)*--(Source!$E$1:$E$250=Sheet2!$O$2),ROW(Source!$B$1:$B$250),FALSE),T$2)),"")</f>
        <v/>
      </c>
      <c r="U25" t="str">
        <f t="array" ref="U25">IFERROR(INDEX(Source!$A$1:$A$250,SMALL(IF(--(Source!$B$1:$B$250=Sheet2!$N25)*--(Source!$E$1:$E$250=Sheet2!$O$2),ROW(Source!$B$1:$B$250),FALSE),U$2)),"")</f>
        <v/>
      </c>
      <c r="V25" t="str">
        <f t="array" ref="V25">IFERROR(INDEX(Source!$A$1:$A$250,SMALL(IF(--(Source!$B$1:$B$250=Sheet2!$N25)*--(Source!$E$1:$E$250=Sheet2!$O$2),ROW(Source!$B$1:$B$250),FALSE),V$2)),"")</f>
        <v/>
      </c>
      <c r="W25" s="5">
        <f t="shared" si="1"/>
        <v>0</v>
      </c>
    </row>
    <row r="26" spans="4:23">
      <c r="D26" s="5">
        <f t="shared" si="0"/>
        <v>0</v>
      </c>
      <c r="E26" t="str">
        <f t="array" ref="E26">IFERROR(INDEX(Source!$A$1:$A$250,SMALL(IF(--(Source!$B$1:$B$250=Sheet2!$N26)*--(Source!$E$1:$E$250=Sheet2!$M$2),ROW(Source!$B$1:$B$250),FALSE),E$2)),"")</f>
        <v/>
      </c>
      <c r="F26" t="str">
        <f t="array" ref="F26">IFERROR(INDEX(Source!$A$1:$A$250,SMALL(IF(--(Source!$B$1:$B$250=Sheet2!$N26)*--(Source!$E$1:$E$250=Sheet2!$M$2),ROW(Source!$B$1:$B$250),FALSE),F$2)),"")</f>
        <v/>
      </c>
      <c r="G26" t="str">
        <f t="array" ref="G26">IFERROR(INDEX(Source!$A$1:$A$250,SMALL(IF(--(Source!$B$1:$B$250=Sheet2!$N26)*--(Source!$E$1:$E$250=Sheet2!$M$2),ROW(Source!$B$1:$B$250),FALSE),G$2)),"")</f>
        <v/>
      </c>
      <c r="H26" t="str">
        <f t="array" ref="H26">IFERROR(INDEX(Source!$A$1:$A$250,SMALL(IF(--(Source!$B$1:$B$250=Sheet2!$N26)*--(Source!$E$1:$E$250=Sheet2!$M$2),ROW(Source!$B$1:$B$250),FALSE),H$2)),"")</f>
        <v/>
      </c>
      <c r="I26" t="str">
        <f t="array" ref="I26">IFERROR(INDEX(Source!$A$1:$A$250,SMALL(IF(--(Source!$B$1:$B$250=Sheet2!$N26)*--(Source!$E$1:$E$250=Sheet2!$M$2),ROW(Source!$B$1:$B$250),FALSE),I$2)),"")</f>
        <v/>
      </c>
      <c r="J26" t="str">
        <f t="array" ref="J26">IFERROR(INDEX(Source!$A$1:$A$250,SMALL(IF(--(Source!$B$1:$B$250=Sheet2!$N26)*--(Source!$E$1:$E$250=Sheet2!$M$2),ROW(Source!$B$1:$B$250),FALSE),J$2)),"")</f>
        <v/>
      </c>
      <c r="K26" t="str">
        <f t="array" ref="K26">IFERROR(INDEX(Source!$A$1:$A$250,SMALL(IF(--(Source!$B$1:$B$250=Sheet2!$N26)*--(Source!$E$1:$E$250=Sheet2!$M$2),ROW(Source!$B$1:$B$250),FALSE),K$2)),"")</f>
        <v/>
      </c>
      <c r="L26" t="str">
        <f t="array" ref="L26">IFERROR(INDEX(Source!$A$1:$A$250,SMALL(IF(--(Source!$B$1:$B$250=Sheet2!$N26)*--(Source!$E$1:$E$250=Sheet2!$M$2),ROW(Source!$B$1:$B$250),FALSE),L$2)),"")</f>
        <v>28167 HK Equity</v>
      </c>
      <c r="M26">
        <f>COUNTIFS(Source!$E:$E,"Call",Source!$B:$B,Sheet2!$N26)</f>
        <v>1</v>
      </c>
      <c r="N26">
        <v>19168</v>
      </c>
      <c r="O26">
        <f>COUNTIFS(Source!$E:$E,"Put",Source!$B:$B,Sheet2!$N26)</f>
        <v>0</v>
      </c>
      <c r="P26" t="str">
        <f t="array" ref="P26">IFERROR(INDEX(Source!$A$1:$A$250,SMALL(IF(--(Source!$B$1:$B$250=Sheet2!$N26)*--(Source!$E$1:$E$250=Sheet2!$O$2),ROW(Source!$B$1:$B$250),FALSE),P$2)),"")</f>
        <v/>
      </c>
      <c r="Q26" t="str">
        <f t="array" ref="Q26">IFERROR(INDEX(Source!$A$1:$A$250,SMALL(IF(--(Source!$B$1:$B$250=Sheet2!$N26)*--(Source!$E$1:$E$250=Sheet2!$O$2),ROW(Source!$B$1:$B$250),FALSE),Q$2)),"")</f>
        <v/>
      </c>
      <c r="R26" t="str">
        <f t="array" ref="R26">IFERROR(INDEX(Source!$A$1:$A$250,SMALL(IF(--(Source!$B$1:$B$250=Sheet2!$N26)*--(Source!$E$1:$E$250=Sheet2!$O$2),ROW(Source!$B$1:$B$250),FALSE),R$2)),"")</f>
        <v/>
      </c>
      <c r="S26" t="str">
        <f t="array" ref="S26">IFERROR(INDEX(Source!$A$1:$A$250,SMALL(IF(--(Source!$B$1:$B$250=Sheet2!$N26)*--(Source!$E$1:$E$250=Sheet2!$O$2),ROW(Source!$B$1:$B$250),FALSE),S$2)),"")</f>
        <v/>
      </c>
      <c r="T26" t="str">
        <f t="array" ref="T26">IFERROR(INDEX(Source!$A$1:$A$250,SMALL(IF(--(Source!$B$1:$B$250=Sheet2!$N26)*--(Source!$E$1:$E$250=Sheet2!$O$2),ROW(Source!$B$1:$B$250),FALSE),T$2)),"")</f>
        <v/>
      </c>
      <c r="U26" t="str">
        <f t="array" ref="U26">IFERROR(INDEX(Source!$A$1:$A$250,SMALL(IF(--(Source!$B$1:$B$250=Sheet2!$N26)*--(Source!$E$1:$E$250=Sheet2!$O$2),ROW(Source!$B$1:$B$250),FALSE),U$2)),"")</f>
        <v/>
      </c>
      <c r="V26" t="str">
        <f t="array" ref="V26">IFERROR(INDEX(Source!$A$1:$A$250,SMALL(IF(--(Source!$B$1:$B$250=Sheet2!$N26)*--(Source!$E$1:$E$250=Sheet2!$O$2),ROW(Source!$B$1:$B$250),FALSE),V$2)),"")</f>
        <v/>
      </c>
      <c r="W26" s="5">
        <f t="shared" si="1"/>
        <v>0</v>
      </c>
    </row>
    <row r="27" spans="4:23">
      <c r="D27" s="5">
        <f t="shared" si="0"/>
        <v>0</v>
      </c>
      <c r="E27" t="str">
        <f t="array" ref="E27">IFERROR(INDEX(Source!$A$1:$A$250,SMALL(IF(--(Source!$B$1:$B$250=Sheet2!$N27)*--(Source!$E$1:$E$250=Sheet2!$M$2),ROW(Source!$B$1:$B$250),FALSE),E$2)),"")</f>
        <v/>
      </c>
      <c r="F27" t="str">
        <f t="array" ref="F27">IFERROR(INDEX(Source!$A$1:$A$250,SMALL(IF(--(Source!$B$1:$B$250=Sheet2!$N27)*--(Source!$E$1:$E$250=Sheet2!$M$2),ROW(Source!$B$1:$B$250),FALSE),F$2)),"")</f>
        <v/>
      </c>
      <c r="G27" t="str">
        <f t="array" ref="G27">IFERROR(INDEX(Source!$A$1:$A$250,SMALL(IF(--(Source!$B$1:$B$250=Sheet2!$N27)*--(Source!$E$1:$E$250=Sheet2!$M$2),ROW(Source!$B$1:$B$250),FALSE),G$2)),"")</f>
        <v/>
      </c>
      <c r="H27" t="str">
        <f t="array" ref="H27">IFERROR(INDEX(Source!$A$1:$A$250,SMALL(IF(--(Source!$B$1:$B$250=Sheet2!$N27)*--(Source!$E$1:$E$250=Sheet2!$M$2),ROW(Source!$B$1:$B$250),FALSE),H$2)),"")</f>
        <v/>
      </c>
      <c r="I27" t="str">
        <f t="array" ref="I27">IFERROR(INDEX(Source!$A$1:$A$250,SMALL(IF(--(Source!$B$1:$B$250=Sheet2!$N27)*--(Source!$E$1:$E$250=Sheet2!$M$2),ROW(Source!$B$1:$B$250),FALSE),I$2)),"")</f>
        <v/>
      </c>
      <c r="J27" t="str">
        <f t="array" ref="J27">IFERROR(INDEX(Source!$A$1:$A$250,SMALL(IF(--(Source!$B$1:$B$250=Sheet2!$N27)*--(Source!$E$1:$E$250=Sheet2!$M$2),ROW(Source!$B$1:$B$250),FALSE),J$2)),"")</f>
        <v/>
      </c>
      <c r="K27" t="str">
        <f t="array" ref="K27">IFERROR(INDEX(Source!$A$1:$A$250,SMALL(IF(--(Source!$B$1:$B$250=Sheet2!$N27)*--(Source!$E$1:$E$250=Sheet2!$M$2),ROW(Source!$B$1:$B$250),FALSE),K$2)),"")</f>
        <v>26667 HK Equity</v>
      </c>
      <c r="L27" t="str">
        <f t="array" ref="L27">IFERROR(INDEX(Source!$A$1:$A$250,SMALL(IF(--(Source!$B$1:$B$250=Sheet2!$N27)*--(Source!$E$1:$E$250=Sheet2!$M$2),ROW(Source!$B$1:$B$250),FALSE),L$2)),"")</f>
        <v>25901 HK Equity</v>
      </c>
      <c r="M27">
        <f>COUNTIFS(Source!$E:$E,"Call",Source!$B:$B,Sheet2!$N27)</f>
        <v>2</v>
      </c>
      <c r="N27">
        <v>19200</v>
      </c>
      <c r="O27">
        <f>COUNTIFS(Source!$E:$E,"Put",Source!$B:$B,Sheet2!$N27)</f>
        <v>5</v>
      </c>
      <c r="P27" t="str">
        <f t="array" ref="P27">IFERROR(INDEX(Source!$A$1:$A$250,SMALL(IF(--(Source!$B$1:$B$250=Sheet2!$N27)*--(Source!$E$1:$E$250=Sheet2!$O$2),ROW(Source!$B$1:$B$250),FALSE),P$2)),"")</f>
        <v>26849 HK Equity</v>
      </c>
      <c r="Q27" t="str">
        <f t="array" ref="Q27">IFERROR(INDEX(Source!$A$1:$A$250,SMALL(IF(--(Source!$B$1:$B$250=Sheet2!$N27)*--(Source!$E$1:$E$250=Sheet2!$O$2),ROW(Source!$B$1:$B$250),FALSE),Q$2)),"")</f>
        <v>26511 HK Equity</v>
      </c>
      <c r="R27" t="str">
        <f t="array" ref="R27">IFERROR(INDEX(Source!$A$1:$A$250,SMALL(IF(--(Source!$B$1:$B$250=Sheet2!$N27)*--(Source!$E$1:$E$250=Sheet2!$O$2),ROW(Source!$B$1:$B$250),FALSE),R$2)),"")</f>
        <v>26896 HK Equity</v>
      </c>
      <c r="S27" t="str">
        <f t="array" ref="S27">IFERROR(INDEX(Source!$A$1:$A$250,SMALL(IF(--(Source!$B$1:$B$250=Sheet2!$N27)*--(Source!$E$1:$E$250=Sheet2!$O$2),ROW(Source!$B$1:$B$250),FALSE),S$2)),"")</f>
        <v>27382 HK Equity</v>
      </c>
      <c r="T27" t="str">
        <f t="array" ref="T27">IFERROR(INDEX(Source!$A$1:$A$250,SMALL(IF(--(Source!$B$1:$B$250=Sheet2!$N27)*--(Source!$E$1:$E$250=Sheet2!$O$2),ROW(Source!$B$1:$B$250),FALSE),T$2)),"")</f>
        <v>28129 HK Equity</v>
      </c>
      <c r="U27" t="str">
        <f t="array" ref="U27">IFERROR(INDEX(Source!$A$1:$A$250,SMALL(IF(--(Source!$B$1:$B$250=Sheet2!$N27)*--(Source!$E$1:$E$250=Sheet2!$O$2),ROW(Source!$B$1:$B$250),FALSE),U$2)),"")</f>
        <v/>
      </c>
      <c r="V27" t="str">
        <f t="array" ref="V27">IFERROR(INDEX(Source!$A$1:$A$250,SMALL(IF(--(Source!$B$1:$B$250=Sheet2!$N27)*--(Source!$E$1:$E$250=Sheet2!$O$2),ROW(Source!$B$1:$B$250),FALSE),V$2)),"")</f>
        <v/>
      </c>
      <c r="W27" s="5">
        <f t="shared" si="1"/>
        <v>0</v>
      </c>
    </row>
    <row r="28" spans="4:23">
      <c r="D28" s="5">
        <f t="shared" si="0"/>
        <v>0</v>
      </c>
      <c r="E28" t="str">
        <f t="array" ref="E28">IFERROR(INDEX(Source!$A$1:$A$250,SMALL(IF(--(Source!$B$1:$B$250=Sheet2!$N28)*--(Source!$E$1:$E$250=Sheet2!$M$2),ROW(Source!$B$1:$B$250),FALSE),E$2)),"")</f>
        <v/>
      </c>
      <c r="F28" t="str">
        <f t="array" ref="F28">IFERROR(INDEX(Source!$A$1:$A$250,SMALL(IF(--(Source!$B$1:$B$250=Sheet2!$N28)*--(Source!$E$1:$E$250=Sheet2!$M$2),ROW(Source!$B$1:$B$250),FALSE),F$2)),"")</f>
        <v/>
      </c>
      <c r="G28" t="str">
        <f t="array" ref="G28">IFERROR(INDEX(Source!$A$1:$A$250,SMALL(IF(--(Source!$B$1:$B$250=Sheet2!$N28)*--(Source!$E$1:$E$250=Sheet2!$M$2),ROW(Source!$B$1:$B$250),FALSE),G$2)),"")</f>
        <v/>
      </c>
      <c r="H28" t="str">
        <f t="array" ref="H28">IFERROR(INDEX(Source!$A$1:$A$250,SMALL(IF(--(Source!$B$1:$B$250=Sheet2!$N28)*--(Source!$E$1:$E$250=Sheet2!$M$2),ROW(Source!$B$1:$B$250),FALSE),H$2)),"")</f>
        <v/>
      </c>
      <c r="I28" t="str">
        <f t="array" ref="I28">IFERROR(INDEX(Source!$A$1:$A$250,SMALL(IF(--(Source!$B$1:$B$250=Sheet2!$N28)*--(Source!$E$1:$E$250=Sheet2!$M$2),ROW(Source!$B$1:$B$250),FALSE),I$2)),"")</f>
        <v/>
      </c>
      <c r="J28" t="str">
        <f t="array" ref="J28">IFERROR(INDEX(Source!$A$1:$A$250,SMALL(IF(--(Source!$B$1:$B$250=Sheet2!$N28)*--(Source!$E$1:$E$250=Sheet2!$M$2),ROW(Source!$B$1:$B$250),FALSE),J$2)),"")</f>
        <v/>
      </c>
      <c r="K28" t="str">
        <f t="array" ref="K28">IFERROR(INDEX(Source!$A$1:$A$250,SMALL(IF(--(Source!$B$1:$B$250=Sheet2!$N28)*--(Source!$E$1:$E$250=Sheet2!$M$2),ROW(Source!$B$1:$B$250),FALSE),K$2)),"")</f>
        <v/>
      </c>
      <c r="L28" t="str">
        <f t="array" ref="L28">IFERROR(INDEX(Source!$A$1:$A$250,SMALL(IF(--(Source!$B$1:$B$250=Sheet2!$N28)*--(Source!$E$1:$E$250=Sheet2!$M$2),ROW(Source!$B$1:$B$250),FALSE),L$2)),"")</f>
        <v>28081 HK Equity</v>
      </c>
      <c r="M28">
        <f>COUNTIFS(Source!$E:$E,"Call",Source!$B:$B,Sheet2!$N28)</f>
        <v>1</v>
      </c>
      <c r="N28">
        <v>19288</v>
      </c>
      <c r="O28">
        <f>COUNTIFS(Source!$E:$E,"Put",Source!$B:$B,Sheet2!$N28)</f>
        <v>0</v>
      </c>
      <c r="P28" t="str">
        <f t="array" ref="P28">IFERROR(INDEX(Source!$A$1:$A$250,SMALL(IF(--(Source!$B$1:$B$250=Sheet2!$N28)*--(Source!$E$1:$E$250=Sheet2!$O$2),ROW(Source!$B$1:$B$250),FALSE),P$2)),"")</f>
        <v/>
      </c>
      <c r="Q28" t="str">
        <f t="array" ref="Q28">IFERROR(INDEX(Source!$A$1:$A$250,SMALL(IF(--(Source!$B$1:$B$250=Sheet2!$N28)*--(Source!$E$1:$E$250=Sheet2!$O$2),ROW(Source!$B$1:$B$250),FALSE),Q$2)),"")</f>
        <v/>
      </c>
      <c r="R28" t="str">
        <f t="array" ref="R28">IFERROR(INDEX(Source!$A$1:$A$250,SMALL(IF(--(Source!$B$1:$B$250=Sheet2!$N28)*--(Source!$E$1:$E$250=Sheet2!$O$2),ROW(Source!$B$1:$B$250),FALSE),R$2)),"")</f>
        <v/>
      </c>
      <c r="S28" t="str">
        <f t="array" ref="S28">IFERROR(INDEX(Source!$A$1:$A$250,SMALL(IF(--(Source!$B$1:$B$250=Sheet2!$N28)*--(Source!$E$1:$E$250=Sheet2!$O$2),ROW(Source!$B$1:$B$250),FALSE),S$2)),"")</f>
        <v/>
      </c>
      <c r="T28" t="str">
        <f t="array" ref="T28">IFERROR(INDEX(Source!$A$1:$A$250,SMALL(IF(--(Source!$B$1:$B$250=Sheet2!$N28)*--(Source!$E$1:$E$250=Sheet2!$O$2),ROW(Source!$B$1:$B$250),FALSE),T$2)),"")</f>
        <v/>
      </c>
      <c r="U28" t="str">
        <f t="array" ref="U28">IFERROR(INDEX(Source!$A$1:$A$250,SMALL(IF(--(Source!$B$1:$B$250=Sheet2!$N28)*--(Source!$E$1:$E$250=Sheet2!$O$2),ROW(Source!$B$1:$B$250),FALSE),U$2)),"")</f>
        <v/>
      </c>
      <c r="V28" t="str">
        <f t="array" ref="V28">IFERROR(INDEX(Source!$A$1:$A$250,SMALL(IF(--(Source!$B$1:$B$250=Sheet2!$N28)*--(Source!$E$1:$E$250=Sheet2!$O$2),ROW(Source!$B$1:$B$250),FALSE),V$2)),"")</f>
        <v/>
      </c>
      <c r="W28" s="5">
        <f t="shared" si="1"/>
        <v>0</v>
      </c>
    </row>
    <row r="29" spans="4:23">
      <c r="D29" s="5">
        <f t="shared" si="0"/>
        <v>0</v>
      </c>
      <c r="E29" t="str">
        <f t="array" ref="E29">IFERROR(INDEX(Source!$A$1:$A$250,SMALL(IF(--(Source!$B$1:$B$250=Sheet2!$N29)*--(Source!$E$1:$E$250=Sheet2!$M$2),ROW(Source!$B$1:$B$250),FALSE),E$2)),"")</f>
        <v/>
      </c>
      <c r="F29" t="str">
        <f t="array" ref="F29">IFERROR(INDEX(Source!$A$1:$A$250,SMALL(IF(--(Source!$B$1:$B$250=Sheet2!$N29)*--(Source!$E$1:$E$250=Sheet2!$M$2),ROW(Source!$B$1:$B$250),FALSE),F$2)),"")</f>
        <v/>
      </c>
      <c r="G29" t="str">
        <f t="array" ref="G29">IFERROR(INDEX(Source!$A$1:$A$250,SMALL(IF(--(Source!$B$1:$B$250=Sheet2!$N29)*--(Source!$E$1:$E$250=Sheet2!$M$2),ROW(Source!$B$1:$B$250),FALSE),G$2)),"")</f>
        <v/>
      </c>
      <c r="H29" t="str">
        <f t="array" ref="H29">IFERROR(INDEX(Source!$A$1:$A$250,SMALL(IF(--(Source!$B$1:$B$250=Sheet2!$N29)*--(Source!$E$1:$E$250=Sheet2!$M$2),ROW(Source!$B$1:$B$250),FALSE),H$2)),"")</f>
        <v/>
      </c>
      <c r="I29" t="str">
        <f t="array" ref="I29">IFERROR(INDEX(Source!$A$1:$A$250,SMALL(IF(--(Source!$B$1:$B$250=Sheet2!$N29)*--(Source!$E$1:$E$250=Sheet2!$M$2),ROW(Source!$B$1:$B$250),FALSE),I$2)),"")</f>
        <v/>
      </c>
      <c r="J29" t="str">
        <f t="array" ref="J29">IFERROR(INDEX(Source!$A$1:$A$250,SMALL(IF(--(Source!$B$1:$B$250=Sheet2!$N29)*--(Source!$E$1:$E$250=Sheet2!$M$2),ROW(Source!$B$1:$B$250),FALSE),J$2)),"")</f>
        <v/>
      </c>
      <c r="K29" t="str">
        <f t="array" ref="K29">IFERROR(INDEX(Source!$A$1:$A$250,SMALL(IF(--(Source!$B$1:$B$250=Sheet2!$N29)*--(Source!$E$1:$E$250=Sheet2!$M$2),ROW(Source!$B$1:$B$250),FALSE),K$2)),"")</f>
        <v>25479 HK Equity</v>
      </c>
      <c r="L29" t="str">
        <f t="array" ref="L29">IFERROR(INDEX(Source!$A$1:$A$250,SMALL(IF(--(Source!$B$1:$B$250=Sheet2!$N29)*--(Source!$E$1:$E$250=Sheet2!$M$2),ROW(Source!$B$1:$B$250),FALSE),L$2)),"")</f>
        <v>26583 HK Equity</v>
      </c>
      <c r="M29">
        <f>COUNTIFS(Source!$E:$E,"Call",Source!$B:$B,Sheet2!$N29)</f>
        <v>2</v>
      </c>
      <c r="N29">
        <v>19400</v>
      </c>
      <c r="O29">
        <f>COUNTIFS(Source!$E:$E,"Put",Source!$B:$B,Sheet2!$N29)</f>
        <v>3</v>
      </c>
      <c r="P29" t="str">
        <f t="array" ref="P29">IFERROR(INDEX(Source!$A$1:$A$250,SMALL(IF(--(Source!$B$1:$B$250=Sheet2!$N29)*--(Source!$E$1:$E$250=Sheet2!$O$2),ROW(Source!$B$1:$B$250),FALSE),P$2)),"")</f>
        <v>26712 HK Equity</v>
      </c>
      <c r="Q29" t="str">
        <f t="array" ref="Q29">IFERROR(INDEX(Source!$A$1:$A$250,SMALL(IF(--(Source!$B$1:$B$250=Sheet2!$N29)*--(Source!$E$1:$E$250=Sheet2!$O$2),ROW(Source!$B$1:$B$250),FALSE),Q$2)),"")</f>
        <v>26939 HK Equity</v>
      </c>
      <c r="R29" t="str">
        <f t="array" ref="R29">IFERROR(INDEX(Source!$A$1:$A$250,SMALL(IF(--(Source!$B$1:$B$250=Sheet2!$N29)*--(Source!$E$1:$E$250=Sheet2!$O$2),ROW(Source!$B$1:$B$250),FALSE),R$2)),"")</f>
        <v>25306 HK Equity</v>
      </c>
      <c r="S29" t="str">
        <f t="array" ref="S29">IFERROR(INDEX(Source!$A$1:$A$250,SMALL(IF(--(Source!$B$1:$B$250=Sheet2!$N29)*--(Source!$E$1:$E$250=Sheet2!$O$2),ROW(Source!$B$1:$B$250),FALSE),S$2)),"")</f>
        <v/>
      </c>
      <c r="T29" t="str">
        <f t="array" ref="T29">IFERROR(INDEX(Source!$A$1:$A$250,SMALL(IF(--(Source!$B$1:$B$250=Sheet2!$N29)*--(Source!$E$1:$E$250=Sheet2!$O$2),ROW(Source!$B$1:$B$250),FALSE),T$2)),"")</f>
        <v/>
      </c>
      <c r="U29" t="str">
        <f t="array" ref="U29">IFERROR(INDEX(Source!$A$1:$A$250,SMALL(IF(--(Source!$B$1:$B$250=Sheet2!$N29)*--(Source!$E$1:$E$250=Sheet2!$O$2),ROW(Source!$B$1:$B$250),FALSE),U$2)),"")</f>
        <v/>
      </c>
      <c r="V29" t="str">
        <f t="array" ref="V29">IFERROR(INDEX(Source!$A$1:$A$250,SMALL(IF(--(Source!$B$1:$B$250=Sheet2!$N29)*--(Source!$E$1:$E$250=Sheet2!$O$2),ROW(Source!$B$1:$B$250),FALSE),V$2)),"")</f>
        <v/>
      </c>
      <c r="W29" s="5">
        <f t="shared" si="1"/>
        <v>0</v>
      </c>
    </row>
    <row r="30" spans="4:23">
      <c r="D30" s="5">
        <f t="shared" si="0"/>
        <v>0</v>
      </c>
      <c r="E30" t="str">
        <f t="array" ref="E30">IFERROR(INDEX(Source!$A$1:$A$250,SMALL(IF(--(Source!$B$1:$B$250=Sheet2!$N30)*--(Source!$E$1:$E$250=Sheet2!$M$2),ROW(Source!$B$1:$B$250),FALSE),E$2)),"")</f>
        <v/>
      </c>
      <c r="F30" t="str">
        <f t="array" ref="F30">IFERROR(INDEX(Source!$A$1:$A$250,SMALL(IF(--(Source!$B$1:$B$250=Sheet2!$N30)*--(Source!$E$1:$E$250=Sheet2!$M$2),ROW(Source!$B$1:$B$250),FALSE),F$2)),"")</f>
        <v/>
      </c>
      <c r="G30" t="str">
        <f t="array" ref="G30">IFERROR(INDEX(Source!$A$1:$A$250,SMALL(IF(--(Source!$B$1:$B$250=Sheet2!$N30)*--(Source!$E$1:$E$250=Sheet2!$M$2),ROW(Source!$B$1:$B$250),FALSE),G$2)),"")</f>
        <v/>
      </c>
      <c r="H30" t="str">
        <f t="array" ref="H30">IFERROR(INDEX(Source!$A$1:$A$250,SMALL(IF(--(Source!$B$1:$B$250=Sheet2!$N30)*--(Source!$E$1:$E$250=Sheet2!$M$2),ROW(Source!$B$1:$B$250),FALSE),H$2)),"")</f>
        <v/>
      </c>
      <c r="I30" t="str">
        <f t="array" ref="I30">IFERROR(INDEX(Source!$A$1:$A$250,SMALL(IF(--(Source!$B$1:$B$250=Sheet2!$N30)*--(Source!$E$1:$E$250=Sheet2!$M$2),ROW(Source!$B$1:$B$250),FALSE),I$2)),"")</f>
        <v/>
      </c>
      <c r="J30" t="str">
        <f t="array" ref="J30">IFERROR(INDEX(Source!$A$1:$A$250,SMALL(IF(--(Source!$B$1:$B$250=Sheet2!$N30)*--(Source!$E$1:$E$250=Sheet2!$M$2),ROW(Source!$B$1:$B$250),FALSE),J$2)),"")</f>
        <v/>
      </c>
      <c r="K30" t="str">
        <f t="array" ref="K30">IFERROR(INDEX(Source!$A$1:$A$250,SMALL(IF(--(Source!$B$1:$B$250=Sheet2!$N30)*--(Source!$E$1:$E$250=Sheet2!$M$2),ROW(Source!$B$1:$B$250),FALSE),K$2)),"")</f>
        <v/>
      </c>
      <c r="L30" t="str">
        <f t="array" ref="L30">IFERROR(INDEX(Source!$A$1:$A$250,SMALL(IF(--(Source!$B$1:$B$250=Sheet2!$N30)*--(Source!$E$1:$E$250=Sheet2!$M$2),ROW(Source!$B$1:$B$250),FALSE),L$2)),"")</f>
        <v/>
      </c>
      <c r="M30">
        <f>COUNTIFS(Source!$E:$E,"Call",Source!$B:$B,Sheet2!$N30)</f>
        <v>0</v>
      </c>
      <c r="N30">
        <v>19408</v>
      </c>
      <c r="O30">
        <f>COUNTIFS(Source!$E:$E,"Put",Source!$B:$B,Sheet2!$N30)</f>
        <v>1</v>
      </c>
      <c r="P30" t="str">
        <f t="array" ref="P30">IFERROR(INDEX(Source!$A$1:$A$250,SMALL(IF(--(Source!$B$1:$B$250=Sheet2!$N30)*--(Source!$E$1:$E$250=Sheet2!$O$2),ROW(Source!$B$1:$B$250),FALSE),P$2)),"")</f>
        <v>26147 HK Equity</v>
      </c>
      <c r="Q30" t="str">
        <f t="array" ref="Q30">IFERROR(INDEX(Source!$A$1:$A$250,SMALL(IF(--(Source!$B$1:$B$250=Sheet2!$N30)*--(Source!$E$1:$E$250=Sheet2!$O$2),ROW(Source!$B$1:$B$250),FALSE),Q$2)),"")</f>
        <v/>
      </c>
      <c r="R30" t="str">
        <f t="array" ref="R30">IFERROR(INDEX(Source!$A$1:$A$250,SMALL(IF(--(Source!$B$1:$B$250=Sheet2!$N30)*--(Source!$E$1:$E$250=Sheet2!$O$2),ROW(Source!$B$1:$B$250),FALSE),R$2)),"")</f>
        <v/>
      </c>
      <c r="S30" t="str">
        <f t="array" ref="S30">IFERROR(INDEX(Source!$A$1:$A$250,SMALL(IF(--(Source!$B$1:$B$250=Sheet2!$N30)*--(Source!$E$1:$E$250=Sheet2!$O$2),ROW(Source!$B$1:$B$250),FALSE),S$2)),"")</f>
        <v/>
      </c>
      <c r="T30" t="str">
        <f t="array" ref="T30">IFERROR(INDEX(Source!$A$1:$A$250,SMALL(IF(--(Source!$B$1:$B$250=Sheet2!$N30)*--(Source!$E$1:$E$250=Sheet2!$O$2),ROW(Source!$B$1:$B$250),FALSE),T$2)),"")</f>
        <v/>
      </c>
      <c r="U30" t="str">
        <f t="array" ref="U30">IFERROR(INDEX(Source!$A$1:$A$250,SMALL(IF(--(Source!$B$1:$B$250=Sheet2!$N30)*--(Source!$E$1:$E$250=Sheet2!$O$2),ROW(Source!$B$1:$B$250),FALSE),U$2)),"")</f>
        <v/>
      </c>
      <c r="V30" t="str">
        <f t="array" ref="V30">IFERROR(INDEX(Source!$A$1:$A$250,SMALL(IF(--(Source!$B$1:$B$250=Sheet2!$N30)*--(Source!$E$1:$E$250=Sheet2!$O$2),ROW(Source!$B$1:$B$250),FALSE),V$2)),"")</f>
        <v/>
      </c>
      <c r="W30" s="5">
        <f t="shared" si="1"/>
        <v>0</v>
      </c>
    </row>
    <row r="31" spans="4:23">
      <c r="D31" s="5">
        <f t="shared" si="0"/>
        <v>0</v>
      </c>
      <c r="E31" t="str">
        <f t="array" ref="E31">IFERROR(INDEX(Source!$A$1:$A$250,SMALL(IF(--(Source!$B$1:$B$250=Sheet2!$N31)*--(Source!$E$1:$E$250=Sheet2!$M$2),ROW(Source!$B$1:$B$250),FALSE),E$2)),"")</f>
        <v/>
      </c>
      <c r="F31" t="str">
        <f t="array" ref="F31">IFERROR(INDEX(Source!$A$1:$A$250,SMALL(IF(--(Source!$B$1:$B$250=Sheet2!$N31)*--(Source!$E$1:$E$250=Sheet2!$M$2),ROW(Source!$B$1:$B$250),FALSE),F$2)),"")</f>
        <v/>
      </c>
      <c r="G31" t="str">
        <f t="array" ref="G31">IFERROR(INDEX(Source!$A$1:$A$250,SMALL(IF(--(Source!$B$1:$B$250=Sheet2!$N31)*--(Source!$E$1:$E$250=Sheet2!$M$2),ROW(Source!$B$1:$B$250),FALSE),G$2)),"")</f>
        <v/>
      </c>
      <c r="H31" t="str">
        <f t="array" ref="H31">IFERROR(INDEX(Source!$A$1:$A$250,SMALL(IF(--(Source!$B$1:$B$250=Sheet2!$N31)*--(Source!$E$1:$E$250=Sheet2!$M$2),ROW(Source!$B$1:$B$250),FALSE),H$2)),"")</f>
        <v/>
      </c>
      <c r="I31" t="str">
        <f t="array" ref="I31">IFERROR(INDEX(Source!$A$1:$A$250,SMALL(IF(--(Source!$B$1:$B$250=Sheet2!$N31)*--(Source!$E$1:$E$250=Sheet2!$M$2),ROW(Source!$B$1:$B$250),FALSE),I$2)),"")</f>
        <v/>
      </c>
      <c r="J31" t="str">
        <f t="array" ref="J31">IFERROR(INDEX(Source!$A$1:$A$250,SMALL(IF(--(Source!$B$1:$B$250=Sheet2!$N31)*--(Source!$E$1:$E$250=Sheet2!$M$2),ROW(Source!$B$1:$B$250),FALSE),J$2)),"")</f>
        <v/>
      </c>
      <c r="K31" t="str">
        <f t="array" ref="K31">IFERROR(INDEX(Source!$A$1:$A$250,SMALL(IF(--(Source!$B$1:$B$250=Sheet2!$N31)*--(Source!$E$1:$E$250=Sheet2!$M$2),ROW(Source!$B$1:$B$250),FALSE),K$2)),"")</f>
        <v/>
      </c>
      <c r="L31" t="str">
        <f t="array" ref="L31">IFERROR(INDEX(Source!$A$1:$A$250,SMALL(IF(--(Source!$B$1:$B$250=Sheet2!$N31)*--(Source!$E$1:$E$250=Sheet2!$M$2),ROW(Source!$B$1:$B$250),FALSE),L$2)),"")</f>
        <v>25909 HK Equity</v>
      </c>
      <c r="M31">
        <f>COUNTIFS(Source!$E:$E,"Call",Source!$B:$B,Sheet2!$N31)</f>
        <v>1</v>
      </c>
      <c r="N31">
        <v>19488</v>
      </c>
      <c r="O31">
        <f>COUNTIFS(Source!$E:$E,"Put",Source!$B:$B,Sheet2!$N31)</f>
        <v>0</v>
      </c>
      <c r="P31" t="str">
        <f t="array" ref="P31">IFERROR(INDEX(Source!$A$1:$A$250,SMALL(IF(--(Source!$B$1:$B$250=Sheet2!$N31)*--(Source!$E$1:$E$250=Sheet2!$O$2),ROW(Source!$B$1:$B$250),FALSE),P$2)),"")</f>
        <v/>
      </c>
      <c r="Q31" t="str">
        <f t="array" ref="Q31">IFERROR(INDEX(Source!$A$1:$A$250,SMALL(IF(--(Source!$B$1:$B$250=Sheet2!$N31)*--(Source!$E$1:$E$250=Sheet2!$O$2),ROW(Source!$B$1:$B$250),FALSE),Q$2)),"")</f>
        <v/>
      </c>
      <c r="R31" t="str">
        <f t="array" ref="R31">IFERROR(INDEX(Source!$A$1:$A$250,SMALL(IF(--(Source!$B$1:$B$250=Sheet2!$N31)*--(Source!$E$1:$E$250=Sheet2!$O$2),ROW(Source!$B$1:$B$250),FALSE),R$2)),"")</f>
        <v/>
      </c>
      <c r="S31" t="str">
        <f t="array" ref="S31">IFERROR(INDEX(Source!$A$1:$A$250,SMALL(IF(--(Source!$B$1:$B$250=Sheet2!$N31)*--(Source!$E$1:$E$250=Sheet2!$O$2),ROW(Source!$B$1:$B$250),FALSE),S$2)),"")</f>
        <v/>
      </c>
      <c r="T31" t="str">
        <f t="array" ref="T31">IFERROR(INDEX(Source!$A$1:$A$250,SMALL(IF(--(Source!$B$1:$B$250=Sheet2!$N31)*--(Source!$E$1:$E$250=Sheet2!$O$2),ROW(Source!$B$1:$B$250),FALSE),T$2)),"")</f>
        <v/>
      </c>
      <c r="U31" t="str">
        <f t="array" ref="U31">IFERROR(INDEX(Source!$A$1:$A$250,SMALL(IF(--(Source!$B$1:$B$250=Sheet2!$N31)*--(Source!$E$1:$E$250=Sheet2!$O$2),ROW(Source!$B$1:$B$250),FALSE),U$2)),"")</f>
        <v/>
      </c>
      <c r="V31" t="str">
        <f t="array" ref="V31">IFERROR(INDEX(Source!$A$1:$A$250,SMALL(IF(--(Source!$B$1:$B$250=Sheet2!$N31)*--(Source!$E$1:$E$250=Sheet2!$O$2),ROW(Source!$B$1:$B$250),FALSE),V$2)),"")</f>
        <v/>
      </c>
      <c r="W31" s="5">
        <f t="shared" si="1"/>
        <v>0</v>
      </c>
    </row>
    <row r="32" spans="4:23">
      <c r="D32" s="5">
        <f t="shared" si="0"/>
        <v>0</v>
      </c>
      <c r="E32" t="str">
        <f t="array" ref="E32">IFERROR(INDEX(Source!$A$1:$A$250,SMALL(IF(--(Source!$B$1:$B$250=Sheet2!$N32)*--(Source!$E$1:$E$250=Sheet2!$M$2),ROW(Source!$B$1:$B$250),FALSE),E$2)),"")</f>
        <v/>
      </c>
      <c r="F32" t="str">
        <f t="array" ref="F32">IFERROR(INDEX(Source!$A$1:$A$250,SMALL(IF(--(Source!$B$1:$B$250=Sheet2!$N32)*--(Source!$E$1:$E$250=Sheet2!$M$2),ROW(Source!$B$1:$B$250),FALSE),F$2)),"")</f>
        <v/>
      </c>
      <c r="G32" t="str">
        <f t="array" ref="G32">IFERROR(INDEX(Source!$A$1:$A$250,SMALL(IF(--(Source!$B$1:$B$250=Sheet2!$N32)*--(Source!$E$1:$E$250=Sheet2!$M$2),ROW(Source!$B$1:$B$250),FALSE),G$2)),"")</f>
        <v/>
      </c>
      <c r="H32" t="str">
        <f t="array" ref="H32">IFERROR(INDEX(Source!$A$1:$A$250,SMALL(IF(--(Source!$B$1:$B$250=Sheet2!$N32)*--(Source!$E$1:$E$250=Sheet2!$M$2),ROW(Source!$B$1:$B$250),FALSE),H$2)),"")</f>
        <v/>
      </c>
      <c r="I32" t="str">
        <f t="array" ref="I32">IFERROR(INDEX(Source!$A$1:$A$250,SMALL(IF(--(Source!$B$1:$B$250=Sheet2!$N32)*--(Source!$E$1:$E$250=Sheet2!$M$2),ROW(Source!$B$1:$B$250),FALSE),I$2)),"")</f>
        <v/>
      </c>
      <c r="J32" t="str">
        <f t="array" ref="J32">IFERROR(INDEX(Source!$A$1:$A$250,SMALL(IF(--(Source!$B$1:$B$250=Sheet2!$N32)*--(Source!$E$1:$E$250=Sheet2!$M$2),ROW(Source!$B$1:$B$250),FALSE),J$2)),"")</f>
        <v/>
      </c>
      <c r="K32" t="str">
        <f t="array" ref="K32">IFERROR(INDEX(Source!$A$1:$A$250,SMALL(IF(--(Source!$B$1:$B$250=Sheet2!$N32)*--(Source!$E$1:$E$250=Sheet2!$M$2),ROW(Source!$B$1:$B$250),FALSE),K$2)),"")</f>
        <v/>
      </c>
      <c r="L32" t="str">
        <f t="array" ref="L32">IFERROR(INDEX(Source!$A$1:$A$250,SMALL(IF(--(Source!$B$1:$B$250=Sheet2!$N32)*--(Source!$E$1:$E$250=Sheet2!$M$2),ROW(Source!$B$1:$B$250),FALSE),L$2)),"")</f>
        <v/>
      </c>
      <c r="M32">
        <f>COUNTIFS(Source!$E:$E,"Call",Source!$B:$B,Sheet2!$N32)</f>
        <v>0</v>
      </c>
      <c r="N32">
        <v>19500</v>
      </c>
      <c r="O32">
        <f>COUNTIFS(Source!$E:$E,"Put",Source!$B:$B,Sheet2!$N32)</f>
        <v>2</v>
      </c>
      <c r="P32" t="str">
        <f t="array" ref="P32">IFERROR(INDEX(Source!$A$1:$A$250,SMALL(IF(--(Source!$B$1:$B$250=Sheet2!$N32)*--(Source!$E$1:$E$250=Sheet2!$O$2),ROW(Source!$B$1:$B$250),FALSE),P$2)),"")</f>
        <v>26704 HK Equity</v>
      </c>
      <c r="Q32" t="str">
        <f t="array" ref="Q32">IFERROR(INDEX(Source!$A$1:$A$250,SMALL(IF(--(Source!$B$1:$B$250=Sheet2!$N32)*--(Source!$E$1:$E$250=Sheet2!$O$2),ROW(Source!$B$1:$B$250),FALSE),Q$2)),"")</f>
        <v>25377 HK Equity</v>
      </c>
      <c r="R32" t="str">
        <f t="array" ref="R32">IFERROR(INDEX(Source!$A$1:$A$250,SMALL(IF(--(Source!$B$1:$B$250=Sheet2!$N32)*--(Source!$E$1:$E$250=Sheet2!$O$2),ROW(Source!$B$1:$B$250),FALSE),R$2)),"")</f>
        <v/>
      </c>
      <c r="S32" t="str">
        <f t="array" ref="S32">IFERROR(INDEX(Source!$A$1:$A$250,SMALL(IF(--(Source!$B$1:$B$250=Sheet2!$N32)*--(Source!$E$1:$E$250=Sheet2!$O$2),ROW(Source!$B$1:$B$250),FALSE),S$2)),"")</f>
        <v/>
      </c>
      <c r="T32" t="str">
        <f t="array" ref="T32">IFERROR(INDEX(Source!$A$1:$A$250,SMALL(IF(--(Source!$B$1:$B$250=Sheet2!$N32)*--(Source!$E$1:$E$250=Sheet2!$O$2),ROW(Source!$B$1:$B$250),FALSE),T$2)),"")</f>
        <v/>
      </c>
      <c r="U32" t="str">
        <f t="array" ref="U32">IFERROR(INDEX(Source!$A$1:$A$250,SMALL(IF(--(Source!$B$1:$B$250=Sheet2!$N32)*--(Source!$E$1:$E$250=Sheet2!$O$2),ROW(Source!$B$1:$B$250),FALSE),U$2)),"")</f>
        <v/>
      </c>
      <c r="V32" t="str">
        <f t="array" ref="V32">IFERROR(INDEX(Source!$A$1:$A$250,SMALL(IF(--(Source!$B$1:$B$250=Sheet2!$N32)*--(Source!$E$1:$E$250=Sheet2!$O$2),ROW(Source!$B$1:$B$250),FALSE),V$2)),"")</f>
        <v/>
      </c>
      <c r="W32" s="5">
        <f t="shared" si="1"/>
        <v>0</v>
      </c>
    </row>
    <row r="33" spans="4:23">
      <c r="D33" s="5">
        <f t="shared" si="0"/>
        <v>0</v>
      </c>
      <c r="E33" t="str">
        <f t="array" ref="E33">IFERROR(INDEX(Source!$A$1:$A$250,SMALL(IF(--(Source!$B$1:$B$250=Sheet2!$N33)*--(Source!$E$1:$E$250=Sheet2!$M$2),ROW(Source!$B$1:$B$250),FALSE),E$2)),"")</f>
        <v/>
      </c>
      <c r="F33" t="str">
        <f t="array" ref="F33">IFERROR(INDEX(Source!$A$1:$A$250,SMALL(IF(--(Source!$B$1:$B$250=Sheet2!$N33)*--(Source!$E$1:$E$250=Sheet2!$M$2),ROW(Source!$B$1:$B$250),FALSE),F$2)),"")</f>
        <v/>
      </c>
      <c r="G33" t="str">
        <f t="array" ref="G33">IFERROR(INDEX(Source!$A$1:$A$250,SMALL(IF(--(Source!$B$1:$B$250=Sheet2!$N33)*--(Source!$E$1:$E$250=Sheet2!$M$2),ROW(Source!$B$1:$B$250),FALSE),G$2)),"")</f>
        <v>25804 HK Equity</v>
      </c>
      <c r="H33" t="str">
        <f t="array" ref="H33">IFERROR(INDEX(Source!$A$1:$A$250,SMALL(IF(--(Source!$B$1:$B$250=Sheet2!$N33)*--(Source!$E$1:$E$250=Sheet2!$M$2),ROW(Source!$B$1:$B$250),FALSE),H$2)),"")</f>
        <v>25720 HK Equity</v>
      </c>
      <c r="I33" t="str">
        <f t="array" ref="I33">IFERROR(INDEX(Source!$A$1:$A$250,SMALL(IF(--(Source!$B$1:$B$250=Sheet2!$N33)*--(Source!$E$1:$E$250=Sheet2!$M$2),ROW(Source!$B$1:$B$250),FALSE),I$2)),"")</f>
        <v>25910 HK Equity</v>
      </c>
      <c r="J33" t="str">
        <f t="array" ref="J33">IFERROR(INDEX(Source!$A$1:$A$250,SMALL(IF(--(Source!$B$1:$B$250=Sheet2!$N33)*--(Source!$E$1:$E$250=Sheet2!$M$2),ROW(Source!$B$1:$B$250),FALSE),J$2)),"")</f>
        <v>25662 HK Equity</v>
      </c>
      <c r="K33" t="str">
        <f t="array" ref="K33">IFERROR(INDEX(Source!$A$1:$A$250,SMALL(IF(--(Source!$B$1:$B$250=Sheet2!$N33)*--(Source!$E$1:$E$250=Sheet2!$M$2),ROW(Source!$B$1:$B$250),FALSE),K$2)),"")</f>
        <v>25376 HK Equity</v>
      </c>
      <c r="L33" t="str">
        <f t="array" ref="L33">IFERROR(INDEX(Source!$A$1:$A$250,SMALL(IF(--(Source!$B$1:$B$250=Sheet2!$N33)*--(Source!$E$1:$E$250=Sheet2!$M$2),ROW(Source!$B$1:$B$250),FALSE),L$2)),"")</f>
        <v>11062 HK Equity</v>
      </c>
      <c r="M33">
        <f>COUNTIFS(Source!$E:$E,"Call",Source!$B:$B,Sheet2!$N33)</f>
        <v>6</v>
      </c>
      <c r="N33">
        <v>19600</v>
      </c>
      <c r="O33">
        <f>COUNTIFS(Source!$E:$E,"Put",Source!$B:$B,Sheet2!$N33)</f>
        <v>0</v>
      </c>
      <c r="P33" t="str">
        <f t="array" ref="P33">IFERROR(INDEX(Source!$A$1:$A$250,SMALL(IF(--(Source!$B$1:$B$250=Sheet2!$N33)*--(Source!$E$1:$E$250=Sheet2!$O$2),ROW(Source!$B$1:$B$250),FALSE),P$2)),"")</f>
        <v/>
      </c>
      <c r="Q33" t="str">
        <f t="array" ref="Q33">IFERROR(INDEX(Source!$A$1:$A$250,SMALL(IF(--(Source!$B$1:$B$250=Sheet2!$N33)*--(Source!$E$1:$E$250=Sheet2!$O$2),ROW(Source!$B$1:$B$250),FALSE),Q$2)),"")</f>
        <v/>
      </c>
      <c r="R33" t="str">
        <f t="array" ref="R33">IFERROR(INDEX(Source!$A$1:$A$250,SMALL(IF(--(Source!$B$1:$B$250=Sheet2!$N33)*--(Source!$E$1:$E$250=Sheet2!$O$2),ROW(Source!$B$1:$B$250),FALSE),R$2)),"")</f>
        <v/>
      </c>
      <c r="S33" t="str">
        <f t="array" ref="S33">IFERROR(INDEX(Source!$A$1:$A$250,SMALL(IF(--(Source!$B$1:$B$250=Sheet2!$N33)*--(Source!$E$1:$E$250=Sheet2!$O$2),ROW(Source!$B$1:$B$250),FALSE),S$2)),"")</f>
        <v/>
      </c>
      <c r="T33" t="str">
        <f t="array" ref="T33">IFERROR(INDEX(Source!$A$1:$A$250,SMALL(IF(--(Source!$B$1:$B$250=Sheet2!$N33)*--(Source!$E$1:$E$250=Sheet2!$O$2),ROW(Source!$B$1:$B$250),FALSE),T$2)),"")</f>
        <v/>
      </c>
      <c r="U33" t="str">
        <f t="array" ref="U33">IFERROR(INDEX(Source!$A$1:$A$250,SMALL(IF(--(Source!$B$1:$B$250=Sheet2!$N33)*--(Source!$E$1:$E$250=Sheet2!$O$2),ROW(Source!$B$1:$B$250),FALSE),U$2)),"")</f>
        <v/>
      </c>
      <c r="V33" t="str">
        <f t="array" ref="V33">IFERROR(INDEX(Source!$A$1:$A$250,SMALL(IF(--(Source!$B$1:$B$250=Sheet2!$N33)*--(Source!$E$1:$E$250=Sheet2!$O$2),ROW(Source!$B$1:$B$250),FALSE),V$2)),"")</f>
        <v/>
      </c>
      <c r="W33" s="5">
        <f t="shared" si="1"/>
        <v>0</v>
      </c>
    </row>
    <row r="34" spans="4:23">
      <c r="D34" s="5">
        <f t="shared" si="0"/>
        <v>0</v>
      </c>
      <c r="E34" t="str">
        <f t="array" ref="E34">IFERROR(INDEX(Source!$A$1:$A$250,SMALL(IF(--(Source!$B$1:$B$250=Sheet2!$N34)*--(Source!$E$1:$E$250=Sheet2!$M$2),ROW(Source!$B$1:$B$250),FALSE),E$2)),"")</f>
        <v/>
      </c>
      <c r="F34" t="str">
        <f t="array" ref="F34">IFERROR(INDEX(Source!$A$1:$A$250,SMALL(IF(--(Source!$B$1:$B$250=Sheet2!$N34)*--(Source!$E$1:$E$250=Sheet2!$M$2),ROW(Source!$B$1:$B$250),FALSE),F$2)),"")</f>
        <v/>
      </c>
      <c r="G34" t="str">
        <f t="array" ref="G34">IFERROR(INDEX(Source!$A$1:$A$250,SMALL(IF(--(Source!$B$1:$B$250=Sheet2!$N34)*--(Source!$E$1:$E$250=Sheet2!$M$2),ROW(Source!$B$1:$B$250),FALSE),G$2)),"")</f>
        <v/>
      </c>
      <c r="H34" t="str">
        <f t="array" ref="H34">IFERROR(INDEX(Source!$A$1:$A$250,SMALL(IF(--(Source!$B$1:$B$250=Sheet2!$N34)*--(Source!$E$1:$E$250=Sheet2!$M$2),ROW(Source!$B$1:$B$250),FALSE),H$2)),"")</f>
        <v/>
      </c>
      <c r="I34" t="str">
        <f t="array" ref="I34">IFERROR(INDEX(Source!$A$1:$A$250,SMALL(IF(--(Source!$B$1:$B$250=Sheet2!$N34)*--(Source!$E$1:$E$250=Sheet2!$M$2),ROW(Source!$B$1:$B$250),FALSE),I$2)),"")</f>
        <v/>
      </c>
      <c r="J34" t="str">
        <f t="array" ref="J34">IFERROR(INDEX(Source!$A$1:$A$250,SMALL(IF(--(Source!$B$1:$B$250=Sheet2!$N34)*--(Source!$E$1:$E$250=Sheet2!$M$2),ROW(Source!$B$1:$B$250),FALSE),J$2)),"")</f>
        <v/>
      </c>
      <c r="K34" t="str">
        <f t="array" ref="K34">IFERROR(INDEX(Source!$A$1:$A$250,SMALL(IF(--(Source!$B$1:$B$250=Sheet2!$N34)*--(Source!$E$1:$E$250=Sheet2!$M$2),ROW(Source!$B$1:$B$250),FALSE),K$2)),"")</f>
        <v/>
      </c>
      <c r="L34" t="str">
        <f t="array" ref="L34">IFERROR(INDEX(Source!$A$1:$A$250,SMALL(IF(--(Source!$B$1:$B$250=Sheet2!$N34)*--(Source!$E$1:$E$250=Sheet2!$M$2),ROW(Source!$B$1:$B$250),FALSE),L$2)),"")</f>
        <v>26487 HK Equity</v>
      </c>
      <c r="M34">
        <f>COUNTIFS(Source!$E:$E,"Call",Source!$B:$B,Sheet2!$N34)</f>
        <v>1</v>
      </c>
      <c r="N34">
        <v>19698</v>
      </c>
      <c r="O34">
        <f>COUNTIFS(Source!$E:$E,"Put",Source!$B:$B,Sheet2!$N34)</f>
        <v>0</v>
      </c>
      <c r="P34" t="str">
        <f t="array" ref="P34">IFERROR(INDEX(Source!$A$1:$A$250,SMALL(IF(--(Source!$B$1:$B$250=Sheet2!$N34)*--(Source!$E$1:$E$250=Sheet2!$O$2),ROW(Source!$B$1:$B$250),FALSE),P$2)),"")</f>
        <v/>
      </c>
      <c r="Q34" t="str">
        <f t="array" ref="Q34">IFERROR(INDEX(Source!$A$1:$A$250,SMALL(IF(--(Source!$B$1:$B$250=Sheet2!$N34)*--(Source!$E$1:$E$250=Sheet2!$O$2),ROW(Source!$B$1:$B$250),FALSE),Q$2)),"")</f>
        <v/>
      </c>
      <c r="R34" t="str">
        <f t="array" ref="R34">IFERROR(INDEX(Source!$A$1:$A$250,SMALL(IF(--(Source!$B$1:$B$250=Sheet2!$N34)*--(Source!$E$1:$E$250=Sheet2!$O$2),ROW(Source!$B$1:$B$250),FALSE),R$2)),"")</f>
        <v/>
      </c>
      <c r="S34" t="str">
        <f t="array" ref="S34">IFERROR(INDEX(Source!$A$1:$A$250,SMALL(IF(--(Source!$B$1:$B$250=Sheet2!$N34)*--(Source!$E$1:$E$250=Sheet2!$O$2),ROW(Source!$B$1:$B$250),FALSE),S$2)),"")</f>
        <v/>
      </c>
      <c r="T34" t="str">
        <f t="array" ref="T34">IFERROR(INDEX(Source!$A$1:$A$250,SMALL(IF(--(Source!$B$1:$B$250=Sheet2!$N34)*--(Source!$E$1:$E$250=Sheet2!$O$2),ROW(Source!$B$1:$B$250),FALSE),T$2)),"")</f>
        <v/>
      </c>
      <c r="U34" t="str">
        <f t="array" ref="U34">IFERROR(INDEX(Source!$A$1:$A$250,SMALL(IF(--(Source!$B$1:$B$250=Sheet2!$N34)*--(Source!$E$1:$E$250=Sheet2!$O$2),ROW(Source!$B$1:$B$250),FALSE),U$2)),"")</f>
        <v/>
      </c>
      <c r="V34" t="str">
        <f t="array" ref="V34">IFERROR(INDEX(Source!$A$1:$A$250,SMALL(IF(--(Source!$B$1:$B$250=Sheet2!$N34)*--(Source!$E$1:$E$250=Sheet2!$O$2),ROW(Source!$B$1:$B$250),FALSE),V$2)),"")</f>
        <v/>
      </c>
      <c r="W34" s="5">
        <f t="shared" si="1"/>
        <v>0</v>
      </c>
    </row>
    <row r="35" spans="4:23">
      <c r="D35" s="5">
        <f t="shared" si="0"/>
        <v>0</v>
      </c>
      <c r="E35" t="str">
        <f t="array" ref="E35">IFERROR(INDEX(Source!$A$1:$A$250,SMALL(IF(--(Source!$B$1:$B$250=Sheet2!$N35)*--(Source!$E$1:$E$250=Sheet2!$M$2),ROW(Source!$B$1:$B$250),FALSE),E$2)),"")</f>
        <v/>
      </c>
      <c r="F35" t="str">
        <f t="array" ref="F35">IFERROR(INDEX(Source!$A$1:$A$250,SMALL(IF(--(Source!$B$1:$B$250=Sheet2!$N35)*--(Source!$E$1:$E$250=Sheet2!$M$2),ROW(Source!$B$1:$B$250),FALSE),F$2)),"")</f>
        <v/>
      </c>
      <c r="G35" t="str">
        <f t="array" ref="G35">IFERROR(INDEX(Source!$A$1:$A$250,SMALL(IF(--(Source!$B$1:$B$250=Sheet2!$N35)*--(Source!$E$1:$E$250=Sheet2!$M$2),ROW(Source!$B$1:$B$250),FALSE),G$2)),"")</f>
        <v/>
      </c>
      <c r="H35" t="str">
        <f t="array" ref="H35">IFERROR(INDEX(Source!$A$1:$A$250,SMALL(IF(--(Source!$B$1:$B$250=Sheet2!$N35)*--(Source!$E$1:$E$250=Sheet2!$M$2),ROW(Source!$B$1:$B$250),FALSE),H$2)),"")</f>
        <v/>
      </c>
      <c r="I35" t="str">
        <f t="array" ref="I35">IFERROR(INDEX(Source!$A$1:$A$250,SMALL(IF(--(Source!$B$1:$B$250=Sheet2!$N35)*--(Source!$E$1:$E$250=Sheet2!$M$2),ROW(Source!$B$1:$B$250),FALSE),I$2)),"")</f>
        <v/>
      </c>
      <c r="J35" t="str">
        <f t="array" ref="J35">IFERROR(INDEX(Source!$A$1:$A$250,SMALL(IF(--(Source!$B$1:$B$250=Sheet2!$N35)*--(Source!$E$1:$E$250=Sheet2!$M$2),ROW(Source!$B$1:$B$250),FALSE),J$2)),"")</f>
        <v/>
      </c>
      <c r="K35" t="str">
        <f t="array" ref="K35">IFERROR(INDEX(Source!$A$1:$A$250,SMALL(IF(--(Source!$B$1:$B$250=Sheet2!$N35)*--(Source!$E$1:$E$250=Sheet2!$M$2),ROW(Source!$B$1:$B$250),FALSE),K$2)),"")</f>
        <v/>
      </c>
      <c r="L35" t="str">
        <f t="array" ref="L35">IFERROR(INDEX(Source!$A$1:$A$250,SMALL(IF(--(Source!$B$1:$B$250=Sheet2!$N35)*--(Source!$E$1:$E$250=Sheet2!$M$2),ROW(Source!$B$1:$B$250),FALSE),L$2)),"")</f>
        <v/>
      </c>
      <c r="M35">
        <f>COUNTIFS(Source!$E:$E,"Call",Source!$B:$B,Sheet2!$N35)</f>
        <v>0</v>
      </c>
      <c r="N35">
        <v>19708</v>
      </c>
      <c r="O35">
        <f>COUNTIFS(Source!$E:$E,"Put",Source!$B:$B,Sheet2!$N35)</f>
        <v>2</v>
      </c>
      <c r="P35" t="str">
        <f t="array" ref="P35">IFERROR(INDEX(Source!$A$1:$A$250,SMALL(IF(--(Source!$B$1:$B$250=Sheet2!$N35)*--(Source!$E$1:$E$250=Sheet2!$O$2),ROW(Source!$B$1:$B$250),FALSE),P$2)),"")</f>
        <v>26921 HK Equity</v>
      </c>
      <c r="Q35" t="str">
        <f t="array" ref="Q35">IFERROR(INDEX(Source!$A$1:$A$250,SMALL(IF(--(Source!$B$1:$B$250=Sheet2!$N35)*--(Source!$E$1:$E$250=Sheet2!$O$2),ROW(Source!$B$1:$B$250),FALSE),Q$2)),"")</f>
        <v>27827 HK Equity</v>
      </c>
      <c r="R35" t="str">
        <f t="array" ref="R35">IFERROR(INDEX(Source!$A$1:$A$250,SMALL(IF(--(Source!$B$1:$B$250=Sheet2!$N35)*--(Source!$E$1:$E$250=Sheet2!$O$2),ROW(Source!$B$1:$B$250),FALSE),R$2)),"")</f>
        <v/>
      </c>
      <c r="S35" t="str">
        <f t="array" ref="S35">IFERROR(INDEX(Source!$A$1:$A$250,SMALL(IF(--(Source!$B$1:$B$250=Sheet2!$N35)*--(Source!$E$1:$E$250=Sheet2!$O$2),ROW(Source!$B$1:$B$250),FALSE),S$2)),"")</f>
        <v/>
      </c>
      <c r="T35" t="str">
        <f t="array" ref="T35">IFERROR(INDEX(Source!$A$1:$A$250,SMALL(IF(--(Source!$B$1:$B$250=Sheet2!$N35)*--(Source!$E$1:$E$250=Sheet2!$O$2),ROW(Source!$B$1:$B$250),FALSE),T$2)),"")</f>
        <v/>
      </c>
      <c r="U35" t="str">
        <f t="array" ref="U35">IFERROR(INDEX(Source!$A$1:$A$250,SMALL(IF(--(Source!$B$1:$B$250=Sheet2!$N35)*--(Source!$E$1:$E$250=Sheet2!$O$2),ROW(Source!$B$1:$B$250),FALSE),U$2)),"")</f>
        <v/>
      </c>
      <c r="V35" t="str">
        <f t="array" ref="V35">IFERROR(INDEX(Source!$A$1:$A$250,SMALL(IF(--(Source!$B$1:$B$250=Sheet2!$N35)*--(Source!$E$1:$E$250=Sheet2!$O$2),ROW(Source!$B$1:$B$250),FALSE),V$2)),"")</f>
        <v/>
      </c>
      <c r="W35" s="5">
        <f t="shared" si="1"/>
        <v>0</v>
      </c>
    </row>
    <row r="36" spans="4:23">
      <c r="D36" s="5">
        <f t="shared" si="0"/>
        <v>0</v>
      </c>
      <c r="E36" t="str">
        <f t="array" ref="E36">IFERROR(INDEX(Source!$A$1:$A$250,SMALL(IF(--(Source!$B$1:$B$250=Sheet2!$N36)*--(Source!$E$1:$E$250=Sheet2!$M$2),ROW(Source!$B$1:$B$250),FALSE),E$2)),"")</f>
        <v/>
      </c>
      <c r="F36" t="str">
        <f t="array" ref="F36">IFERROR(INDEX(Source!$A$1:$A$250,SMALL(IF(--(Source!$B$1:$B$250=Sheet2!$N36)*--(Source!$E$1:$E$250=Sheet2!$M$2),ROW(Source!$B$1:$B$250),FALSE),F$2)),"")</f>
        <v/>
      </c>
      <c r="G36" t="str">
        <f t="array" ref="G36">IFERROR(INDEX(Source!$A$1:$A$250,SMALL(IF(--(Source!$B$1:$B$250=Sheet2!$N36)*--(Source!$E$1:$E$250=Sheet2!$M$2),ROW(Source!$B$1:$B$250),FALSE),G$2)),"")</f>
        <v/>
      </c>
      <c r="H36" t="str">
        <f t="array" ref="H36">IFERROR(INDEX(Source!$A$1:$A$250,SMALL(IF(--(Source!$B$1:$B$250=Sheet2!$N36)*--(Source!$E$1:$E$250=Sheet2!$M$2),ROW(Source!$B$1:$B$250),FALSE),H$2)),"")</f>
        <v/>
      </c>
      <c r="I36" t="str">
        <f t="array" ref="I36">IFERROR(INDEX(Source!$A$1:$A$250,SMALL(IF(--(Source!$B$1:$B$250=Sheet2!$N36)*--(Source!$E$1:$E$250=Sheet2!$M$2),ROW(Source!$B$1:$B$250),FALSE),I$2)),"")</f>
        <v/>
      </c>
      <c r="J36" t="str">
        <f t="array" ref="J36">IFERROR(INDEX(Source!$A$1:$A$250,SMALL(IF(--(Source!$B$1:$B$250=Sheet2!$N36)*--(Source!$E$1:$E$250=Sheet2!$M$2),ROW(Source!$B$1:$B$250),FALSE),J$2)),"")</f>
        <v/>
      </c>
      <c r="K36" t="str">
        <f t="array" ref="K36">IFERROR(INDEX(Source!$A$1:$A$250,SMALL(IF(--(Source!$B$1:$B$250=Sheet2!$N36)*--(Source!$E$1:$E$250=Sheet2!$M$2),ROW(Source!$B$1:$B$250),FALSE),K$2)),"")</f>
        <v/>
      </c>
      <c r="L36" t="str">
        <f t="array" ref="L36">IFERROR(INDEX(Source!$A$1:$A$250,SMALL(IF(--(Source!$B$1:$B$250=Sheet2!$N36)*--(Source!$E$1:$E$250=Sheet2!$M$2),ROW(Source!$B$1:$B$250),FALSE),L$2)),"")</f>
        <v/>
      </c>
      <c r="M36">
        <f>COUNTIFS(Source!$E:$E,"Call",Source!$B:$B,Sheet2!$N36)</f>
        <v>0</v>
      </c>
      <c r="N36">
        <v>19710</v>
      </c>
      <c r="O36">
        <f>COUNTIFS(Source!$E:$E,"Put",Source!$B:$B,Sheet2!$N36)</f>
        <v>1</v>
      </c>
      <c r="P36" t="str">
        <f t="array" ref="P36">IFERROR(INDEX(Source!$A$1:$A$250,SMALL(IF(--(Source!$B$1:$B$250=Sheet2!$N36)*--(Source!$E$1:$E$250=Sheet2!$O$2),ROW(Source!$B$1:$B$250),FALSE),P$2)),"")</f>
        <v>27893 HK Equity</v>
      </c>
      <c r="Q36" t="str">
        <f t="array" ref="Q36">IFERROR(INDEX(Source!$A$1:$A$250,SMALL(IF(--(Source!$B$1:$B$250=Sheet2!$N36)*--(Source!$E$1:$E$250=Sheet2!$O$2),ROW(Source!$B$1:$B$250),FALSE),Q$2)),"")</f>
        <v/>
      </c>
      <c r="R36" t="str">
        <f t="array" ref="R36">IFERROR(INDEX(Source!$A$1:$A$250,SMALL(IF(--(Source!$B$1:$B$250=Sheet2!$N36)*--(Source!$E$1:$E$250=Sheet2!$O$2),ROW(Source!$B$1:$B$250),FALSE),R$2)),"")</f>
        <v/>
      </c>
      <c r="S36" t="str">
        <f t="array" ref="S36">IFERROR(INDEX(Source!$A$1:$A$250,SMALL(IF(--(Source!$B$1:$B$250=Sheet2!$N36)*--(Source!$E$1:$E$250=Sheet2!$O$2),ROW(Source!$B$1:$B$250),FALSE),S$2)),"")</f>
        <v/>
      </c>
      <c r="T36" t="str">
        <f t="array" ref="T36">IFERROR(INDEX(Source!$A$1:$A$250,SMALL(IF(--(Source!$B$1:$B$250=Sheet2!$N36)*--(Source!$E$1:$E$250=Sheet2!$O$2),ROW(Source!$B$1:$B$250),FALSE),T$2)),"")</f>
        <v/>
      </c>
      <c r="U36" t="str">
        <f t="array" ref="U36">IFERROR(INDEX(Source!$A$1:$A$250,SMALL(IF(--(Source!$B$1:$B$250=Sheet2!$N36)*--(Source!$E$1:$E$250=Sheet2!$O$2),ROW(Source!$B$1:$B$250),FALSE),U$2)),"")</f>
        <v/>
      </c>
      <c r="V36" t="str">
        <f t="array" ref="V36">IFERROR(INDEX(Source!$A$1:$A$250,SMALL(IF(--(Source!$B$1:$B$250=Sheet2!$N36)*--(Source!$E$1:$E$250=Sheet2!$O$2),ROW(Source!$B$1:$B$250),FALSE),V$2)),"")</f>
        <v/>
      </c>
      <c r="W36" s="5">
        <f t="shared" si="1"/>
        <v>0</v>
      </c>
    </row>
    <row r="37" spans="4:23">
      <c r="D37" s="5">
        <f t="shared" si="0"/>
        <v>0</v>
      </c>
      <c r="E37" t="str">
        <f t="array" ref="E37">IFERROR(INDEX(Source!$A$1:$A$250,SMALL(IF(--(Source!$B$1:$B$250=Sheet2!$N37)*--(Source!$E$1:$E$250=Sheet2!$M$2),ROW(Source!$B$1:$B$250),FALSE),E$2)),"")</f>
        <v/>
      </c>
      <c r="F37" t="str">
        <f t="array" ref="F37">IFERROR(INDEX(Source!$A$1:$A$250,SMALL(IF(--(Source!$B$1:$B$250=Sheet2!$N37)*--(Source!$E$1:$E$250=Sheet2!$M$2),ROW(Source!$B$1:$B$250),FALSE),F$2)),"")</f>
        <v/>
      </c>
      <c r="G37" t="str">
        <f t="array" ref="G37">IFERROR(INDEX(Source!$A$1:$A$250,SMALL(IF(--(Source!$B$1:$B$250=Sheet2!$N37)*--(Source!$E$1:$E$250=Sheet2!$M$2),ROW(Source!$B$1:$B$250),FALSE),G$2)),"")</f>
        <v/>
      </c>
      <c r="H37" t="str">
        <f t="array" ref="H37">IFERROR(INDEX(Source!$A$1:$A$250,SMALL(IF(--(Source!$B$1:$B$250=Sheet2!$N37)*--(Source!$E$1:$E$250=Sheet2!$M$2),ROW(Source!$B$1:$B$250),FALSE),H$2)),"")</f>
        <v/>
      </c>
      <c r="I37" t="str">
        <f t="array" ref="I37">IFERROR(INDEX(Source!$A$1:$A$250,SMALL(IF(--(Source!$B$1:$B$250=Sheet2!$N37)*--(Source!$E$1:$E$250=Sheet2!$M$2),ROW(Source!$B$1:$B$250),FALSE),I$2)),"")</f>
        <v/>
      </c>
      <c r="J37" t="str">
        <f t="array" ref="J37">IFERROR(INDEX(Source!$A$1:$A$250,SMALL(IF(--(Source!$B$1:$B$250=Sheet2!$N37)*--(Source!$E$1:$E$250=Sheet2!$M$2),ROW(Source!$B$1:$B$250),FALSE),J$2)),"")</f>
        <v/>
      </c>
      <c r="K37" t="str">
        <f t="array" ref="K37">IFERROR(INDEX(Source!$A$1:$A$250,SMALL(IF(--(Source!$B$1:$B$250=Sheet2!$N37)*--(Source!$E$1:$E$250=Sheet2!$M$2),ROW(Source!$B$1:$B$250),FALSE),K$2)),"")</f>
        <v/>
      </c>
      <c r="L37" t="str">
        <f t="array" ref="L37">IFERROR(INDEX(Source!$A$1:$A$250,SMALL(IF(--(Source!$B$1:$B$250=Sheet2!$N37)*--(Source!$E$1:$E$250=Sheet2!$M$2),ROW(Source!$B$1:$B$250),FALSE),L$2)),"")</f>
        <v>28025 HK Equity</v>
      </c>
      <c r="M37">
        <f>COUNTIFS(Source!$E:$E,"Call",Source!$B:$B,Sheet2!$N37)</f>
        <v>1</v>
      </c>
      <c r="N37">
        <v>19768</v>
      </c>
      <c r="O37">
        <f>COUNTIFS(Source!$E:$E,"Put",Source!$B:$B,Sheet2!$N37)</f>
        <v>0</v>
      </c>
      <c r="P37" t="str">
        <f t="array" ref="P37">IFERROR(INDEX(Source!$A$1:$A$250,SMALL(IF(--(Source!$B$1:$B$250=Sheet2!$N37)*--(Source!$E$1:$E$250=Sheet2!$O$2),ROW(Source!$B$1:$B$250),FALSE),P$2)),"")</f>
        <v/>
      </c>
      <c r="Q37" t="str">
        <f t="array" ref="Q37">IFERROR(INDEX(Source!$A$1:$A$250,SMALL(IF(--(Source!$B$1:$B$250=Sheet2!$N37)*--(Source!$E$1:$E$250=Sheet2!$O$2),ROW(Source!$B$1:$B$250),FALSE),Q$2)),"")</f>
        <v/>
      </c>
      <c r="R37" t="str">
        <f t="array" ref="R37">IFERROR(INDEX(Source!$A$1:$A$250,SMALL(IF(--(Source!$B$1:$B$250=Sheet2!$N37)*--(Source!$E$1:$E$250=Sheet2!$O$2),ROW(Source!$B$1:$B$250),FALSE),R$2)),"")</f>
        <v/>
      </c>
      <c r="S37" t="str">
        <f t="array" ref="S37">IFERROR(INDEX(Source!$A$1:$A$250,SMALL(IF(--(Source!$B$1:$B$250=Sheet2!$N37)*--(Source!$E$1:$E$250=Sheet2!$O$2),ROW(Source!$B$1:$B$250),FALSE),S$2)),"")</f>
        <v/>
      </c>
      <c r="T37" t="str">
        <f t="array" ref="T37">IFERROR(INDEX(Source!$A$1:$A$250,SMALL(IF(--(Source!$B$1:$B$250=Sheet2!$N37)*--(Source!$E$1:$E$250=Sheet2!$O$2),ROW(Source!$B$1:$B$250),FALSE),T$2)),"")</f>
        <v/>
      </c>
      <c r="U37" t="str">
        <f t="array" ref="U37">IFERROR(INDEX(Source!$A$1:$A$250,SMALL(IF(--(Source!$B$1:$B$250=Sheet2!$N37)*--(Source!$E$1:$E$250=Sheet2!$O$2),ROW(Source!$B$1:$B$250),FALSE),U$2)),"")</f>
        <v/>
      </c>
      <c r="V37" t="str">
        <f t="array" ref="V37">IFERROR(INDEX(Source!$A$1:$A$250,SMALL(IF(--(Source!$B$1:$B$250=Sheet2!$N37)*--(Source!$E$1:$E$250=Sheet2!$O$2),ROW(Source!$B$1:$B$250),FALSE),V$2)),"")</f>
        <v/>
      </c>
      <c r="W37" s="5">
        <f t="shared" si="1"/>
        <v>0</v>
      </c>
    </row>
    <row r="38" spans="4:23">
      <c r="D38" s="5">
        <f t="shared" si="0"/>
        <v>0</v>
      </c>
      <c r="E38" t="str">
        <f t="array" ref="E38">IFERROR(INDEX(Source!$A$1:$A$250,SMALL(IF(--(Source!$B$1:$B$250=Sheet2!$N38)*--(Source!$E$1:$E$250=Sheet2!$M$2),ROW(Source!$B$1:$B$250),FALSE),E$2)),"")</f>
        <v/>
      </c>
      <c r="F38" t="str">
        <f t="array" ref="F38">IFERROR(INDEX(Source!$A$1:$A$250,SMALL(IF(--(Source!$B$1:$B$250=Sheet2!$N38)*--(Source!$E$1:$E$250=Sheet2!$M$2),ROW(Source!$B$1:$B$250),FALSE),F$2)),"")</f>
        <v/>
      </c>
      <c r="G38" t="str">
        <f t="array" ref="G38">IFERROR(INDEX(Source!$A$1:$A$250,SMALL(IF(--(Source!$B$1:$B$250=Sheet2!$N38)*--(Source!$E$1:$E$250=Sheet2!$M$2),ROW(Source!$B$1:$B$250),FALSE),G$2)),"")</f>
        <v/>
      </c>
      <c r="H38" t="str">
        <f t="array" ref="H38">IFERROR(INDEX(Source!$A$1:$A$250,SMALL(IF(--(Source!$B$1:$B$250=Sheet2!$N38)*--(Source!$E$1:$E$250=Sheet2!$M$2),ROW(Source!$B$1:$B$250),FALSE),H$2)),"")</f>
        <v>28374 HK Equity</v>
      </c>
      <c r="I38" t="str">
        <f t="array" ref="I38">IFERROR(INDEX(Source!$A$1:$A$250,SMALL(IF(--(Source!$B$1:$B$250=Sheet2!$N38)*--(Source!$E$1:$E$250=Sheet2!$M$2),ROW(Source!$B$1:$B$250),FALSE),I$2)),"")</f>
        <v>28120 HK Equity</v>
      </c>
      <c r="J38" t="str">
        <f t="array" ref="J38">IFERROR(INDEX(Source!$A$1:$A$250,SMALL(IF(--(Source!$B$1:$B$250=Sheet2!$N38)*--(Source!$E$1:$E$250=Sheet2!$M$2),ROW(Source!$B$1:$B$250),FALSE),J$2)),"")</f>
        <v>26585 HK Equity</v>
      </c>
      <c r="K38" t="str">
        <f t="array" ref="K38">IFERROR(INDEX(Source!$A$1:$A$250,SMALL(IF(--(Source!$B$1:$B$250=Sheet2!$N38)*--(Source!$E$1:$E$250=Sheet2!$M$2),ROW(Source!$B$1:$B$250),FALSE),K$2)),"")</f>
        <v>26390 HK Equity</v>
      </c>
      <c r="L38" t="str">
        <f t="array" ref="L38">IFERROR(INDEX(Source!$A$1:$A$250,SMALL(IF(--(Source!$B$1:$B$250=Sheet2!$N38)*--(Source!$E$1:$E$250=Sheet2!$M$2),ROW(Source!$B$1:$B$250),FALSE),L$2)),"")</f>
        <v>26092 HK Equity</v>
      </c>
      <c r="M38">
        <f>COUNTIFS(Source!$E:$E,"Call",Source!$B:$B,Sheet2!$N38)</f>
        <v>5</v>
      </c>
      <c r="N38">
        <v>19800</v>
      </c>
      <c r="O38">
        <f>COUNTIFS(Source!$E:$E,"Put",Source!$B:$B,Sheet2!$N38)</f>
        <v>4</v>
      </c>
      <c r="P38" t="str">
        <f t="array" ref="P38">IFERROR(INDEX(Source!$A$1:$A$250,SMALL(IF(--(Source!$B$1:$B$250=Sheet2!$N38)*--(Source!$E$1:$E$250=Sheet2!$O$2),ROW(Source!$B$1:$B$250),FALSE),P$2)),"")</f>
        <v>27394 HK Equity</v>
      </c>
      <c r="Q38" t="str">
        <f t="array" ref="Q38">IFERROR(INDEX(Source!$A$1:$A$250,SMALL(IF(--(Source!$B$1:$B$250=Sheet2!$N38)*--(Source!$E$1:$E$250=Sheet2!$O$2),ROW(Source!$B$1:$B$250),FALSE),Q$2)),"")</f>
        <v>25272 HK Equity</v>
      </c>
      <c r="R38" t="str">
        <f t="array" ref="R38">IFERROR(INDEX(Source!$A$1:$A$250,SMALL(IF(--(Source!$B$1:$B$250=Sheet2!$N38)*--(Source!$E$1:$E$250=Sheet2!$O$2),ROW(Source!$B$1:$B$250),FALSE),R$2)),"")</f>
        <v>27284 HK Equity</v>
      </c>
      <c r="S38" t="str">
        <f t="array" ref="S38">IFERROR(INDEX(Source!$A$1:$A$250,SMALL(IF(--(Source!$B$1:$B$250=Sheet2!$N38)*--(Source!$E$1:$E$250=Sheet2!$O$2),ROW(Source!$B$1:$B$250),FALSE),S$2)),"")</f>
        <v>27129 HK Equity</v>
      </c>
      <c r="T38" t="str">
        <f t="array" ref="T38">IFERROR(INDEX(Source!$A$1:$A$250,SMALL(IF(--(Source!$B$1:$B$250=Sheet2!$N38)*--(Source!$E$1:$E$250=Sheet2!$O$2),ROW(Source!$B$1:$B$250),FALSE),T$2)),"")</f>
        <v/>
      </c>
      <c r="U38" t="str">
        <f t="array" ref="U38">IFERROR(INDEX(Source!$A$1:$A$250,SMALL(IF(--(Source!$B$1:$B$250=Sheet2!$N38)*--(Source!$E$1:$E$250=Sheet2!$O$2),ROW(Source!$B$1:$B$250),FALSE),U$2)),"")</f>
        <v/>
      </c>
      <c r="V38" t="str">
        <f t="array" ref="V38">IFERROR(INDEX(Source!$A$1:$A$250,SMALL(IF(--(Source!$B$1:$B$250=Sheet2!$N38)*--(Source!$E$1:$E$250=Sheet2!$O$2),ROW(Source!$B$1:$B$250),FALSE),V$2)),"")</f>
        <v/>
      </c>
      <c r="W38" s="5">
        <f t="shared" si="1"/>
        <v>0</v>
      </c>
    </row>
    <row r="39" spans="4:23">
      <c r="D39" s="5">
        <f t="shared" si="0"/>
        <v>0</v>
      </c>
      <c r="E39" t="str">
        <f t="array" ref="E39">IFERROR(INDEX(Source!$A$1:$A$250,SMALL(IF(--(Source!$B$1:$B$250=Sheet2!$N39)*--(Source!$E$1:$E$250=Sheet2!$M$2),ROW(Source!$B$1:$B$250),FALSE),E$2)),"")</f>
        <v/>
      </c>
      <c r="F39" t="str">
        <f t="array" ref="F39">IFERROR(INDEX(Source!$A$1:$A$250,SMALL(IF(--(Source!$B$1:$B$250=Sheet2!$N39)*--(Source!$E$1:$E$250=Sheet2!$M$2),ROW(Source!$B$1:$B$250),FALSE),F$2)),"")</f>
        <v/>
      </c>
      <c r="G39" t="str">
        <f t="array" ref="G39">IFERROR(INDEX(Source!$A$1:$A$250,SMALL(IF(--(Source!$B$1:$B$250=Sheet2!$N39)*--(Source!$E$1:$E$250=Sheet2!$M$2),ROW(Source!$B$1:$B$250),FALSE),G$2)),"")</f>
        <v/>
      </c>
      <c r="H39" t="str">
        <f t="array" ref="H39">IFERROR(INDEX(Source!$A$1:$A$250,SMALL(IF(--(Source!$B$1:$B$250=Sheet2!$N39)*--(Source!$E$1:$E$250=Sheet2!$M$2),ROW(Source!$B$1:$B$250),FALSE),H$2)),"")</f>
        <v/>
      </c>
      <c r="I39" t="str">
        <f t="array" ref="I39">IFERROR(INDEX(Source!$A$1:$A$250,SMALL(IF(--(Source!$B$1:$B$250=Sheet2!$N39)*--(Source!$E$1:$E$250=Sheet2!$M$2),ROW(Source!$B$1:$B$250),FALSE),I$2)),"")</f>
        <v/>
      </c>
      <c r="J39" t="str">
        <f t="array" ref="J39">IFERROR(INDEX(Source!$A$1:$A$250,SMALL(IF(--(Source!$B$1:$B$250=Sheet2!$N39)*--(Source!$E$1:$E$250=Sheet2!$M$2),ROW(Source!$B$1:$B$250),FALSE),J$2)),"")</f>
        <v/>
      </c>
      <c r="K39" t="str">
        <f t="array" ref="K39">IFERROR(INDEX(Source!$A$1:$A$250,SMALL(IF(--(Source!$B$1:$B$250=Sheet2!$N39)*--(Source!$E$1:$E$250=Sheet2!$M$2),ROW(Source!$B$1:$B$250),FALSE),K$2)),"")</f>
        <v/>
      </c>
      <c r="L39" t="str">
        <f t="array" ref="L39">IFERROR(INDEX(Source!$A$1:$A$250,SMALL(IF(--(Source!$B$1:$B$250=Sheet2!$N39)*--(Source!$E$1:$E$250=Sheet2!$M$2),ROW(Source!$B$1:$B$250),FALSE),L$2)),"")</f>
        <v>28080 HK Equity</v>
      </c>
      <c r="M39">
        <f>COUNTIFS(Source!$E:$E,"Call",Source!$B:$B,Sheet2!$N39)</f>
        <v>1</v>
      </c>
      <c r="N39">
        <v>19888</v>
      </c>
      <c r="O39">
        <f>COUNTIFS(Source!$E:$E,"Put",Source!$B:$B,Sheet2!$N39)</f>
        <v>0</v>
      </c>
      <c r="P39" t="str">
        <f t="array" ref="P39">IFERROR(INDEX(Source!$A$1:$A$250,SMALL(IF(--(Source!$B$1:$B$250=Sheet2!$N39)*--(Source!$E$1:$E$250=Sheet2!$O$2),ROW(Source!$B$1:$B$250),FALSE),P$2)),"")</f>
        <v/>
      </c>
      <c r="Q39" t="str">
        <f t="array" ref="Q39">IFERROR(INDEX(Source!$A$1:$A$250,SMALL(IF(--(Source!$B$1:$B$250=Sheet2!$N39)*--(Source!$E$1:$E$250=Sheet2!$O$2),ROW(Source!$B$1:$B$250),FALSE),Q$2)),"")</f>
        <v/>
      </c>
      <c r="R39" t="str">
        <f t="array" ref="R39">IFERROR(INDEX(Source!$A$1:$A$250,SMALL(IF(--(Source!$B$1:$B$250=Sheet2!$N39)*--(Source!$E$1:$E$250=Sheet2!$O$2),ROW(Source!$B$1:$B$250),FALSE),R$2)),"")</f>
        <v/>
      </c>
      <c r="S39" t="str">
        <f t="array" ref="S39">IFERROR(INDEX(Source!$A$1:$A$250,SMALL(IF(--(Source!$B$1:$B$250=Sheet2!$N39)*--(Source!$E$1:$E$250=Sheet2!$O$2),ROW(Source!$B$1:$B$250),FALSE),S$2)),"")</f>
        <v/>
      </c>
      <c r="T39" t="str">
        <f t="array" ref="T39">IFERROR(INDEX(Source!$A$1:$A$250,SMALL(IF(--(Source!$B$1:$B$250=Sheet2!$N39)*--(Source!$E$1:$E$250=Sheet2!$O$2),ROW(Source!$B$1:$B$250),FALSE),T$2)),"")</f>
        <v/>
      </c>
      <c r="U39" t="str">
        <f t="array" ref="U39">IFERROR(INDEX(Source!$A$1:$A$250,SMALL(IF(--(Source!$B$1:$B$250=Sheet2!$N39)*--(Source!$E$1:$E$250=Sheet2!$O$2),ROW(Source!$B$1:$B$250),FALSE),U$2)),"")</f>
        <v/>
      </c>
      <c r="V39" t="str">
        <f t="array" ref="V39">IFERROR(INDEX(Source!$A$1:$A$250,SMALL(IF(--(Source!$B$1:$B$250=Sheet2!$N39)*--(Source!$E$1:$E$250=Sheet2!$O$2),ROW(Source!$B$1:$B$250),FALSE),V$2)),"")</f>
        <v/>
      </c>
      <c r="W39" s="5">
        <f t="shared" si="1"/>
        <v>0</v>
      </c>
    </row>
    <row r="40" spans="4:23">
      <c r="D40" s="5">
        <f t="shared" si="0"/>
        <v>0</v>
      </c>
      <c r="E40" t="str">
        <f t="array" ref="E40">IFERROR(INDEX(Source!$A$1:$A$250,SMALL(IF(--(Source!$B$1:$B$250=Sheet2!$N40)*--(Source!$E$1:$E$250=Sheet2!$M$2),ROW(Source!$B$1:$B$250),FALSE),E$2)),"")</f>
        <v/>
      </c>
      <c r="F40" t="str">
        <f t="array" ref="F40">IFERROR(INDEX(Source!$A$1:$A$250,SMALL(IF(--(Source!$B$1:$B$250=Sheet2!$N40)*--(Source!$E$1:$E$250=Sheet2!$M$2),ROW(Source!$B$1:$B$250),FALSE),F$2)),"")</f>
        <v/>
      </c>
      <c r="G40" t="str">
        <f t="array" ref="G40">IFERROR(INDEX(Source!$A$1:$A$250,SMALL(IF(--(Source!$B$1:$B$250=Sheet2!$N40)*--(Source!$E$1:$E$250=Sheet2!$M$2),ROW(Source!$B$1:$B$250),FALSE),G$2)),"")</f>
        <v/>
      </c>
      <c r="H40" t="str">
        <f t="array" ref="H40">IFERROR(INDEX(Source!$A$1:$A$250,SMALL(IF(--(Source!$B$1:$B$250=Sheet2!$N40)*--(Source!$E$1:$E$250=Sheet2!$M$2),ROW(Source!$B$1:$B$250),FALSE),H$2)),"")</f>
        <v>25618 HK Equity</v>
      </c>
      <c r="I40" t="str">
        <f t="array" ref="I40">IFERROR(INDEX(Source!$A$1:$A$250,SMALL(IF(--(Source!$B$1:$B$250=Sheet2!$N40)*--(Source!$E$1:$E$250=Sheet2!$M$2),ROW(Source!$B$1:$B$250),FALSE),I$2)),"")</f>
        <v>11153 HK Equity</v>
      </c>
      <c r="J40" t="str">
        <f t="array" ref="J40">IFERROR(INDEX(Source!$A$1:$A$250,SMALL(IF(--(Source!$B$1:$B$250=Sheet2!$N40)*--(Source!$E$1:$E$250=Sheet2!$M$2),ROW(Source!$B$1:$B$250),FALSE),J$2)),"")</f>
        <v>25473 HK Equity</v>
      </c>
      <c r="K40" t="str">
        <f t="array" ref="K40">IFERROR(INDEX(Source!$A$1:$A$250,SMALL(IF(--(Source!$B$1:$B$250=Sheet2!$N40)*--(Source!$E$1:$E$250=Sheet2!$M$2),ROW(Source!$B$1:$B$250),FALSE),K$2)),"")</f>
        <v>24315 HK Equity</v>
      </c>
      <c r="L40" t="str">
        <f t="array" ref="L40">IFERROR(INDEX(Source!$A$1:$A$250,SMALL(IF(--(Source!$B$1:$B$250=Sheet2!$N40)*--(Source!$E$1:$E$250=Sheet2!$M$2),ROW(Source!$B$1:$B$250),FALSE),L$2)),"")</f>
        <v>25599 HK Equity</v>
      </c>
      <c r="M40">
        <f>COUNTIFS(Source!$E:$E,"Call",Source!$B:$B,Sheet2!$N40)</f>
        <v>5</v>
      </c>
      <c r="N40">
        <v>20000</v>
      </c>
      <c r="O40">
        <f>COUNTIFS(Source!$E:$E,"Put",Source!$B:$B,Sheet2!$N40)</f>
        <v>7</v>
      </c>
      <c r="P40" t="str">
        <f t="array" ref="P40">IFERROR(INDEX(Source!$A$1:$A$250,SMALL(IF(--(Source!$B$1:$B$250=Sheet2!$N40)*--(Source!$E$1:$E$250=Sheet2!$O$2),ROW(Source!$B$1:$B$250),FALSE),P$2)),"")</f>
        <v>24684 HK Equity</v>
      </c>
      <c r="Q40" t="str">
        <f t="array" ref="Q40">IFERROR(INDEX(Source!$A$1:$A$250,SMALL(IF(--(Source!$B$1:$B$250=Sheet2!$N40)*--(Source!$E$1:$E$250=Sheet2!$O$2),ROW(Source!$B$1:$B$250),FALSE),Q$2)),"")</f>
        <v>27360 HK Equity</v>
      </c>
      <c r="R40" t="str">
        <f t="array" ref="R40">IFERROR(INDEX(Source!$A$1:$A$250,SMALL(IF(--(Source!$B$1:$B$250=Sheet2!$N40)*--(Source!$E$1:$E$250=Sheet2!$O$2),ROW(Source!$B$1:$B$250),FALSE),R$2)),"")</f>
        <v>22822 HK Equity</v>
      </c>
      <c r="S40" t="str">
        <f t="array" ref="S40">IFERROR(INDEX(Source!$A$1:$A$250,SMALL(IF(--(Source!$B$1:$B$250=Sheet2!$N40)*--(Source!$E$1:$E$250=Sheet2!$O$2),ROW(Source!$B$1:$B$250),FALSE),S$2)),"")</f>
        <v>26191 HK Equity</v>
      </c>
      <c r="T40" t="str">
        <f t="array" ref="T40">IFERROR(INDEX(Source!$A$1:$A$250,SMALL(IF(--(Source!$B$1:$B$250=Sheet2!$N40)*--(Source!$E$1:$E$250=Sheet2!$O$2),ROW(Source!$B$1:$B$250),FALSE),T$2)),"")</f>
        <v>27356 HK Equity</v>
      </c>
      <c r="U40" t="str">
        <f t="array" ref="U40">IFERROR(INDEX(Source!$A$1:$A$250,SMALL(IF(--(Source!$B$1:$B$250=Sheet2!$N40)*--(Source!$E$1:$E$250=Sheet2!$O$2),ROW(Source!$B$1:$B$250),FALSE),U$2)),"")</f>
        <v>26014 HK Equity</v>
      </c>
      <c r="V40" t="str">
        <f t="array" ref="V40">IFERROR(INDEX(Source!$A$1:$A$250,SMALL(IF(--(Source!$B$1:$B$250=Sheet2!$N40)*--(Source!$E$1:$E$250=Sheet2!$O$2),ROW(Source!$B$1:$B$250),FALSE),V$2)),"")</f>
        <v>11321 HK Equity</v>
      </c>
      <c r="W40" s="5">
        <f t="shared" si="1"/>
        <v>0</v>
      </c>
    </row>
    <row r="41" spans="4:23">
      <c r="D41" s="5">
        <f t="shared" si="0"/>
        <v>0</v>
      </c>
      <c r="E41" t="str">
        <f t="array" ref="E41">IFERROR(INDEX(Source!$A$1:$A$250,SMALL(IF(--(Source!$B$1:$B$250=Sheet2!$N41)*--(Source!$E$1:$E$250=Sheet2!$M$2),ROW(Source!$B$1:$B$250),FALSE),E$2)),"")</f>
        <v/>
      </c>
      <c r="F41" t="str">
        <f t="array" ref="F41">IFERROR(INDEX(Source!$A$1:$A$250,SMALL(IF(--(Source!$B$1:$B$250=Sheet2!$N41)*--(Source!$E$1:$E$250=Sheet2!$M$2),ROW(Source!$B$1:$B$250),FALSE),F$2)),"")</f>
        <v/>
      </c>
      <c r="G41" t="str">
        <f t="array" ref="G41">IFERROR(INDEX(Source!$A$1:$A$250,SMALL(IF(--(Source!$B$1:$B$250=Sheet2!$N41)*--(Source!$E$1:$E$250=Sheet2!$M$2),ROW(Source!$B$1:$B$250),FALSE),G$2)),"")</f>
        <v/>
      </c>
      <c r="H41" t="str">
        <f t="array" ref="H41">IFERROR(INDEX(Source!$A$1:$A$250,SMALL(IF(--(Source!$B$1:$B$250=Sheet2!$N41)*--(Source!$E$1:$E$250=Sheet2!$M$2),ROW(Source!$B$1:$B$250),FALSE),H$2)),"")</f>
        <v/>
      </c>
      <c r="I41" t="str">
        <f t="array" ref="I41">IFERROR(INDEX(Source!$A$1:$A$250,SMALL(IF(--(Source!$B$1:$B$250=Sheet2!$N41)*--(Source!$E$1:$E$250=Sheet2!$M$2),ROW(Source!$B$1:$B$250),FALSE),I$2)),"")</f>
        <v/>
      </c>
      <c r="J41" t="str">
        <f t="array" ref="J41">IFERROR(INDEX(Source!$A$1:$A$250,SMALL(IF(--(Source!$B$1:$B$250=Sheet2!$N41)*--(Source!$E$1:$E$250=Sheet2!$M$2),ROW(Source!$B$1:$B$250),FALSE),J$2)),"")</f>
        <v/>
      </c>
      <c r="K41" t="str">
        <f t="array" ref="K41">IFERROR(INDEX(Source!$A$1:$A$250,SMALL(IF(--(Source!$B$1:$B$250=Sheet2!$N41)*--(Source!$E$1:$E$250=Sheet2!$M$2),ROW(Source!$B$1:$B$250),FALSE),K$2)),"")</f>
        <v/>
      </c>
      <c r="L41" t="str">
        <f t="array" ref="L41">IFERROR(INDEX(Source!$A$1:$A$250,SMALL(IF(--(Source!$B$1:$B$250=Sheet2!$N41)*--(Source!$E$1:$E$250=Sheet2!$M$2),ROW(Source!$B$1:$B$250),FALSE),L$2)),"")</f>
        <v>25722 HK Equity</v>
      </c>
      <c r="M41">
        <f>COUNTIFS(Source!$E:$E,"Call",Source!$B:$B,Sheet2!$N41)</f>
        <v>1</v>
      </c>
      <c r="N41">
        <v>20088</v>
      </c>
      <c r="O41">
        <f>COUNTIFS(Source!$E:$E,"Put",Source!$B:$B,Sheet2!$N41)</f>
        <v>1</v>
      </c>
      <c r="P41" t="str">
        <f t="array" ref="P41">IFERROR(INDEX(Source!$A$1:$A$250,SMALL(IF(--(Source!$B$1:$B$250=Sheet2!$N41)*--(Source!$E$1:$E$250=Sheet2!$O$2),ROW(Source!$B$1:$B$250),FALSE),P$2)),"")</f>
        <v>22990 HK Equity</v>
      </c>
      <c r="Q41" t="str">
        <f t="array" ref="Q41">IFERROR(INDEX(Source!$A$1:$A$250,SMALL(IF(--(Source!$B$1:$B$250=Sheet2!$N41)*--(Source!$E$1:$E$250=Sheet2!$O$2),ROW(Source!$B$1:$B$250),FALSE),Q$2)),"")</f>
        <v/>
      </c>
      <c r="R41" t="str">
        <f t="array" ref="R41">IFERROR(INDEX(Source!$A$1:$A$250,SMALL(IF(--(Source!$B$1:$B$250=Sheet2!$N41)*--(Source!$E$1:$E$250=Sheet2!$O$2),ROW(Source!$B$1:$B$250),FALSE),R$2)),"")</f>
        <v/>
      </c>
      <c r="S41" t="str">
        <f t="array" ref="S41">IFERROR(INDEX(Source!$A$1:$A$250,SMALL(IF(--(Source!$B$1:$B$250=Sheet2!$N41)*--(Source!$E$1:$E$250=Sheet2!$O$2),ROW(Source!$B$1:$B$250),FALSE),S$2)),"")</f>
        <v/>
      </c>
      <c r="T41" t="str">
        <f t="array" ref="T41">IFERROR(INDEX(Source!$A$1:$A$250,SMALL(IF(--(Source!$B$1:$B$250=Sheet2!$N41)*--(Source!$E$1:$E$250=Sheet2!$O$2),ROW(Source!$B$1:$B$250),FALSE),T$2)),"")</f>
        <v/>
      </c>
      <c r="U41" t="str">
        <f t="array" ref="U41">IFERROR(INDEX(Source!$A$1:$A$250,SMALL(IF(--(Source!$B$1:$B$250=Sheet2!$N41)*--(Source!$E$1:$E$250=Sheet2!$O$2),ROW(Source!$B$1:$B$250),FALSE),U$2)),"")</f>
        <v/>
      </c>
      <c r="V41" t="str">
        <f t="array" ref="V41">IFERROR(INDEX(Source!$A$1:$A$250,SMALL(IF(--(Source!$B$1:$B$250=Sheet2!$N41)*--(Source!$E$1:$E$250=Sheet2!$O$2),ROW(Source!$B$1:$B$250),FALSE),V$2)),"")</f>
        <v/>
      </c>
      <c r="W41" s="5">
        <f t="shared" si="1"/>
        <v>0</v>
      </c>
    </row>
    <row r="42" spans="4:23">
      <c r="D42" s="5">
        <f t="shared" si="0"/>
        <v>0</v>
      </c>
      <c r="E42" t="str">
        <f t="array" ref="E42">IFERROR(INDEX(Source!$A$1:$A$250,SMALL(IF(--(Source!$B$1:$B$250=Sheet2!$N42)*--(Source!$E$1:$E$250=Sheet2!$M$2),ROW(Source!$B$1:$B$250),FALSE),E$2)),"")</f>
        <v/>
      </c>
      <c r="F42" t="str">
        <f t="array" ref="F42">IFERROR(INDEX(Source!$A$1:$A$250,SMALL(IF(--(Source!$B$1:$B$250=Sheet2!$N42)*--(Source!$E$1:$E$250=Sheet2!$M$2),ROW(Source!$B$1:$B$250),FALSE),F$2)),"")</f>
        <v/>
      </c>
      <c r="G42" t="str">
        <f t="array" ref="G42">IFERROR(INDEX(Source!$A$1:$A$250,SMALL(IF(--(Source!$B$1:$B$250=Sheet2!$N42)*--(Source!$E$1:$E$250=Sheet2!$M$2),ROW(Source!$B$1:$B$250),FALSE),G$2)),"")</f>
        <v/>
      </c>
      <c r="H42" t="str">
        <f t="array" ref="H42">IFERROR(INDEX(Source!$A$1:$A$250,SMALL(IF(--(Source!$B$1:$B$250=Sheet2!$N42)*--(Source!$E$1:$E$250=Sheet2!$M$2),ROW(Source!$B$1:$B$250),FALSE),H$2)),"")</f>
        <v/>
      </c>
      <c r="I42" t="str">
        <f t="array" ref="I42">IFERROR(INDEX(Source!$A$1:$A$250,SMALL(IF(--(Source!$B$1:$B$250=Sheet2!$N42)*--(Source!$E$1:$E$250=Sheet2!$M$2),ROW(Source!$B$1:$B$250),FALSE),I$2)),"")</f>
        <v>26589 HK Equity</v>
      </c>
      <c r="J42" t="str">
        <f t="array" ref="J42">IFERROR(INDEX(Source!$A$1:$A$250,SMALL(IF(--(Source!$B$1:$B$250=Sheet2!$N42)*--(Source!$E$1:$E$250=Sheet2!$M$2),ROW(Source!$B$1:$B$250),FALSE),J$2)),"")</f>
        <v>25803 HK Equity</v>
      </c>
      <c r="K42" t="str">
        <f t="array" ref="K42">IFERROR(INDEX(Source!$A$1:$A$250,SMALL(IF(--(Source!$B$1:$B$250=Sheet2!$N42)*--(Source!$E$1:$E$250=Sheet2!$M$2),ROW(Source!$B$1:$B$250),FALSE),K$2)),"")</f>
        <v>25787 HK Equity</v>
      </c>
      <c r="L42" t="str">
        <f t="array" ref="L42">IFERROR(INDEX(Source!$A$1:$A$250,SMALL(IF(--(Source!$B$1:$B$250=Sheet2!$N42)*--(Source!$E$1:$E$250=Sheet2!$M$2),ROW(Source!$B$1:$B$250),FALSE),L$2)),"")</f>
        <v>27286 HK Equity</v>
      </c>
      <c r="M42">
        <f>COUNTIFS(Source!$E:$E,"Call",Source!$B:$B,Sheet2!$N42)</f>
        <v>4</v>
      </c>
      <c r="N42">
        <v>20200</v>
      </c>
      <c r="O42">
        <f>COUNTIFS(Source!$E:$E,"Put",Source!$B:$B,Sheet2!$N42)</f>
        <v>0</v>
      </c>
      <c r="P42" t="str">
        <f t="array" ref="P42">IFERROR(INDEX(Source!$A$1:$A$250,SMALL(IF(--(Source!$B$1:$B$250=Sheet2!$N42)*--(Source!$E$1:$E$250=Sheet2!$O$2),ROW(Source!$B$1:$B$250),FALSE),P$2)),"")</f>
        <v/>
      </c>
      <c r="Q42" t="str">
        <f t="array" ref="Q42">IFERROR(INDEX(Source!$A$1:$A$250,SMALL(IF(--(Source!$B$1:$B$250=Sheet2!$N42)*--(Source!$E$1:$E$250=Sheet2!$O$2),ROW(Source!$B$1:$B$250),FALSE),Q$2)),"")</f>
        <v/>
      </c>
      <c r="R42" t="str">
        <f t="array" ref="R42">IFERROR(INDEX(Source!$A$1:$A$250,SMALL(IF(--(Source!$B$1:$B$250=Sheet2!$N42)*--(Source!$E$1:$E$250=Sheet2!$O$2),ROW(Source!$B$1:$B$250),FALSE),R$2)),"")</f>
        <v/>
      </c>
      <c r="S42" t="str">
        <f t="array" ref="S42">IFERROR(INDEX(Source!$A$1:$A$250,SMALL(IF(--(Source!$B$1:$B$250=Sheet2!$N42)*--(Source!$E$1:$E$250=Sheet2!$O$2),ROW(Source!$B$1:$B$250),FALSE),S$2)),"")</f>
        <v/>
      </c>
      <c r="T42" t="str">
        <f t="array" ref="T42">IFERROR(INDEX(Source!$A$1:$A$250,SMALL(IF(--(Source!$B$1:$B$250=Sheet2!$N42)*--(Source!$E$1:$E$250=Sheet2!$O$2),ROW(Source!$B$1:$B$250),FALSE),T$2)),"")</f>
        <v/>
      </c>
      <c r="U42" t="str">
        <f t="array" ref="U42">IFERROR(INDEX(Source!$A$1:$A$250,SMALL(IF(--(Source!$B$1:$B$250=Sheet2!$N42)*--(Source!$E$1:$E$250=Sheet2!$O$2),ROW(Source!$B$1:$B$250),FALSE),U$2)),"")</f>
        <v/>
      </c>
      <c r="V42" t="str">
        <f t="array" ref="V42">IFERROR(INDEX(Source!$A$1:$A$250,SMALL(IF(--(Source!$B$1:$B$250=Sheet2!$N42)*--(Source!$E$1:$E$250=Sheet2!$O$2),ROW(Source!$B$1:$B$250),FALSE),V$2)),"")</f>
        <v/>
      </c>
      <c r="W42" s="5">
        <f t="shared" si="1"/>
        <v>0</v>
      </c>
    </row>
    <row r="43" spans="4:23">
      <c r="D43" s="5">
        <f t="shared" si="0"/>
        <v>0</v>
      </c>
      <c r="E43" t="str">
        <f t="array" ref="E43">IFERROR(INDEX(Source!$A$1:$A$250,SMALL(IF(--(Source!$B$1:$B$250=Sheet2!$N43)*--(Source!$E$1:$E$250=Sheet2!$M$2),ROW(Source!$B$1:$B$250),FALSE),E$2)),"")</f>
        <v/>
      </c>
      <c r="F43" t="str">
        <f t="array" ref="F43">IFERROR(INDEX(Source!$A$1:$A$250,SMALL(IF(--(Source!$B$1:$B$250=Sheet2!$N43)*--(Source!$E$1:$E$250=Sheet2!$M$2),ROW(Source!$B$1:$B$250),FALSE),F$2)),"")</f>
        <v/>
      </c>
      <c r="G43" t="str">
        <f t="array" ref="G43">IFERROR(INDEX(Source!$A$1:$A$250,SMALL(IF(--(Source!$B$1:$B$250=Sheet2!$N43)*--(Source!$E$1:$E$250=Sheet2!$M$2),ROW(Source!$B$1:$B$250),FALSE),G$2)),"")</f>
        <v/>
      </c>
      <c r="H43" t="str">
        <f t="array" ref="H43">IFERROR(INDEX(Source!$A$1:$A$250,SMALL(IF(--(Source!$B$1:$B$250=Sheet2!$N43)*--(Source!$E$1:$E$250=Sheet2!$M$2),ROW(Source!$B$1:$B$250),FALSE),H$2)),"")</f>
        <v/>
      </c>
      <c r="I43" t="str">
        <f t="array" ref="I43">IFERROR(INDEX(Source!$A$1:$A$250,SMALL(IF(--(Source!$B$1:$B$250=Sheet2!$N43)*--(Source!$E$1:$E$250=Sheet2!$M$2),ROW(Source!$B$1:$B$250),FALSE),I$2)),"")</f>
        <v/>
      </c>
      <c r="J43" t="str">
        <f t="array" ref="J43">IFERROR(INDEX(Source!$A$1:$A$250,SMALL(IF(--(Source!$B$1:$B$250=Sheet2!$N43)*--(Source!$E$1:$E$250=Sheet2!$M$2),ROW(Source!$B$1:$B$250),FALSE),J$2)),"")</f>
        <v/>
      </c>
      <c r="K43" t="str">
        <f t="array" ref="K43">IFERROR(INDEX(Source!$A$1:$A$250,SMALL(IF(--(Source!$B$1:$B$250=Sheet2!$N43)*--(Source!$E$1:$E$250=Sheet2!$M$2),ROW(Source!$B$1:$B$250),FALSE),K$2)),"")</f>
        <v/>
      </c>
      <c r="L43" t="str">
        <f t="array" ref="L43">IFERROR(INDEX(Source!$A$1:$A$250,SMALL(IF(--(Source!$B$1:$B$250=Sheet2!$N43)*--(Source!$E$1:$E$250=Sheet2!$M$2),ROW(Source!$B$1:$B$250),FALSE),L$2)),"")</f>
        <v>26559 HK Equity</v>
      </c>
      <c r="M43">
        <f>COUNTIFS(Source!$E:$E,"Call",Source!$B:$B,Sheet2!$N43)</f>
        <v>1</v>
      </c>
      <c r="N43">
        <v>20298</v>
      </c>
      <c r="O43">
        <f>COUNTIFS(Source!$E:$E,"Put",Source!$B:$B,Sheet2!$N43)</f>
        <v>1</v>
      </c>
      <c r="P43" t="str">
        <f t="array" ref="P43">IFERROR(INDEX(Source!$A$1:$A$250,SMALL(IF(--(Source!$B$1:$B$250=Sheet2!$N43)*--(Source!$E$1:$E$250=Sheet2!$O$2),ROW(Source!$B$1:$B$250),FALSE),P$2)),"")</f>
        <v>27562 HK Equity</v>
      </c>
      <c r="Q43" t="str">
        <f t="array" ref="Q43">IFERROR(INDEX(Source!$A$1:$A$250,SMALL(IF(--(Source!$B$1:$B$250=Sheet2!$N43)*--(Source!$E$1:$E$250=Sheet2!$O$2),ROW(Source!$B$1:$B$250),FALSE),Q$2)),"")</f>
        <v/>
      </c>
      <c r="R43" t="str">
        <f t="array" ref="R43">IFERROR(INDEX(Source!$A$1:$A$250,SMALL(IF(--(Source!$B$1:$B$250=Sheet2!$N43)*--(Source!$E$1:$E$250=Sheet2!$O$2),ROW(Source!$B$1:$B$250),FALSE),R$2)),"")</f>
        <v/>
      </c>
      <c r="S43" t="str">
        <f t="array" ref="S43">IFERROR(INDEX(Source!$A$1:$A$250,SMALL(IF(--(Source!$B$1:$B$250=Sheet2!$N43)*--(Source!$E$1:$E$250=Sheet2!$O$2),ROW(Source!$B$1:$B$250),FALSE),S$2)),"")</f>
        <v/>
      </c>
      <c r="T43" t="str">
        <f t="array" ref="T43">IFERROR(INDEX(Source!$A$1:$A$250,SMALL(IF(--(Source!$B$1:$B$250=Sheet2!$N43)*--(Source!$E$1:$E$250=Sheet2!$O$2),ROW(Source!$B$1:$B$250),FALSE),T$2)),"")</f>
        <v/>
      </c>
      <c r="U43" t="str">
        <f t="array" ref="U43">IFERROR(INDEX(Source!$A$1:$A$250,SMALL(IF(--(Source!$B$1:$B$250=Sheet2!$N43)*--(Source!$E$1:$E$250=Sheet2!$O$2),ROW(Source!$B$1:$B$250),FALSE),U$2)),"")</f>
        <v/>
      </c>
      <c r="V43" t="str">
        <f t="array" ref="V43">IFERROR(INDEX(Source!$A$1:$A$250,SMALL(IF(--(Source!$B$1:$B$250=Sheet2!$N43)*--(Source!$E$1:$E$250=Sheet2!$O$2),ROW(Source!$B$1:$B$250),FALSE),V$2)),"")</f>
        <v/>
      </c>
      <c r="W43" s="5">
        <f t="shared" si="1"/>
        <v>0</v>
      </c>
    </row>
    <row r="44" spans="4:23">
      <c r="D44" s="5">
        <f t="shared" si="0"/>
        <v>0</v>
      </c>
      <c r="E44" t="str">
        <f t="array" ref="E44">IFERROR(INDEX(Source!$A$1:$A$250,SMALL(IF(--(Source!$B$1:$B$250=Sheet2!$N44)*--(Source!$E$1:$E$250=Sheet2!$M$2),ROW(Source!$B$1:$B$250),FALSE),E$2)),"")</f>
        <v/>
      </c>
      <c r="F44" t="str">
        <f t="array" ref="F44">IFERROR(INDEX(Source!$A$1:$A$250,SMALL(IF(--(Source!$B$1:$B$250=Sheet2!$N44)*--(Source!$E$1:$E$250=Sheet2!$M$2),ROW(Source!$B$1:$B$250),FALSE),F$2)),"")</f>
        <v/>
      </c>
      <c r="G44" t="str">
        <f t="array" ref="G44">IFERROR(INDEX(Source!$A$1:$A$250,SMALL(IF(--(Source!$B$1:$B$250=Sheet2!$N44)*--(Source!$E$1:$E$250=Sheet2!$M$2),ROW(Source!$B$1:$B$250),FALSE),G$2)),"")</f>
        <v/>
      </c>
      <c r="H44" t="str">
        <f t="array" ref="H44">IFERROR(INDEX(Source!$A$1:$A$250,SMALL(IF(--(Source!$B$1:$B$250=Sheet2!$N44)*--(Source!$E$1:$E$250=Sheet2!$M$2),ROW(Source!$B$1:$B$250),FALSE),H$2)),"")</f>
        <v/>
      </c>
      <c r="I44" t="str">
        <f t="array" ref="I44">IFERROR(INDEX(Source!$A$1:$A$250,SMALL(IF(--(Source!$B$1:$B$250=Sheet2!$N44)*--(Source!$E$1:$E$250=Sheet2!$M$2),ROW(Source!$B$1:$B$250),FALSE),I$2)),"")</f>
        <v/>
      </c>
      <c r="J44" t="str">
        <f t="array" ref="J44">IFERROR(INDEX(Source!$A$1:$A$250,SMALL(IF(--(Source!$B$1:$B$250=Sheet2!$N44)*--(Source!$E$1:$E$250=Sheet2!$M$2),ROW(Source!$B$1:$B$250),FALSE),J$2)),"")</f>
        <v/>
      </c>
      <c r="K44" t="str">
        <f t="array" ref="K44">IFERROR(INDEX(Source!$A$1:$A$250,SMALL(IF(--(Source!$B$1:$B$250=Sheet2!$N44)*--(Source!$E$1:$E$250=Sheet2!$M$2),ROW(Source!$B$1:$B$250),FALSE),K$2)),"")</f>
        <v/>
      </c>
      <c r="L44" t="str">
        <f t="array" ref="L44">IFERROR(INDEX(Source!$A$1:$A$250,SMALL(IF(--(Source!$B$1:$B$250=Sheet2!$N44)*--(Source!$E$1:$E$250=Sheet2!$M$2),ROW(Source!$B$1:$B$250),FALSE),L$2)),"")</f>
        <v/>
      </c>
      <c r="M44">
        <f>COUNTIFS(Source!$E:$E,"Call",Source!$B:$B,Sheet2!$N44)</f>
        <v>0</v>
      </c>
      <c r="N44">
        <v>20300</v>
      </c>
      <c r="O44">
        <f>COUNTIFS(Source!$E:$E,"Put",Source!$B:$B,Sheet2!$N44)</f>
        <v>1</v>
      </c>
      <c r="P44" t="str">
        <f t="array" ref="P44">IFERROR(INDEX(Source!$A$1:$A$250,SMALL(IF(--(Source!$B$1:$B$250=Sheet2!$N44)*--(Source!$E$1:$E$250=Sheet2!$O$2),ROW(Source!$B$1:$B$250),FALSE),P$2)),"")</f>
        <v>27891 HK Equity</v>
      </c>
      <c r="Q44" t="str">
        <f t="array" ref="Q44">IFERROR(INDEX(Source!$A$1:$A$250,SMALL(IF(--(Source!$B$1:$B$250=Sheet2!$N44)*--(Source!$E$1:$E$250=Sheet2!$O$2),ROW(Source!$B$1:$B$250),FALSE),Q$2)),"")</f>
        <v/>
      </c>
      <c r="R44" t="str">
        <f t="array" ref="R44">IFERROR(INDEX(Source!$A$1:$A$250,SMALL(IF(--(Source!$B$1:$B$250=Sheet2!$N44)*--(Source!$E$1:$E$250=Sheet2!$O$2),ROW(Source!$B$1:$B$250),FALSE),R$2)),"")</f>
        <v/>
      </c>
      <c r="S44" t="str">
        <f t="array" ref="S44">IFERROR(INDEX(Source!$A$1:$A$250,SMALL(IF(--(Source!$B$1:$B$250=Sheet2!$N44)*--(Source!$E$1:$E$250=Sheet2!$O$2),ROW(Source!$B$1:$B$250),FALSE),S$2)),"")</f>
        <v/>
      </c>
      <c r="T44" t="str">
        <f t="array" ref="T44">IFERROR(INDEX(Source!$A$1:$A$250,SMALL(IF(--(Source!$B$1:$B$250=Sheet2!$N44)*--(Source!$E$1:$E$250=Sheet2!$O$2),ROW(Source!$B$1:$B$250),FALSE),T$2)),"")</f>
        <v/>
      </c>
      <c r="U44" t="str">
        <f t="array" ref="U44">IFERROR(INDEX(Source!$A$1:$A$250,SMALL(IF(--(Source!$B$1:$B$250=Sheet2!$N44)*--(Source!$E$1:$E$250=Sheet2!$O$2),ROW(Source!$B$1:$B$250),FALSE),U$2)),"")</f>
        <v/>
      </c>
      <c r="V44" t="str">
        <f t="array" ref="V44">IFERROR(INDEX(Source!$A$1:$A$250,SMALL(IF(--(Source!$B$1:$B$250=Sheet2!$N44)*--(Source!$E$1:$E$250=Sheet2!$O$2),ROW(Source!$B$1:$B$250),FALSE),V$2)),"")</f>
        <v/>
      </c>
      <c r="W44" s="5">
        <f t="shared" si="1"/>
        <v>0</v>
      </c>
    </row>
    <row r="45" spans="4:23">
      <c r="D45" s="5">
        <f t="shared" si="0"/>
        <v>0</v>
      </c>
      <c r="E45" t="str">
        <f t="array" ref="E45">IFERROR(INDEX(Source!$A$1:$A$250,SMALL(IF(--(Source!$B$1:$B$250=Sheet2!$N45)*--(Source!$E$1:$E$250=Sheet2!$M$2),ROW(Source!$B$1:$B$250),FALSE),E$2)),"")</f>
        <v/>
      </c>
      <c r="F45" t="str">
        <f t="array" ref="F45">IFERROR(INDEX(Source!$A$1:$A$250,SMALL(IF(--(Source!$B$1:$B$250=Sheet2!$N45)*--(Source!$E$1:$E$250=Sheet2!$M$2),ROW(Source!$B$1:$B$250),FALSE),F$2)),"")</f>
        <v/>
      </c>
      <c r="G45" t="str">
        <f t="array" ref="G45">IFERROR(INDEX(Source!$A$1:$A$250,SMALL(IF(--(Source!$B$1:$B$250=Sheet2!$N45)*--(Source!$E$1:$E$250=Sheet2!$M$2),ROW(Source!$B$1:$B$250),FALSE),G$2)),"")</f>
        <v/>
      </c>
      <c r="H45" t="str">
        <f t="array" ref="H45">IFERROR(INDEX(Source!$A$1:$A$250,SMALL(IF(--(Source!$B$1:$B$250=Sheet2!$N45)*--(Source!$E$1:$E$250=Sheet2!$M$2),ROW(Source!$B$1:$B$250),FALSE),H$2)),"")</f>
        <v/>
      </c>
      <c r="I45" t="str">
        <f t="array" ref="I45">IFERROR(INDEX(Source!$A$1:$A$250,SMALL(IF(--(Source!$B$1:$B$250=Sheet2!$N45)*--(Source!$E$1:$E$250=Sheet2!$M$2),ROW(Source!$B$1:$B$250),FALSE),I$2)),"")</f>
        <v/>
      </c>
      <c r="J45" t="str">
        <f t="array" ref="J45">IFERROR(INDEX(Source!$A$1:$A$250,SMALL(IF(--(Source!$B$1:$B$250=Sheet2!$N45)*--(Source!$E$1:$E$250=Sheet2!$M$2),ROW(Source!$B$1:$B$250),FALSE),J$2)),"")</f>
        <v/>
      </c>
      <c r="K45" t="str">
        <f t="array" ref="K45">IFERROR(INDEX(Source!$A$1:$A$250,SMALL(IF(--(Source!$B$1:$B$250=Sheet2!$N45)*--(Source!$E$1:$E$250=Sheet2!$M$2),ROW(Source!$B$1:$B$250),FALSE),K$2)),"")</f>
        <v>25712 HK Equity</v>
      </c>
      <c r="L45" t="str">
        <f t="array" ref="L45">IFERROR(INDEX(Source!$A$1:$A$250,SMALL(IF(--(Source!$B$1:$B$250=Sheet2!$N45)*--(Source!$E$1:$E$250=Sheet2!$M$2),ROW(Source!$B$1:$B$250),FALSE),L$2)),"")</f>
        <v>25326 HK Equity</v>
      </c>
      <c r="M45">
        <f>COUNTIFS(Source!$E:$E,"Call",Source!$B:$B,Sheet2!$N45)</f>
        <v>2</v>
      </c>
      <c r="N45">
        <v>20400</v>
      </c>
      <c r="O45">
        <f>COUNTIFS(Source!$E:$E,"Put",Source!$B:$B,Sheet2!$N45)</f>
        <v>3</v>
      </c>
      <c r="P45" t="str">
        <f t="array" ref="P45">IFERROR(INDEX(Source!$A$1:$A$250,SMALL(IF(--(Source!$B$1:$B$250=Sheet2!$N45)*--(Source!$E$1:$E$250=Sheet2!$O$2),ROW(Source!$B$1:$B$250),FALSE),P$2)),"")</f>
        <v>24830 HK Equity</v>
      </c>
      <c r="Q45" t="str">
        <f t="array" ref="Q45">IFERROR(INDEX(Source!$A$1:$A$250,SMALL(IF(--(Source!$B$1:$B$250=Sheet2!$N45)*--(Source!$E$1:$E$250=Sheet2!$O$2),ROW(Source!$B$1:$B$250),FALSE),Q$2)),"")</f>
        <v>24452 HK Equity</v>
      </c>
      <c r="R45" t="str">
        <f t="array" ref="R45">IFERROR(INDEX(Source!$A$1:$A$250,SMALL(IF(--(Source!$B$1:$B$250=Sheet2!$N45)*--(Source!$E$1:$E$250=Sheet2!$O$2),ROW(Source!$B$1:$B$250),FALSE),R$2)),"")</f>
        <v>27153 HK Equity</v>
      </c>
      <c r="S45" t="str">
        <f t="array" ref="S45">IFERROR(INDEX(Source!$A$1:$A$250,SMALL(IF(--(Source!$B$1:$B$250=Sheet2!$N45)*--(Source!$E$1:$E$250=Sheet2!$O$2),ROW(Source!$B$1:$B$250),FALSE),S$2)),"")</f>
        <v/>
      </c>
      <c r="T45" t="str">
        <f t="array" ref="T45">IFERROR(INDEX(Source!$A$1:$A$250,SMALL(IF(--(Source!$B$1:$B$250=Sheet2!$N45)*--(Source!$E$1:$E$250=Sheet2!$O$2),ROW(Source!$B$1:$B$250),FALSE),T$2)),"")</f>
        <v/>
      </c>
      <c r="U45" t="str">
        <f t="array" ref="U45">IFERROR(INDEX(Source!$A$1:$A$250,SMALL(IF(--(Source!$B$1:$B$250=Sheet2!$N45)*--(Source!$E$1:$E$250=Sheet2!$O$2),ROW(Source!$B$1:$B$250),FALSE),U$2)),"")</f>
        <v/>
      </c>
      <c r="V45" t="str">
        <f t="array" ref="V45">IFERROR(INDEX(Source!$A$1:$A$250,SMALL(IF(--(Source!$B$1:$B$250=Sheet2!$N45)*--(Source!$E$1:$E$250=Sheet2!$O$2),ROW(Source!$B$1:$B$250),FALSE),V$2)),"")</f>
        <v/>
      </c>
      <c r="W45" s="5">
        <f t="shared" si="1"/>
        <v>0</v>
      </c>
    </row>
    <row r="46" spans="4:23">
      <c r="D46" s="5">
        <f t="shared" si="0"/>
        <v>0</v>
      </c>
      <c r="E46" t="str">
        <f t="array" ref="E46">IFERROR(INDEX(Source!$A$1:$A$250,SMALL(IF(--(Source!$B$1:$B$250=Sheet2!$N46)*--(Source!$E$1:$E$250=Sheet2!$M$2),ROW(Source!$B$1:$B$250),FALSE),E$2)),"")</f>
        <v/>
      </c>
      <c r="F46" t="str">
        <f t="array" ref="F46">IFERROR(INDEX(Source!$A$1:$A$250,SMALL(IF(--(Source!$B$1:$B$250=Sheet2!$N46)*--(Source!$E$1:$E$250=Sheet2!$M$2),ROW(Source!$B$1:$B$250),FALSE),F$2)),"")</f>
        <v/>
      </c>
      <c r="G46" t="str">
        <f t="array" ref="G46">IFERROR(INDEX(Source!$A$1:$A$250,SMALL(IF(--(Source!$B$1:$B$250=Sheet2!$N46)*--(Source!$E$1:$E$250=Sheet2!$M$2),ROW(Source!$B$1:$B$250),FALSE),G$2)),"")</f>
        <v/>
      </c>
      <c r="H46" t="str">
        <f t="array" ref="H46">IFERROR(INDEX(Source!$A$1:$A$250,SMALL(IF(--(Source!$B$1:$B$250=Sheet2!$N46)*--(Source!$E$1:$E$250=Sheet2!$M$2),ROW(Source!$B$1:$B$250),FALSE),H$2)),"")</f>
        <v/>
      </c>
      <c r="I46" t="str">
        <f t="array" ref="I46">IFERROR(INDEX(Source!$A$1:$A$250,SMALL(IF(--(Source!$B$1:$B$250=Sheet2!$N46)*--(Source!$E$1:$E$250=Sheet2!$M$2),ROW(Source!$B$1:$B$250),FALSE),I$2)),"")</f>
        <v/>
      </c>
      <c r="J46" t="str">
        <f t="array" ref="J46">IFERROR(INDEX(Source!$A$1:$A$250,SMALL(IF(--(Source!$B$1:$B$250=Sheet2!$N46)*--(Source!$E$1:$E$250=Sheet2!$M$2),ROW(Source!$B$1:$B$250),FALSE),J$2)),"")</f>
        <v/>
      </c>
      <c r="K46" t="str">
        <f t="array" ref="K46">IFERROR(INDEX(Source!$A$1:$A$250,SMALL(IF(--(Source!$B$1:$B$250=Sheet2!$N46)*--(Source!$E$1:$E$250=Sheet2!$M$2),ROW(Source!$B$1:$B$250),FALSE),K$2)),"")</f>
        <v/>
      </c>
      <c r="L46" t="str">
        <f t="array" ref="L46">IFERROR(INDEX(Source!$A$1:$A$250,SMALL(IF(--(Source!$B$1:$B$250=Sheet2!$N46)*--(Source!$E$1:$E$250=Sheet2!$M$2),ROW(Source!$B$1:$B$250),FALSE),L$2)),"")</f>
        <v/>
      </c>
      <c r="M46">
        <f>COUNTIFS(Source!$E:$E,"Call",Source!$B:$B,Sheet2!$N46)</f>
        <v>0</v>
      </c>
      <c r="N46">
        <v>20488</v>
      </c>
      <c r="O46">
        <f>COUNTIFS(Source!$E:$E,"Put",Source!$B:$B,Sheet2!$N46)</f>
        <v>1</v>
      </c>
      <c r="P46" t="str">
        <f t="array" ref="P46">IFERROR(INDEX(Source!$A$1:$A$250,SMALL(IF(--(Source!$B$1:$B$250=Sheet2!$N46)*--(Source!$E$1:$E$250=Sheet2!$O$2),ROW(Source!$B$1:$B$250),FALSE),P$2)),"")</f>
        <v>25357 HK Equity</v>
      </c>
      <c r="Q46" t="str">
        <f t="array" ref="Q46">IFERROR(INDEX(Source!$A$1:$A$250,SMALL(IF(--(Source!$B$1:$B$250=Sheet2!$N46)*--(Source!$E$1:$E$250=Sheet2!$O$2),ROW(Source!$B$1:$B$250),FALSE),Q$2)),"")</f>
        <v/>
      </c>
      <c r="R46" t="str">
        <f t="array" ref="R46">IFERROR(INDEX(Source!$A$1:$A$250,SMALL(IF(--(Source!$B$1:$B$250=Sheet2!$N46)*--(Source!$E$1:$E$250=Sheet2!$O$2),ROW(Source!$B$1:$B$250),FALSE),R$2)),"")</f>
        <v/>
      </c>
      <c r="S46" t="str">
        <f t="array" ref="S46">IFERROR(INDEX(Source!$A$1:$A$250,SMALL(IF(--(Source!$B$1:$B$250=Sheet2!$N46)*--(Source!$E$1:$E$250=Sheet2!$O$2),ROW(Source!$B$1:$B$250),FALSE),S$2)),"")</f>
        <v/>
      </c>
      <c r="T46" t="str">
        <f t="array" ref="T46">IFERROR(INDEX(Source!$A$1:$A$250,SMALL(IF(--(Source!$B$1:$B$250=Sheet2!$N46)*--(Source!$E$1:$E$250=Sheet2!$O$2),ROW(Source!$B$1:$B$250),FALSE),T$2)),"")</f>
        <v/>
      </c>
      <c r="U46" t="str">
        <f t="array" ref="U46">IFERROR(INDEX(Source!$A$1:$A$250,SMALL(IF(--(Source!$B$1:$B$250=Sheet2!$N46)*--(Source!$E$1:$E$250=Sheet2!$O$2),ROW(Source!$B$1:$B$250),FALSE),U$2)),"")</f>
        <v/>
      </c>
      <c r="V46" t="str">
        <f t="array" ref="V46">IFERROR(INDEX(Source!$A$1:$A$250,SMALL(IF(--(Source!$B$1:$B$250=Sheet2!$N46)*--(Source!$E$1:$E$250=Sheet2!$O$2),ROW(Source!$B$1:$B$250),FALSE),V$2)),"")</f>
        <v/>
      </c>
      <c r="W46" s="5">
        <f t="shared" si="1"/>
        <v>0</v>
      </c>
    </row>
    <row r="47" spans="4:23">
      <c r="D47" s="5">
        <f t="shared" si="0"/>
        <v>0</v>
      </c>
      <c r="E47" t="str">
        <f t="array" ref="E47">IFERROR(INDEX(Source!$A$1:$A$250,SMALL(IF(--(Source!$B$1:$B$250=Sheet2!$N47)*--(Source!$E$1:$E$250=Sheet2!$M$2),ROW(Source!$B$1:$B$250),FALSE),E$2)),"")</f>
        <v/>
      </c>
      <c r="F47" t="str">
        <f t="array" ref="F47">IFERROR(INDEX(Source!$A$1:$A$250,SMALL(IF(--(Source!$B$1:$B$250=Sheet2!$N47)*--(Source!$E$1:$E$250=Sheet2!$M$2),ROW(Source!$B$1:$B$250),FALSE),F$2)),"")</f>
        <v/>
      </c>
      <c r="G47" t="str">
        <f t="array" ref="G47">IFERROR(INDEX(Source!$A$1:$A$250,SMALL(IF(--(Source!$B$1:$B$250=Sheet2!$N47)*--(Source!$E$1:$E$250=Sheet2!$M$2),ROW(Source!$B$1:$B$250),FALSE),G$2)),"")</f>
        <v/>
      </c>
      <c r="H47" t="str">
        <f t="array" ref="H47">IFERROR(INDEX(Source!$A$1:$A$250,SMALL(IF(--(Source!$B$1:$B$250=Sheet2!$N47)*--(Source!$E$1:$E$250=Sheet2!$M$2),ROW(Source!$B$1:$B$250),FALSE),H$2)),"")</f>
        <v/>
      </c>
      <c r="I47" t="str">
        <f t="array" ref="I47">IFERROR(INDEX(Source!$A$1:$A$250,SMALL(IF(--(Source!$B$1:$B$250=Sheet2!$N47)*--(Source!$E$1:$E$250=Sheet2!$M$2),ROW(Source!$B$1:$B$250),FALSE),I$2)),"")</f>
        <v/>
      </c>
      <c r="J47" t="str">
        <f t="array" ref="J47">IFERROR(INDEX(Source!$A$1:$A$250,SMALL(IF(--(Source!$B$1:$B$250=Sheet2!$N47)*--(Source!$E$1:$E$250=Sheet2!$M$2),ROW(Source!$B$1:$B$250),FALSE),J$2)),"")</f>
        <v/>
      </c>
      <c r="K47" t="str">
        <f t="array" ref="K47">IFERROR(INDEX(Source!$A$1:$A$250,SMALL(IF(--(Source!$B$1:$B$250=Sheet2!$N47)*--(Source!$E$1:$E$250=Sheet2!$M$2),ROW(Source!$B$1:$B$250),FALSE),K$2)),"")</f>
        <v/>
      </c>
      <c r="L47" t="str">
        <f t="array" ref="L47">IFERROR(INDEX(Source!$A$1:$A$250,SMALL(IF(--(Source!$B$1:$B$250=Sheet2!$N47)*--(Source!$E$1:$E$250=Sheet2!$M$2),ROW(Source!$B$1:$B$250),FALSE),L$2)),"")</f>
        <v/>
      </c>
      <c r="M47">
        <f>COUNTIFS(Source!$E:$E,"Call",Source!$B:$B,Sheet2!$N47)</f>
        <v>0</v>
      </c>
      <c r="N47">
        <v>20500</v>
      </c>
      <c r="O47">
        <f>COUNTIFS(Source!$E:$E,"Put",Source!$B:$B,Sheet2!$N47)</f>
        <v>1</v>
      </c>
      <c r="P47" t="str">
        <f t="array" ref="P47">IFERROR(INDEX(Source!$A$1:$A$250,SMALL(IF(--(Source!$B$1:$B$250=Sheet2!$N47)*--(Source!$E$1:$E$250=Sheet2!$O$2),ROW(Source!$B$1:$B$250),FALSE),P$2)),"")</f>
        <v>23885 HK Equity</v>
      </c>
      <c r="Q47" t="str">
        <f t="array" ref="Q47">IFERROR(INDEX(Source!$A$1:$A$250,SMALL(IF(--(Source!$B$1:$B$250=Sheet2!$N47)*--(Source!$E$1:$E$250=Sheet2!$O$2),ROW(Source!$B$1:$B$250),FALSE),Q$2)),"")</f>
        <v/>
      </c>
      <c r="R47" t="str">
        <f t="array" ref="R47">IFERROR(INDEX(Source!$A$1:$A$250,SMALL(IF(--(Source!$B$1:$B$250=Sheet2!$N47)*--(Source!$E$1:$E$250=Sheet2!$O$2),ROW(Source!$B$1:$B$250),FALSE),R$2)),"")</f>
        <v/>
      </c>
      <c r="S47" t="str">
        <f t="array" ref="S47">IFERROR(INDEX(Source!$A$1:$A$250,SMALL(IF(--(Source!$B$1:$B$250=Sheet2!$N47)*--(Source!$E$1:$E$250=Sheet2!$O$2),ROW(Source!$B$1:$B$250),FALSE),S$2)),"")</f>
        <v/>
      </c>
      <c r="T47" t="str">
        <f t="array" ref="T47">IFERROR(INDEX(Source!$A$1:$A$250,SMALL(IF(--(Source!$B$1:$B$250=Sheet2!$N47)*--(Source!$E$1:$E$250=Sheet2!$O$2),ROW(Source!$B$1:$B$250),FALSE),T$2)),"")</f>
        <v/>
      </c>
      <c r="U47" t="str">
        <f t="array" ref="U47">IFERROR(INDEX(Source!$A$1:$A$250,SMALL(IF(--(Source!$B$1:$B$250=Sheet2!$N47)*--(Source!$E$1:$E$250=Sheet2!$O$2),ROW(Source!$B$1:$B$250),FALSE),U$2)),"")</f>
        <v/>
      </c>
      <c r="V47" t="str">
        <f t="array" ref="V47">IFERROR(INDEX(Source!$A$1:$A$250,SMALL(IF(--(Source!$B$1:$B$250=Sheet2!$N47)*--(Source!$E$1:$E$250=Sheet2!$O$2),ROW(Source!$B$1:$B$250),FALSE),V$2)),"")</f>
        <v/>
      </c>
      <c r="W47" s="5">
        <f t="shared" si="1"/>
        <v>0</v>
      </c>
    </row>
    <row r="48" spans="4:23">
      <c r="D48" s="5">
        <f t="shared" si="0"/>
        <v>0</v>
      </c>
      <c r="E48" t="str">
        <f t="array" ref="E48">IFERROR(INDEX(Source!$A$1:$A$250,SMALL(IF(--(Source!$B$1:$B$250=Sheet2!$N48)*--(Source!$E$1:$E$250=Sheet2!$M$2),ROW(Source!$B$1:$B$250),FALSE),E$2)),"")</f>
        <v/>
      </c>
      <c r="F48" t="str">
        <f t="array" ref="F48">IFERROR(INDEX(Source!$A$1:$A$250,SMALL(IF(--(Source!$B$1:$B$250=Sheet2!$N48)*--(Source!$E$1:$E$250=Sheet2!$M$2),ROW(Source!$B$1:$B$250),FALSE),F$2)),"")</f>
        <v/>
      </c>
      <c r="G48" t="str">
        <f t="array" ref="G48">IFERROR(INDEX(Source!$A$1:$A$250,SMALL(IF(--(Source!$B$1:$B$250=Sheet2!$N48)*--(Source!$E$1:$E$250=Sheet2!$M$2),ROW(Source!$B$1:$B$250),FALSE),G$2)),"")</f>
        <v/>
      </c>
      <c r="H48" t="str">
        <f t="array" ref="H48">IFERROR(INDEX(Source!$A$1:$A$250,SMALL(IF(--(Source!$B$1:$B$250=Sheet2!$N48)*--(Source!$E$1:$E$250=Sheet2!$M$2),ROW(Source!$B$1:$B$250),FALSE),H$2)),"")</f>
        <v/>
      </c>
      <c r="I48" t="str">
        <f t="array" ref="I48">IFERROR(INDEX(Source!$A$1:$A$250,SMALL(IF(--(Source!$B$1:$B$250=Sheet2!$N48)*--(Source!$E$1:$E$250=Sheet2!$M$2),ROW(Source!$B$1:$B$250),FALSE),I$2)),"")</f>
        <v>25949 HK Equity</v>
      </c>
      <c r="J48" t="str">
        <f t="array" ref="J48">IFERROR(INDEX(Source!$A$1:$A$250,SMALL(IF(--(Source!$B$1:$B$250=Sheet2!$N48)*--(Source!$E$1:$E$250=Sheet2!$M$2),ROW(Source!$B$1:$B$250),FALSE),J$2)),"")</f>
        <v>27914 HK Equity</v>
      </c>
      <c r="K48" t="str">
        <f t="array" ref="K48">IFERROR(INDEX(Source!$A$1:$A$250,SMALL(IF(--(Source!$B$1:$B$250=Sheet2!$N48)*--(Source!$E$1:$E$250=Sheet2!$M$2),ROW(Source!$B$1:$B$250),FALSE),K$2)),"")</f>
        <v>25600 HK Equity</v>
      </c>
      <c r="L48" t="str">
        <f t="array" ref="L48">IFERROR(INDEX(Source!$A$1:$A$250,SMALL(IF(--(Source!$B$1:$B$250=Sheet2!$N48)*--(Source!$E$1:$E$250=Sheet2!$M$2),ROW(Source!$B$1:$B$250),FALSE),L$2)),"")</f>
        <v>26747 HK Equity</v>
      </c>
      <c r="M48">
        <f>COUNTIFS(Source!$E:$E,"Call",Source!$B:$B,Sheet2!$N48)</f>
        <v>4</v>
      </c>
      <c r="N48">
        <v>20600</v>
      </c>
      <c r="O48">
        <f>COUNTIFS(Source!$E:$E,"Put",Source!$B:$B,Sheet2!$N48)</f>
        <v>2</v>
      </c>
      <c r="P48" t="str">
        <f t="array" ref="P48">IFERROR(INDEX(Source!$A$1:$A$250,SMALL(IF(--(Source!$B$1:$B$250=Sheet2!$N48)*--(Source!$E$1:$E$250=Sheet2!$O$2),ROW(Source!$B$1:$B$250),FALSE),P$2)),"")</f>
        <v>23538 HK Equity</v>
      </c>
      <c r="Q48" t="str">
        <f t="array" ref="Q48">IFERROR(INDEX(Source!$A$1:$A$250,SMALL(IF(--(Source!$B$1:$B$250=Sheet2!$N48)*--(Source!$E$1:$E$250=Sheet2!$O$2),ROW(Source!$B$1:$B$250),FALSE),Q$2)),"")</f>
        <v>27592 HK Equity</v>
      </c>
      <c r="R48" t="str">
        <f t="array" ref="R48">IFERROR(INDEX(Source!$A$1:$A$250,SMALL(IF(--(Source!$B$1:$B$250=Sheet2!$N48)*--(Source!$E$1:$E$250=Sheet2!$O$2),ROW(Source!$B$1:$B$250),FALSE),R$2)),"")</f>
        <v/>
      </c>
      <c r="S48" t="str">
        <f t="array" ref="S48">IFERROR(INDEX(Source!$A$1:$A$250,SMALL(IF(--(Source!$B$1:$B$250=Sheet2!$N48)*--(Source!$E$1:$E$250=Sheet2!$O$2),ROW(Source!$B$1:$B$250),FALSE),S$2)),"")</f>
        <v/>
      </c>
      <c r="T48" t="str">
        <f t="array" ref="T48">IFERROR(INDEX(Source!$A$1:$A$250,SMALL(IF(--(Source!$B$1:$B$250=Sheet2!$N48)*--(Source!$E$1:$E$250=Sheet2!$O$2),ROW(Source!$B$1:$B$250),FALSE),T$2)),"")</f>
        <v/>
      </c>
      <c r="U48" t="str">
        <f t="array" ref="U48">IFERROR(INDEX(Source!$A$1:$A$250,SMALL(IF(--(Source!$B$1:$B$250=Sheet2!$N48)*--(Source!$E$1:$E$250=Sheet2!$O$2),ROW(Source!$B$1:$B$250),FALSE),U$2)),"")</f>
        <v/>
      </c>
      <c r="V48" t="str">
        <f t="array" ref="V48">IFERROR(INDEX(Source!$A$1:$A$250,SMALL(IF(--(Source!$B$1:$B$250=Sheet2!$N48)*--(Source!$E$1:$E$250=Sheet2!$O$2),ROW(Source!$B$1:$B$250),FALSE),V$2)),"")</f>
        <v/>
      </c>
      <c r="W48" s="5">
        <f t="shared" si="1"/>
        <v>0</v>
      </c>
    </row>
    <row r="49" spans="4:23">
      <c r="D49" s="5">
        <f t="shared" si="0"/>
        <v>0</v>
      </c>
      <c r="E49" t="str">
        <f t="array" ref="E49">IFERROR(INDEX(Source!$A$1:$A$250,SMALL(IF(--(Source!$B$1:$B$250=Sheet2!$N49)*--(Source!$E$1:$E$250=Sheet2!$M$2),ROW(Source!$B$1:$B$250),FALSE),E$2)),"")</f>
        <v/>
      </c>
      <c r="F49" t="str">
        <f t="array" ref="F49">IFERROR(INDEX(Source!$A$1:$A$250,SMALL(IF(--(Source!$B$1:$B$250=Sheet2!$N49)*--(Source!$E$1:$E$250=Sheet2!$M$2),ROW(Source!$B$1:$B$250),FALSE),F$2)),"")</f>
        <v/>
      </c>
      <c r="G49" t="str">
        <f t="array" ref="G49">IFERROR(INDEX(Source!$A$1:$A$250,SMALL(IF(--(Source!$B$1:$B$250=Sheet2!$N49)*--(Source!$E$1:$E$250=Sheet2!$M$2),ROW(Source!$B$1:$B$250),FALSE),G$2)),"")</f>
        <v/>
      </c>
      <c r="H49" t="str">
        <f t="array" ref="H49">IFERROR(INDEX(Source!$A$1:$A$250,SMALL(IF(--(Source!$B$1:$B$250=Sheet2!$N49)*--(Source!$E$1:$E$250=Sheet2!$M$2),ROW(Source!$B$1:$B$250),FALSE),H$2)),"")</f>
        <v/>
      </c>
      <c r="I49" t="str">
        <f t="array" ref="I49">IFERROR(INDEX(Source!$A$1:$A$250,SMALL(IF(--(Source!$B$1:$B$250=Sheet2!$N49)*--(Source!$E$1:$E$250=Sheet2!$M$2),ROW(Source!$B$1:$B$250),FALSE),I$2)),"")</f>
        <v/>
      </c>
      <c r="J49" t="str">
        <f t="array" ref="J49">IFERROR(INDEX(Source!$A$1:$A$250,SMALL(IF(--(Source!$B$1:$B$250=Sheet2!$N49)*--(Source!$E$1:$E$250=Sheet2!$M$2),ROW(Source!$B$1:$B$250),FALSE),J$2)),"")</f>
        <v/>
      </c>
      <c r="K49" t="str">
        <f t="array" ref="K49">IFERROR(INDEX(Source!$A$1:$A$250,SMALL(IF(--(Source!$B$1:$B$250=Sheet2!$N49)*--(Source!$E$1:$E$250=Sheet2!$M$2),ROW(Source!$B$1:$B$250),FALSE),K$2)),"")</f>
        <v/>
      </c>
      <c r="L49" t="str">
        <f t="array" ref="L49">IFERROR(INDEX(Source!$A$1:$A$250,SMALL(IF(--(Source!$B$1:$B$250=Sheet2!$N49)*--(Source!$E$1:$E$250=Sheet2!$M$2),ROW(Source!$B$1:$B$250),FALSE),L$2)),"")</f>
        <v>25959 HK Equity</v>
      </c>
      <c r="M49">
        <f>COUNTIFS(Source!$E:$E,"Call",Source!$B:$B,Sheet2!$N49)</f>
        <v>1</v>
      </c>
      <c r="N49">
        <v>20698</v>
      </c>
      <c r="O49">
        <f>COUNTIFS(Source!$E:$E,"Put",Source!$B:$B,Sheet2!$N49)</f>
        <v>0</v>
      </c>
      <c r="P49" t="str">
        <f t="array" ref="P49">IFERROR(INDEX(Source!$A$1:$A$250,SMALL(IF(--(Source!$B$1:$B$250=Sheet2!$N49)*--(Source!$E$1:$E$250=Sheet2!$O$2),ROW(Source!$B$1:$B$250),FALSE),P$2)),"")</f>
        <v/>
      </c>
      <c r="Q49" t="str">
        <f t="array" ref="Q49">IFERROR(INDEX(Source!$A$1:$A$250,SMALL(IF(--(Source!$B$1:$B$250=Sheet2!$N49)*--(Source!$E$1:$E$250=Sheet2!$O$2),ROW(Source!$B$1:$B$250),FALSE),Q$2)),"")</f>
        <v/>
      </c>
      <c r="R49" t="str">
        <f t="array" ref="R49">IFERROR(INDEX(Source!$A$1:$A$250,SMALL(IF(--(Source!$B$1:$B$250=Sheet2!$N49)*--(Source!$E$1:$E$250=Sheet2!$O$2),ROW(Source!$B$1:$B$250),FALSE),R$2)),"")</f>
        <v/>
      </c>
      <c r="S49" t="str">
        <f t="array" ref="S49">IFERROR(INDEX(Source!$A$1:$A$250,SMALL(IF(--(Source!$B$1:$B$250=Sheet2!$N49)*--(Source!$E$1:$E$250=Sheet2!$O$2),ROW(Source!$B$1:$B$250),FALSE),S$2)),"")</f>
        <v/>
      </c>
      <c r="T49" t="str">
        <f t="array" ref="T49">IFERROR(INDEX(Source!$A$1:$A$250,SMALL(IF(--(Source!$B$1:$B$250=Sheet2!$N49)*--(Source!$E$1:$E$250=Sheet2!$O$2),ROW(Source!$B$1:$B$250),FALSE),T$2)),"")</f>
        <v/>
      </c>
      <c r="U49" t="str">
        <f t="array" ref="U49">IFERROR(INDEX(Source!$A$1:$A$250,SMALL(IF(--(Source!$B$1:$B$250=Sheet2!$N49)*--(Source!$E$1:$E$250=Sheet2!$O$2),ROW(Source!$B$1:$B$250),FALSE),U$2)),"")</f>
        <v/>
      </c>
      <c r="V49" t="str">
        <f t="array" ref="V49">IFERROR(INDEX(Source!$A$1:$A$250,SMALL(IF(--(Source!$B$1:$B$250=Sheet2!$N49)*--(Source!$E$1:$E$250=Sheet2!$O$2),ROW(Source!$B$1:$B$250),FALSE),V$2)),"")</f>
        <v/>
      </c>
      <c r="W49" s="5">
        <f t="shared" si="1"/>
        <v>0</v>
      </c>
    </row>
    <row r="50" spans="4:23">
      <c r="D50" s="5">
        <f t="shared" si="0"/>
        <v>0</v>
      </c>
      <c r="E50" t="str">
        <f t="array" ref="E50">IFERROR(INDEX(Source!$A$1:$A$250,SMALL(IF(--(Source!$B$1:$B$250=Sheet2!$N50)*--(Source!$E$1:$E$250=Sheet2!$M$2),ROW(Source!$B$1:$B$250),FALSE),E$2)),"")</f>
        <v/>
      </c>
      <c r="F50" t="str">
        <f t="array" ref="F50">IFERROR(INDEX(Source!$A$1:$A$250,SMALL(IF(--(Source!$B$1:$B$250=Sheet2!$N50)*--(Source!$E$1:$E$250=Sheet2!$M$2),ROW(Source!$B$1:$B$250),FALSE),F$2)),"")</f>
        <v/>
      </c>
      <c r="G50" t="str">
        <f t="array" ref="G50">IFERROR(INDEX(Source!$A$1:$A$250,SMALL(IF(--(Source!$B$1:$B$250=Sheet2!$N50)*--(Source!$E$1:$E$250=Sheet2!$M$2),ROW(Source!$B$1:$B$250),FALSE),G$2)),"")</f>
        <v/>
      </c>
      <c r="H50" t="str">
        <f t="array" ref="H50">IFERROR(INDEX(Source!$A$1:$A$250,SMALL(IF(--(Source!$B$1:$B$250=Sheet2!$N50)*--(Source!$E$1:$E$250=Sheet2!$M$2),ROW(Source!$B$1:$B$250),FALSE),H$2)),"")</f>
        <v/>
      </c>
      <c r="I50" t="str">
        <f t="array" ref="I50">IFERROR(INDEX(Source!$A$1:$A$250,SMALL(IF(--(Source!$B$1:$B$250=Sheet2!$N50)*--(Source!$E$1:$E$250=Sheet2!$M$2),ROW(Source!$B$1:$B$250),FALSE),I$2)),"")</f>
        <v/>
      </c>
      <c r="J50" t="str">
        <f t="array" ref="J50">IFERROR(INDEX(Source!$A$1:$A$250,SMALL(IF(--(Source!$B$1:$B$250=Sheet2!$N50)*--(Source!$E$1:$E$250=Sheet2!$M$2),ROW(Source!$B$1:$B$250),FALSE),J$2)),"")</f>
        <v>25457 HK Equity</v>
      </c>
      <c r="K50" t="str">
        <f t="array" ref="K50">IFERROR(INDEX(Source!$A$1:$A$250,SMALL(IF(--(Source!$B$1:$B$250=Sheet2!$N50)*--(Source!$E$1:$E$250=Sheet2!$M$2),ROW(Source!$B$1:$B$250),FALSE),K$2)),"")</f>
        <v>25270 HK Equity</v>
      </c>
      <c r="L50" t="str">
        <f t="array" ref="L50">IFERROR(INDEX(Source!$A$1:$A$250,SMALL(IF(--(Source!$B$1:$B$250=Sheet2!$N50)*--(Source!$E$1:$E$250=Sheet2!$M$2),ROW(Source!$B$1:$B$250),FALSE),L$2)),"")</f>
        <v>26225 HK Equity</v>
      </c>
      <c r="M50">
        <f>COUNTIFS(Source!$E:$E,"Call",Source!$B:$B,Sheet2!$N50)</f>
        <v>3</v>
      </c>
      <c r="N50">
        <v>20800</v>
      </c>
      <c r="O50">
        <f>COUNTIFS(Source!$E:$E,"Put",Source!$B:$B,Sheet2!$N50)</f>
        <v>3</v>
      </c>
      <c r="P50" t="str">
        <f t="array" ref="P50">IFERROR(INDEX(Source!$A$1:$A$250,SMALL(IF(--(Source!$B$1:$B$250=Sheet2!$N50)*--(Source!$E$1:$E$250=Sheet2!$O$2),ROW(Source!$B$1:$B$250),FALSE),P$2)),"")</f>
        <v>27422 HK Equity</v>
      </c>
      <c r="Q50" t="str">
        <f t="array" ref="Q50">IFERROR(INDEX(Source!$A$1:$A$250,SMALL(IF(--(Source!$B$1:$B$250=Sheet2!$N50)*--(Source!$E$1:$E$250=Sheet2!$O$2),ROW(Source!$B$1:$B$250),FALSE),Q$2)),"")</f>
        <v>26915 HK Equity</v>
      </c>
      <c r="R50" t="str">
        <f t="array" ref="R50">IFERROR(INDEX(Source!$A$1:$A$250,SMALL(IF(--(Source!$B$1:$B$250=Sheet2!$N50)*--(Source!$E$1:$E$250=Sheet2!$O$2),ROW(Source!$B$1:$B$250),FALSE),R$2)),"")</f>
        <v>27459 HK Equity</v>
      </c>
      <c r="S50" t="str">
        <f t="array" ref="S50">IFERROR(INDEX(Source!$A$1:$A$250,SMALL(IF(--(Source!$B$1:$B$250=Sheet2!$N50)*--(Source!$E$1:$E$250=Sheet2!$O$2),ROW(Source!$B$1:$B$250),FALSE),S$2)),"")</f>
        <v/>
      </c>
      <c r="T50" t="str">
        <f t="array" ref="T50">IFERROR(INDEX(Source!$A$1:$A$250,SMALL(IF(--(Source!$B$1:$B$250=Sheet2!$N50)*--(Source!$E$1:$E$250=Sheet2!$O$2),ROW(Source!$B$1:$B$250),FALSE),T$2)),"")</f>
        <v/>
      </c>
      <c r="U50" t="str">
        <f t="array" ref="U50">IFERROR(INDEX(Source!$A$1:$A$250,SMALL(IF(--(Source!$B$1:$B$250=Sheet2!$N50)*--(Source!$E$1:$E$250=Sheet2!$O$2),ROW(Source!$B$1:$B$250),FALSE),U$2)),"")</f>
        <v/>
      </c>
      <c r="V50" t="str">
        <f t="array" ref="V50">IFERROR(INDEX(Source!$A$1:$A$250,SMALL(IF(--(Source!$B$1:$B$250=Sheet2!$N50)*--(Source!$E$1:$E$250=Sheet2!$O$2),ROW(Source!$B$1:$B$250),FALSE),V$2)),"")</f>
        <v/>
      </c>
      <c r="W50" s="5">
        <f t="shared" si="1"/>
        <v>0</v>
      </c>
    </row>
    <row r="51" spans="4:23">
      <c r="D51" s="5">
        <f t="shared" si="0"/>
        <v>0</v>
      </c>
      <c r="E51" t="str">
        <f t="array" ref="E51">IFERROR(INDEX(Source!$A$1:$A$250,SMALL(IF(--(Source!$B$1:$B$250=Sheet2!$N51)*--(Source!$E$1:$E$250=Sheet2!$M$2),ROW(Source!$B$1:$B$250),FALSE),E$2)),"")</f>
        <v/>
      </c>
      <c r="F51" t="str">
        <f t="array" ref="F51">IFERROR(INDEX(Source!$A$1:$A$250,SMALL(IF(--(Source!$B$1:$B$250=Sheet2!$N51)*--(Source!$E$1:$E$250=Sheet2!$M$2),ROW(Source!$B$1:$B$250),FALSE),F$2)),"")</f>
        <v/>
      </c>
      <c r="G51" t="str">
        <f t="array" ref="G51">IFERROR(INDEX(Source!$A$1:$A$250,SMALL(IF(--(Source!$B$1:$B$250=Sheet2!$N51)*--(Source!$E$1:$E$250=Sheet2!$M$2),ROW(Source!$B$1:$B$250),FALSE),G$2)),"")</f>
        <v/>
      </c>
      <c r="H51" t="str">
        <f t="array" ref="H51">IFERROR(INDEX(Source!$A$1:$A$250,SMALL(IF(--(Source!$B$1:$B$250=Sheet2!$N51)*--(Source!$E$1:$E$250=Sheet2!$M$2),ROW(Source!$B$1:$B$250),FALSE),H$2)),"")</f>
        <v/>
      </c>
      <c r="I51" t="str">
        <f t="array" ref="I51">IFERROR(INDEX(Source!$A$1:$A$250,SMALL(IF(--(Source!$B$1:$B$250=Sheet2!$N51)*--(Source!$E$1:$E$250=Sheet2!$M$2),ROW(Source!$B$1:$B$250),FALSE),I$2)),"")</f>
        <v/>
      </c>
      <c r="J51" t="str">
        <f t="array" ref="J51">IFERROR(INDEX(Source!$A$1:$A$250,SMALL(IF(--(Source!$B$1:$B$250=Sheet2!$N51)*--(Source!$E$1:$E$250=Sheet2!$M$2),ROW(Source!$B$1:$B$250),FALSE),J$2)),"")</f>
        <v/>
      </c>
      <c r="K51" t="str">
        <f t="array" ref="K51">IFERROR(INDEX(Source!$A$1:$A$250,SMALL(IF(--(Source!$B$1:$B$250=Sheet2!$N51)*--(Source!$E$1:$E$250=Sheet2!$M$2),ROW(Source!$B$1:$B$250),FALSE),K$2)),"")</f>
        <v/>
      </c>
      <c r="L51" t="str">
        <f t="array" ref="L51">IFERROR(INDEX(Source!$A$1:$A$250,SMALL(IF(--(Source!$B$1:$B$250=Sheet2!$N51)*--(Source!$E$1:$E$250=Sheet2!$M$2),ROW(Source!$B$1:$B$250),FALSE),L$2)),"")</f>
        <v/>
      </c>
      <c r="M51">
        <f>COUNTIFS(Source!$E:$E,"Call",Source!$B:$B,Sheet2!$N51)</f>
        <v>0</v>
      </c>
      <c r="N51">
        <v>20900</v>
      </c>
      <c r="O51">
        <f>COUNTIFS(Source!$E:$E,"Put",Source!$B:$B,Sheet2!$N51)</f>
        <v>2</v>
      </c>
      <c r="P51" t="str">
        <f t="array" ref="P51">IFERROR(INDEX(Source!$A$1:$A$250,SMALL(IF(--(Source!$B$1:$B$250=Sheet2!$N51)*--(Source!$E$1:$E$250=Sheet2!$O$2),ROW(Source!$B$1:$B$250),FALSE),P$2)),"")</f>
        <v>24451 HK Equity</v>
      </c>
      <c r="Q51" t="str">
        <f t="array" ref="Q51">IFERROR(INDEX(Source!$A$1:$A$250,SMALL(IF(--(Source!$B$1:$B$250=Sheet2!$N51)*--(Source!$E$1:$E$250=Sheet2!$O$2),ROW(Source!$B$1:$B$250),FALSE),Q$2)),"")</f>
        <v>27821 HK Equity</v>
      </c>
      <c r="R51" t="str">
        <f t="array" ref="R51">IFERROR(INDEX(Source!$A$1:$A$250,SMALL(IF(--(Source!$B$1:$B$250=Sheet2!$N51)*--(Source!$E$1:$E$250=Sheet2!$O$2),ROW(Source!$B$1:$B$250),FALSE),R$2)),"")</f>
        <v/>
      </c>
      <c r="S51" t="str">
        <f t="array" ref="S51">IFERROR(INDEX(Source!$A$1:$A$250,SMALL(IF(--(Source!$B$1:$B$250=Sheet2!$N51)*--(Source!$E$1:$E$250=Sheet2!$O$2),ROW(Source!$B$1:$B$250),FALSE),S$2)),"")</f>
        <v/>
      </c>
      <c r="T51" t="str">
        <f t="array" ref="T51">IFERROR(INDEX(Source!$A$1:$A$250,SMALL(IF(--(Source!$B$1:$B$250=Sheet2!$N51)*--(Source!$E$1:$E$250=Sheet2!$O$2),ROW(Source!$B$1:$B$250),FALSE),T$2)),"")</f>
        <v/>
      </c>
      <c r="U51" t="str">
        <f t="array" ref="U51">IFERROR(INDEX(Source!$A$1:$A$250,SMALL(IF(--(Source!$B$1:$B$250=Sheet2!$N51)*--(Source!$E$1:$E$250=Sheet2!$O$2),ROW(Source!$B$1:$B$250),FALSE),U$2)),"")</f>
        <v/>
      </c>
      <c r="V51" t="str">
        <f t="array" ref="V51">IFERROR(INDEX(Source!$A$1:$A$250,SMALL(IF(--(Source!$B$1:$B$250=Sheet2!$N51)*--(Source!$E$1:$E$250=Sheet2!$O$2),ROW(Source!$B$1:$B$250),FALSE),V$2)),"")</f>
        <v/>
      </c>
      <c r="W51" s="5">
        <f t="shared" si="1"/>
        <v>0</v>
      </c>
    </row>
    <row r="52" spans="4:23">
      <c r="D52" s="5">
        <f t="shared" si="0"/>
        <v>0</v>
      </c>
      <c r="E52" t="str">
        <f t="array" ref="E52">IFERROR(INDEX(Source!$A$1:$A$250,SMALL(IF(--(Source!$B$1:$B$250=Sheet2!$N52)*--(Source!$E$1:$E$250=Sheet2!$M$2),ROW(Source!$B$1:$B$250),FALSE),E$2)),"")</f>
        <v>25483 HK Equity</v>
      </c>
      <c r="F52" t="str">
        <f t="array" ref="F52">IFERROR(INDEX(Source!$A$1:$A$250,SMALL(IF(--(Source!$B$1:$B$250=Sheet2!$N52)*--(Source!$E$1:$E$250=Sheet2!$M$2),ROW(Source!$B$1:$B$250),FALSE),F$2)),"")</f>
        <v>24680 HK Equity</v>
      </c>
      <c r="G52" t="str">
        <f t="array" ref="G52">IFERROR(INDEX(Source!$A$1:$A$250,SMALL(IF(--(Source!$B$1:$B$250=Sheet2!$N52)*--(Source!$E$1:$E$250=Sheet2!$M$2),ROW(Source!$B$1:$B$250),FALSE),G$2)),"")</f>
        <v>26206 HK Equity</v>
      </c>
      <c r="H52" t="str">
        <f t="array" ref="H52">IFERROR(INDEX(Source!$A$1:$A$250,SMALL(IF(--(Source!$B$1:$B$250=Sheet2!$N52)*--(Source!$E$1:$E$250=Sheet2!$M$2),ROW(Source!$B$1:$B$250),FALSE),H$2)),"")</f>
        <v>25489 HK Equity</v>
      </c>
      <c r="I52" t="str">
        <f t="array" ref="I52">IFERROR(INDEX(Source!$A$1:$A$250,SMALL(IF(--(Source!$B$1:$B$250=Sheet2!$N52)*--(Source!$E$1:$E$250=Sheet2!$M$2),ROW(Source!$B$1:$B$250),FALSE),I$2)),"")</f>
        <v>26748 HK Equity</v>
      </c>
      <c r="J52" t="str">
        <f t="array" ref="J52">IFERROR(INDEX(Source!$A$1:$A$250,SMALL(IF(--(Source!$B$1:$B$250=Sheet2!$N52)*--(Source!$E$1:$E$250=Sheet2!$M$2),ROW(Source!$B$1:$B$250),FALSE),J$2)),"")</f>
        <v>26788 HK Equity</v>
      </c>
      <c r="K52" t="str">
        <f t="array" ref="K52">IFERROR(INDEX(Source!$A$1:$A$250,SMALL(IF(--(Source!$B$1:$B$250=Sheet2!$N52)*--(Source!$E$1:$E$250=Sheet2!$M$2),ROW(Source!$B$1:$B$250),FALSE),K$2)),"")</f>
        <v>24376 HK Equity</v>
      </c>
      <c r="L52" t="str">
        <f t="array" ref="L52">IFERROR(INDEX(Source!$A$1:$A$250,SMALL(IF(--(Source!$B$1:$B$250=Sheet2!$N52)*--(Source!$E$1:$E$250=Sheet2!$M$2),ROW(Source!$B$1:$B$250),FALSE),L$2)),"")</f>
        <v>12276 HK Equity</v>
      </c>
      <c r="M52">
        <f>COUNTIFS(Source!$E:$E,"Call",Source!$B:$B,Sheet2!$N52)</f>
        <v>8</v>
      </c>
      <c r="N52">
        <v>21000</v>
      </c>
      <c r="O52">
        <f>COUNTIFS(Source!$E:$E,"Put",Source!$B:$B,Sheet2!$N52)</f>
        <v>5</v>
      </c>
      <c r="P52" t="str">
        <f t="array" ref="P52">IFERROR(INDEX(Source!$A$1:$A$250,SMALL(IF(--(Source!$B$1:$B$250=Sheet2!$N52)*--(Source!$E$1:$E$250=Sheet2!$O$2),ROW(Source!$B$1:$B$250),FALSE),P$2)),"")</f>
        <v>23535 HK Equity</v>
      </c>
      <c r="Q52" t="str">
        <f t="array" ref="Q52">IFERROR(INDEX(Source!$A$1:$A$250,SMALL(IF(--(Source!$B$1:$B$250=Sheet2!$N52)*--(Source!$E$1:$E$250=Sheet2!$O$2),ROW(Source!$B$1:$B$250),FALSE),Q$2)),"")</f>
        <v>24425 HK Equity</v>
      </c>
      <c r="R52" t="str">
        <f t="array" ref="R52">IFERROR(INDEX(Source!$A$1:$A$250,SMALL(IF(--(Source!$B$1:$B$250=Sheet2!$N52)*--(Source!$E$1:$E$250=Sheet2!$O$2),ROW(Source!$B$1:$B$250),FALSE),R$2)),"")</f>
        <v>27666 HK Equity</v>
      </c>
      <c r="S52" t="str">
        <f t="array" ref="S52">IFERROR(INDEX(Source!$A$1:$A$250,SMALL(IF(--(Source!$B$1:$B$250=Sheet2!$N52)*--(Source!$E$1:$E$250=Sheet2!$O$2),ROW(Source!$B$1:$B$250),FALSE),S$2)),"")</f>
        <v>27596 HK Equity</v>
      </c>
      <c r="T52" t="str">
        <f t="array" ref="T52">IFERROR(INDEX(Source!$A$1:$A$250,SMALL(IF(--(Source!$B$1:$B$250=Sheet2!$N52)*--(Source!$E$1:$E$250=Sheet2!$O$2),ROW(Source!$B$1:$B$250),FALSE),T$2)),"")</f>
        <v>22997 HK Equity</v>
      </c>
      <c r="U52" t="str">
        <f t="array" ref="U52">IFERROR(INDEX(Source!$A$1:$A$250,SMALL(IF(--(Source!$B$1:$B$250=Sheet2!$N52)*--(Source!$E$1:$E$250=Sheet2!$O$2),ROW(Source!$B$1:$B$250),FALSE),U$2)),"")</f>
        <v/>
      </c>
      <c r="V52" t="str">
        <f t="array" ref="V52">IFERROR(INDEX(Source!$A$1:$A$250,SMALL(IF(--(Source!$B$1:$B$250=Sheet2!$N52)*--(Source!$E$1:$E$250=Sheet2!$O$2),ROW(Source!$B$1:$B$250),FALSE),V$2)),"")</f>
        <v/>
      </c>
      <c r="W52" s="5">
        <f t="shared" si="1"/>
        <v>0</v>
      </c>
    </row>
    <row r="53" spans="4:23">
      <c r="D53" s="5">
        <f t="shared" si="0"/>
        <v>0</v>
      </c>
      <c r="E53" t="str">
        <f t="array" ref="E53">IFERROR(INDEX(Source!$A$1:$A$250,SMALL(IF(--(Source!$B$1:$B$250=Sheet2!$N53)*--(Source!$E$1:$E$250=Sheet2!$M$2),ROW(Source!$B$1:$B$250),FALSE),E$2)),"")</f>
        <v/>
      </c>
      <c r="F53" t="str">
        <f t="array" ref="F53">IFERROR(INDEX(Source!$A$1:$A$250,SMALL(IF(--(Source!$B$1:$B$250=Sheet2!$N53)*--(Source!$E$1:$E$250=Sheet2!$M$2),ROW(Source!$B$1:$B$250),FALSE),F$2)),"")</f>
        <v/>
      </c>
      <c r="G53" t="str">
        <f t="array" ref="G53">IFERROR(INDEX(Source!$A$1:$A$250,SMALL(IF(--(Source!$B$1:$B$250=Sheet2!$N53)*--(Source!$E$1:$E$250=Sheet2!$M$2),ROW(Source!$B$1:$B$250),FALSE),G$2)),"")</f>
        <v/>
      </c>
      <c r="H53" t="str">
        <f t="array" ref="H53">IFERROR(INDEX(Source!$A$1:$A$250,SMALL(IF(--(Source!$B$1:$B$250=Sheet2!$N53)*--(Source!$E$1:$E$250=Sheet2!$M$2),ROW(Source!$B$1:$B$250),FALSE),H$2)),"")</f>
        <v/>
      </c>
      <c r="I53" t="str">
        <f t="array" ref="I53">IFERROR(INDEX(Source!$A$1:$A$250,SMALL(IF(--(Source!$B$1:$B$250=Sheet2!$N53)*--(Source!$E$1:$E$250=Sheet2!$M$2),ROW(Source!$B$1:$B$250),FALSE),I$2)),"")</f>
        <v/>
      </c>
      <c r="J53" t="str">
        <f t="array" ref="J53">IFERROR(INDEX(Source!$A$1:$A$250,SMALL(IF(--(Source!$B$1:$B$250=Sheet2!$N53)*--(Source!$E$1:$E$250=Sheet2!$M$2),ROW(Source!$B$1:$B$250),FALSE),J$2)),"")</f>
        <v/>
      </c>
      <c r="K53" t="str">
        <f t="array" ref="K53">IFERROR(INDEX(Source!$A$1:$A$250,SMALL(IF(--(Source!$B$1:$B$250=Sheet2!$N53)*--(Source!$E$1:$E$250=Sheet2!$M$2),ROW(Source!$B$1:$B$250),FALSE),K$2)),"")</f>
        <v/>
      </c>
      <c r="L53" t="str">
        <f t="array" ref="L53">IFERROR(INDEX(Source!$A$1:$A$250,SMALL(IF(--(Source!$B$1:$B$250=Sheet2!$N53)*--(Source!$E$1:$E$250=Sheet2!$M$2),ROW(Source!$B$1:$B$250),FALSE),L$2)),"")</f>
        <v>25960 HK Equity</v>
      </c>
      <c r="M53">
        <f>COUNTIFS(Source!$E:$E,"Call",Source!$B:$B,Sheet2!$N53)</f>
        <v>1</v>
      </c>
      <c r="N53">
        <v>21088</v>
      </c>
      <c r="O53">
        <f>COUNTIFS(Source!$E:$E,"Put",Source!$B:$B,Sheet2!$N53)</f>
        <v>1</v>
      </c>
      <c r="P53" t="str">
        <f t="array" ref="P53">IFERROR(INDEX(Source!$A$1:$A$250,SMALL(IF(--(Source!$B$1:$B$250=Sheet2!$N53)*--(Source!$E$1:$E$250=Sheet2!$O$2),ROW(Source!$B$1:$B$250),FALSE),P$2)),"")</f>
        <v>27828 HK Equity</v>
      </c>
      <c r="Q53" t="str">
        <f t="array" ref="Q53">IFERROR(INDEX(Source!$A$1:$A$250,SMALL(IF(--(Source!$B$1:$B$250=Sheet2!$N53)*--(Source!$E$1:$E$250=Sheet2!$O$2),ROW(Source!$B$1:$B$250),FALSE),Q$2)),"")</f>
        <v/>
      </c>
      <c r="R53" t="str">
        <f t="array" ref="R53">IFERROR(INDEX(Source!$A$1:$A$250,SMALL(IF(--(Source!$B$1:$B$250=Sheet2!$N53)*--(Source!$E$1:$E$250=Sheet2!$O$2),ROW(Source!$B$1:$B$250),FALSE),R$2)),"")</f>
        <v/>
      </c>
      <c r="S53" t="str">
        <f t="array" ref="S53">IFERROR(INDEX(Source!$A$1:$A$250,SMALL(IF(--(Source!$B$1:$B$250=Sheet2!$N53)*--(Source!$E$1:$E$250=Sheet2!$O$2),ROW(Source!$B$1:$B$250),FALSE),S$2)),"")</f>
        <v/>
      </c>
      <c r="T53" t="str">
        <f t="array" ref="T53">IFERROR(INDEX(Source!$A$1:$A$250,SMALL(IF(--(Source!$B$1:$B$250=Sheet2!$N53)*--(Source!$E$1:$E$250=Sheet2!$O$2),ROW(Source!$B$1:$B$250),FALSE),T$2)),"")</f>
        <v/>
      </c>
      <c r="U53" t="str">
        <f t="array" ref="U53">IFERROR(INDEX(Source!$A$1:$A$250,SMALL(IF(--(Source!$B$1:$B$250=Sheet2!$N53)*--(Source!$E$1:$E$250=Sheet2!$O$2),ROW(Source!$B$1:$B$250),FALSE),U$2)),"")</f>
        <v/>
      </c>
      <c r="V53" t="str">
        <f t="array" ref="V53">IFERROR(INDEX(Source!$A$1:$A$250,SMALL(IF(--(Source!$B$1:$B$250=Sheet2!$N53)*--(Source!$E$1:$E$250=Sheet2!$O$2),ROW(Source!$B$1:$B$250),FALSE),V$2)),"")</f>
        <v/>
      </c>
      <c r="W53" s="5">
        <f t="shared" si="1"/>
        <v>0</v>
      </c>
    </row>
    <row r="54" spans="4:23">
      <c r="D54" s="5">
        <f t="shared" si="0"/>
        <v>0</v>
      </c>
      <c r="E54" t="str">
        <f t="array" ref="E54">IFERROR(INDEX(Source!$A$1:$A$250,SMALL(IF(--(Source!$B$1:$B$250=Sheet2!$N54)*--(Source!$E$1:$E$250=Sheet2!$M$2),ROW(Source!$B$1:$B$250),FALSE),E$2)),"")</f>
        <v/>
      </c>
      <c r="F54" t="str">
        <f t="array" ref="F54">IFERROR(INDEX(Source!$A$1:$A$250,SMALL(IF(--(Source!$B$1:$B$250=Sheet2!$N54)*--(Source!$E$1:$E$250=Sheet2!$M$2),ROW(Source!$B$1:$B$250),FALSE),F$2)),"")</f>
        <v/>
      </c>
      <c r="G54" t="str">
        <f t="array" ref="G54">IFERROR(INDEX(Source!$A$1:$A$250,SMALL(IF(--(Source!$B$1:$B$250=Sheet2!$N54)*--(Source!$E$1:$E$250=Sheet2!$M$2),ROW(Source!$B$1:$B$250),FALSE),G$2)),"")</f>
        <v/>
      </c>
      <c r="H54" t="str">
        <f t="array" ref="H54">IFERROR(INDEX(Source!$A$1:$A$250,SMALL(IF(--(Source!$B$1:$B$250=Sheet2!$N54)*--(Source!$E$1:$E$250=Sheet2!$M$2),ROW(Source!$B$1:$B$250),FALSE),H$2)),"")</f>
        <v/>
      </c>
      <c r="I54" t="str">
        <f t="array" ref="I54">IFERROR(INDEX(Source!$A$1:$A$250,SMALL(IF(--(Source!$B$1:$B$250=Sheet2!$N54)*--(Source!$E$1:$E$250=Sheet2!$M$2),ROW(Source!$B$1:$B$250),FALSE),I$2)),"")</f>
        <v/>
      </c>
      <c r="J54" t="str">
        <f t="array" ref="J54">IFERROR(INDEX(Source!$A$1:$A$250,SMALL(IF(--(Source!$B$1:$B$250=Sheet2!$N54)*--(Source!$E$1:$E$250=Sheet2!$M$2),ROW(Source!$B$1:$B$250),FALSE),J$2)),"")</f>
        <v/>
      </c>
      <c r="K54" t="str">
        <f t="array" ref="K54">IFERROR(INDEX(Source!$A$1:$A$250,SMALL(IF(--(Source!$B$1:$B$250=Sheet2!$N54)*--(Source!$E$1:$E$250=Sheet2!$M$2),ROW(Source!$B$1:$B$250),FALSE),K$2)),"")</f>
        <v/>
      </c>
      <c r="L54" t="str">
        <f t="array" ref="L54">IFERROR(INDEX(Source!$A$1:$A$250,SMALL(IF(--(Source!$B$1:$B$250=Sheet2!$N54)*--(Source!$E$1:$E$250=Sheet2!$M$2),ROW(Source!$B$1:$B$250),FALSE),L$2)),"")</f>
        <v>24262 HK Equity</v>
      </c>
      <c r="M54">
        <f>COUNTIFS(Source!$E:$E,"Call",Source!$B:$B,Sheet2!$N54)</f>
        <v>1</v>
      </c>
      <c r="N54">
        <v>21100</v>
      </c>
      <c r="O54">
        <f>COUNTIFS(Source!$E:$E,"Put",Source!$B:$B,Sheet2!$N54)</f>
        <v>0</v>
      </c>
      <c r="P54" t="str">
        <f t="array" ref="P54">IFERROR(INDEX(Source!$A$1:$A$250,SMALL(IF(--(Source!$B$1:$B$250=Sheet2!$N54)*--(Source!$E$1:$E$250=Sheet2!$O$2),ROW(Source!$B$1:$B$250),FALSE),P$2)),"")</f>
        <v/>
      </c>
      <c r="Q54" t="str">
        <f t="array" ref="Q54">IFERROR(INDEX(Source!$A$1:$A$250,SMALL(IF(--(Source!$B$1:$B$250=Sheet2!$N54)*--(Source!$E$1:$E$250=Sheet2!$O$2),ROW(Source!$B$1:$B$250),FALSE),Q$2)),"")</f>
        <v/>
      </c>
      <c r="R54" t="str">
        <f t="array" ref="R54">IFERROR(INDEX(Source!$A$1:$A$250,SMALL(IF(--(Source!$B$1:$B$250=Sheet2!$N54)*--(Source!$E$1:$E$250=Sheet2!$O$2),ROW(Source!$B$1:$B$250),FALSE),R$2)),"")</f>
        <v/>
      </c>
      <c r="S54" t="str">
        <f t="array" ref="S54">IFERROR(INDEX(Source!$A$1:$A$250,SMALL(IF(--(Source!$B$1:$B$250=Sheet2!$N54)*--(Source!$E$1:$E$250=Sheet2!$O$2),ROW(Source!$B$1:$B$250),FALSE),S$2)),"")</f>
        <v/>
      </c>
      <c r="T54" t="str">
        <f t="array" ref="T54">IFERROR(INDEX(Source!$A$1:$A$250,SMALL(IF(--(Source!$B$1:$B$250=Sheet2!$N54)*--(Source!$E$1:$E$250=Sheet2!$O$2),ROW(Source!$B$1:$B$250),FALSE),T$2)),"")</f>
        <v/>
      </c>
      <c r="U54" t="str">
        <f t="array" ref="U54">IFERROR(INDEX(Source!$A$1:$A$250,SMALL(IF(--(Source!$B$1:$B$250=Sheet2!$N54)*--(Source!$E$1:$E$250=Sheet2!$O$2),ROW(Source!$B$1:$B$250),FALSE),U$2)),"")</f>
        <v/>
      </c>
      <c r="V54" t="str">
        <f t="array" ref="V54">IFERROR(INDEX(Source!$A$1:$A$250,SMALL(IF(--(Source!$B$1:$B$250=Sheet2!$N54)*--(Source!$E$1:$E$250=Sheet2!$O$2),ROW(Source!$B$1:$B$250),FALSE),V$2)),"")</f>
        <v/>
      </c>
      <c r="W54" s="5">
        <f t="shared" si="1"/>
        <v>0</v>
      </c>
    </row>
    <row r="55" spans="4:23">
      <c r="D55" s="5">
        <f t="shared" si="0"/>
        <v>0</v>
      </c>
      <c r="E55" t="str">
        <f t="array" ref="E55">IFERROR(INDEX(Source!$A$1:$A$250,SMALL(IF(--(Source!$B$1:$B$250=Sheet2!$N55)*--(Source!$E$1:$E$250=Sheet2!$M$2),ROW(Source!$B$1:$B$250),FALSE),E$2)),"")</f>
        <v/>
      </c>
      <c r="F55" t="str">
        <f t="array" ref="F55">IFERROR(INDEX(Source!$A$1:$A$250,SMALL(IF(--(Source!$B$1:$B$250=Sheet2!$N55)*--(Source!$E$1:$E$250=Sheet2!$M$2),ROW(Source!$B$1:$B$250),FALSE),F$2)),"")</f>
        <v/>
      </c>
      <c r="G55" t="str">
        <f t="array" ref="G55">IFERROR(INDEX(Source!$A$1:$A$250,SMALL(IF(--(Source!$B$1:$B$250=Sheet2!$N55)*--(Source!$E$1:$E$250=Sheet2!$M$2),ROW(Source!$B$1:$B$250),FALSE),G$2)),"")</f>
        <v>26753 HK Equity</v>
      </c>
      <c r="H55" t="str">
        <f t="array" ref="H55">IFERROR(INDEX(Source!$A$1:$A$250,SMALL(IF(--(Source!$B$1:$B$250=Sheet2!$N55)*--(Source!$E$1:$E$250=Sheet2!$M$2),ROW(Source!$B$1:$B$250),FALSE),H$2)),"")</f>
        <v>25236 HK Equity</v>
      </c>
      <c r="I55" t="str">
        <f t="array" ref="I55">IFERROR(INDEX(Source!$A$1:$A$250,SMALL(IF(--(Source!$B$1:$B$250=Sheet2!$N55)*--(Source!$E$1:$E$250=Sheet2!$M$2),ROW(Source!$B$1:$B$250),FALSE),I$2)),"")</f>
        <v>26756 HK Equity</v>
      </c>
      <c r="J55" t="str">
        <f t="array" ref="J55">IFERROR(INDEX(Source!$A$1:$A$250,SMALL(IF(--(Source!$B$1:$B$250=Sheet2!$N55)*--(Source!$E$1:$E$250=Sheet2!$M$2),ROW(Source!$B$1:$B$250),FALSE),J$2)),"")</f>
        <v>26121 HK Equity</v>
      </c>
      <c r="K55" t="str">
        <f t="array" ref="K55">IFERROR(INDEX(Source!$A$1:$A$250,SMALL(IF(--(Source!$B$1:$B$250=Sheet2!$N55)*--(Source!$E$1:$E$250=Sheet2!$M$2),ROW(Source!$B$1:$B$250),FALSE),K$2)),"")</f>
        <v>25679 HK Equity</v>
      </c>
      <c r="L55" t="str">
        <f t="array" ref="L55">IFERROR(INDEX(Source!$A$1:$A$250,SMALL(IF(--(Source!$B$1:$B$250=Sheet2!$N55)*--(Source!$E$1:$E$250=Sheet2!$M$2),ROW(Source!$B$1:$B$250),FALSE),L$2)),"")</f>
        <v>26987 HK Equity</v>
      </c>
      <c r="M55">
        <f>COUNTIFS(Source!$E:$E,"Call",Source!$B:$B,Sheet2!$N55)</f>
        <v>6</v>
      </c>
      <c r="N55">
        <v>21400</v>
      </c>
      <c r="O55">
        <f>COUNTIFS(Source!$E:$E,"Put",Source!$B:$B,Sheet2!$N55)</f>
        <v>2</v>
      </c>
      <c r="P55" t="str">
        <f t="array" ref="P55">IFERROR(INDEX(Source!$A$1:$A$250,SMALL(IF(--(Source!$B$1:$B$250=Sheet2!$N55)*--(Source!$E$1:$E$250=Sheet2!$O$2),ROW(Source!$B$1:$B$250),FALSE),P$2)),"")</f>
        <v>27465 HK Equity</v>
      </c>
      <c r="Q55" t="str">
        <f t="array" ref="Q55">IFERROR(INDEX(Source!$A$1:$A$250,SMALL(IF(--(Source!$B$1:$B$250=Sheet2!$N55)*--(Source!$E$1:$E$250=Sheet2!$O$2),ROW(Source!$B$1:$B$250),FALSE),Q$2)),"")</f>
        <v>27564 HK Equity</v>
      </c>
      <c r="R55" t="str">
        <f t="array" ref="R55">IFERROR(INDEX(Source!$A$1:$A$250,SMALL(IF(--(Source!$B$1:$B$250=Sheet2!$N55)*--(Source!$E$1:$E$250=Sheet2!$O$2),ROW(Source!$B$1:$B$250),FALSE),R$2)),"")</f>
        <v/>
      </c>
      <c r="S55" t="str">
        <f t="array" ref="S55">IFERROR(INDEX(Source!$A$1:$A$250,SMALL(IF(--(Source!$B$1:$B$250=Sheet2!$N55)*--(Source!$E$1:$E$250=Sheet2!$O$2),ROW(Source!$B$1:$B$250),FALSE),S$2)),"")</f>
        <v/>
      </c>
      <c r="T55" t="str">
        <f t="array" ref="T55">IFERROR(INDEX(Source!$A$1:$A$250,SMALL(IF(--(Source!$B$1:$B$250=Sheet2!$N55)*--(Source!$E$1:$E$250=Sheet2!$O$2),ROW(Source!$B$1:$B$250),FALSE),T$2)),"")</f>
        <v/>
      </c>
      <c r="U55" t="str">
        <f t="array" ref="U55">IFERROR(INDEX(Source!$A$1:$A$250,SMALL(IF(--(Source!$B$1:$B$250=Sheet2!$N55)*--(Source!$E$1:$E$250=Sheet2!$O$2),ROW(Source!$B$1:$B$250),FALSE),U$2)),"")</f>
        <v/>
      </c>
      <c r="V55" t="str">
        <f t="array" ref="V55">IFERROR(INDEX(Source!$A$1:$A$250,SMALL(IF(--(Source!$B$1:$B$250=Sheet2!$N55)*--(Source!$E$1:$E$250=Sheet2!$O$2),ROW(Source!$B$1:$B$250),FALSE),V$2)),"")</f>
        <v/>
      </c>
      <c r="W55" s="5">
        <f t="shared" si="1"/>
        <v>0</v>
      </c>
    </row>
    <row r="56" spans="4:23">
      <c r="D56" s="5">
        <f t="shared" si="0"/>
        <v>0</v>
      </c>
      <c r="E56" t="str">
        <f t="array" ref="E56">IFERROR(INDEX(Source!$A$1:$A$250,SMALL(IF(--(Source!$B$1:$B$250=Sheet2!$N56)*--(Source!$E$1:$E$250=Sheet2!$M$2),ROW(Source!$B$1:$B$250),FALSE),E$2)),"")</f>
        <v/>
      </c>
      <c r="F56" t="str">
        <f t="array" ref="F56">IFERROR(INDEX(Source!$A$1:$A$250,SMALL(IF(--(Source!$B$1:$B$250=Sheet2!$N56)*--(Source!$E$1:$E$250=Sheet2!$M$2),ROW(Source!$B$1:$B$250),FALSE),F$2)),"")</f>
        <v/>
      </c>
      <c r="G56" t="str">
        <f t="array" ref="G56">IFERROR(INDEX(Source!$A$1:$A$250,SMALL(IF(--(Source!$B$1:$B$250=Sheet2!$N56)*--(Source!$E$1:$E$250=Sheet2!$M$2),ROW(Source!$B$1:$B$250),FALSE),G$2)),"")</f>
        <v/>
      </c>
      <c r="H56" t="str">
        <f t="array" ref="H56">IFERROR(INDEX(Source!$A$1:$A$250,SMALL(IF(--(Source!$B$1:$B$250=Sheet2!$N56)*--(Source!$E$1:$E$250=Sheet2!$M$2),ROW(Source!$B$1:$B$250),FALSE),H$2)),"")</f>
        <v/>
      </c>
      <c r="I56" t="str">
        <f t="array" ref="I56">IFERROR(INDEX(Source!$A$1:$A$250,SMALL(IF(--(Source!$B$1:$B$250=Sheet2!$N56)*--(Source!$E$1:$E$250=Sheet2!$M$2),ROW(Source!$B$1:$B$250),FALSE),I$2)),"")</f>
        <v/>
      </c>
      <c r="J56" t="str">
        <f t="array" ref="J56">IFERROR(INDEX(Source!$A$1:$A$250,SMALL(IF(--(Source!$B$1:$B$250=Sheet2!$N56)*--(Source!$E$1:$E$250=Sheet2!$M$2),ROW(Source!$B$1:$B$250),FALSE),J$2)),"")</f>
        <v/>
      </c>
      <c r="K56" t="str">
        <f t="array" ref="K56">IFERROR(INDEX(Source!$A$1:$A$250,SMALL(IF(--(Source!$B$1:$B$250=Sheet2!$N56)*--(Source!$E$1:$E$250=Sheet2!$M$2),ROW(Source!$B$1:$B$250),FALSE),K$2)),"")</f>
        <v/>
      </c>
      <c r="L56" t="str">
        <f t="array" ref="L56">IFERROR(INDEX(Source!$A$1:$A$250,SMALL(IF(--(Source!$B$1:$B$250=Sheet2!$N56)*--(Source!$E$1:$E$250=Sheet2!$M$2),ROW(Source!$B$1:$B$250),FALSE),L$2)),"")</f>
        <v>26488 HK Equity</v>
      </c>
      <c r="M56">
        <f>COUNTIFS(Source!$E:$E,"Call",Source!$B:$B,Sheet2!$N56)</f>
        <v>1</v>
      </c>
      <c r="N56">
        <v>21498</v>
      </c>
      <c r="O56">
        <f>COUNTIFS(Source!$E:$E,"Put",Source!$B:$B,Sheet2!$N56)</f>
        <v>0</v>
      </c>
      <c r="P56" t="str">
        <f t="array" ref="P56">IFERROR(INDEX(Source!$A$1:$A$250,SMALL(IF(--(Source!$B$1:$B$250=Sheet2!$N56)*--(Source!$E$1:$E$250=Sheet2!$O$2),ROW(Source!$B$1:$B$250),FALSE),P$2)),"")</f>
        <v/>
      </c>
      <c r="Q56" t="str">
        <f t="array" ref="Q56">IFERROR(INDEX(Source!$A$1:$A$250,SMALL(IF(--(Source!$B$1:$B$250=Sheet2!$N56)*--(Source!$E$1:$E$250=Sheet2!$O$2),ROW(Source!$B$1:$B$250),FALSE),Q$2)),"")</f>
        <v/>
      </c>
      <c r="R56" t="str">
        <f t="array" ref="R56">IFERROR(INDEX(Source!$A$1:$A$250,SMALL(IF(--(Source!$B$1:$B$250=Sheet2!$N56)*--(Source!$E$1:$E$250=Sheet2!$O$2),ROW(Source!$B$1:$B$250),FALSE),R$2)),"")</f>
        <v/>
      </c>
      <c r="S56" t="str">
        <f t="array" ref="S56">IFERROR(INDEX(Source!$A$1:$A$250,SMALL(IF(--(Source!$B$1:$B$250=Sheet2!$N56)*--(Source!$E$1:$E$250=Sheet2!$O$2),ROW(Source!$B$1:$B$250),FALSE),S$2)),"")</f>
        <v/>
      </c>
      <c r="T56" t="str">
        <f t="array" ref="T56">IFERROR(INDEX(Source!$A$1:$A$250,SMALL(IF(--(Source!$B$1:$B$250=Sheet2!$N56)*--(Source!$E$1:$E$250=Sheet2!$O$2),ROW(Source!$B$1:$B$250),FALSE),T$2)),"")</f>
        <v/>
      </c>
      <c r="U56" t="str">
        <f t="array" ref="U56">IFERROR(INDEX(Source!$A$1:$A$250,SMALL(IF(--(Source!$B$1:$B$250=Sheet2!$N56)*--(Source!$E$1:$E$250=Sheet2!$O$2),ROW(Source!$B$1:$B$250),FALSE),U$2)),"")</f>
        <v/>
      </c>
      <c r="V56" t="str">
        <f t="array" ref="V56">IFERROR(INDEX(Source!$A$1:$A$250,SMALL(IF(--(Source!$B$1:$B$250=Sheet2!$N56)*--(Source!$E$1:$E$250=Sheet2!$O$2),ROW(Source!$B$1:$B$250),FALSE),V$2)),"")</f>
        <v/>
      </c>
      <c r="W56" s="5">
        <f t="shared" si="1"/>
        <v>0</v>
      </c>
    </row>
    <row r="57" spans="4:23">
      <c r="D57" s="5">
        <f t="shared" si="0"/>
        <v>0</v>
      </c>
      <c r="E57" t="str">
        <f t="array" ref="E57">IFERROR(INDEX(Source!$A$1:$A$250,SMALL(IF(--(Source!$B$1:$B$250=Sheet2!$N57)*--(Source!$E$1:$E$250=Sheet2!$M$2),ROW(Source!$B$1:$B$250),FALSE),E$2)),"")</f>
        <v/>
      </c>
      <c r="F57" t="str">
        <f t="array" ref="F57">IFERROR(INDEX(Source!$A$1:$A$250,SMALL(IF(--(Source!$B$1:$B$250=Sheet2!$N57)*--(Source!$E$1:$E$250=Sheet2!$M$2),ROW(Source!$B$1:$B$250),FALSE),F$2)),"")</f>
        <v/>
      </c>
      <c r="G57" t="str">
        <f t="array" ref="G57">IFERROR(INDEX(Source!$A$1:$A$250,SMALL(IF(--(Source!$B$1:$B$250=Sheet2!$N57)*--(Source!$E$1:$E$250=Sheet2!$M$2),ROW(Source!$B$1:$B$250),FALSE),G$2)),"")</f>
        <v/>
      </c>
      <c r="H57" t="str">
        <f t="array" ref="H57">IFERROR(INDEX(Source!$A$1:$A$250,SMALL(IF(--(Source!$B$1:$B$250=Sheet2!$N57)*--(Source!$E$1:$E$250=Sheet2!$M$2),ROW(Source!$B$1:$B$250),FALSE),H$2)),"")</f>
        <v/>
      </c>
      <c r="I57" t="str">
        <f t="array" ref="I57">IFERROR(INDEX(Source!$A$1:$A$250,SMALL(IF(--(Source!$B$1:$B$250=Sheet2!$N57)*--(Source!$E$1:$E$250=Sheet2!$M$2),ROW(Source!$B$1:$B$250),FALSE),I$2)),"")</f>
        <v/>
      </c>
      <c r="J57" t="str">
        <f t="array" ref="J57">IFERROR(INDEX(Source!$A$1:$A$250,SMALL(IF(--(Source!$B$1:$B$250=Sheet2!$N57)*--(Source!$E$1:$E$250=Sheet2!$M$2),ROW(Source!$B$1:$B$250),FALSE),J$2)),"")</f>
        <v/>
      </c>
      <c r="K57" t="str">
        <f t="array" ref="K57">IFERROR(INDEX(Source!$A$1:$A$250,SMALL(IF(--(Source!$B$1:$B$250=Sheet2!$N57)*--(Source!$E$1:$E$250=Sheet2!$M$2),ROW(Source!$B$1:$B$250),FALSE),K$2)),"")</f>
        <v/>
      </c>
      <c r="L57" t="str">
        <f t="array" ref="L57">IFERROR(INDEX(Source!$A$1:$A$250,SMALL(IF(--(Source!$B$1:$B$250=Sheet2!$N57)*--(Source!$E$1:$E$250=Sheet2!$M$2),ROW(Source!$B$1:$B$250),FALSE),L$2)),"")</f>
        <v>27760 HK Equity</v>
      </c>
      <c r="M57">
        <f>COUNTIFS(Source!$E:$E,"Call",Source!$B:$B,Sheet2!$N57)</f>
        <v>1</v>
      </c>
      <c r="N57">
        <v>21500</v>
      </c>
      <c r="O57">
        <f>COUNTIFS(Source!$E:$E,"Put",Source!$B:$B,Sheet2!$N57)</f>
        <v>3</v>
      </c>
      <c r="P57" t="str">
        <f t="array" ref="P57">IFERROR(INDEX(Source!$A$1:$A$250,SMALL(IF(--(Source!$B$1:$B$250=Sheet2!$N57)*--(Source!$E$1:$E$250=Sheet2!$O$2),ROW(Source!$B$1:$B$250),FALSE),P$2)),"")</f>
        <v>27594 HK Equity</v>
      </c>
      <c r="Q57" t="str">
        <f t="array" ref="Q57">IFERROR(INDEX(Source!$A$1:$A$250,SMALL(IF(--(Source!$B$1:$B$250=Sheet2!$N57)*--(Source!$E$1:$E$250=Sheet2!$O$2),ROW(Source!$B$1:$B$250),FALSE),Q$2)),"")</f>
        <v>24427 HK Equity</v>
      </c>
      <c r="R57" t="str">
        <f t="array" ref="R57">IFERROR(INDEX(Source!$A$1:$A$250,SMALL(IF(--(Source!$B$1:$B$250=Sheet2!$N57)*--(Source!$E$1:$E$250=Sheet2!$O$2),ROW(Source!$B$1:$B$250),FALSE),R$2)),"")</f>
        <v>27188 HK Equity</v>
      </c>
      <c r="S57" t="str">
        <f t="array" ref="S57">IFERROR(INDEX(Source!$A$1:$A$250,SMALL(IF(--(Source!$B$1:$B$250=Sheet2!$N57)*--(Source!$E$1:$E$250=Sheet2!$O$2),ROW(Source!$B$1:$B$250),FALSE),S$2)),"")</f>
        <v/>
      </c>
      <c r="T57" t="str">
        <f t="array" ref="T57">IFERROR(INDEX(Source!$A$1:$A$250,SMALL(IF(--(Source!$B$1:$B$250=Sheet2!$N57)*--(Source!$E$1:$E$250=Sheet2!$O$2),ROW(Source!$B$1:$B$250),FALSE),T$2)),"")</f>
        <v/>
      </c>
      <c r="U57" t="str">
        <f t="array" ref="U57">IFERROR(INDEX(Source!$A$1:$A$250,SMALL(IF(--(Source!$B$1:$B$250=Sheet2!$N57)*--(Source!$E$1:$E$250=Sheet2!$O$2),ROW(Source!$B$1:$B$250),FALSE),U$2)),"")</f>
        <v/>
      </c>
      <c r="V57" t="str">
        <f t="array" ref="V57">IFERROR(INDEX(Source!$A$1:$A$250,SMALL(IF(--(Source!$B$1:$B$250=Sheet2!$N57)*--(Source!$E$1:$E$250=Sheet2!$O$2),ROW(Source!$B$1:$B$250),FALSE),V$2)),"")</f>
        <v/>
      </c>
      <c r="W57" s="5">
        <f t="shared" si="1"/>
        <v>0</v>
      </c>
    </row>
    <row r="58" spans="4:23">
      <c r="D58" s="5">
        <f t="shared" si="0"/>
        <v>0</v>
      </c>
      <c r="E58" t="str">
        <f t="array" ref="E58">IFERROR(INDEX(Source!$A$1:$A$250,SMALL(IF(--(Source!$B$1:$B$250=Sheet2!$N58)*--(Source!$E$1:$E$250=Sheet2!$M$2),ROW(Source!$B$1:$B$250),FALSE),E$2)),"")</f>
        <v/>
      </c>
      <c r="F58" t="str">
        <f t="array" ref="F58">IFERROR(INDEX(Source!$A$1:$A$250,SMALL(IF(--(Source!$B$1:$B$250=Sheet2!$N58)*--(Source!$E$1:$E$250=Sheet2!$M$2),ROW(Source!$B$1:$B$250),FALSE),F$2)),"")</f>
        <v/>
      </c>
      <c r="G58" t="str">
        <f t="array" ref="G58">IFERROR(INDEX(Source!$A$1:$A$250,SMALL(IF(--(Source!$B$1:$B$250=Sheet2!$N58)*--(Source!$E$1:$E$250=Sheet2!$M$2),ROW(Source!$B$1:$B$250),FALSE),G$2)),"")</f>
        <v/>
      </c>
      <c r="H58" t="str">
        <f t="array" ref="H58">IFERROR(INDEX(Source!$A$1:$A$250,SMALL(IF(--(Source!$B$1:$B$250=Sheet2!$N58)*--(Source!$E$1:$E$250=Sheet2!$M$2),ROW(Source!$B$1:$B$250),FALSE),H$2)),"")</f>
        <v/>
      </c>
      <c r="I58" t="str">
        <f t="array" ref="I58">IFERROR(INDEX(Source!$A$1:$A$250,SMALL(IF(--(Source!$B$1:$B$250=Sheet2!$N58)*--(Source!$E$1:$E$250=Sheet2!$M$2),ROW(Source!$B$1:$B$250),FALSE),I$2)),"")</f>
        <v/>
      </c>
      <c r="J58" t="str">
        <f t="array" ref="J58">IFERROR(INDEX(Source!$A$1:$A$250,SMALL(IF(--(Source!$B$1:$B$250=Sheet2!$N58)*--(Source!$E$1:$E$250=Sheet2!$M$2),ROW(Source!$B$1:$B$250),FALSE),J$2)),"")</f>
        <v/>
      </c>
      <c r="K58" t="str">
        <f t="array" ref="K58">IFERROR(INDEX(Source!$A$1:$A$250,SMALL(IF(--(Source!$B$1:$B$250=Sheet2!$N58)*--(Source!$E$1:$E$250=Sheet2!$M$2),ROW(Source!$B$1:$B$250),FALSE),K$2)),"")</f>
        <v>24984 HK Equity</v>
      </c>
      <c r="L58" t="str">
        <f t="array" ref="L58">IFERROR(INDEX(Source!$A$1:$A$250,SMALL(IF(--(Source!$B$1:$B$250=Sheet2!$N58)*--(Source!$E$1:$E$250=Sheet2!$M$2),ROW(Source!$B$1:$B$250),FALSE),L$2)),"")</f>
        <v>25447 HK Equity</v>
      </c>
      <c r="M58">
        <f>COUNTIFS(Source!$E:$E,"Call",Source!$B:$B,Sheet2!$N58)</f>
        <v>2</v>
      </c>
      <c r="N58">
        <v>21600</v>
      </c>
      <c r="O58">
        <f>COUNTIFS(Source!$E:$E,"Put",Source!$B:$B,Sheet2!$N58)</f>
        <v>3</v>
      </c>
      <c r="P58" t="str">
        <f t="array" ref="P58">IFERROR(INDEX(Source!$A$1:$A$250,SMALL(IF(--(Source!$B$1:$B$250=Sheet2!$N58)*--(Source!$E$1:$E$250=Sheet2!$O$2),ROW(Source!$B$1:$B$250),FALSE),P$2)),"")</f>
        <v>27608 HK Equity</v>
      </c>
      <c r="Q58" t="str">
        <f t="array" ref="Q58">IFERROR(INDEX(Source!$A$1:$A$250,SMALL(IF(--(Source!$B$1:$B$250=Sheet2!$N58)*--(Source!$E$1:$E$250=Sheet2!$O$2),ROW(Source!$B$1:$B$250),FALSE),Q$2)),"")</f>
        <v>24831 HK Equity</v>
      </c>
      <c r="R58" t="str">
        <f t="array" ref="R58">IFERROR(INDEX(Source!$A$1:$A$250,SMALL(IF(--(Source!$B$1:$B$250=Sheet2!$N58)*--(Source!$E$1:$E$250=Sheet2!$O$2),ROW(Source!$B$1:$B$250),FALSE),R$2)),"")</f>
        <v>23524 HK Equity</v>
      </c>
      <c r="S58" t="str">
        <f t="array" ref="S58">IFERROR(INDEX(Source!$A$1:$A$250,SMALL(IF(--(Source!$B$1:$B$250=Sheet2!$N58)*--(Source!$E$1:$E$250=Sheet2!$O$2),ROW(Source!$B$1:$B$250),FALSE),S$2)),"")</f>
        <v/>
      </c>
      <c r="T58" t="str">
        <f t="array" ref="T58">IFERROR(INDEX(Source!$A$1:$A$250,SMALL(IF(--(Source!$B$1:$B$250=Sheet2!$N58)*--(Source!$E$1:$E$250=Sheet2!$O$2),ROW(Source!$B$1:$B$250),FALSE),T$2)),"")</f>
        <v/>
      </c>
      <c r="U58" t="str">
        <f t="array" ref="U58">IFERROR(INDEX(Source!$A$1:$A$250,SMALL(IF(--(Source!$B$1:$B$250=Sheet2!$N58)*--(Source!$E$1:$E$250=Sheet2!$O$2),ROW(Source!$B$1:$B$250),FALSE),U$2)),"")</f>
        <v/>
      </c>
      <c r="V58" t="str">
        <f t="array" ref="V58">IFERROR(INDEX(Source!$A$1:$A$250,SMALL(IF(--(Source!$B$1:$B$250=Sheet2!$N58)*--(Source!$E$1:$E$250=Sheet2!$O$2),ROW(Source!$B$1:$B$250),FALSE),V$2)),"")</f>
        <v/>
      </c>
      <c r="W58" s="5">
        <f t="shared" si="1"/>
        <v>0</v>
      </c>
    </row>
    <row r="59" spans="4:23">
      <c r="D59" s="5">
        <f t="shared" si="0"/>
        <v>0</v>
      </c>
      <c r="E59" t="str">
        <f t="array" ref="E59">IFERROR(INDEX(Source!$A$1:$A$250,SMALL(IF(--(Source!$B$1:$B$250=Sheet2!$N59)*--(Source!$E$1:$E$250=Sheet2!$M$2),ROW(Source!$B$1:$B$250),FALSE),E$2)),"")</f>
        <v/>
      </c>
      <c r="F59" t="str">
        <f t="array" ref="F59">IFERROR(INDEX(Source!$A$1:$A$250,SMALL(IF(--(Source!$B$1:$B$250=Sheet2!$N59)*--(Source!$E$1:$E$250=Sheet2!$M$2),ROW(Source!$B$1:$B$250),FALSE),F$2)),"")</f>
        <v/>
      </c>
      <c r="G59" t="str">
        <f t="array" ref="G59">IFERROR(INDEX(Source!$A$1:$A$250,SMALL(IF(--(Source!$B$1:$B$250=Sheet2!$N59)*--(Source!$E$1:$E$250=Sheet2!$M$2),ROW(Source!$B$1:$B$250),FALSE),G$2)),"")</f>
        <v>27351 HK Equity</v>
      </c>
      <c r="H59" t="str">
        <f t="array" ref="H59">IFERROR(INDEX(Source!$A$1:$A$250,SMALL(IF(--(Source!$B$1:$B$250=Sheet2!$N59)*--(Source!$E$1:$E$250=Sheet2!$M$2),ROW(Source!$B$1:$B$250),FALSE),H$2)),"")</f>
        <v>27280 HK Equity</v>
      </c>
      <c r="I59" t="str">
        <f t="array" ref="I59">IFERROR(INDEX(Source!$A$1:$A$250,SMALL(IF(--(Source!$B$1:$B$250=Sheet2!$N59)*--(Source!$E$1:$E$250=Sheet2!$M$2),ROW(Source!$B$1:$B$250),FALSE),I$2)),"")</f>
        <v>27321 HK Equity</v>
      </c>
      <c r="J59" t="str">
        <f t="array" ref="J59">IFERROR(INDEX(Source!$A$1:$A$250,SMALL(IF(--(Source!$B$1:$B$250=Sheet2!$N59)*--(Source!$E$1:$E$250=Sheet2!$M$2),ROW(Source!$B$1:$B$250),FALSE),J$2)),"")</f>
        <v>27077 HK Equity</v>
      </c>
      <c r="K59" t="str">
        <f t="array" ref="K59">IFERROR(INDEX(Source!$A$1:$A$250,SMALL(IF(--(Source!$B$1:$B$250=Sheet2!$N59)*--(Source!$E$1:$E$250=Sheet2!$M$2),ROW(Source!$B$1:$B$250),FALSE),K$2)),"")</f>
        <v>27438 HK Equity</v>
      </c>
      <c r="L59" t="str">
        <f t="array" ref="L59">IFERROR(INDEX(Source!$A$1:$A$250,SMALL(IF(--(Source!$B$1:$B$250=Sheet2!$N59)*--(Source!$E$1:$E$250=Sheet2!$M$2),ROW(Source!$B$1:$B$250),FALSE),L$2)),"")</f>
        <v>27177 HK Equity</v>
      </c>
      <c r="M59">
        <f>COUNTIFS(Source!$E:$E,"Call",Source!$B:$B,Sheet2!$N59)</f>
        <v>6</v>
      </c>
      <c r="N59">
        <v>21800</v>
      </c>
      <c r="O59">
        <f>COUNTIFS(Source!$E:$E,"Put",Source!$B:$B,Sheet2!$N59)</f>
        <v>0</v>
      </c>
      <c r="P59" t="str">
        <f t="array" ref="P59">IFERROR(INDEX(Source!$A$1:$A$250,SMALL(IF(--(Source!$B$1:$B$250=Sheet2!$N59)*--(Source!$E$1:$E$250=Sheet2!$O$2),ROW(Source!$B$1:$B$250),FALSE),P$2)),"")</f>
        <v/>
      </c>
      <c r="Q59" t="str">
        <f t="array" ref="Q59">IFERROR(INDEX(Source!$A$1:$A$250,SMALL(IF(--(Source!$B$1:$B$250=Sheet2!$N59)*--(Source!$E$1:$E$250=Sheet2!$O$2),ROW(Source!$B$1:$B$250),FALSE),Q$2)),"")</f>
        <v/>
      </c>
      <c r="R59" t="str">
        <f t="array" ref="R59">IFERROR(INDEX(Source!$A$1:$A$250,SMALL(IF(--(Source!$B$1:$B$250=Sheet2!$N59)*--(Source!$E$1:$E$250=Sheet2!$O$2),ROW(Source!$B$1:$B$250),FALSE),R$2)),"")</f>
        <v/>
      </c>
      <c r="S59" t="str">
        <f t="array" ref="S59">IFERROR(INDEX(Source!$A$1:$A$250,SMALL(IF(--(Source!$B$1:$B$250=Sheet2!$N59)*--(Source!$E$1:$E$250=Sheet2!$O$2),ROW(Source!$B$1:$B$250),FALSE),S$2)),"")</f>
        <v/>
      </c>
      <c r="T59" t="str">
        <f t="array" ref="T59">IFERROR(INDEX(Source!$A$1:$A$250,SMALL(IF(--(Source!$B$1:$B$250=Sheet2!$N59)*--(Source!$E$1:$E$250=Sheet2!$O$2),ROW(Source!$B$1:$B$250),FALSE),T$2)),"")</f>
        <v/>
      </c>
      <c r="U59" t="str">
        <f t="array" ref="U59">IFERROR(INDEX(Source!$A$1:$A$250,SMALL(IF(--(Source!$B$1:$B$250=Sheet2!$N59)*--(Source!$E$1:$E$250=Sheet2!$O$2),ROW(Source!$B$1:$B$250),FALSE),U$2)),"")</f>
        <v/>
      </c>
      <c r="V59" t="str">
        <f t="array" ref="V59">IFERROR(INDEX(Source!$A$1:$A$250,SMALL(IF(--(Source!$B$1:$B$250=Sheet2!$N59)*--(Source!$E$1:$E$250=Sheet2!$O$2),ROW(Source!$B$1:$B$250),FALSE),V$2)),"")</f>
        <v/>
      </c>
      <c r="W59" s="5">
        <f t="shared" si="1"/>
        <v>0</v>
      </c>
    </row>
    <row r="60" spans="4:23">
      <c r="D60" s="5">
        <f t="shared" si="0"/>
        <v>0</v>
      </c>
      <c r="E60" t="str">
        <f t="array" ref="E60">IFERROR(INDEX(Source!$A$1:$A$250,SMALL(IF(--(Source!$B$1:$B$250=Sheet2!$N60)*--(Source!$E$1:$E$250=Sheet2!$M$2),ROW(Source!$B$1:$B$250),FALSE),E$2)),"")</f>
        <v/>
      </c>
      <c r="F60" t="str">
        <f t="array" ref="F60">IFERROR(INDEX(Source!$A$1:$A$250,SMALL(IF(--(Source!$B$1:$B$250=Sheet2!$N60)*--(Source!$E$1:$E$250=Sheet2!$M$2),ROW(Source!$B$1:$B$250),FALSE),F$2)),"")</f>
        <v/>
      </c>
      <c r="G60" t="str">
        <f t="array" ref="G60">IFERROR(INDEX(Source!$A$1:$A$250,SMALL(IF(--(Source!$B$1:$B$250=Sheet2!$N60)*--(Source!$E$1:$E$250=Sheet2!$M$2),ROW(Source!$B$1:$B$250),FALSE),G$2)),"")</f>
        <v/>
      </c>
      <c r="H60" t="str">
        <f t="array" ref="H60">IFERROR(INDEX(Source!$A$1:$A$250,SMALL(IF(--(Source!$B$1:$B$250=Sheet2!$N60)*--(Source!$E$1:$E$250=Sheet2!$M$2),ROW(Source!$B$1:$B$250),FALSE),H$2)),"")</f>
        <v/>
      </c>
      <c r="I60" t="str">
        <f t="array" ref="I60">IFERROR(INDEX(Source!$A$1:$A$250,SMALL(IF(--(Source!$B$1:$B$250=Sheet2!$N60)*--(Source!$E$1:$E$250=Sheet2!$M$2),ROW(Source!$B$1:$B$250),FALSE),I$2)),"")</f>
        <v/>
      </c>
      <c r="J60" t="str">
        <f t="array" ref="J60">IFERROR(INDEX(Source!$A$1:$A$250,SMALL(IF(--(Source!$B$1:$B$250=Sheet2!$N60)*--(Source!$E$1:$E$250=Sheet2!$M$2),ROW(Source!$B$1:$B$250),FALSE),J$2)),"")</f>
        <v/>
      </c>
      <c r="K60" t="str">
        <f t="array" ref="K60">IFERROR(INDEX(Source!$A$1:$A$250,SMALL(IF(--(Source!$B$1:$B$250=Sheet2!$N60)*--(Source!$E$1:$E$250=Sheet2!$M$2),ROW(Source!$B$1:$B$250),FALSE),K$2)),"")</f>
        <v/>
      </c>
      <c r="L60" t="str">
        <f t="array" ref="L60">IFERROR(INDEX(Source!$A$1:$A$250,SMALL(IF(--(Source!$B$1:$B$250=Sheet2!$N60)*--(Source!$E$1:$E$250=Sheet2!$M$2),ROW(Source!$B$1:$B$250),FALSE),L$2)),"")</f>
        <v>27894 HK Equity</v>
      </c>
      <c r="M60">
        <f>COUNTIFS(Source!$E:$E,"Call",Source!$B:$B,Sheet2!$N60)</f>
        <v>1</v>
      </c>
      <c r="N60">
        <v>21900</v>
      </c>
      <c r="O60">
        <f>COUNTIFS(Source!$E:$E,"Put",Source!$B:$B,Sheet2!$N60)</f>
        <v>0</v>
      </c>
      <c r="P60" t="str">
        <f t="array" ref="P60">IFERROR(INDEX(Source!$A$1:$A$250,SMALL(IF(--(Source!$B$1:$B$250=Sheet2!$N60)*--(Source!$E$1:$E$250=Sheet2!$O$2),ROW(Source!$B$1:$B$250),FALSE),P$2)),"")</f>
        <v/>
      </c>
      <c r="Q60" t="str">
        <f t="array" ref="Q60">IFERROR(INDEX(Source!$A$1:$A$250,SMALL(IF(--(Source!$B$1:$B$250=Sheet2!$N60)*--(Source!$E$1:$E$250=Sheet2!$O$2),ROW(Source!$B$1:$B$250),FALSE),Q$2)),"")</f>
        <v/>
      </c>
      <c r="R60" t="str">
        <f t="array" ref="R60">IFERROR(INDEX(Source!$A$1:$A$250,SMALL(IF(--(Source!$B$1:$B$250=Sheet2!$N60)*--(Source!$E$1:$E$250=Sheet2!$O$2),ROW(Source!$B$1:$B$250),FALSE),R$2)),"")</f>
        <v/>
      </c>
      <c r="S60" t="str">
        <f t="array" ref="S60">IFERROR(INDEX(Source!$A$1:$A$250,SMALL(IF(--(Source!$B$1:$B$250=Sheet2!$N60)*--(Source!$E$1:$E$250=Sheet2!$O$2),ROW(Source!$B$1:$B$250),FALSE),S$2)),"")</f>
        <v/>
      </c>
      <c r="T60" t="str">
        <f t="array" ref="T60">IFERROR(INDEX(Source!$A$1:$A$250,SMALL(IF(--(Source!$B$1:$B$250=Sheet2!$N60)*--(Source!$E$1:$E$250=Sheet2!$O$2),ROW(Source!$B$1:$B$250),FALSE),T$2)),"")</f>
        <v/>
      </c>
      <c r="U60" t="str">
        <f t="array" ref="U60">IFERROR(INDEX(Source!$A$1:$A$250,SMALL(IF(--(Source!$B$1:$B$250=Sheet2!$N60)*--(Source!$E$1:$E$250=Sheet2!$O$2),ROW(Source!$B$1:$B$250),FALSE),U$2)),"")</f>
        <v/>
      </c>
      <c r="V60" t="str">
        <f t="array" ref="V60">IFERROR(INDEX(Source!$A$1:$A$250,SMALL(IF(--(Source!$B$1:$B$250=Sheet2!$N60)*--(Source!$E$1:$E$250=Sheet2!$O$2),ROW(Source!$B$1:$B$250),FALSE),V$2)),"")</f>
        <v/>
      </c>
      <c r="W60" s="5">
        <f t="shared" si="1"/>
        <v>0</v>
      </c>
    </row>
    <row r="61" spans="4:23">
      <c r="D61" s="5">
        <f t="shared" si="0"/>
        <v>0</v>
      </c>
      <c r="E61" t="str">
        <f t="array" ref="E61">IFERROR(INDEX(Source!$A$1:$A$250,SMALL(IF(--(Source!$B$1:$B$250=Sheet2!$N61)*--(Source!$E$1:$E$250=Sheet2!$M$2),ROW(Source!$B$1:$B$250),FALSE),E$2)),"")</f>
        <v/>
      </c>
      <c r="F61" t="str">
        <f t="array" ref="F61">IFERROR(INDEX(Source!$A$1:$A$250,SMALL(IF(--(Source!$B$1:$B$250=Sheet2!$N61)*--(Source!$E$1:$E$250=Sheet2!$M$2),ROW(Source!$B$1:$B$250),FALSE),F$2)),"")</f>
        <v/>
      </c>
      <c r="G61" t="str">
        <f t="array" ref="G61">IFERROR(INDEX(Source!$A$1:$A$250,SMALL(IF(--(Source!$B$1:$B$250=Sheet2!$N61)*--(Source!$E$1:$E$250=Sheet2!$M$2),ROW(Source!$B$1:$B$250),FALSE),G$2)),"")</f>
        <v/>
      </c>
      <c r="H61" t="str">
        <f t="array" ref="H61">IFERROR(INDEX(Source!$A$1:$A$250,SMALL(IF(--(Source!$B$1:$B$250=Sheet2!$N61)*--(Source!$E$1:$E$250=Sheet2!$M$2),ROW(Source!$B$1:$B$250),FALSE),H$2)),"")</f>
        <v/>
      </c>
      <c r="I61" t="str">
        <f t="array" ref="I61">IFERROR(INDEX(Source!$A$1:$A$250,SMALL(IF(--(Source!$B$1:$B$250=Sheet2!$N61)*--(Source!$E$1:$E$250=Sheet2!$M$2),ROW(Source!$B$1:$B$250),FALSE),I$2)),"")</f>
        <v>24106 HK Equity</v>
      </c>
      <c r="J61" t="str">
        <f t="array" ref="J61">IFERROR(INDEX(Source!$A$1:$A$250,SMALL(IF(--(Source!$B$1:$B$250=Sheet2!$N61)*--(Source!$E$1:$E$250=Sheet2!$M$2),ROW(Source!$B$1:$B$250),FALSE),J$2)),"")</f>
        <v>24166 HK Equity</v>
      </c>
      <c r="K61" t="str">
        <f t="array" ref="K61">IFERROR(INDEX(Source!$A$1:$A$250,SMALL(IF(--(Source!$B$1:$B$250=Sheet2!$N61)*--(Source!$E$1:$E$250=Sheet2!$M$2),ROW(Source!$B$1:$B$250),FALSE),K$2)),"")</f>
        <v>27157 HK Equity</v>
      </c>
      <c r="L61" t="str">
        <f t="array" ref="L61">IFERROR(INDEX(Source!$A$1:$A$250,SMALL(IF(--(Source!$B$1:$B$250=Sheet2!$N61)*--(Source!$E$1:$E$250=Sheet2!$M$2),ROW(Source!$B$1:$B$250),FALSE),L$2)),"")</f>
        <v>23517 HK Equity</v>
      </c>
      <c r="M61">
        <f>COUNTIFS(Source!$E:$E,"Call",Source!$B:$B,Sheet2!$N61)</f>
        <v>4</v>
      </c>
      <c r="N61">
        <v>22000</v>
      </c>
      <c r="O61">
        <f>COUNTIFS(Source!$E:$E,"Put",Source!$B:$B,Sheet2!$N61)</f>
        <v>1</v>
      </c>
      <c r="P61" t="str">
        <f t="array" ref="P61">IFERROR(INDEX(Source!$A$1:$A$250,SMALL(IF(--(Source!$B$1:$B$250=Sheet2!$N61)*--(Source!$E$1:$E$250=Sheet2!$O$2),ROW(Source!$B$1:$B$250),FALSE),P$2)),"")</f>
        <v>22320 HK Equity</v>
      </c>
      <c r="Q61" t="str">
        <f t="array" ref="Q61">IFERROR(INDEX(Source!$A$1:$A$250,SMALL(IF(--(Source!$B$1:$B$250=Sheet2!$N61)*--(Source!$E$1:$E$250=Sheet2!$O$2),ROW(Source!$B$1:$B$250),FALSE),Q$2)),"")</f>
        <v/>
      </c>
      <c r="R61" t="str">
        <f t="array" ref="R61">IFERROR(INDEX(Source!$A$1:$A$250,SMALL(IF(--(Source!$B$1:$B$250=Sheet2!$N61)*--(Source!$E$1:$E$250=Sheet2!$O$2),ROW(Source!$B$1:$B$250),FALSE),R$2)),"")</f>
        <v/>
      </c>
      <c r="S61" t="str">
        <f t="array" ref="S61">IFERROR(INDEX(Source!$A$1:$A$250,SMALL(IF(--(Source!$B$1:$B$250=Sheet2!$N61)*--(Source!$E$1:$E$250=Sheet2!$O$2),ROW(Source!$B$1:$B$250),FALSE),S$2)),"")</f>
        <v/>
      </c>
      <c r="T61" t="str">
        <f t="array" ref="T61">IFERROR(INDEX(Source!$A$1:$A$250,SMALL(IF(--(Source!$B$1:$B$250=Sheet2!$N61)*--(Source!$E$1:$E$250=Sheet2!$O$2),ROW(Source!$B$1:$B$250),FALSE),T$2)),"")</f>
        <v/>
      </c>
      <c r="U61" t="str">
        <f t="array" ref="U61">IFERROR(INDEX(Source!$A$1:$A$250,SMALL(IF(--(Source!$B$1:$B$250=Sheet2!$N61)*--(Source!$E$1:$E$250=Sheet2!$O$2),ROW(Source!$B$1:$B$250),FALSE),U$2)),"")</f>
        <v/>
      </c>
      <c r="V61" t="str">
        <f t="array" ref="V61">IFERROR(INDEX(Source!$A$1:$A$250,SMALL(IF(--(Source!$B$1:$B$250=Sheet2!$N61)*--(Source!$E$1:$E$250=Sheet2!$O$2),ROW(Source!$B$1:$B$250),FALSE),V$2)),"")</f>
        <v/>
      </c>
      <c r="W61" s="5">
        <f t="shared" si="1"/>
        <v>0</v>
      </c>
    </row>
    <row r="62" spans="4:23">
      <c r="D62" s="5">
        <f t="shared" si="0"/>
        <v>0</v>
      </c>
      <c r="E62" t="str">
        <f t="array" ref="E62">IFERROR(INDEX(Source!$A$1:$A$250,SMALL(IF(--(Source!$B$1:$B$250=Sheet2!$N62)*--(Source!$E$1:$E$250=Sheet2!$M$2),ROW(Source!$B$1:$B$250),FALSE),E$2)),"")</f>
        <v/>
      </c>
      <c r="F62" t="str">
        <f t="array" ref="F62">IFERROR(INDEX(Source!$A$1:$A$250,SMALL(IF(--(Source!$B$1:$B$250=Sheet2!$N62)*--(Source!$E$1:$E$250=Sheet2!$M$2),ROW(Source!$B$1:$B$250),FALSE),F$2)),"")</f>
        <v/>
      </c>
      <c r="G62" t="str">
        <f t="array" ref="G62">IFERROR(INDEX(Source!$A$1:$A$250,SMALL(IF(--(Source!$B$1:$B$250=Sheet2!$N62)*--(Source!$E$1:$E$250=Sheet2!$M$2),ROW(Source!$B$1:$B$250),FALSE),G$2)),"")</f>
        <v/>
      </c>
      <c r="H62" t="str">
        <f t="array" ref="H62">IFERROR(INDEX(Source!$A$1:$A$250,SMALL(IF(--(Source!$B$1:$B$250=Sheet2!$N62)*--(Source!$E$1:$E$250=Sheet2!$M$2),ROW(Source!$B$1:$B$250),FALSE),H$2)),"")</f>
        <v/>
      </c>
      <c r="I62" t="str">
        <f t="array" ref="I62">IFERROR(INDEX(Source!$A$1:$A$250,SMALL(IF(--(Source!$B$1:$B$250=Sheet2!$N62)*--(Source!$E$1:$E$250=Sheet2!$M$2),ROW(Source!$B$1:$B$250),FALSE),I$2)),"")</f>
        <v/>
      </c>
      <c r="J62" t="str">
        <f t="array" ref="J62">IFERROR(INDEX(Source!$A$1:$A$250,SMALL(IF(--(Source!$B$1:$B$250=Sheet2!$N62)*--(Source!$E$1:$E$250=Sheet2!$M$2),ROW(Source!$B$1:$B$250),FALSE),J$2)),"")</f>
        <v/>
      </c>
      <c r="K62" t="str">
        <f t="array" ref="K62">IFERROR(INDEX(Source!$A$1:$A$250,SMALL(IF(--(Source!$B$1:$B$250=Sheet2!$N62)*--(Source!$E$1:$E$250=Sheet2!$M$2),ROW(Source!$B$1:$B$250),FALSE),K$2)),"")</f>
        <v/>
      </c>
      <c r="L62" t="str">
        <f t="array" ref="L62">IFERROR(INDEX(Source!$A$1:$A$250,SMALL(IF(--(Source!$B$1:$B$250=Sheet2!$N62)*--(Source!$E$1:$E$250=Sheet2!$M$2),ROW(Source!$B$1:$B$250),FALSE),L$2)),"")</f>
        <v/>
      </c>
      <c r="M62">
        <f>COUNTIFS(Source!$E:$E,"Call",Source!$B:$B,Sheet2!$N62)</f>
        <v>0</v>
      </c>
      <c r="N62">
        <v>22088</v>
      </c>
      <c r="O62">
        <f>COUNTIFS(Source!$E:$E,"Put",Source!$B:$B,Sheet2!$N62)</f>
        <v>1</v>
      </c>
      <c r="P62" t="str">
        <f t="array" ref="P62">IFERROR(INDEX(Source!$A$1:$A$250,SMALL(IF(--(Source!$B$1:$B$250=Sheet2!$N62)*--(Source!$E$1:$E$250=Sheet2!$O$2),ROW(Source!$B$1:$B$250),FALSE),P$2)),"")</f>
        <v>22993 HK Equity</v>
      </c>
      <c r="Q62" t="str">
        <f t="array" ref="Q62">IFERROR(INDEX(Source!$A$1:$A$250,SMALL(IF(--(Source!$B$1:$B$250=Sheet2!$N62)*--(Source!$E$1:$E$250=Sheet2!$O$2),ROW(Source!$B$1:$B$250),FALSE),Q$2)),"")</f>
        <v/>
      </c>
      <c r="R62" t="str">
        <f t="array" ref="R62">IFERROR(INDEX(Source!$A$1:$A$250,SMALL(IF(--(Source!$B$1:$B$250=Sheet2!$N62)*--(Source!$E$1:$E$250=Sheet2!$O$2),ROW(Source!$B$1:$B$250),FALSE),R$2)),"")</f>
        <v/>
      </c>
      <c r="S62" t="str">
        <f t="array" ref="S62">IFERROR(INDEX(Source!$A$1:$A$250,SMALL(IF(--(Source!$B$1:$B$250=Sheet2!$N62)*--(Source!$E$1:$E$250=Sheet2!$O$2),ROW(Source!$B$1:$B$250),FALSE),S$2)),"")</f>
        <v/>
      </c>
      <c r="T62" t="str">
        <f t="array" ref="T62">IFERROR(INDEX(Source!$A$1:$A$250,SMALL(IF(--(Source!$B$1:$B$250=Sheet2!$N62)*--(Source!$E$1:$E$250=Sheet2!$O$2),ROW(Source!$B$1:$B$250),FALSE),T$2)),"")</f>
        <v/>
      </c>
      <c r="U62" t="str">
        <f t="array" ref="U62">IFERROR(INDEX(Source!$A$1:$A$250,SMALL(IF(--(Source!$B$1:$B$250=Sheet2!$N62)*--(Source!$E$1:$E$250=Sheet2!$O$2),ROW(Source!$B$1:$B$250),FALSE),U$2)),"")</f>
        <v/>
      </c>
      <c r="V62" t="str">
        <f t="array" ref="V62">IFERROR(INDEX(Source!$A$1:$A$250,SMALL(IF(--(Source!$B$1:$B$250=Sheet2!$N62)*--(Source!$E$1:$E$250=Sheet2!$O$2),ROW(Source!$B$1:$B$250),FALSE),V$2)),"")</f>
        <v/>
      </c>
      <c r="W62" s="5">
        <f t="shared" si="1"/>
        <v>0</v>
      </c>
    </row>
    <row r="63" spans="4:23">
      <c r="D63" s="5">
        <f t="shared" si="0"/>
        <v>0</v>
      </c>
      <c r="E63" t="str">
        <f t="array" ref="E63">IFERROR(INDEX(Source!$A$1:$A$250,SMALL(IF(--(Source!$B$1:$B$250=Sheet2!$N63)*--(Source!$E$1:$E$250=Sheet2!$M$2),ROW(Source!$B$1:$B$250),FALSE),E$2)),"")</f>
        <v/>
      </c>
      <c r="F63" t="str">
        <f t="array" ref="F63">IFERROR(INDEX(Source!$A$1:$A$250,SMALL(IF(--(Source!$B$1:$B$250=Sheet2!$N63)*--(Source!$E$1:$E$250=Sheet2!$M$2),ROW(Source!$B$1:$B$250),FALSE),F$2)),"")</f>
        <v/>
      </c>
      <c r="G63" t="str">
        <f t="array" ref="G63">IFERROR(INDEX(Source!$A$1:$A$250,SMALL(IF(--(Source!$B$1:$B$250=Sheet2!$N63)*--(Source!$E$1:$E$250=Sheet2!$M$2),ROW(Source!$B$1:$B$250),FALSE),G$2)),"")</f>
        <v/>
      </c>
      <c r="H63" t="str">
        <f t="array" ref="H63">IFERROR(INDEX(Source!$A$1:$A$250,SMALL(IF(--(Source!$B$1:$B$250=Sheet2!$N63)*--(Source!$E$1:$E$250=Sheet2!$M$2),ROW(Source!$B$1:$B$250),FALSE),H$2)),"")</f>
        <v/>
      </c>
      <c r="I63" t="str">
        <f t="array" ref="I63">IFERROR(INDEX(Source!$A$1:$A$250,SMALL(IF(--(Source!$B$1:$B$250=Sheet2!$N63)*--(Source!$E$1:$E$250=Sheet2!$M$2),ROW(Source!$B$1:$B$250),FALSE),I$2)),"")</f>
        <v/>
      </c>
      <c r="J63" t="str">
        <f t="array" ref="J63">IFERROR(INDEX(Source!$A$1:$A$250,SMALL(IF(--(Source!$B$1:$B$250=Sheet2!$N63)*--(Source!$E$1:$E$250=Sheet2!$M$2),ROW(Source!$B$1:$B$250),FALSE),J$2)),"")</f>
        <v/>
      </c>
      <c r="K63" t="str">
        <f t="array" ref="K63">IFERROR(INDEX(Source!$A$1:$A$250,SMALL(IF(--(Source!$B$1:$B$250=Sheet2!$N63)*--(Source!$E$1:$E$250=Sheet2!$M$2),ROW(Source!$B$1:$B$250),FALSE),K$2)),"")</f>
        <v/>
      </c>
      <c r="L63" t="str">
        <f t="array" ref="L63">IFERROR(INDEX(Source!$A$1:$A$250,SMALL(IF(--(Source!$B$1:$B$250=Sheet2!$N63)*--(Source!$E$1:$E$250=Sheet2!$M$2),ROW(Source!$B$1:$B$250),FALSE),L$2)),"")</f>
        <v>25146 HK Equity</v>
      </c>
      <c r="M63">
        <f>COUNTIFS(Source!$E:$E,"Call",Source!$B:$B,Sheet2!$N63)</f>
        <v>1</v>
      </c>
      <c r="N63">
        <v>22100</v>
      </c>
      <c r="O63">
        <f>COUNTIFS(Source!$E:$E,"Put",Source!$B:$B,Sheet2!$N63)</f>
        <v>1</v>
      </c>
      <c r="P63" t="str">
        <f t="array" ref="P63">IFERROR(INDEX(Source!$A$1:$A$250,SMALL(IF(--(Source!$B$1:$B$250=Sheet2!$N63)*--(Source!$E$1:$E$250=Sheet2!$O$2),ROW(Source!$B$1:$B$250),FALSE),P$2)),"")</f>
        <v>21729 HK Equity</v>
      </c>
      <c r="Q63" t="str">
        <f t="array" ref="Q63">IFERROR(INDEX(Source!$A$1:$A$250,SMALL(IF(--(Source!$B$1:$B$250=Sheet2!$N63)*--(Source!$E$1:$E$250=Sheet2!$O$2),ROW(Source!$B$1:$B$250),FALSE),Q$2)),"")</f>
        <v/>
      </c>
      <c r="R63" t="str">
        <f t="array" ref="R63">IFERROR(INDEX(Source!$A$1:$A$250,SMALL(IF(--(Source!$B$1:$B$250=Sheet2!$N63)*--(Source!$E$1:$E$250=Sheet2!$O$2),ROW(Source!$B$1:$B$250),FALSE),R$2)),"")</f>
        <v/>
      </c>
      <c r="S63" t="str">
        <f t="array" ref="S63">IFERROR(INDEX(Source!$A$1:$A$250,SMALL(IF(--(Source!$B$1:$B$250=Sheet2!$N63)*--(Source!$E$1:$E$250=Sheet2!$O$2),ROW(Source!$B$1:$B$250),FALSE),S$2)),"")</f>
        <v/>
      </c>
      <c r="T63" t="str">
        <f t="array" ref="T63">IFERROR(INDEX(Source!$A$1:$A$250,SMALL(IF(--(Source!$B$1:$B$250=Sheet2!$N63)*--(Source!$E$1:$E$250=Sheet2!$O$2),ROW(Source!$B$1:$B$250),FALSE),T$2)),"")</f>
        <v/>
      </c>
      <c r="U63" t="str">
        <f t="array" ref="U63">IFERROR(INDEX(Source!$A$1:$A$250,SMALL(IF(--(Source!$B$1:$B$250=Sheet2!$N63)*--(Source!$E$1:$E$250=Sheet2!$O$2),ROW(Source!$B$1:$B$250),FALSE),U$2)),"")</f>
        <v/>
      </c>
      <c r="V63" t="str">
        <f t="array" ref="V63">IFERROR(INDEX(Source!$A$1:$A$250,SMALL(IF(--(Source!$B$1:$B$250=Sheet2!$N63)*--(Source!$E$1:$E$250=Sheet2!$O$2),ROW(Source!$B$1:$B$250),FALSE),V$2)),"")</f>
        <v/>
      </c>
      <c r="W63" s="5">
        <f t="shared" si="1"/>
        <v>0</v>
      </c>
    </row>
    <row r="64" spans="4:23">
      <c r="D64" s="5">
        <f t="shared" si="0"/>
        <v>0</v>
      </c>
      <c r="E64" t="str">
        <f t="array" ref="E64">IFERROR(INDEX(Source!$A$1:$A$250,SMALL(IF(--(Source!$B$1:$B$250=Sheet2!$N64)*--(Source!$E$1:$E$250=Sheet2!$M$2),ROW(Source!$B$1:$B$250),FALSE),E$2)),"")</f>
        <v/>
      </c>
      <c r="F64" t="str">
        <f t="array" ref="F64">IFERROR(INDEX(Source!$A$1:$A$250,SMALL(IF(--(Source!$B$1:$B$250=Sheet2!$N64)*--(Source!$E$1:$E$250=Sheet2!$M$2),ROW(Source!$B$1:$B$250),FALSE),F$2)),"")</f>
        <v/>
      </c>
      <c r="G64" t="str">
        <f t="array" ref="G64">IFERROR(INDEX(Source!$A$1:$A$250,SMALL(IF(--(Source!$B$1:$B$250=Sheet2!$N64)*--(Source!$E$1:$E$250=Sheet2!$M$2),ROW(Source!$B$1:$B$250),FALSE),G$2)),"")</f>
        <v/>
      </c>
      <c r="H64" t="str">
        <f t="array" ref="H64">IFERROR(INDEX(Source!$A$1:$A$250,SMALL(IF(--(Source!$B$1:$B$250=Sheet2!$N64)*--(Source!$E$1:$E$250=Sheet2!$M$2),ROW(Source!$B$1:$B$250),FALSE),H$2)),"")</f>
        <v/>
      </c>
      <c r="I64" t="str">
        <f t="array" ref="I64">IFERROR(INDEX(Source!$A$1:$A$250,SMALL(IF(--(Source!$B$1:$B$250=Sheet2!$N64)*--(Source!$E$1:$E$250=Sheet2!$M$2),ROW(Source!$B$1:$B$250),FALSE),I$2)),"")</f>
        <v/>
      </c>
      <c r="J64" t="str">
        <f t="array" ref="J64">IFERROR(INDEX(Source!$A$1:$A$250,SMALL(IF(--(Source!$B$1:$B$250=Sheet2!$N64)*--(Source!$E$1:$E$250=Sheet2!$M$2),ROW(Source!$B$1:$B$250),FALSE),J$2)),"")</f>
        <v/>
      </c>
      <c r="K64" t="str">
        <f t="array" ref="K64">IFERROR(INDEX(Source!$A$1:$A$250,SMALL(IF(--(Source!$B$1:$B$250=Sheet2!$N64)*--(Source!$E$1:$E$250=Sheet2!$M$2),ROW(Source!$B$1:$B$250),FALSE),K$2)),"")</f>
        <v/>
      </c>
      <c r="L64" t="str">
        <f t="array" ref="L64">IFERROR(INDEX(Source!$A$1:$A$250,SMALL(IF(--(Source!$B$1:$B$250=Sheet2!$N64)*--(Source!$E$1:$E$250=Sheet2!$M$2),ROW(Source!$B$1:$B$250),FALSE),L$2)),"")</f>
        <v>27559 HK Equity</v>
      </c>
      <c r="M64">
        <f>COUNTIFS(Source!$E:$E,"Call",Source!$B:$B,Sheet2!$N64)</f>
        <v>1</v>
      </c>
      <c r="N64">
        <v>22108</v>
      </c>
      <c r="O64">
        <f>COUNTIFS(Source!$E:$E,"Put",Source!$B:$B,Sheet2!$N64)</f>
        <v>0</v>
      </c>
      <c r="P64" t="str">
        <f t="array" ref="P64">IFERROR(INDEX(Source!$A$1:$A$250,SMALL(IF(--(Source!$B$1:$B$250=Sheet2!$N64)*--(Source!$E$1:$E$250=Sheet2!$O$2),ROW(Source!$B$1:$B$250),FALSE),P$2)),"")</f>
        <v/>
      </c>
      <c r="Q64" t="str">
        <f t="array" ref="Q64">IFERROR(INDEX(Source!$A$1:$A$250,SMALL(IF(--(Source!$B$1:$B$250=Sheet2!$N64)*--(Source!$E$1:$E$250=Sheet2!$O$2),ROW(Source!$B$1:$B$250),FALSE),Q$2)),"")</f>
        <v/>
      </c>
      <c r="R64" t="str">
        <f t="array" ref="R64">IFERROR(INDEX(Source!$A$1:$A$250,SMALL(IF(--(Source!$B$1:$B$250=Sheet2!$N64)*--(Source!$E$1:$E$250=Sheet2!$O$2),ROW(Source!$B$1:$B$250),FALSE),R$2)),"")</f>
        <v/>
      </c>
      <c r="S64" t="str">
        <f t="array" ref="S64">IFERROR(INDEX(Source!$A$1:$A$250,SMALL(IF(--(Source!$B$1:$B$250=Sheet2!$N64)*--(Source!$E$1:$E$250=Sheet2!$O$2),ROW(Source!$B$1:$B$250),FALSE),S$2)),"")</f>
        <v/>
      </c>
      <c r="T64" t="str">
        <f t="array" ref="T64">IFERROR(INDEX(Source!$A$1:$A$250,SMALL(IF(--(Source!$B$1:$B$250=Sheet2!$N64)*--(Source!$E$1:$E$250=Sheet2!$O$2),ROW(Source!$B$1:$B$250),FALSE),T$2)),"")</f>
        <v/>
      </c>
      <c r="U64" t="str">
        <f t="array" ref="U64">IFERROR(INDEX(Source!$A$1:$A$250,SMALL(IF(--(Source!$B$1:$B$250=Sheet2!$N64)*--(Source!$E$1:$E$250=Sheet2!$O$2),ROW(Source!$B$1:$B$250),FALSE),U$2)),"")</f>
        <v/>
      </c>
      <c r="V64" t="str">
        <f t="array" ref="V64">IFERROR(INDEX(Source!$A$1:$A$250,SMALL(IF(--(Source!$B$1:$B$250=Sheet2!$N64)*--(Source!$E$1:$E$250=Sheet2!$O$2),ROW(Source!$B$1:$B$250),FALSE),V$2)),"")</f>
        <v/>
      </c>
      <c r="W64" s="5">
        <f t="shared" si="1"/>
        <v>0</v>
      </c>
    </row>
    <row r="65" spans="4:23">
      <c r="D65" s="5">
        <f t="shared" si="0"/>
        <v>0</v>
      </c>
      <c r="E65" t="str">
        <f t="array" ref="E65">IFERROR(INDEX(Source!$A$1:$A$250,SMALL(IF(--(Source!$B$1:$B$250=Sheet2!$N65)*--(Source!$E$1:$E$250=Sheet2!$M$2),ROW(Source!$B$1:$B$250),FALSE),E$2)),"")</f>
        <v/>
      </c>
      <c r="F65" t="str">
        <f t="array" ref="F65">IFERROR(INDEX(Source!$A$1:$A$250,SMALL(IF(--(Source!$B$1:$B$250=Sheet2!$N65)*--(Source!$E$1:$E$250=Sheet2!$M$2),ROW(Source!$B$1:$B$250),FALSE),F$2)),"")</f>
        <v/>
      </c>
      <c r="G65" t="str">
        <f t="array" ref="G65">IFERROR(INDEX(Source!$A$1:$A$250,SMALL(IF(--(Source!$B$1:$B$250=Sheet2!$N65)*--(Source!$E$1:$E$250=Sheet2!$M$2),ROW(Source!$B$1:$B$250),FALSE),G$2)),"")</f>
        <v/>
      </c>
      <c r="H65" t="str">
        <f t="array" ref="H65">IFERROR(INDEX(Source!$A$1:$A$250,SMALL(IF(--(Source!$B$1:$B$250=Sheet2!$N65)*--(Source!$E$1:$E$250=Sheet2!$M$2),ROW(Source!$B$1:$B$250),FALSE),H$2)),"")</f>
        <v/>
      </c>
      <c r="I65" t="str">
        <f t="array" ref="I65">IFERROR(INDEX(Source!$A$1:$A$250,SMALL(IF(--(Source!$B$1:$B$250=Sheet2!$N65)*--(Source!$E$1:$E$250=Sheet2!$M$2),ROW(Source!$B$1:$B$250),FALSE),I$2)),"")</f>
        <v/>
      </c>
      <c r="J65" t="str">
        <f t="array" ref="J65">IFERROR(INDEX(Source!$A$1:$A$250,SMALL(IF(--(Source!$B$1:$B$250=Sheet2!$N65)*--(Source!$E$1:$E$250=Sheet2!$M$2),ROW(Source!$B$1:$B$250),FALSE),J$2)),"")</f>
        <v/>
      </c>
      <c r="K65" t="str">
        <f t="array" ref="K65">IFERROR(INDEX(Source!$A$1:$A$250,SMALL(IF(--(Source!$B$1:$B$250=Sheet2!$N65)*--(Source!$E$1:$E$250=Sheet2!$M$2),ROW(Source!$B$1:$B$250),FALSE),K$2)),"")</f>
        <v>24374 HK Equity</v>
      </c>
      <c r="L65" t="str">
        <f t="array" ref="L65">IFERROR(INDEX(Source!$A$1:$A$250,SMALL(IF(--(Source!$B$1:$B$250=Sheet2!$N65)*--(Source!$E$1:$E$250=Sheet2!$M$2),ROW(Source!$B$1:$B$250),FALSE),L$2)),"")</f>
        <v>24688 HK Equity</v>
      </c>
      <c r="M65">
        <f>COUNTIFS(Source!$E:$E,"Call",Source!$B:$B,Sheet2!$N65)</f>
        <v>2</v>
      </c>
      <c r="N65">
        <v>22200</v>
      </c>
      <c r="O65">
        <f>COUNTIFS(Source!$E:$E,"Put",Source!$B:$B,Sheet2!$N65)</f>
        <v>1</v>
      </c>
      <c r="P65" t="str">
        <f t="array" ref="P65">IFERROR(INDEX(Source!$A$1:$A$250,SMALL(IF(--(Source!$B$1:$B$250=Sheet2!$N65)*--(Source!$E$1:$E$250=Sheet2!$O$2),ROW(Source!$B$1:$B$250),FALSE),P$2)),"")</f>
        <v>20546 HK Equity</v>
      </c>
      <c r="Q65" t="str">
        <f t="array" ref="Q65">IFERROR(INDEX(Source!$A$1:$A$250,SMALL(IF(--(Source!$B$1:$B$250=Sheet2!$N65)*--(Source!$E$1:$E$250=Sheet2!$O$2),ROW(Source!$B$1:$B$250),FALSE),Q$2)),"")</f>
        <v/>
      </c>
      <c r="R65" t="str">
        <f t="array" ref="R65">IFERROR(INDEX(Source!$A$1:$A$250,SMALL(IF(--(Source!$B$1:$B$250=Sheet2!$N65)*--(Source!$E$1:$E$250=Sheet2!$O$2),ROW(Source!$B$1:$B$250),FALSE),R$2)),"")</f>
        <v/>
      </c>
      <c r="S65" t="str">
        <f t="array" ref="S65">IFERROR(INDEX(Source!$A$1:$A$250,SMALL(IF(--(Source!$B$1:$B$250=Sheet2!$N65)*--(Source!$E$1:$E$250=Sheet2!$O$2),ROW(Source!$B$1:$B$250),FALSE),S$2)),"")</f>
        <v/>
      </c>
      <c r="T65" t="str">
        <f t="array" ref="T65">IFERROR(INDEX(Source!$A$1:$A$250,SMALL(IF(--(Source!$B$1:$B$250=Sheet2!$N65)*--(Source!$E$1:$E$250=Sheet2!$O$2),ROW(Source!$B$1:$B$250),FALSE),T$2)),"")</f>
        <v/>
      </c>
      <c r="U65" t="str">
        <f t="array" ref="U65">IFERROR(INDEX(Source!$A$1:$A$250,SMALL(IF(--(Source!$B$1:$B$250=Sheet2!$N65)*--(Source!$E$1:$E$250=Sheet2!$O$2),ROW(Source!$B$1:$B$250),FALSE),U$2)),"")</f>
        <v/>
      </c>
      <c r="V65" t="str">
        <f t="array" ref="V65">IFERROR(INDEX(Source!$A$1:$A$250,SMALL(IF(--(Source!$B$1:$B$250=Sheet2!$N65)*--(Source!$E$1:$E$250=Sheet2!$O$2),ROW(Source!$B$1:$B$250),FALSE),V$2)),"")</f>
        <v/>
      </c>
      <c r="W65" s="5">
        <f t="shared" si="1"/>
        <v>0</v>
      </c>
    </row>
    <row r="66" spans="4:23">
      <c r="D66" s="5">
        <f t="shared" si="0"/>
        <v>0</v>
      </c>
      <c r="E66" t="str">
        <f t="array" ref="E66">IFERROR(INDEX(Source!$A$1:$A$250,SMALL(IF(--(Source!$B$1:$B$250=Sheet2!$N66)*--(Source!$E$1:$E$250=Sheet2!$M$2),ROW(Source!$B$1:$B$250),FALSE),E$2)),"")</f>
        <v/>
      </c>
      <c r="F66" t="str">
        <f t="array" ref="F66">IFERROR(INDEX(Source!$A$1:$A$250,SMALL(IF(--(Source!$B$1:$B$250=Sheet2!$N66)*--(Source!$E$1:$E$250=Sheet2!$M$2),ROW(Source!$B$1:$B$250),FALSE),F$2)),"")</f>
        <v/>
      </c>
      <c r="G66" t="str">
        <f t="array" ref="G66">IFERROR(INDEX(Source!$A$1:$A$250,SMALL(IF(--(Source!$B$1:$B$250=Sheet2!$N66)*--(Source!$E$1:$E$250=Sheet2!$M$2),ROW(Source!$B$1:$B$250),FALSE),G$2)),"")</f>
        <v/>
      </c>
      <c r="H66" t="str">
        <f t="array" ref="H66">IFERROR(INDEX(Source!$A$1:$A$250,SMALL(IF(--(Source!$B$1:$B$250=Sheet2!$N66)*--(Source!$E$1:$E$250=Sheet2!$M$2),ROW(Source!$B$1:$B$250),FALSE),H$2)),"")</f>
        <v/>
      </c>
      <c r="I66" t="str">
        <f t="array" ref="I66">IFERROR(INDEX(Source!$A$1:$A$250,SMALL(IF(--(Source!$B$1:$B$250=Sheet2!$N66)*--(Source!$E$1:$E$250=Sheet2!$M$2),ROW(Source!$B$1:$B$250),FALSE),I$2)),"")</f>
        <v/>
      </c>
      <c r="J66" t="str">
        <f t="array" ref="J66">IFERROR(INDEX(Source!$A$1:$A$250,SMALL(IF(--(Source!$B$1:$B$250=Sheet2!$N66)*--(Source!$E$1:$E$250=Sheet2!$M$2),ROW(Source!$B$1:$B$250),FALSE),J$2)),"")</f>
        <v/>
      </c>
      <c r="K66" t="str">
        <f t="array" ref="K66">IFERROR(INDEX(Source!$A$1:$A$250,SMALL(IF(--(Source!$B$1:$B$250=Sheet2!$N66)*--(Source!$E$1:$E$250=Sheet2!$M$2),ROW(Source!$B$1:$B$250),FALSE),K$2)),"")</f>
        <v/>
      </c>
      <c r="L66" t="str">
        <f t="array" ref="L66">IFERROR(INDEX(Source!$A$1:$A$250,SMALL(IF(--(Source!$B$1:$B$250=Sheet2!$N66)*--(Source!$E$1:$E$250=Sheet2!$M$2),ROW(Source!$B$1:$B$250),FALSE),L$2)),"")</f>
        <v>25090 HK Equity</v>
      </c>
      <c r="M66">
        <f>COUNTIFS(Source!$E:$E,"Call",Source!$B:$B,Sheet2!$N66)</f>
        <v>1</v>
      </c>
      <c r="N66">
        <v>22308</v>
      </c>
      <c r="O66">
        <f>COUNTIFS(Source!$E:$E,"Put",Source!$B:$B,Sheet2!$N66)</f>
        <v>0</v>
      </c>
      <c r="P66" t="str">
        <f t="array" ref="P66">IFERROR(INDEX(Source!$A$1:$A$250,SMALL(IF(--(Source!$B$1:$B$250=Sheet2!$N66)*--(Source!$E$1:$E$250=Sheet2!$O$2),ROW(Source!$B$1:$B$250),FALSE),P$2)),"")</f>
        <v/>
      </c>
      <c r="Q66" t="str">
        <f t="array" ref="Q66">IFERROR(INDEX(Source!$A$1:$A$250,SMALL(IF(--(Source!$B$1:$B$250=Sheet2!$N66)*--(Source!$E$1:$E$250=Sheet2!$O$2),ROW(Source!$B$1:$B$250),FALSE),Q$2)),"")</f>
        <v/>
      </c>
      <c r="R66" t="str">
        <f t="array" ref="R66">IFERROR(INDEX(Source!$A$1:$A$250,SMALL(IF(--(Source!$B$1:$B$250=Sheet2!$N66)*--(Source!$E$1:$E$250=Sheet2!$O$2),ROW(Source!$B$1:$B$250),FALSE),R$2)),"")</f>
        <v/>
      </c>
      <c r="S66" t="str">
        <f t="array" ref="S66">IFERROR(INDEX(Source!$A$1:$A$250,SMALL(IF(--(Source!$B$1:$B$250=Sheet2!$N66)*--(Source!$E$1:$E$250=Sheet2!$O$2),ROW(Source!$B$1:$B$250),FALSE),S$2)),"")</f>
        <v/>
      </c>
      <c r="T66" t="str">
        <f t="array" ref="T66">IFERROR(INDEX(Source!$A$1:$A$250,SMALL(IF(--(Source!$B$1:$B$250=Sheet2!$N66)*--(Source!$E$1:$E$250=Sheet2!$O$2),ROW(Source!$B$1:$B$250),FALSE),T$2)),"")</f>
        <v/>
      </c>
      <c r="U66" t="str">
        <f t="array" ref="U66">IFERROR(INDEX(Source!$A$1:$A$250,SMALL(IF(--(Source!$B$1:$B$250=Sheet2!$N66)*--(Source!$E$1:$E$250=Sheet2!$O$2),ROW(Source!$B$1:$B$250),FALSE),U$2)),"")</f>
        <v/>
      </c>
      <c r="V66" t="str">
        <f t="array" ref="V66">IFERROR(INDEX(Source!$A$1:$A$250,SMALL(IF(--(Source!$B$1:$B$250=Sheet2!$N66)*--(Source!$E$1:$E$250=Sheet2!$O$2),ROW(Source!$B$1:$B$250),FALSE),V$2)),"")</f>
        <v/>
      </c>
      <c r="W66" s="5">
        <f t="shared" si="1"/>
        <v>0</v>
      </c>
    </row>
    <row r="67" spans="4:23">
      <c r="D67" s="5">
        <f t="shared" si="0"/>
        <v>0</v>
      </c>
      <c r="E67" t="str">
        <f t="array" ref="E67">IFERROR(INDEX(Source!$A$1:$A$250,SMALL(IF(--(Source!$B$1:$B$250=Sheet2!$N67)*--(Source!$E$1:$E$250=Sheet2!$M$2),ROW(Source!$B$1:$B$250),FALSE),E$2)),"")</f>
        <v/>
      </c>
      <c r="F67" t="str">
        <f t="array" ref="F67">IFERROR(INDEX(Source!$A$1:$A$250,SMALL(IF(--(Source!$B$1:$B$250=Sheet2!$N67)*--(Source!$E$1:$E$250=Sheet2!$M$2),ROW(Source!$B$1:$B$250),FALSE),F$2)),"")</f>
        <v/>
      </c>
      <c r="G67" t="str">
        <f t="array" ref="G67">IFERROR(INDEX(Source!$A$1:$A$250,SMALL(IF(--(Source!$B$1:$B$250=Sheet2!$N67)*--(Source!$E$1:$E$250=Sheet2!$M$2),ROW(Source!$B$1:$B$250),FALSE),G$2)),"")</f>
        <v/>
      </c>
      <c r="H67" t="str">
        <f t="array" ref="H67">IFERROR(INDEX(Source!$A$1:$A$250,SMALL(IF(--(Source!$B$1:$B$250=Sheet2!$N67)*--(Source!$E$1:$E$250=Sheet2!$M$2),ROW(Source!$B$1:$B$250),FALSE),H$2)),"")</f>
        <v/>
      </c>
      <c r="I67" t="str">
        <f t="array" ref="I67">IFERROR(INDEX(Source!$A$1:$A$250,SMALL(IF(--(Source!$B$1:$B$250=Sheet2!$N67)*--(Source!$E$1:$E$250=Sheet2!$M$2),ROW(Source!$B$1:$B$250),FALSE),I$2)),"")</f>
        <v/>
      </c>
      <c r="J67" t="str">
        <f t="array" ref="J67">IFERROR(INDEX(Source!$A$1:$A$250,SMALL(IF(--(Source!$B$1:$B$250=Sheet2!$N67)*--(Source!$E$1:$E$250=Sheet2!$M$2),ROW(Source!$B$1:$B$250),FALSE),J$2)),"")</f>
        <v/>
      </c>
      <c r="K67" t="str">
        <f t="array" ref="K67">IFERROR(INDEX(Source!$A$1:$A$250,SMALL(IF(--(Source!$B$1:$B$250=Sheet2!$N67)*--(Source!$E$1:$E$250=Sheet2!$M$2),ROW(Source!$B$1:$B$250),FALSE),K$2)),"")</f>
        <v/>
      </c>
      <c r="L67" t="str">
        <f t="array" ref="L67">IFERROR(INDEX(Source!$A$1:$A$250,SMALL(IF(--(Source!$B$1:$B$250=Sheet2!$N67)*--(Source!$E$1:$E$250=Sheet2!$M$2),ROW(Source!$B$1:$B$250),FALSE),L$2)),"")</f>
        <v/>
      </c>
      <c r="M67">
        <f>COUNTIFS(Source!$E:$E,"Call",Source!$B:$B,Sheet2!$N67)</f>
        <v>0</v>
      </c>
      <c r="N67">
        <v>22500</v>
      </c>
      <c r="O67">
        <f>COUNTIFS(Source!$E:$E,"Put",Source!$B:$B,Sheet2!$N67)</f>
        <v>1</v>
      </c>
      <c r="P67" t="str">
        <f t="array" ref="P67">IFERROR(INDEX(Source!$A$1:$A$250,SMALL(IF(--(Source!$B$1:$B$250=Sheet2!$N67)*--(Source!$E$1:$E$250=Sheet2!$O$2),ROW(Source!$B$1:$B$250),FALSE),P$2)),"")</f>
        <v>24429 HK Equity</v>
      </c>
      <c r="Q67" t="str">
        <f t="array" ref="Q67">IFERROR(INDEX(Source!$A$1:$A$250,SMALL(IF(--(Source!$B$1:$B$250=Sheet2!$N67)*--(Source!$E$1:$E$250=Sheet2!$O$2),ROW(Source!$B$1:$B$250),FALSE),Q$2)),"")</f>
        <v/>
      </c>
      <c r="R67" t="str">
        <f t="array" ref="R67">IFERROR(INDEX(Source!$A$1:$A$250,SMALL(IF(--(Source!$B$1:$B$250=Sheet2!$N67)*--(Source!$E$1:$E$250=Sheet2!$O$2),ROW(Source!$B$1:$B$250),FALSE),R$2)),"")</f>
        <v/>
      </c>
      <c r="S67" t="str">
        <f t="array" ref="S67">IFERROR(INDEX(Source!$A$1:$A$250,SMALL(IF(--(Source!$B$1:$B$250=Sheet2!$N67)*--(Source!$E$1:$E$250=Sheet2!$O$2),ROW(Source!$B$1:$B$250),FALSE),S$2)),"")</f>
        <v/>
      </c>
      <c r="T67" t="str">
        <f t="array" ref="T67">IFERROR(INDEX(Source!$A$1:$A$250,SMALL(IF(--(Source!$B$1:$B$250=Sheet2!$N67)*--(Source!$E$1:$E$250=Sheet2!$O$2),ROW(Source!$B$1:$B$250),FALSE),T$2)),"")</f>
        <v/>
      </c>
      <c r="U67" t="str">
        <f t="array" ref="U67">IFERROR(INDEX(Source!$A$1:$A$250,SMALL(IF(--(Source!$B$1:$B$250=Sheet2!$N67)*--(Source!$E$1:$E$250=Sheet2!$O$2),ROW(Source!$B$1:$B$250),FALSE),U$2)),"")</f>
        <v/>
      </c>
      <c r="V67" t="str">
        <f t="array" ref="V67">IFERROR(INDEX(Source!$A$1:$A$250,SMALL(IF(--(Source!$B$1:$B$250=Sheet2!$N67)*--(Source!$E$1:$E$250=Sheet2!$O$2),ROW(Source!$B$1:$B$250),FALSE),V$2)),"")</f>
        <v/>
      </c>
      <c r="W67" s="5">
        <f t="shared" si="1"/>
        <v>0</v>
      </c>
    </row>
    <row r="68" spans="4:23">
      <c r="D68" s="5">
        <f t="shared" ref="D68:D85" si="2">SUMPRODUCT(--(E68:L68&lt;&gt;""))-M68</f>
        <v>0</v>
      </c>
      <c r="E68" t="str">
        <f t="array" ref="E68">IFERROR(INDEX(Source!$A$1:$A$250,SMALL(IF(--(Source!$B$1:$B$250=Sheet2!$N68)*--(Source!$E$1:$E$250=Sheet2!$M$2),ROW(Source!$B$1:$B$250),FALSE),E$2)),"")</f>
        <v/>
      </c>
      <c r="F68" t="str">
        <f t="array" ref="F68">IFERROR(INDEX(Source!$A$1:$A$250,SMALL(IF(--(Source!$B$1:$B$250=Sheet2!$N68)*--(Source!$E$1:$E$250=Sheet2!$M$2),ROW(Source!$B$1:$B$250),FALSE),F$2)),"")</f>
        <v/>
      </c>
      <c r="G68" t="str">
        <f t="array" ref="G68">IFERROR(INDEX(Source!$A$1:$A$250,SMALL(IF(--(Source!$B$1:$B$250=Sheet2!$N68)*--(Source!$E$1:$E$250=Sheet2!$M$2),ROW(Source!$B$1:$B$250),FALSE),G$2)),"")</f>
        <v/>
      </c>
      <c r="H68" t="str">
        <f t="array" ref="H68">IFERROR(INDEX(Source!$A$1:$A$250,SMALL(IF(--(Source!$B$1:$B$250=Sheet2!$N68)*--(Source!$E$1:$E$250=Sheet2!$M$2),ROW(Source!$B$1:$B$250),FALSE),H$2)),"")</f>
        <v/>
      </c>
      <c r="I68" t="str">
        <f t="array" ref="I68">IFERROR(INDEX(Source!$A$1:$A$250,SMALL(IF(--(Source!$B$1:$B$250=Sheet2!$N68)*--(Source!$E$1:$E$250=Sheet2!$M$2),ROW(Source!$B$1:$B$250),FALSE),I$2)),"")</f>
        <v/>
      </c>
      <c r="J68" t="str">
        <f t="array" ref="J68">IFERROR(INDEX(Source!$A$1:$A$250,SMALL(IF(--(Source!$B$1:$B$250=Sheet2!$N68)*--(Source!$E$1:$E$250=Sheet2!$M$2),ROW(Source!$B$1:$B$250),FALSE),J$2)),"")</f>
        <v>23522 HK Equity</v>
      </c>
      <c r="K68" t="str">
        <f t="array" ref="K68">IFERROR(INDEX(Source!$A$1:$A$250,SMALL(IF(--(Source!$B$1:$B$250=Sheet2!$N68)*--(Source!$E$1:$E$250=Sheet2!$M$2),ROW(Source!$B$1:$B$250),FALSE),K$2)),"")</f>
        <v>11069 HK Equity</v>
      </c>
      <c r="L68" t="str">
        <f t="array" ref="L68">IFERROR(INDEX(Source!$A$1:$A$250,SMALL(IF(--(Source!$B$1:$B$250=Sheet2!$N68)*--(Source!$E$1:$E$250=Sheet2!$M$2),ROW(Source!$B$1:$B$250),FALSE),L$2)),"")</f>
        <v>24107 HK Equity</v>
      </c>
      <c r="M68">
        <f>COUNTIFS(Source!$E:$E,"Call",Source!$B:$B,Sheet2!$N68)</f>
        <v>3</v>
      </c>
      <c r="N68">
        <v>22600</v>
      </c>
      <c r="O68">
        <f>COUNTIFS(Source!$E:$E,"Put",Source!$B:$B,Sheet2!$N68)</f>
        <v>0</v>
      </c>
      <c r="P68" t="str">
        <f t="array" ref="P68">IFERROR(INDEX(Source!$A$1:$A$250,SMALL(IF(--(Source!$B$1:$B$250=Sheet2!$N68)*--(Source!$E$1:$E$250=Sheet2!$O$2),ROW(Source!$B$1:$B$250),FALSE),P$2)),"")</f>
        <v/>
      </c>
      <c r="Q68" t="str">
        <f t="array" ref="Q68">IFERROR(INDEX(Source!$A$1:$A$250,SMALL(IF(--(Source!$B$1:$B$250=Sheet2!$N68)*--(Source!$E$1:$E$250=Sheet2!$O$2),ROW(Source!$B$1:$B$250),FALSE),Q$2)),"")</f>
        <v/>
      </c>
      <c r="R68" t="str">
        <f t="array" ref="R68">IFERROR(INDEX(Source!$A$1:$A$250,SMALL(IF(--(Source!$B$1:$B$250=Sheet2!$N68)*--(Source!$E$1:$E$250=Sheet2!$O$2),ROW(Source!$B$1:$B$250),FALSE),R$2)),"")</f>
        <v/>
      </c>
      <c r="S68" t="str">
        <f t="array" ref="S68">IFERROR(INDEX(Source!$A$1:$A$250,SMALL(IF(--(Source!$B$1:$B$250=Sheet2!$N68)*--(Source!$E$1:$E$250=Sheet2!$O$2),ROW(Source!$B$1:$B$250),FALSE),S$2)),"")</f>
        <v/>
      </c>
      <c r="T68" t="str">
        <f t="array" ref="T68">IFERROR(INDEX(Source!$A$1:$A$250,SMALL(IF(--(Source!$B$1:$B$250=Sheet2!$N68)*--(Source!$E$1:$E$250=Sheet2!$O$2),ROW(Source!$B$1:$B$250),FALSE),T$2)),"")</f>
        <v/>
      </c>
      <c r="U68" t="str">
        <f t="array" ref="U68">IFERROR(INDEX(Source!$A$1:$A$250,SMALL(IF(--(Source!$B$1:$B$250=Sheet2!$N68)*--(Source!$E$1:$E$250=Sheet2!$O$2),ROW(Source!$B$1:$B$250),FALSE),U$2)),"")</f>
        <v/>
      </c>
      <c r="V68" t="str">
        <f t="array" ref="V68">IFERROR(INDEX(Source!$A$1:$A$250,SMALL(IF(--(Source!$B$1:$B$250=Sheet2!$N68)*--(Source!$E$1:$E$250=Sheet2!$O$2),ROW(Source!$B$1:$B$250),FALSE),V$2)),"")</f>
        <v/>
      </c>
      <c r="W68" s="5">
        <f t="shared" ref="W68:W85" si="3">SUMPRODUCT(--(P68:V68&lt;&gt;""))-O68</f>
        <v>0</v>
      </c>
    </row>
    <row r="69" spans="4:23">
      <c r="D69" s="5">
        <f t="shared" si="2"/>
        <v>0</v>
      </c>
      <c r="E69" t="str">
        <f t="array" ref="E69">IFERROR(INDEX(Source!$A$1:$A$250,SMALL(IF(--(Source!$B$1:$B$250=Sheet2!$N69)*--(Source!$E$1:$E$250=Sheet2!$M$2),ROW(Source!$B$1:$B$250),FALSE),E$2)),"")</f>
        <v/>
      </c>
      <c r="F69" t="str">
        <f t="array" ref="F69">IFERROR(INDEX(Source!$A$1:$A$250,SMALL(IF(--(Source!$B$1:$B$250=Sheet2!$N69)*--(Source!$E$1:$E$250=Sheet2!$M$2),ROW(Source!$B$1:$B$250),FALSE),F$2)),"")</f>
        <v/>
      </c>
      <c r="G69" t="str">
        <f t="array" ref="G69">IFERROR(INDEX(Source!$A$1:$A$250,SMALL(IF(--(Source!$B$1:$B$250=Sheet2!$N69)*--(Source!$E$1:$E$250=Sheet2!$M$2),ROW(Source!$B$1:$B$250),FALSE),G$2)),"")</f>
        <v/>
      </c>
      <c r="H69" t="str">
        <f t="array" ref="H69">IFERROR(INDEX(Source!$A$1:$A$250,SMALL(IF(--(Source!$B$1:$B$250=Sheet2!$N69)*--(Source!$E$1:$E$250=Sheet2!$M$2),ROW(Source!$B$1:$B$250),FALSE),H$2)),"")</f>
        <v/>
      </c>
      <c r="I69" t="str">
        <f t="array" ref="I69">IFERROR(INDEX(Source!$A$1:$A$250,SMALL(IF(--(Source!$B$1:$B$250=Sheet2!$N69)*--(Source!$E$1:$E$250=Sheet2!$M$2),ROW(Source!$B$1:$B$250),FALSE),I$2)),"")</f>
        <v/>
      </c>
      <c r="J69" t="str">
        <f t="array" ref="J69">IFERROR(INDEX(Source!$A$1:$A$250,SMALL(IF(--(Source!$B$1:$B$250=Sheet2!$N69)*--(Source!$E$1:$E$250=Sheet2!$M$2),ROW(Source!$B$1:$B$250),FALSE),J$2)),"")</f>
        <v/>
      </c>
      <c r="K69" t="str">
        <f t="array" ref="K69">IFERROR(INDEX(Source!$A$1:$A$250,SMALL(IF(--(Source!$B$1:$B$250=Sheet2!$N69)*--(Source!$E$1:$E$250=Sheet2!$M$2),ROW(Source!$B$1:$B$250),FALSE),K$2)),"")</f>
        <v>24663 HK Equity</v>
      </c>
      <c r="L69" t="str">
        <f t="array" ref="L69">IFERROR(INDEX(Source!$A$1:$A$250,SMALL(IF(--(Source!$B$1:$B$250=Sheet2!$N69)*--(Source!$E$1:$E$250=Sheet2!$M$2),ROW(Source!$B$1:$B$250),FALSE),L$2)),"")</f>
        <v>23287 HK Equity</v>
      </c>
      <c r="M69">
        <f>COUNTIFS(Source!$E:$E,"Call",Source!$B:$B,Sheet2!$N69)</f>
        <v>2</v>
      </c>
      <c r="N69">
        <v>22700</v>
      </c>
      <c r="O69">
        <f>COUNTIFS(Source!$E:$E,"Put",Source!$B:$B,Sheet2!$N69)</f>
        <v>0</v>
      </c>
      <c r="P69" t="str">
        <f t="array" ref="P69">IFERROR(INDEX(Source!$A$1:$A$250,SMALL(IF(--(Source!$B$1:$B$250=Sheet2!$N69)*--(Source!$E$1:$E$250=Sheet2!$O$2),ROW(Source!$B$1:$B$250),FALSE),P$2)),"")</f>
        <v/>
      </c>
      <c r="Q69" t="str">
        <f t="array" ref="Q69">IFERROR(INDEX(Source!$A$1:$A$250,SMALL(IF(--(Source!$B$1:$B$250=Sheet2!$N69)*--(Source!$E$1:$E$250=Sheet2!$O$2),ROW(Source!$B$1:$B$250),FALSE),Q$2)),"")</f>
        <v/>
      </c>
      <c r="R69" t="str">
        <f t="array" ref="R69">IFERROR(INDEX(Source!$A$1:$A$250,SMALL(IF(--(Source!$B$1:$B$250=Sheet2!$N69)*--(Source!$E$1:$E$250=Sheet2!$O$2),ROW(Source!$B$1:$B$250),FALSE),R$2)),"")</f>
        <v/>
      </c>
      <c r="S69" t="str">
        <f t="array" ref="S69">IFERROR(INDEX(Source!$A$1:$A$250,SMALL(IF(--(Source!$B$1:$B$250=Sheet2!$N69)*--(Source!$E$1:$E$250=Sheet2!$O$2),ROW(Source!$B$1:$B$250),FALSE),S$2)),"")</f>
        <v/>
      </c>
      <c r="T69" t="str">
        <f t="array" ref="T69">IFERROR(INDEX(Source!$A$1:$A$250,SMALL(IF(--(Source!$B$1:$B$250=Sheet2!$N69)*--(Source!$E$1:$E$250=Sheet2!$O$2),ROW(Source!$B$1:$B$250),FALSE),T$2)),"")</f>
        <v/>
      </c>
      <c r="U69" t="str">
        <f t="array" ref="U69">IFERROR(INDEX(Source!$A$1:$A$250,SMALL(IF(--(Source!$B$1:$B$250=Sheet2!$N69)*--(Source!$E$1:$E$250=Sheet2!$O$2),ROW(Source!$B$1:$B$250),FALSE),U$2)),"")</f>
        <v/>
      </c>
      <c r="V69" t="str">
        <f t="array" ref="V69">IFERROR(INDEX(Source!$A$1:$A$250,SMALL(IF(--(Source!$B$1:$B$250=Sheet2!$N69)*--(Source!$E$1:$E$250=Sheet2!$O$2),ROW(Source!$B$1:$B$250),FALSE),V$2)),"")</f>
        <v/>
      </c>
      <c r="W69" s="5">
        <f t="shared" si="3"/>
        <v>0</v>
      </c>
    </row>
    <row r="70" spans="4:23">
      <c r="D70" s="5">
        <f t="shared" si="2"/>
        <v>0</v>
      </c>
      <c r="E70" t="str">
        <f t="array" ref="E70">IFERROR(INDEX(Source!$A$1:$A$250,SMALL(IF(--(Source!$B$1:$B$250=Sheet2!$N70)*--(Source!$E$1:$E$250=Sheet2!$M$2),ROW(Source!$B$1:$B$250),FALSE),E$2)),"")</f>
        <v/>
      </c>
      <c r="F70" t="str">
        <f t="array" ref="F70">IFERROR(INDEX(Source!$A$1:$A$250,SMALL(IF(--(Source!$B$1:$B$250=Sheet2!$N70)*--(Source!$E$1:$E$250=Sheet2!$M$2),ROW(Source!$B$1:$B$250),FALSE),F$2)),"")</f>
        <v/>
      </c>
      <c r="G70" t="str">
        <f t="array" ref="G70">IFERROR(INDEX(Source!$A$1:$A$250,SMALL(IF(--(Source!$B$1:$B$250=Sheet2!$N70)*--(Source!$E$1:$E$250=Sheet2!$M$2),ROW(Source!$B$1:$B$250),FALSE),G$2)),"")</f>
        <v/>
      </c>
      <c r="H70" t="str">
        <f t="array" ref="H70">IFERROR(INDEX(Source!$A$1:$A$250,SMALL(IF(--(Source!$B$1:$B$250=Sheet2!$N70)*--(Source!$E$1:$E$250=Sheet2!$M$2),ROW(Source!$B$1:$B$250),FALSE),H$2)),"")</f>
        <v/>
      </c>
      <c r="I70" t="str">
        <f t="array" ref="I70">IFERROR(INDEX(Source!$A$1:$A$250,SMALL(IF(--(Source!$B$1:$B$250=Sheet2!$N70)*--(Source!$E$1:$E$250=Sheet2!$M$2),ROW(Source!$B$1:$B$250),FALSE),I$2)),"")</f>
        <v/>
      </c>
      <c r="J70" t="str">
        <f t="array" ref="J70">IFERROR(INDEX(Source!$A$1:$A$250,SMALL(IF(--(Source!$B$1:$B$250=Sheet2!$N70)*--(Source!$E$1:$E$250=Sheet2!$M$2),ROW(Source!$B$1:$B$250),FALSE),J$2)),"")</f>
        <v/>
      </c>
      <c r="K70" t="str">
        <f t="array" ref="K70">IFERROR(INDEX(Source!$A$1:$A$250,SMALL(IF(--(Source!$B$1:$B$250=Sheet2!$N70)*--(Source!$E$1:$E$250=Sheet2!$M$2),ROW(Source!$B$1:$B$250),FALSE),K$2)),"")</f>
        <v/>
      </c>
      <c r="L70" t="str">
        <f t="array" ref="L70">IFERROR(INDEX(Source!$A$1:$A$250,SMALL(IF(--(Source!$B$1:$B$250=Sheet2!$N70)*--(Source!$E$1:$E$250=Sheet2!$M$2),ROW(Source!$B$1:$B$250),FALSE),L$2)),"")</f>
        <v/>
      </c>
      <c r="M70">
        <f>COUNTIFS(Source!$E:$E,"Call",Source!$B:$B,Sheet2!$N70)</f>
        <v>0</v>
      </c>
      <c r="N70">
        <v>22800</v>
      </c>
      <c r="O70">
        <f>COUNTIFS(Source!$E:$E,"Put",Source!$B:$B,Sheet2!$N70)</f>
        <v>1</v>
      </c>
      <c r="P70" t="str">
        <f t="array" ref="P70">IFERROR(INDEX(Source!$A$1:$A$250,SMALL(IF(--(Source!$B$1:$B$250=Sheet2!$N70)*--(Source!$E$1:$E$250=Sheet2!$O$2),ROW(Source!$B$1:$B$250),FALSE),P$2)),"")</f>
        <v>19187 HK Equity</v>
      </c>
      <c r="Q70" t="str">
        <f t="array" ref="Q70">IFERROR(INDEX(Source!$A$1:$A$250,SMALL(IF(--(Source!$B$1:$B$250=Sheet2!$N70)*--(Source!$E$1:$E$250=Sheet2!$O$2),ROW(Source!$B$1:$B$250),FALSE),Q$2)),"")</f>
        <v/>
      </c>
      <c r="R70" t="str">
        <f t="array" ref="R70">IFERROR(INDEX(Source!$A$1:$A$250,SMALL(IF(--(Source!$B$1:$B$250=Sheet2!$N70)*--(Source!$E$1:$E$250=Sheet2!$O$2),ROW(Source!$B$1:$B$250),FALSE),R$2)),"")</f>
        <v/>
      </c>
      <c r="S70" t="str">
        <f t="array" ref="S70">IFERROR(INDEX(Source!$A$1:$A$250,SMALL(IF(--(Source!$B$1:$B$250=Sheet2!$N70)*--(Source!$E$1:$E$250=Sheet2!$O$2),ROW(Source!$B$1:$B$250),FALSE),S$2)),"")</f>
        <v/>
      </c>
      <c r="T70" t="str">
        <f t="array" ref="T70">IFERROR(INDEX(Source!$A$1:$A$250,SMALL(IF(--(Source!$B$1:$B$250=Sheet2!$N70)*--(Source!$E$1:$E$250=Sheet2!$O$2),ROW(Source!$B$1:$B$250),FALSE),T$2)),"")</f>
        <v/>
      </c>
      <c r="U70" t="str">
        <f t="array" ref="U70">IFERROR(INDEX(Source!$A$1:$A$250,SMALL(IF(--(Source!$B$1:$B$250=Sheet2!$N70)*--(Source!$E$1:$E$250=Sheet2!$O$2),ROW(Source!$B$1:$B$250),FALSE),U$2)),"")</f>
        <v/>
      </c>
      <c r="V70" t="str">
        <f t="array" ref="V70">IFERROR(INDEX(Source!$A$1:$A$250,SMALL(IF(--(Source!$B$1:$B$250=Sheet2!$N70)*--(Source!$E$1:$E$250=Sheet2!$O$2),ROW(Source!$B$1:$B$250),FALSE),V$2)),"")</f>
        <v/>
      </c>
      <c r="W70" s="5">
        <f t="shared" si="3"/>
        <v>0</v>
      </c>
    </row>
    <row r="71" spans="4:23">
      <c r="D71" s="5">
        <f t="shared" si="2"/>
        <v>0</v>
      </c>
      <c r="E71" t="str">
        <f t="array" ref="E71">IFERROR(INDEX(Source!$A$1:$A$250,SMALL(IF(--(Source!$B$1:$B$250=Sheet2!$N71)*--(Source!$E$1:$E$250=Sheet2!$M$2),ROW(Source!$B$1:$B$250),FALSE),E$2)),"")</f>
        <v/>
      </c>
      <c r="F71" t="str">
        <f t="array" ref="F71">IFERROR(INDEX(Source!$A$1:$A$250,SMALL(IF(--(Source!$B$1:$B$250=Sheet2!$N71)*--(Source!$E$1:$E$250=Sheet2!$M$2),ROW(Source!$B$1:$B$250),FALSE),F$2)),"")</f>
        <v/>
      </c>
      <c r="G71" t="str">
        <f t="array" ref="G71">IFERROR(INDEX(Source!$A$1:$A$250,SMALL(IF(--(Source!$B$1:$B$250=Sheet2!$N71)*--(Source!$E$1:$E$250=Sheet2!$M$2),ROW(Source!$B$1:$B$250),FALSE),G$2)),"")</f>
        <v/>
      </c>
      <c r="H71" t="str">
        <f t="array" ref="H71">IFERROR(INDEX(Source!$A$1:$A$250,SMALL(IF(--(Source!$B$1:$B$250=Sheet2!$N71)*--(Source!$E$1:$E$250=Sheet2!$M$2),ROW(Source!$B$1:$B$250),FALSE),H$2)),"")</f>
        <v/>
      </c>
      <c r="I71" t="str">
        <f t="array" ref="I71">IFERROR(INDEX(Source!$A$1:$A$250,SMALL(IF(--(Source!$B$1:$B$250=Sheet2!$N71)*--(Source!$E$1:$E$250=Sheet2!$M$2),ROW(Source!$B$1:$B$250),FALSE),I$2)),"")</f>
        <v/>
      </c>
      <c r="J71" t="str">
        <f t="array" ref="J71">IFERROR(INDEX(Source!$A$1:$A$250,SMALL(IF(--(Source!$B$1:$B$250=Sheet2!$N71)*--(Source!$E$1:$E$250=Sheet2!$M$2),ROW(Source!$B$1:$B$250),FALSE),J$2)),"")</f>
        <v/>
      </c>
      <c r="K71" t="str">
        <f t="array" ref="K71">IFERROR(INDEX(Source!$A$1:$A$250,SMALL(IF(--(Source!$B$1:$B$250=Sheet2!$N71)*--(Source!$E$1:$E$250=Sheet2!$M$2),ROW(Source!$B$1:$B$250),FALSE),K$2)),"")</f>
        <v/>
      </c>
      <c r="L71" t="str">
        <f t="array" ref="L71">IFERROR(INDEX(Source!$A$1:$A$250,SMALL(IF(--(Source!$B$1:$B$250=Sheet2!$N71)*--(Source!$E$1:$E$250=Sheet2!$M$2),ROW(Source!$B$1:$B$250),FALSE),L$2)),"")</f>
        <v>24167 HK Equity</v>
      </c>
      <c r="M71">
        <f>COUNTIFS(Source!$E:$E,"Call",Source!$B:$B,Sheet2!$N71)</f>
        <v>1</v>
      </c>
      <c r="N71">
        <v>23000</v>
      </c>
      <c r="O71">
        <f>COUNTIFS(Source!$E:$E,"Put",Source!$B:$B,Sheet2!$N71)</f>
        <v>0</v>
      </c>
      <c r="P71" t="str">
        <f t="array" ref="P71">IFERROR(INDEX(Source!$A$1:$A$250,SMALL(IF(--(Source!$B$1:$B$250=Sheet2!$N71)*--(Source!$E$1:$E$250=Sheet2!$O$2),ROW(Source!$B$1:$B$250),FALSE),P$2)),"")</f>
        <v/>
      </c>
      <c r="Q71" t="str">
        <f t="array" ref="Q71">IFERROR(INDEX(Source!$A$1:$A$250,SMALL(IF(--(Source!$B$1:$B$250=Sheet2!$N71)*--(Source!$E$1:$E$250=Sheet2!$O$2),ROW(Source!$B$1:$B$250),FALSE),Q$2)),"")</f>
        <v/>
      </c>
      <c r="R71" t="str">
        <f t="array" ref="R71">IFERROR(INDEX(Source!$A$1:$A$250,SMALL(IF(--(Source!$B$1:$B$250=Sheet2!$N71)*--(Source!$E$1:$E$250=Sheet2!$O$2),ROW(Source!$B$1:$B$250),FALSE),R$2)),"")</f>
        <v/>
      </c>
      <c r="S71" t="str">
        <f t="array" ref="S71">IFERROR(INDEX(Source!$A$1:$A$250,SMALL(IF(--(Source!$B$1:$B$250=Sheet2!$N71)*--(Source!$E$1:$E$250=Sheet2!$O$2),ROW(Source!$B$1:$B$250),FALSE),S$2)),"")</f>
        <v/>
      </c>
      <c r="T71" t="str">
        <f t="array" ref="T71">IFERROR(INDEX(Source!$A$1:$A$250,SMALL(IF(--(Source!$B$1:$B$250=Sheet2!$N71)*--(Source!$E$1:$E$250=Sheet2!$O$2),ROW(Source!$B$1:$B$250),FALSE),T$2)),"")</f>
        <v/>
      </c>
      <c r="U71" t="str">
        <f t="array" ref="U71">IFERROR(INDEX(Source!$A$1:$A$250,SMALL(IF(--(Source!$B$1:$B$250=Sheet2!$N71)*--(Source!$E$1:$E$250=Sheet2!$O$2),ROW(Source!$B$1:$B$250),FALSE),U$2)),"")</f>
        <v/>
      </c>
      <c r="V71" t="str">
        <f t="array" ref="V71">IFERROR(INDEX(Source!$A$1:$A$250,SMALL(IF(--(Source!$B$1:$B$250=Sheet2!$N71)*--(Source!$E$1:$E$250=Sheet2!$O$2),ROW(Source!$B$1:$B$250),FALSE),V$2)),"")</f>
        <v/>
      </c>
      <c r="W71" s="5">
        <f t="shared" si="3"/>
        <v>0</v>
      </c>
    </row>
    <row r="72" spans="4:23">
      <c r="D72" s="5">
        <f t="shared" si="2"/>
        <v>0</v>
      </c>
      <c r="E72" t="str">
        <f t="array" ref="E72">IFERROR(INDEX(Source!$A$1:$A$250,SMALL(IF(--(Source!$B$1:$B$250=Sheet2!$N72)*--(Source!$E$1:$E$250=Sheet2!$M$2),ROW(Source!$B$1:$B$250),FALSE),E$2)),"")</f>
        <v/>
      </c>
      <c r="F72" t="str">
        <f t="array" ref="F72">IFERROR(INDEX(Source!$A$1:$A$250,SMALL(IF(--(Source!$B$1:$B$250=Sheet2!$N72)*--(Source!$E$1:$E$250=Sheet2!$M$2),ROW(Source!$B$1:$B$250),FALSE),F$2)),"")</f>
        <v/>
      </c>
      <c r="G72" t="str">
        <f t="array" ref="G72">IFERROR(INDEX(Source!$A$1:$A$250,SMALL(IF(--(Source!$B$1:$B$250=Sheet2!$N72)*--(Source!$E$1:$E$250=Sheet2!$M$2),ROW(Source!$B$1:$B$250),FALSE),G$2)),"")</f>
        <v/>
      </c>
      <c r="H72" t="str">
        <f t="array" ref="H72">IFERROR(INDEX(Source!$A$1:$A$250,SMALL(IF(--(Source!$B$1:$B$250=Sheet2!$N72)*--(Source!$E$1:$E$250=Sheet2!$M$2),ROW(Source!$B$1:$B$250),FALSE),H$2)),"")</f>
        <v>24821 HK Equity</v>
      </c>
      <c r="I72" t="str">
        <f t="array" ref="I72">IFERROR(INDEX(Source!$A$1:$A$250,SMALL(IF(--(Source!$B$1:$B$250=Sheet2!$N72)*--(Source!$E$1:$E$250=Sheet2!$M$2),ROW(Source!$B$1:$B$250),FALSE),I$2)),"")</f>
        <v>23841 HK Equity</v>
      </c>
      <c r="J72" t="str">
        <f t="array" ref="J72">IFERROR(INDEX(Source!$A$1:$A$250,SMALL(IF(--(Source!$B$1:$B$250=Sheet2!$N72)*--(Source!$E$1:$E$250=Sheet2!$M$2),ROW(Source!$B$1:$B$250),FALSE),J$2)),"")</f>
        <v>23523 HK Equity</v>
      </c>
      <c r="K72" t="str">
        <f t="array" ref="K72">IFERROR(INDEX(Source!$A$1:$A$250,SMALL(IF(--(Source!$B$1:$B$250=Sheet2!$N72)*--(Source!$E$1:$E$250=Sheet2!$M$2),ROW(Source!$B$1:$B$250),FALSE),K$2)),"")</f>
        <v>22313 HK Equity</v>
      </c>
      <c r="L72" t="str">
        <f t="array" ref="L72">IFERROR(INDEX(Source!$A$1:$A$250,SMALL(IF(--(Source!$B$1:$B$250=Sheet2!$N72)*--(Source!$E$1:$E$250=Sheet2!$M$2),ROW(Source!$B$1:$B$250),FALSE),L$2)),"")</f>
        <v>24108 HK Equity</v>
      </c>
      <c r="M72">
        <f>COUNTIFS(Source!$E:$E,"Call",Source!$B:$B,Sheet2!$N72)</f>
        <v>5</v>
      </c>
      <c r="N72">
        <v>23200</v>
      </c>
      <c r="O72">
        <f>COUNTIFS(Source!$E:$E,"Put",Source!$B:$B,Sheet2!$N72)</f>
        <v>0</v>
      </c>
      <c r="P72" t="str">
        <f t="array" ref="P72">IFERROR(INDEX(Source!$A$1:$A$250,SMALL(IF(--(Source!$B$1:$B$250=Sheet2!$N72)*--(Source!$E$1:$E$250=Sheet2!$O$2),ROW(Source!$B$1:$B$250),FALSE),P$2)),"")</f>
        <v/>
      </c>
      <c r="Q72" t="str">
        <f t="array" ref="Q72">IFERROR(INDEX(Source!$A$1:$A$250,SMALL(IF(--(Source!$B$1:$B$250=Sheet2!$N72)*--(Source!$E$1:$E$250=Sheet2!$O$2),ROW(Source!$B$1:$B$250),FALSE),Q$2)),"")</f>
        <v/>
      </c>
      <c r="R72" t="str">
        <f t="array" ref="R72">IFERROR(INDEX(Source!$A$1:$A$250,SMALL(IF(--(Source!$B$1:$B$250=Sheet2!$N72)*--(Source!$E$1:$E$250=Sheet2!$O$2),ROW(Source!$B$1:$B$250),FALSE),R$2)),"")</f>
        <v/>
      </c>
      <c r="S72" t="str">
        <f t="array" ref="S72">IFERROR(INDEX(Source!$A$1:$A$250,SMALL(IF(--(Source!$B$1:$B$250=Sheet2!$N72)*--(Source!$E$1:$E$250=Sheet2!$O$2),ROW(Source!$B$1:$B$250),FALSE),S$2)),"")</f>
        <v/>
      </c>
      <c r="T72" t="str">
        <f t="array" ref="T72">IFERROR(INDEX(Source!$A$1:$A$250,SMALL(IF(--(Source!$B$1:$B$250=Sheet2!$N72)*--(Source!$E$1:$E$250=Sheet2!$O$2),ROW(Source!$B$1:$B$250),FALSE),T$2)),"")</f>
        <v/>
      </c>
      <c r="U72" t="str">
        <f t="array" ref="U72">IFERROR(INDEX(Source!$A$1:$A$250,SMALL(IF(--(Source!$B$1:$B$250=Sheet2!$N72)*--(Source!$E$1:$E$250=Sheet2!$O$2),ROW(Source!$B$1:$B$250),FALSE),U$2)),"")</f>
        <v/>
      </c>
      <c r="V72" t="str">
        <f t="array" ref="V72">IFERROR(INDEX(Source!$A$1:$A$250,SMALL(IF(--(Source!$B$1:$B$250=Sheet2!$N72)*--(Source!$E$1:$E$250=Sheet2!$O$2),ROW(Source!$B$1:$B$250),FALSE),V$2)),"")</f>
        <v/>
      </c>
      <c r="W72" s="5">
        <f t="shared" si="3"/>
        <v>0</v>
      </c>
    </row>
    <row r="73" spans="4:23">
      <c r="D73" s="5">
        <f t="shared" si="2"/>
        <v>0</v>
      </c>
      <c r="E73" t="str">
        <f t="array" ref="E73">IFERROR(INDEX(Source!$A$1:$A$250,SMALL(IF(--(Source!$B$1:$B$250=Sheet2!$N73)*--(Source!$E$1:$E$250=Sheet2!$M$2),ROW(Source!$B$1:$B$250),FALSE),E$2)),"")</f>
        <v/>
      </c>
      <c r="F73" t="str">
        <f t="array" ref="F73">IFERROR(INDEX(Source!$A$1:$A$250,SMALL(IF(--(Source!$B$1:$B$250=Sheet2!$N73)*--(Source!$E$1:$E$250=Sheet2!$M$2),ROW(Source!$B$1:$B$250),FALSE),F$2)),"")</f>
        <v/>
      </c>
      <c r="G73" t="str">
        <f t="array" ref="G73">IFERROR(INDEX(Source!$A$1:$A$250,SMALL(IF(--(Source!$B$1:$B$250=Sheet2!$N73)*--(Source!$E$1:$E$250=Sheet2!$M$2),ROW(Source!$B$1:$B$250),FALSE),G$2)),"")</f>
        <v/>
      </c>
      <c r="H73" t="str">
        <f t="array" ref="H73">IFERROR(INDEX(Source!$A$1:$A$250,SMALL(IF(--(Source!$B$1:$B$250=Sheet2!$N73)*--(Source!$E$1:$E$250=Sheet2!$M$2),ROW(Source!$B$1:$B$250),FALSE),H$2)),"")</f>
        <v/>
      </c>
      <c r="I73" t="str">
        <f t="array" ref="I73">IFERROR(INDEX(Source!$A$1:$A$250,SMALL(IF(--(Source!$B$1:$B$250=Sheet2!$N73)*--(Source!$E$1:$E$250=Sheet2!$M$2),ROW(Source!$B$1:$B$250),FALSE),I$2)),"")</f>
        <v/>
      </c>
      <c r="J73" t="str">
        <f t="array" ref="J73">IFERROR(INDEX(Source!$A$1:$A$250,SMALL(IF(--(Source!$B$1:$B$250=Sheet2!$N73)*--(Source!$E$1:$E$250=Sheet2!$M$2),ROW(Source!$B$1:$B$250),FALSE),J$2)),"")</f>
        <v/>
      </c>
      <c r="K73" t="str">
        <f t="array" ref="K73">IFERROR(INDEX(Source!$A$1:$A$250,SMALL(IF(--(Source!$B$1:$B$250=Sheet2!$N73)*--(Source!$E$1:$E$250=Sheet2!$M$2),ROW(Source!$B$1:$B$250),FALSE),K$2)),"")</f>
        <v/>
      </c>
      <c r="L73" t="str">
        <f t="array" ref="L73">IFERROR(INDEX(Source!$A$1:$A$250,SMALL(IF(--(Source!$B$1:$B$250=Sheet2!$N73)*--(Source!$E$1:$E$250=Sheet2!$M$2),ROW(Source!$B$1:$B$250),FALSE),L$2)),"")</f>
        <v>23055 HK Equity</v>
      </c>
      <c r="M73">
        <f>COUNTIFS(Source!$E:$E,"Call",Source!$B:$B,Sheet2!$N73)</f>
        <v>1</v>
      </c>
      <c r="N73">
        <v>23288</v>
      </c>
      <c r="O73">
        <f>COUNTIFS(Source!$E:$E,"Put",Source!$B:$B,Sheet2!$N73)</f>
        <v>1</v>
      </c>
      <c r="P73" t="str">
        <f t="array" ref="P73">IFERROR(INDEX(Source!$A$1:$A$250,SMALL(IF(--(Source!$B$1:$B$250=Sheet2!$N73)*--(Source!$E$1:$E$250=Sheet2!$O$2),ROW(Source!$B$1:$B$250),FALSE),P$2)),"")</f>
        <v>20431 HK Equity</v>
      </c>
      <c r="Q73" t="str">
        <f t="array" ref="Q73">IFERROR(INDEX(Source!$A$1:$A$250,SMALL(IF(--(Source!$B$1:$B$250=Sheet2!$N73)*--(Source!$E$1:$E$250=Sheet2!$O$2),ROW(Source!$B$1:$B$250),FALSE),Q$2)),"")</f>
        <v/>
      </c>
      <c r="R73" t="str">
        <f t="array" ref="R73">IFERROR(INDEX(Source!$A$1:$A$250,SMALL(IF(--(Source!$B$1:$B$250=Sheet2!$N73)*--(Source!$E$1:$E$250=Sheet2!$O$2),ROW(Source!$B$1:$B$250),FALSE),R$2)),"")</f>
        <v/>
      </c>
      <c r="S73" t="str">
        <f t="array" ref="S73">IFERROR(INDEX(Source!$A$1:$A$250,SMALL(IF(--(Source!$B$1:$B$250=Sheet2!$N73)*--(Source!$E$1:$E$250=Sheet2!$O$2),ROW(Source!$B$1:$B$250),FALSE),S$2)),"")</f>
        <v/>
      </c>
      <c r="T73" t="str">
        <f t="array" ref="T73">IFERROR(INDEX(Source!$A$1:$A$250,SMALL(IF(--(Source!$B$1:$B$250=Sheet2!$N73)*--(Source!$E$1:$E$250=Sheet2!$O$2),ROW(Source!$B$1:$B$250),FALSE),T$2)),"")</f>
        <v/>
      </c>
      <c r="U73" t="str">
        <f t="array" ref="U73">IFERROR(INDEX(Source!$A$1:$A$250,SMALL(IF(--(Source!$B$1:$B$250=Sheet2!$N73)*--(Source!$E$1:$E$250=Sheet2!$O$2),ROW(Source!$B$1:$B$250),FALSE),U$2)),"")</f>
        <v/>
      </c>
      <c r="V73" t="str">
        <f t="array" ref="V73">IFERROR(INDEX(Source!$A$1:$A$250,SMALL(IF(--(Source!$B$1:$B$250=Sheet2!$N73)*--(Source!$E$1:$E$250=Sheet2!$O$2),ROW(Source!$B$1:$B$250),FALSE),V$2)),"")</f>
        <v/>
      </c>
      <c r="W73" s="5">
        <f t="shared" si="3"/>
        <v>0</v>
      </c>
    </row>
    <row r="74" spans="4:23">
      <c r="D74" s="5">
        <f t="shared" si="2"/>
        <v>0</v>
      </c>
      <c r="E74" t="str">
        <f t="array" ref="E74">IFERROR(INDEX(Source!$A$1:$A$250,SMALL(IF(--(Source!$B$1:$B$250=Sheet2!$N74)*--(Source!$E$1:$E$250=Sheet2!$M$2),ROW(Source!$B$1:$B$250),FALSE),E$2)),"")</f>
        <v/>
      </c>
      <c r="F74" t="str">
        <f t="array" ref="F74">IFERROR(INDEX(Source!$A$1:$A$250,SMALL(IF(--(Source!$B$1:$B$250=Sheet2!$N74)*--(Source!$E$1:$E$250=Sheet2!$M$2),ROW(Source!$B$1:$B$250),FALSE),F$2)),"")</f>
        <v/>
      </c>
      <c r="G74" t="str">
        <f t="array" ref="G74">IFERROR(INDEX(Source!$A$1:$A$250,SMALL(IF(--(Source!$B$1:$B$250=Sheet2!$N74)*--(Source!$E$1:$E$250=Sheet2!$M$2),ROW(Source!$B$1:$B$250),FALSE),G$2)),"")</f>
        <v/>
      </c>
      <c r="H74" t="str">
        <f t="array" ref="H74">IFERROR(INDEX(Source!$A$1:$A$250,SMALL(IF(--(Source!$B$1:$B$250=Sheet2!$N74)*--(Source!$E$1:$E$250=Sheet2!$M$2),ROW(Source!$B$1:$B$250),FALSE),H$2)),"")</f>
        <v/>
      </c>
      <c r="I74" t="str">
        <f t="array" ref="I74">IFERROR(INDEX(Source!$A$1:$A$250,SMALL(IF(--(Source!$B$1:$B$250=Sheet2!$N74)*--(Source!$E$1:$E$250=Sheet2!$M$2),ROW(Source!$B$1:$B$250),FALSE),I$2)),"")</f>
        <v/>
      </c>
      <c r="J74" t="str">
        <f t="array" ref="J74">IFERROR(INDEX(Source!$A$1:$A$250,SMALL(IF(--(Source!$B$1:$B$250=Sheet2!$N74)*--(Source!$E$1:$E$250=Sheet2!$M$2),ROW(Source!$B$1:$B$250),FALSE),J$2)),"")</f>
        <v/>
      </c>
      <c r="K74" t="str">
        <f t="array" ref="K74">IFERROR(INDEX(Source!$A$1:$A$250,SMALL(IF(--(Source!$B$1:$B$250=Sheet2!$N74)*--(Source!$E$1:$E$250=Sheet2!$M$2),ROW(Source!$B$1:$B$250),FALSE),K$2)),"")</f>
        <v/>
      </c>
      <c r="L74" t="str">
        <f t="array" ref="L74">IFERROR(INDEX(Source!$A$1:$A$250,SMALL(IF(--(Source!$B$1:$B$250=Sheet2!$N74)*--(Source!$E$1:$E$250=Sheet2!$M$2),ROW(Source!$B$1:$B$250),FALSE),L$2)),"")</f>
        <v>24137 HK Equity</v>
      </c>
      <c r="M74">
        <f>COUNTIFS(Source!$E:$E,"Call",Source!$B:$B,Sheet2!$N74)</f>
        <v>1</v>
      </c>
      <c r="N74">
        <v>23300</v>
      </c>
      <c r="O74">
        <f>COUNTIFS(Source!$E:$E,"Put",Source!$B:$B,Sheet2!$N74)</f>
        <v>0</v>
      </c>
      <c r="P74" t="str">
        <f t="array" ref="P74">IFERROR(INDEX(Source!$A$1:$A$250,SMALL(IF(--(Source!$B$1:$B$250=Sheet2!$N74)*--(Source!$E$1:$E$250=Sheet2!$O$2),ROW(Source!$B$1:$B$250),FALSE),P$2)),"")</f>
        <v/>
      </c>
      <c r="Q74" t="str">
        <f t="array" ref="Q74">IFERROR(INDEX(Source!$A$1:$A$250,SMALL(IF(--(Source!$B$1:$B$250=Sheet2!$N74)*--(Source!$E$1:$E$250=Sheet2!$O$2),ROW(Source!$B$1:$B$250),FALSE),Q$2)),"")</f>
        <v/>
      </c>
      <c r="R74" t="str">
        <f t="array" ref="R74">IFERROR(INDEX(Source!$A$1:$A$250,SMALL(IF(--(Source!$B$1:$B$250=Sheet2!$N74)*--(Source!$E$1:$E$250=Sheet2!$O$2),ROW(Source!$B$1:$B$250),FALSE),R$2)),"")</f>
        <v/>
      </c>
      <c r="S74" t="str">
        <f t="array" ref="S74">IFERROR(INDEX(Source!$A$1:$A$250,SMALL(IF(--(Source!$B$1:$B$250=Sheet2!$N74)*--(Source!$E$1:$E$250=Sheet2!$O$2),ROW(Source!$B$1:$B$250),FALSE),S$2)),"")</f>
        <v/>
      </c>
      <c r="T74" t="str">
        <f t="array" ref="T74">IFERROR(INDEX(Source!$A$1:$A$250,SMALL(IF(--(Source!$B$1:$B$250=Sheet2!$N74)*--(Source!$E$1:$E$250=Sheet2!$O$2),ROW(Source!$B$1:$B$250),FALSE),T$2)),"")</f>
        <v/>
      </c>
      <c r="U74" t="str">
        <f t="array" ref="U74">IFERROR(INDEX(Source!$A$1:$A$250,SMALL(IF(--(Source!$B$1:$B$250=Sheet2!$N74)*--(Source!$E$1:$E$250=Sheet2!$O$2),ROW(Source!$B$1:$B$250),FALSE),U$2)),"")</f>
        <v/>
      </c>
      <c r="V74" t="str">
        <f t="array" ref="V74">IFERROR(INDEX(Source!$A$1:$A$250,SMALL(IF(--(Source!$B$1:$B$250=Sheet2!$N74)*--(Source!$E$1:$E$250=Sheet2!$O$2),ROW(Source!$B$1:$B$250),FALSE),V$2)),"")</f>
        <v/>
      </c>
      <c r="W74" s="5">
        <f t="shared" si="3"/>
        <v>0</v>
      </c>
    </row>
    <row r="75" spans="4:23">
      <c r="D75" s="5">
        <f t="shared" si="2"/>
        <v>0</v>
      </c>
      <c r="E75" t="str">
        <f t="array" ref="E75">IFERROR(INDEX(Source!$A$1:$A$250,SMALL(IF(--(Source!$B$1:$B$250=Sheet2!$N75)*--(Source!$E$1:$E$250=Sheet2!$M$2),ROW(Source!$B$1:$B$250),FALSE),E$2)),"")</f>
        <v/>
      </c>
      <c r="F75" t="str">
        <f t="array" ref="F75">IFERROR(INDEX(Source!$A$1:$A$250,SMALL(IF(--(Source!$B$1:$B$250=Sheet2!$N75)*--(Source!$E$1:$E$250=Sheet2!$M$2),ROW(Source!$B$1:$B$250),FALSE),F$2)),"")</f>
        <v/>
      </c>
      <c r="G75" t="str">
        <f t="array" ref="G75">IFERROR(INDEX(Source!$A$1:$A$250,SMALL(IF(--(Source!$B$1:$B$250=Sheet2!$N75)*--(Source!$E$1:$E$250=Sheet2!$M$2),ROW(Source!$B$1:$B$250),FALSE),G$2)),"")</f>
        <v/>
      </c>
      <c r="H75" t="str">
        <f t="array" ref="H75">IFERROR(INDEX(Source!$A$1:$A$250,SMALL(IF(--(Source!$B$1:$B$250=Sheet2!$N75)*--(Source!$E$1:$E$250=Sheet2!$M$2),ROW(Source!$B$1:$B$250),FALSE),H$2)),"")</f>
        <v/>
      </c>
      <c r="I75" t="str">
        <f t="array" ref="I75">IFERROR(INDEX(Source!$A$1:$A$250,SMALL(IF(--(Source!$B$1:$B$250=Sheet2!$N75)*--(Source!$E$1:$E$250=Sheet2!$M$2),ROW(Source!$B$1:$B$250),FALSE),I$2)),"")</f>
        <v/>
      </c>
      <c r="J75" t="str">
        <f t="array" ref="J75">IFERROR(INDEX(Source!$A$1:$A$250,SMALL(IF(--(Source!$B$1:$B$250=Sheet2!$N75)*--(Source!$E$1:$E$250=Sheet2!$M$2),ROW(Source!$B$1:$B$250),FALSE),J$2)),"")</f>
        <v/>
      </c>
      <c r="K75" t="str">
        <f t="array" ref="K75">IFERROR(INDEX(Source!$A$1:$A$250,SMALL(IF(--(Source!$B$1:$B$250=Sheet2!$N75)*--(Source!$E$1:$E$250=Sheet2!$M$2),ROW(Source!$B$1:$B$250),FALSE),K$2)),"")</f>
        <v/>
      </c>
      <c r="L75" t="str">
        <f t="array" ref="L75">IFERROR(INDEX(Source!$A$1:$A$250,SMALL(IF(--(Source!$B$1:$B$250=Sheet2!$N75)*--(Source!$E$1:$E$250=Sheet2!$M$2),ROW(Source!$B$1:$B$250),FALSE),L$2)),"")</f>
        <v/>
      </c>
      <c r="M75">
        <f>COUNTIFS(Source!$E:$E,"Call",Source!$B:$B,Sheet2!$N75)</f>
        <v>0</v>
      </c>
      <c r="N75">
        <v>23500</v>
      </c>
      <c r="O75">
        <f>COUNTIFS(Source!$E:$E,"Put",Source!$B:$B,Sheet2!$N75)</f>
        <v>1</v>
      </c>
      <c r="P75" t="str">
        <f t="array" ref="P75">IFERROR(INDEX(Source!$A$1:$A$250,SMALL(IF(--(Source!$B$1:$B$250=Sheet2!$N75)*--(Source!$E$1:$E$250=Sheet2!$O$2),ROW(Source!$B$1:$B$250),FALSE),P$2)),"")</f>
        <v>21009 HK Equity</v>
      </c>
      <c r="Q75" t="str">
        <f t="array" ref="Q75">IFERROR(INDEX(Source!$A$1:$A$250,SMALL(IF(--(Source!$B$1:$B$250=Sheet2!$N75)*--(Source!$E$1:$E$250=Sheet2!$O$2),ROW(Source!$B$1:$B$250),FALSE),Q$2)),"")</f>
        <v/>
      </c>
      <c r="R75" t="str">
        <f t="array" ref="R75">IFERROR(INDEX(Source!$A$1:$A$250,SMALL(IF(--(Source!$B$1:$B$250=Sheet2!$N75)*--(Source!$E$1:$E$250=Sheet2!$O$2),ROW(Source!$B$1:$B$250),FALSE),R$2)),"")</f>
        <v/>
      </c>
      <c r="S75" t="str">
        <f t="array" ref="S75">IFERROR(INDEX(Source!$A$1:$A$250,SMALL(IF(--(Source!$B$1:$B$250=Sheet2!$N75)*--(Source!$E$1:$E$250=Sheet2!$O$2),ROW(Source!$B$1:$B$250),FALSE),S$2)),"")</f>
        <v/>
      </c>
      <c r="T75" t="str">
        <f t="array" ref="T75">IFERROR(INDEX(Source!$A$1:$A$250,SMALL(IF(--(Source!$B$1:$B$250=Sheet2!$N75)*--(Source!$E$1:$E$250=Sheet2!$O$2),ROW(Source!$B$1:$B$250),FALSE),T$2)),"")</f>
        <v/>
      </c>
      <c r="U75" t="str">
        <f t="array" ref="U75">IFERROR(INDEX(Source!$A$1:$A$250,SMALL(IF(--(Source!$B$1:$B$250=Sheet2!$N75)*--(Source!$E$1:$E$250=Sheet2!$O$2),ROW(Source!$B$1:$B$250),FALSE),U$2)),"")</f>
        <v/>
      </c>
      <c r="V75" t="str">
        <f t="array" ref="V75">IFERROR(INDEX(Source!$A$1:$A$250,SMALL(IF(--(Source!$B$1:$B$250=Sheet2!$N75)*--(Source!$E$1:$E$250=Sheet2!$O$2),ROW(Source!$B$1:$B$250),FALSE),V$2)),"")</f>
        <v/>
      </c>
      <c r="W75" s="5">
        <f t="shared" si="3"/>
        <v>0</v>
      </c>
    </row>
    <row r="76" spans="4:23">
      <c r="D76" s="5">
        <f t="shared" si="2"/>
        <v>0</v>
      </c>
      <c r="E76" t="str">
        <f t="array" ref="E76">IFERROR(INDEX(Source!$A$1:$A$250,SMALL(IF(--(Source!$B$1:$B$250=Sheet2!$N76)*--(Source!$E$1:$E$250=Sheet2!$M$2),ROW(Source!$B$1:$B$250),FALSE),E$2)),"")</f>
        <v/>
      </c>
      <c r="F76" t="str">
        <f t="array" ref="F76">IFERROR(INDEX(Source!$A$1:$A$250,SMALL(IF(--(Source!$B$1:$B$250=Sheet2!$N76)*--(Source!$E$1:$E$250=Sheet2!$M$2),ROW(Source!$B$1:$B$250),FALSE),F$2)),"")</f>
        <v/>
      </c>
      <c r="G76" t="str">
        <f t="array" ref="G76">IFERROR(INDEX(Source!$A$1:$A$250,SMALL(IF(--(Source!$B$1:$B$250=Sheet2!$N76)*--(Source!$E$1:$E$250=Sheet2!$M$2),ROW(Source!$B$1:$B$250),FALSE),G$2)),"")</f>
        <v/>
      </c>
      <c r="H76" t="str">
        <f t="array" ref="H76">IFERROR(INDEX(Source!$A$1:$A$250,SMALL(IF(--(Source!$B$1:$B$250=Sheet2!$N76)*--(Source!$E$1:$E$250=Sheet2!$M$2),ROW(Source!$B$1:$B$250),FALSE),H$2)),"")</f>
        <v/>
      </c>
      <c r="I76" t="str">
        <f t="array" ref="I76">IFERROR(INDEX(Source!$A$1:$A$250,SMALL(IF(--(Source!$B$1:$B$250=Sheet2!$N76)*--(Source!$E$1:$E$250=Sheet2!$M$2),ROW(Source!$B$1:$B$250),FALSE),I$2)),"")</f>
        <v/>
      </c>
      <c r="J76" t="str">
        <f t="array" ref="J76">IFERROR(INDEX(Source!$A$1:$A$250,SMALL(IF(--(Source!$B$1:$B$250=Sheet2!$N76)*--(Source!$E$1:$E$250=Sheet2!$M$2),ROW(Source!$B$1:$B$250),FALSE),J$2)),"")</f>
        <v>24825 HK Equity</v>
      </c>
      <c r="K76" t="str">
        <f t="array" ref="K76">IFERROR(INDEX(Source!$A$1:$A$250,SMALL(IF(--(Source!$B$1:$B$250=Sheet2!$N76)*--(Source!$E$1:$E$250=Sheet2!$M$2),ROW(Source!$B$1:$B$250),FALSE),K$2)),"")</f>
        <v>24712 HK Equity</v>
      </c>
      <c r="L76" t="str">
        <f t="array" ref="L76">IFERROR(INDEX(Source!$A$1:$A$250,SMALL(IF(--(Source!$B$1:$B$250=Sheet2!$N76)*--(Source!$E$1:$E$250=Sheet2!$M$2),ROW(Source!$B$1:$B$250),FALSE),L$2)),"")</f>
        <v>23383 HK Equity</v>
      </c>
      <c r="M76">
        <f>COUNTIFS(Source!$E:$E,"Call",Source!$B:$B,Sheet2!$N76)</f>
        <v>3</v>
      </c>
      <c r="N76">
        <v>23600</v>
      </c>
      <c r="O76">
        <f>COUNTIFS(Source!$E:$E,"Put",Source!$B:$B,Sheet2!$N76)</f>
        <v>0</v>
      </c>
      <c r="P76" t="str">
        <f t="array" ref="P76">IFERROR(INDEX(Source!$A$1:$A$250,SMALL(IF(--(Source!$B$1:$B$250=Sheet2!$N76)*--(Source!$E$1:$E$250=Sheet2!$O$2),ROW(Source!$B$1:$B$250),FALSE),P$2)),"")</f>
        <v/>
      </c>
      <c r="Q76" t="str">
        <f t="array" ref="Q76">IFERROR(INDEX(Source!$A$1:$A$250,SMALL(IF(--(Source!$B$1:$B$250=Sheet2!$N76)*--(Source!$E$1:$E$250=Sheet2!$O$2),ROW(Source!$B$1:$B$250),FALSE),Q$2)),"")</f>
        <v/>
      </c>
      <c r="R76" t="str">
        <f t="array" ref="R76">IFERROR(INDEX(Source!$A$1:$A$250,SMALL(IF(--(Source!$B$1:$B$250=Sheet2!$N76)*--(Source!$E$1:$E$250=Sheet2!$O$2),ROW(Source!$B$1:$B$250),FALSE),R$2)),"")</f>
        <v/>
      </c>
      <c r="S76" t="str">
        <f t="array" ref="S76">IFERROR(INDEX(Source!$A$1:$A$250,SMALL(IF(--(Source!$B$1:$B$250=Sheet2!$N76)*--(Source!$E$1:$E$250=Sheet2!$O$2),ROW(Source!$B$1:$B$250),FALSE),S$2)),"")</f>
        <v/>
      </c>
      <c r="T76" t="str">
        <f t="array" ref="T76">IFERROR(INDEX(Source!$A$1:$A$250,SMALL(IF(--(Source!$B$1:$B$250=Sheet2!$N76)*--(Source!$E$1:$E$250=Sheet2!$O$2),ROW(Source!$B$1:$B$250),FALSE),T$2)),"")</f>
        <v/>
      </c>
      <c r="U76" t="str">
        <f t="array" ref="U76">IFERROR(INDEX(Source!$A$1:$A$250,SMALL(IF(--(Source!$B$1:$B$250=Sheet2!$N76)*--(Source!$E$1:$E$250=Sheet2!$O$2),ROW(Source!$B$1:$B$250),FALSE),U$2)),"")</f>
        <v/>
      </c>
      <c r="V76" t="str">
        <f t="array" ref="V76">IFERROR(INDEX(Source!$A$1:$A$250,SMALL(IF(--(Source!$B$1:$B$250=Sheet2!$N76)*--(Source!$E$1:$E$250=Sheet2!$O$2),ROW(Source!$B$1:$B$250),FALSE),V$2)),"")</f>
        <v/>
      </c>
      <c r="W76" s="5">
        <f t="shared" si="3"/>
        <v>0</v>
      </c>
    </row>
    <row r="77" spans="4:23">
      <c r="D77" s="5">
        <f t="shared" si="2"/>
        <v>0</v>
      </c>
      <c r="E77" t="str">
        <f t="array" ref="E77">IFERROR(INDEX(Source!$A$1:$A$250,SMALL(IF(--(Source!$B$1:$B$250=Sheet2!$N77)*--(Source!$E$1:$E$250=Sheet2!$M$2),ROW(Source!$B$1:$B$250),FALSE),E$2)),"")</f>
        <v/>
      </c>
      <c r="F77" t="str">
        <f t="array" ref="F77">IFERROR(INDEX(Source!$A$1:$A$250,SMALL(IF(--(Source!$B$1:$B$250=Sheet2!$N77)*--(Source!$E$1:$E$250=Sheet2!$M$2),ROW(Source!$B$1:$B$250),FALSE),F$2)),"")</f>
        <v/>
      </c>
      <c r="G77" t="str">
        <f t="array" ref="G77">IFERROR(INDEX(Source!$A$1:$A$250,SMALL(IF(--(Source!$B$1:$B$250=Sheet2!$N77)*--(Source!$E$1:$E$250=Sheet2!$M$2),ROW(Source!$B$1:$B$250),FALSE),G$2)),"")</f>
        <v/>
      </c>
      <c r="H77" t="str">
        <f t="array" ref="H77">IFERROR(INDEX(Source!$A$1:$A$250,SMALL(IF(--(Source!$B$1:$B$250=Sheet2!$N77)*--(Source!$E$1:$E$250=Sheet2!$M$2),ROW(Source!$B$1:$B$250),FALSE),H$2)),"")</f>
        <v/>
      </c>
      <c r="I77" t="str">
        <f t="array" ref="I77">IFERROR(INDEX(Source!$A$1:$A$250,SMALL(IF(--(Source!$B$1:$B$250=Sheet2!$N77)*--(Source!$E$1:$E$250=Sheet2!$M$2),ROW(Source!$B$1:$B$250),FALSE),I$2)),"")</f>
        <v/>
      </c>
      <c r="J77" t="str">
        <f t="array" ref="J77">IFERROR(INDEX(Source!$A$1:$A$250,SMALL(IF(--(Source!$B$1:$B$250=Sheet2!$N77)*--(Source!$E$1:$E$250=Sheet2!$M$2),ROW(Source!$B$1:$B$250),FALSE),J$2)),"")</f>
        <v>22947 HK Equity</v>
      </c>
      <c r="K77" t="str">
        <f t="array" ref="K77">IFERROR(INDEX(Source!$A$1:$A$250,SMALL(IF(--(Source!$B$1:$B$250=Sheet2!$N77)*--(Source!$E$1:$E$250=Sheet2!$M$2),ROW(Source!$B$1:$B$250),FALSE),K$2)),"")</f>
        <v>22353 HK Equity</v>
      </c>
      <c r="L77" t="str">
        <f t="array" ref="L77">IFERROR(INDEX(Source!$A$1:$A$250,SMALL(IF(--(Source!$B$1:$B$250=Sheet2!$N77)*--(Source!$E$1:$E$250=Sheet2!$M$2),ROW(Source!$B$1:$B$250),FALSE),L$2)),"")</f>
        <v>20411 HK Equity</v>
      </c>
      <c r="M77">
        <f>COUNTIFS(Source!$E:$E,"Call",Source!$B:$B,Sheet2!$N77)</f>
        <v>3</v>
      </c>
      <c r="N77">
        <v>23800</v>
      </c>
      <c r="O77">
        <f>COUNTIFS(Source!$E:$E,"Put",Source!$B:$B,Sheet2!$N77)</f>
        <v>0</v>
      </c>
      <c r="P77" t="str">
        <f t="array" ref="P77">IFERROR(INDEX(Source!$A$1:$A$250,SMALL(IF(--(Source!$B$1:$B$250=Sheet2!$N77)*--(Source!$E$1:$E$250=Sheet2!$O$2),ROW(Source!$B$1:$B$250),FALSE),P$2)),"")</f>
        <v/>
      </c>
      <c r="Q77" t="str">
        <f t="array" ref="Q77">IFERROR(INDEX(Source!$A$1:$A$250,SMALL(IF(--(Source!$B$1:$B$250=Sheet2!$N77)*--(Source!$E$1:$E$250=Sheet2!$O$2),ROW(Source!$B$1:$B$250),FALSE),Q$2)),"")</f>
        <v/>
      </c>
      <c r="R77" t="str">
        <f t="array" ref="R77">IFERROR(INDEX(Source!$A$1:$A$250,SMALL(IF(--(Source!$B$1:$B$250=Sheet2!$N77)*--(Source!$E$1:$E$250=Sheet2!$O$2),ROW(Source!$B$1:$B$250),FALSE),R$2)),"")</f>
        <v/>
      </c>
      <c r="S77" t="str">
        <f t="array" ref="S77">IFERROR(INDEX(Source!$A$1:$A$250,SMALL(IF(--(Source!$B$1:$B$250=Sheet2!$N77)*--(Source!$E$1:$E$250=Sheet2!$O$2),ROW(Source!$B$1:$B$250),FALSE),S$2)),"")</f>
        <v/>
      </c>
      <c r="T77" t="str">
        <f t="array" ref="T77">IFERROR(INDEX(Source!$A$1:$A$250,SMALL(IF(--(Source!$B$1:$B$250=Sheet2!$N77)*--(Source!$E$1:$E$250=Sheet2!$O$2),ROW(Source!$B$1:$B$250),FALSE),T$2)),"")</f>
        <v/>
      </c>
      <c r="U77" t="str">
        <f t="array" ref="U77">IFERROR(INDEX(Source!$A$1:$A$250,SMALL(IF(--(Source!$B$1:$B$250=Sheet2!$N77)*--(Source!$E$1:$E$250=Sheet2!$O$2),ROW(Source!$B$1:$B$250),FALSE),U$2)),"")</f>
        <v/>
      </c>
      <c r="V77" t="str">
        <f t="array" ref="V77">IFERROR(INDEX(Source!$A$1:$A$250,SMALL(IF(--(Source!$B$1:$B$250=Sheet2!$N77)*--(Source!$E$1:$E$250=Sheet2!$O$2),ROW(Source!$B$1:$B$250),FALSE),V$2)),"")</f>
        <v/>
      </c>
      <c r="W77" s="5">
        <f t="shared" si="3"/>
        <v>0</v>
      </c>
    </row>
    <row r="78" spans="4:23">
      <c r="D78" s="5">
        <f t="shared" si="2"/>
        <v>0</v>
      </c>
      <c r="E78" t="str">
        <f t="array" ref="E78">IFERROR(INDEX(Source!$A$1:$A$250,SMALL(IF(--(Source!$B$1:$B$250=Sheet2!$N78)*--(Source!$E$1:$E$250=Sheet2!$M$2),ROW(Source!$B$1:$B$250),FALSE),E$2)),"")</f>
        <v/>
      </c>
      <c r="F78" t="str">
        <f t="array" ref="F78">IFERROR(INDEX(Source!$A$1:$A$250,SMALL(IF(--(Source!$B$1:$B$250=Sheet2!$N78)*--(Source!$E$1:$E$250=Sheet2!$M$2),ROW(Source!$B$1:$B$250),FALSE),F$2)),"")</f>
        <v/>
      </c>
      <c r="G78" t="str">
        <f t="array" ref="G78">IFERROR(INDEX(Source!$A$1:$A$250,SMALL(IF(--(Source!$B$1:$B$250=Sheet2!$N78)*--(Source!$E$1:$E$250=Sheet2!$M$2),ROW(Source!$B$1:$B$250),FALSE),G$2)),"")</f>
        <v/>
      </c>
      <c r="H78" t="str">
        <f t="array" ref="H78">IFERROR(INDEX(Source!$A$1:$A$250,SMALL(IF(--(Source!$B$1:$B$250=Sheet2!$N78)*--(Source!$E$1:$E$250=Sheet2!$M$2),ROW(Source!$B$1:$B$250),FALSE),H$2)),"")</f>
        <v/>
      </c>
      <c r="I78" t="str">
        <f t="array" ref="I78">IFERROR(INDEX(Source!$A$1:$A$250,SMALL(IF(--(Source!$B$1:$B$250=Sheet2!$N78)*--(Source!$E$1:$E$250=Sheet2!$M$2),ROW(Source!$B$1:$B$250),FALSE),I$2)),"")</f>
        <v/>
      </c>
      <c r="J78" t="str">
        <f t="array" ref="J78">IFERROR(INDEX(Source!$A$1:$A$250,SMALL(IF(--(Source!$B$1:$B$250=Sheet2!$N78)*--(Source!$E$1:$E$250=Sheet2!$M$2),ROW(Source!$B$1:$B$250),FALSE),J$2)),"")</f>
        <v/>
      </c>
      <c r="K78" t="str">
        <f t="array" ref="K78">IFERROR(INDEX(Source!$A$1:$A$250,SMALL(IF(--(Source!$B$1:$B$250=Sheet2!$N78)*--(Source!$E$1:$E$250=Sheet2!$M$2),ROW(Source!$B$1:$B$250),FALSE),K$2)),"")</f>
        <v/>
      </c>
      <c r="L78" t="str">
        <f t="array" ref="L78">IFERROR(INDEX(Source!$A$1:$A$250,SMALL(IF(--(Source!$B$1:$B$250=Sheet2!$N78)*--(Source!$E$1:$E$250=Sheet2!$M$2),ROW(Source!$B$1:$B$250),FALSE),L$2)),"")</f>
        <v>23975 HK Equity</v>
      </c>
      <c r="M78">
        <f>COUNTIFS(Source!$E:$E,"Call",Source!$B:$B,Sheet2!$N78)</f>
        <v>1</v>
      </c>
      <c r="N78">
        <v>24288</v>
      </c>
      <c r="O78">
        <f>COUNTIFS(Source!$E:$E,"Put",Source!$B:$B,Sheet2!$N78)</f>
        <v>0</v>
      </c>
      <c r="P78" t="str">
        <f t="array" ref="P78">IFERROR(INDEX(Source!$A$1:$A$250,SMALL(IF(--(Source!$B$1:$B$250=Sheet2!$N78)*--(Source!$E$1:$E$250=Sheet2!$O$2),ROW(Source!$B$1:$B$250),FALSE),P$2)),"")</f>
        <v/>
      </c>
      <c r="Q78" t="str">
        <f t="array" ref="Q78">IFERROR(INDEX(Source!$A$1:$A$250,SMALL(IF(--(Source!$B$1:$B$250=Sheet2!$N78)*--(Source!$E$1:$E$250=Sheet2!$O$2),ROW(Source!$B$1:$B$250),FALSE),Q$2)),"")</f>
        <v/>
      </c>
      <c r="R78" t="str">
        <f t="array" ref="R78">IFERROR(INDEX(Source!$A$1:$A$250,SMALL(IF(--(Source!$B$1:$B$250=Sheet2!$N78)*--(Source!$E$1:$E$250=Sheet2!$O$2),ROW(Source!$B$1:$B$250),FALSE),R$2)),"")</f>
        <v/>
      </c>
      <c r="S78" t="str">
        <f t="array" ref="S78">IFERROR(INDEX(Source!$A$1:$A$250,SMALL(IF(--(Source!$B$1:$B$250=Sheet2!$N78)*--(Source!$E$1:$E$250=Sheet2!$O$2),ROW(Source!$B$1:$B$250),FALSE),S$2)),"")</f>
        <v/>
      </c>
      <c r="T78" t="str">
        <f t="array" ref="T78">IFERROR(INDEX(Source!$A$1:$A$250,SMALL(IF(--(Source!$B$1:$B$250=Sheet2!$N78)*--(Source!$E$1:$E$250=Sheet2!$O$2),ROW(Source!$B$1:$B$250),FALSE),T$2)),"")</f>
        <v/>
      </c>
      <c r="U78" t="str">
        <f t="array" ref="U78">IFERROR(INDEX(Source!$A$1:$A$250,SMALL(IF(--(Source!$B$1:$B$250=Sheet2!$N78)*--(Source!$E$1:$E$250=Sheet2!$O$2),ROW(Source!$B$1:$B$250),FALSE),U$2)),"")</f>
        <v/>
      </c>
      <c r="V78" t="str">
        <f t="array" ref="V78">IFERROR(INDEX(Source!$A$1:$A$250,SMALL(IF(--(Source!$B$1:$B$250=Sheet2!$N78)*--(Source!$E$1:$E$250=Sheet2!$O$2),ROW(Source!$B$1:$B$250),FALSE),V$2)),"")</f>
        <v/>
      </c>
      <c r="W78" s="5">
        <f t="shared" si="3"/>
        <v>0</v>
      </c>
    </row>
    <row r="79" spans="4:23">
      <c r="D79" s="5">
        <f t="shared" si="2"/>
        <v>0</v>
      </c>
      <c r="E79" t="str">
        <f t="array" ref="E79">IFERROR(INDEX(Source!$A$1:$A$250,SMALL(IF(--(Source!$B$1:$B$250=Sheet2!$N79)*--(Source!$E$1:$E$250=Sheet2!$M$2),ROW(Source!$B$1:$B$250),FALSE),E$2)),"")</f>
        <v/>
      </c>
      <c r="F79" t="str">
        <f t="array" ref="F79">IFERROR(INDEX(Source!$A$1:$A$250,SMALL(IF(--(Source!$B$1:$B$250=Sheet2!$N79)*--(Source!$E$1:$E$250=Sheet2!$M$2),ROW(Source!$B$1:$B$250),FALSE),F$2)),"")</f>
        <v/>
      </c>
      <c r="G79" t="str">
        <f t="array" ref="G79">IFERROR(INDEX(Source!$A$1:$A$250,SMALL(IF(--(Source!$B$1:$B$250=Sheet2!$N79)*--(Source!$E$1:$E$250=Sheet2!$M$2),ROW(Source!$B$1:$B$250),FALSE),G$2)),"")</f>
        <v/>
      </c>
      <c r="H79" t="str">
        <f t="array" ref="H79">IFERROR(INDEX(Source!$A$1:$A$250,SMALL(IF(--(Source!$B$1:$B$250=Sheet2!$N79)*--(Source!$E$1:$E$250=Sheet2!$M$2),ROW(Source!$B$1:$B$250),FALSE),H$2)),"")</f>
        <v/>
      </c>
      <c r="I79" t="str">
        <f t="array" ref="I79">IFERROR(INDEX(Source!$A$1:$A$250,SMALL(IF(--(Source!$B$1:$B$250=Sheet2!$N79)*--(Source!$E$1:$E$250=Sheet2!$M$2),ROW(Source!$B$1:$B$250),FALSE),I$2)),"")</f>
        <v>23683 HK Equity</v>
      </c>
      <c r="J79" t="str">
        <f t="array" ref="J79">IFERROR(INDEX(Source!$A$1:$A$250,SMALL(IF(--(Source!$B$1:$B$250=Sheet2!$N79)*--(Source!$E$1:$E$250=Sheet2!$M$2),ROW(Source!$B$1:$B$250),FALSE),J$2)),"")</f>
        <v>22156 HK Equity</v>
      </c>
      <c r="K79" t="str">
        <f t="array" ref="K79">IFERROR(INDEX(Source!$A$1:$A$250,SMALL(IF(--(Source!$B$1:$B$250=Sheet2!$N79)*--(Source!$E$1:$E$250=Sheet2!$M$2),ROW(Source!$B$1:$B$250),FALSE),K$2)),"")</f>
        <v>21875 HK Equity</v>
      </c>
      <c r="L79" t="str">
        <f t="array" ref="L79">IFERROR(INDEX(Source!$A$1:$A$250,SMALL(IF(--(Source!$B$1:$B$250=Sheet2!$N79)*--(Source!$E$1:$E$250=Sheet2!$M$2),ROW(Source!$B$1:$B$250),FALSE),L$2)),"")</f>
        <v>20537 HK Equity</v>
      </c>
      <c r="M79">
        <f>COUNTIFS(Source!$E:$E,"Call",Source!$B:$B,Sheet2!$N79)</f>
        <v>4</v>
      </c>
      <c r="N79">
        <v>24400</v>
      </c>
      <c r="O79">
        <f>COUNTIFS(Source!$E:$E,"Put",Source!$B:$B,Sheet2!$N79)</f>
        <v>0</v>
      </c>
      <c r="P79" t="str">
        <f t="array" ref="P79">IFERROR(INDEX(Source!$A$1:$A$250,SMALL(IF(--(Source!$B$1:$B$250=Sheet2!$N79)*--(Source!$E$1:$E$250=Sheet2!$O$2),ROW(Source!$B$1:$B$250),FALSE),P$2)),"")</f>
        <v/>
      </c>
      <c r="Q79" t="str">
        <f t="array" ref="Q79">IFERROR(INDEX(Source!$A$1:$A$250,SMALL(IF(--(Source!$B$1:$B$250=Sheet2!$N79)*--(Source!$E$1:$E$250=Sheet2!$O$2),ROW(Source!$B$1:$B$250),FALSE),Q$2)),"")</f>
        <v/>
      </c>
      <c r="R79" t="str">
        <f t="array" ref="R79">IFERROR(INDEX(Source!$A$1:$A$250,SMALL(IF(--(Source!$B$1:$B$250=Sheet2!$N79)*--(Source!$E$1:$E$250=Sheet2!$O$2),ROW(Source!$B$1:$B$250),FALSE),R$2)),"")</f>
        <v/>
      </c>
      <c r="S79" t="str">
        <f t="array" ref="S79">IFERROR(INDEX(Source!$A$1:$A$250,SMALL(IF(--(Source!$B$1:$B$250=Sheet2!$N79)*--(Source!$E$1:$E$250=Sheet2!$O$2),ROW(Source!$B$1:$B$250),FALSE),S$2)),"")</f>
        <v/>
      </c>
      <c r="T79" t="str">
        <f t="array" ref="T79">IFERROR(INDEX(Source!$A$1:$A$250,SMALL(IF(--(Source!$B$1:$B$250=Sheet2!$N79)*--(Source!$E$1:$E$250=Sheet2!$O$2),ROW(Source!$B$1:$B$250),FALSE),T$2)),"")</f>
        <v/>
      </c>
      <c r="U79" t="str">
        <f t="array" ref="U79">IFERROR(INDEX(Source!$A$1:$A$250,SMALL(IF(--(Source!$B$1:$B$250=Sheet2!$N79)*--(Source!$E$1:$E$250=Sheet2!$O$2),ROW(Source!$B$1:$B$250),FALSE),U$2)),"")</f>
        <v/>
      </c>
      <c r="V79" t="str">
        <f t="array" ref="V79">IFERROR(INDEX(Source!$A$1:$A$250,SMALL(IF(--(Source!$B$1:$B$250=Sheet2!$N79)*--(Source!$E$1:$E$250=Sheet2!$O$2),ROW(Source!$B$1:$B$250),FALSE),V$2)),"")</f>
        <v/>
      </c>
      <c r="W79" s="5">
        <f t="shared" si="3"/>
        <v>0</v>
      </c>
    </row>
    <row r="80" spans="4:23">
      <c r="D80" s="5">
        <f t="shared" si="2"/>
        <v>0</v>
      </c>
      <c r="E80" t="str">
        <f t="array" ref="E80">IFERROR(INDEX(Source!$A$1:$A$250,SMALL(IF(--(Source!$B$1:$B$250=Sheet2!$N80)*--(Source!$E$1:$E$250=Sheet2!$M$2),ROW(Source!$B$1:$B$250),FALSE),E$2)),"")</f>
        <v/>
      </c>
      <c r="F80" t="str">
        <f t="array" ref="F80">IFERROR(INDEX(Source!$A$1:$A$250,SMALL(IF(--(Source!$B$1:$B$250=Sheet2!$N80)*--(Source!$E$1:$E$250=Sheet2!$M$2),ROW(Source!$B$1:$B$250),FALSE),F$2)),"")</f>
        <v/>
      </c>
      <c r="G80" t="str">
        <f t="array" ref="G80">IFERROR(INDEX(Source!$A$1:$A$250,SMALL(IF(--(Source!$B$1:$B$250=Sheet2!$N80)*--(Source!$E$1:$E$250=Sheet2!$M$2),ROW(Source!$B$1:$B$250),FALSE),G$2)),"")</f>
        <v/>
      </c>
      <c r="H80" t="str">
        <f t="array" ref="H80">IFERROR(INDEX(Source!$A$1:$A$250,SMALL(IF(--(Source!$B$1:$B$250=Sheet2!$N80)*--(Source!$E$1:$E$250=Sheet2!$M$2),ROW(Source!$B$1:$B$250),FALSE),H$2)),"")</f>
        <v/>
      </c>
      <c r="I80" t="str">
        <f t="array" ref="I80">IFERROR(INDEX(Source!$A$1:$A$250,SMALL(IF(--(Source!$B$1:$B$250=Sheet2!$N80)*--(Source!$E$1:$E$250=Sheet2!$M$2),ROW(Source!$B$1:$B$250),FALSE),I$2)),"")</f>
        <v/>
      </c>
      <c r="J80" t="str">
        <f t="array" ref="J80">IFERROR(INDEX(Source!$A$1:$A$250,SMALL(IF(--(Source!$B$1:$B$250=Sheet2!$N80)*--(Source!$E$1:$E$250=Sheet2!$M$2),ROW(Source!$B$1:$B$250),FALSE),J$2)),"")</f>
        <v/>
      </c>
      <c r="K80" t="str">
        <f t="array" ref="K80">IFERROR(INDEX(Source!$A$1:$A$250,SMALL(IF(--(Source!$B$1:$B$250=Sheet2!$N80)*--(Source!$E$1:$E$250=Sheet2!$M$2),ROW(Source!$B$1:$B$250),FALSE),K$2)),"")</f>
        <v/>
      </c>
      <c r="L80" t="str">
        <f t="array" ref="L80">IFERROR(INDEX(Source!$A$1:$A$250,SMALL(IF(--(Source!$B$1:$B$250=Sheet2!$N80)*--(Source!$E$1:$E$250=Sheet2!$M$2),ROW(Source!$B$1:$B$250),FALSE),L$2)),"")</f>
        <v/>
      </c>
      <c r="M80">
        <f>COUNTIFS(Source!$E:$E,"Call",Source!$B:$B,Sheet2!$N80)</f>
        <v>0</v>
      </c>
      <c r="N80">
        <v>24500</v>
      </c>
      <c r="O80">
        <f>COUNTIFS(Source!$E:$E,"Put",Source!$B:$B,Sheet2!$N80)</f>
        <v>1</v>
      </c>
      <c r="P80" t="str">
        <f t="array" ref="P80">IFERROR(INDEX(Source!$A$1:$A$250,SMALL(IF(--(Source!$B$1:$B$250=Sheet2!$N80)*--(Source!$E$1:$E$250=Sheet2!$O$2),ROW(Source!$B$1:$B$250),FALSE),P$2)),"")</f>
        <v>21028 HK Equity</v>
      </c>
      <c r="Q80" t="str">
        <f t="array" ref="Q80">IFERROR(INDEX(Source!$A$1:$A$250,SMALL(IF(--(Source!$B$1:$B$250=Sheet2!$N80)*--(Source!$E$1:$E$250=Sheet2!$O$2),ROW(Source!$B$1:$B$250),FALSE),Q$2)),"")</f>
        <v/>
      </c>
      <c r="R80" t="str">
        <f t="array" ref="R80">IFERROR(INDEX(Source!$A$1:$A$250,SMALL(IF(--(Source!$B$1:$B$250=Sheet2!$N80)*--(Source!$E$1:$E$250=Sheet2!$O$2),ROW(Source!$B$1:$B$250),FALSE),R$2)),"")</f>
        <v/>
      </c>
      <c r="S80" t="str">
        <f t="array" ref="S80">IFERROR(INDEX(Source!$A$1:$A$250,SMALL(IF(--(Source!$B$1:$B$250=Sheet2!$N80)*--(Source!$E$1:$E$250=Sheet2!$O$2),ROW(Source!$B$1:$B$250),FALSE),S$2)),"")</f>
        <v/>
      </c>
      <c r="T80" t="str">
        <f t="array" ref="T80">IFERROR(INDEX(Source!$A$1:$A$250,SMALL(IF(--(Source!$B$1:$B$250=Sheet2!$N80)*--(Source!$E$1:$E$250=Sheet2!$O$2),ROW(Source!$B$1:$B$250),FALSE),T$2)),"")</f>
        <v/>
      </c>
      <c r="U80" t="str">
        <f t="array" ref="U80">IFERROR(INDEX(Source!$A$1:$A$250,SMALL(IF(--(Source!$B$1:$B$250=Sheet2!$N80)*--(Source!$E$1:$E$250=Sheet2!$O$2),ROW(Source!$B$1:$B$250),FALSE),U$2)),"")</f>
        <v/>
      </c>
      <c r="V80" t="str">
        <f t="array" ref="V80">IFERROR(INDEX(Source!$A$1:$A$250,SMALL(IF(--(Source!$B$1:$B$250=Sheet2!$N80)*--(Source!$E$1:$E$250=Sheet2!$O$2),ROW(Source!$B$1:$B$250),FALSE),V$2)),"")</f>
        <v/>
      </c>
      <c r="W80" s="5">
        <f t="shared" si="3"/>
        <v>0</v>
      </c>
    </row>
    <row r="81" spans="4:23">
      <c r="D81" s="5">
        <f t="shared" si="2"/>
        <v>0</v>
      </c>
      <c r="E81" t="str">
        <f t="array" ref="E81">IFERROR(INDEX(Source!$A$1:$A$250,SMALL(IF(--(Source!$B$1:$B$250=Sheet2!$N81)*--(Source!$E$1:$E$250=Sheet2!$M$2),ROW(Source!$B$1:$B$250),FALSE),E$2)),"")</f>
        <v/>
      </c>
      <c r="F81" t="str">
        <f t="array" ref="F81">IFERROR(INDEX(Source!$A$1:$A$250,SMALL(IF(--(Source!$B$1:$B$250=Sheet2!$N81)*--(Source!$E$1:$E$250=Sheet2!$M$2),ROW(Source!$B$1:$B$250),FALSE),F$2)),"")</f>
        <v/>
      </c>
      <c r="G81" t="str">
        <f t="array" ref="G81">IFERROR(INDEX(Source!$A$1:$A$250,SMALL(IF(--(Source!$B$1:$B$250=Sheet2!$N81)*--(Source!$E$1:$E$250=Sheet2!$M$2),ROW(Source!$B$1:$B$250),FALSE),G$2)),"")</f>
        <v/>
      </c>
      <c r="H81" t="str">
        <f t="array" ref="H81">IFERROR(INDEX(Source!$A$1:$A$250,SMALL(IF(--(Source!$B$1:$B$250=Sheet2!$N81)*--(Source!$E$1:$E$250=Sheet2!$M$2),ROW(Source!$B$1:$B$250),FALSE),H$2)),"")</f>
        <v/>
      </c>
      <c r="I81" t="str">
        <f t="array" ref="I81">IFERROR(INDEX(Source!$A$1:$A$250,SMALL(IF(--(Source!$B$1:$B$250=Sheet2!$N81)*--(Source!$E$1:$E$250=Sheet2!$M$2),ROW(Source!$B$1:$B$250),FALSE),I$2)),"")</f>
        <v/>
      </c>
      <c r="J81" t="str">
        <f t="array" ref="J81">IFERROR(INDEX(Source!$A$1:$A$250,SMALL(IF(--(Source!$B$1:$B$250=Sheet2!$N81)*--(Source!$E$1:$E$250=Sheet2!$M$2),ROW(Source!$B$1:$B$250),FALSE),J$2)),"")</f>
        <v/>
      </c>
      <c r="K81" t="str">
        <f t="array" ref="K81">IFERROR(INDEX(Source!$A$1:$A$250,SMALL(IF(--(Source!$B$1:$B$250=Sheet2!$N81)*--(Source!$E$1:$E$250=Sheet2!$M$2),ROW(Source!$B$1:$B$250),FALSE),K$2)),"")</f>
        <v/>
      </c>
      <c r="L81" t="str">
        <f t="array" ref="L81">IFERROR(INDEX(Source!$A$1:$A$250,SMALL(IF(--(Source!$B$1:$B$250=Sheet2!$N81)*--(Source!$E$1:$E$250=Sheet2!$M$2),ROW(Source!$B$1:$B$250),FALSE),L$2)),"")</f>
        <v>22235 HK Equity</v>
      </c>
      <c r="M81">
        <f>COUNTIFS(Source!$E:$E,"Call",Source!$B:$B,Sheet2!$N81)</f>
        <v>1</v>
      </c>
      <c r="N81">
        <v>24518</v>
      </c>
      <c r="O81">
        <f>COUNTIFS(Source!$E:$E,"Put",Source!$B:$B,Sheet2!$N81)</f>
        <v>0</v>
      </c>
      <c r="P81" t="str">
        <f t="array" ref="P81">IFERROR(INDEX(Source!$A$1:$A$250,SMALL(IF(--(Source!$B$1:$B$250=Sheet2!$N81)*--(Source!$E$1:$E$250=Sheet2!$O$2),ROW(Source!$B$1:$B$250),FALSE),P$2)),"")</f>
        <v/>
      </c>
      <c r="Q81" t="str">
        <f t="array" ref="Q81">IFERROR(INDEX(Source!$A$1:$A$250,SMALL(IF(--(Source!$B$1:$B$250=Sheet2!$N81)*--(Source!$E$1:$E$250=Sheet2!$O$2),ROW(Source!$B$1:$B$250),FALSE),Q$2)),"")</f>
        <v/>
      </c>
      <c r="R81" t="str">
        <f t="array" ref="R81">IFERROR(INDEX(Source!$A$1:$A$250,SMALL(IF(--(Source!$B$1:$B$250=Sheet2!$N81)*--(Source!$E$1:$E$250=Sheet2!$O$2),ROW(Source!$B$1:$B$250),FALSE),R$2)),"")</f>
        <v/>
      </c>
      <c r="S81" t="str">
        <f t="array" ref="S81">IFERROR(INDEX(Source!$A$1:$A$250,SMALL(IF(--(Source!$B$1:$B$250=Sheet2!$N81)*--(Source!$E$1:$E$250=Sheet2!$O$2),ROW(Source!$B$1:$B$250),FALSE),S$2)),"")</f>
        <v/>
      </c>
      <c r="T81" t="str">
        <f t="array" ref="T81">IFERROR(INDEX(Source!$A$1:$A$250,SMALL(IF(--(Source!$B$1:$B$250=Sheet2!$N81)*--(Source!$E$1:$E$250=Sheet2!$O$2),ROW(Source!$B$1:$B$250),FALSE),T$2)),"")</f>
        <v/>
      </c>
      <c r="U81" t="str">
        <f t="array" ref="U81">IFERROR(INDEX(Source!$A$1:$A$250,SMALL(IF(--(Source!$B$1:$B$250=Sheet2!$N81)*--(Source!$E$1:$E$250=Sheet2!$O$2),ROW(Source!$B$1:$B$250),FALSE),U$2)),"")</f>
        <v/>
      </c>
      <c r="V81" t="str">
        <f t="array" ref="V81">IFERROR(INDEX(Source!$A$1:$A$250,SMALL(IF(--(Source!$B$1:$B$250=Sheet2!$N81)*--(Source!$E$1:$E$250=Sheet2!$O$2),ROW(Source!$B$1:$B$250),FALSE),V$2)),"")</f>
        <v/>
      </c>
      <c r="W81" s="5">
        <f t="shared" si="3"/>
        <v>0</v>
      </c>
    </row>
    <row r="82" spans="4:23">
      <c r="D82" s="5">
        <f t="shared" si="2"/>
        <v>0</v>
      </c>
      <c r="E82" t="str">
        <f t="array" ref="E82">IFERROR(INDEX(Source!$A$1:$A$250,SMALL(IF(--(Source!$B$1:$B$250=Sheet2!$N82)*--(Source!$E$1:$E$250=Sheet2!$M$2),ROW(Source!$B$1:$B$250),FALSE),E$2)),"")</f>
        <v/>
      </c>
      <c r="F82" t="str">
        <f t="array" ref="F82">IFERROR(INDEX(Source!$A$1:$A$250,SMALL(IF(--(Source!$B$1:$B$250=Sheet2!$N82)*--(Source!$E$1:$E$250=Sheet2!$M$2),ROW(Source!$B$1:$B$250),FALSE),F$2)),"")</f>
        <v/>
      </c>
      <c r="G82" t="str">
        <f t="array" ref="G82">IFERROR(INDEX(Source!$A$1:$A$250,SMALL(IF(--(Source!$B$1:$B$250=Sheet2!$N82)*--(Source!$E$1:$E$250=Sheet2!$M$2),ROW(Source!$B$1:$B$250),FALSE),G$2)),"")</f>
        <v/>
      </c>
      <c r="H82" t="str">
        <f t="array" ref="H82">IFERROR(INDEX(Source!$A$1:$A$250,SMALL(IF(--(Source!$B$1:$B$250=Sheet2!$N82)*--(Source!$E$1:$E$250=Sheet2!$M$2),ROW(Source!$B$1:$B$250),FALSE),H$2)),"")</f>
        <v/>
      </c>
      <c r="I82" t="str">
        <f t="array" ref="I82">IFERROR(INDEX(Source!$A$1:$A$250,SMALL(IF(--(Source!$B$1:$B$250=Sheet2!$N82)*--(Source!$E$1:$E$250=Sheet2!$M$2),ROW(Source!$B$1:$B$250),FALSE),I$2)),"")</f>
        <v>18766 HK Equity</v>
      </c>
      <c r="J82" t="str">
        <f t="array" ref="J82">IFERROR(INDEX(Source!$A$1:$A$250,SMALL(IF(--(Source!$B$1:$B$250=Sheet2!$N82)*--(Source!$E$1:$E$250=Sheet2!$M$2),ROW(Source!$B$1:$B$250),FALSE),J$2)),"")</f>
        <v>21852 HK Equity</v>
      </c>
      <c r="K82" t="str">
        <f t="array" ref="K82">IFERROR(INDEX(Source!$A$1:$A$250,SMALL(IF(--(Source!$B$1:$B$250=Sheet2!$N82)*--(Source!$E$1:$E$250=Sheet2!$M$2),ROW(Source!$B$1:$B$250),FALSE),K$2)),"")</f>
        <v>20588 HK Equity</v>
      </c>
      <c r="L82" t="str">
        <f t="array" ref="L82">IFERROR(INDEX(Source!$A$1:$A$250,SMALL(IF(--(Source!$B$1:$B$250=Sheet2!$N82)*--(Source!$E$1:$E$250=Sheet2!$M$2),ROW(Source!$B$1:$B$250),FALSE),L$2)),"")</f>
        <v>14950 HK Equity</v>
      </c>
      <c r="M82">
        <f>COUNTIFS(Source!$E:$E,"Call",Source!$B:$B,Sheet2!$N82)</f>
        <v>4</v>
      </c>
      <c r="N82">
        <v>25000</v>
      </c>
      <c r="O82">
        <f>COUNTIFS(Source!$E:$E,"Put",Source!$B:$B,Sheet2!$N82)</f>
        <v>1</v>
      </c>
      <c r="P82" t="str">
        <f t="array" ref="P82">IFERROR(INDEX(Source!$A$1:$A$250,SMALL(IF(--(Source!$B$1:$B$250=Sheet2!$N82)*--(Source!$E$1:$E$250=Sheet2!$O$2),ROW(Source!$B$1:$B$250),FALSE),P$2)),"")</f>
        <v>22799 HK Equity</v>
      </c>
      <c r="Q82" t="str">
        <f t="array" ref="Q82">IFERROR(INDEX(Source!$A$1:$A$250,SMALL(IF(--(Source!$B$1:$B$250=Sheet2!$N82)*--(Source!$E$1:$E$250=Sheet2!$O$2),ROW(Source!$B$1:$B$250),FALSE),Q$2)),"")</f>
        <v/>
      </c>
      <c r="R82" t="str">
        <f t="array" ref="R82">IFERROR(INDEX(Source!$A$1:$A$250,SMALL(IF(--(Source!$B$1:$B$250=Sheet2!$N82)*--(Source!$E$1:$E$250=Sheet2!$O$2),ROW(Source!$B$1:$B$250),FALSE),R$2)),"")</f>
        <v/>
      </c>
      <c r="S82" t="str">
        <f t="array" ref="S82">IFERROR(INDEX(Source!$A$1:$A$250,SMALL(IF(--(Source!$B$1:$B$250=Sheet2!$N82)*--(Source!$E$1:$E$250=Sheet2!$O$2),ROW(Source!$B$1:$B$250),FALSE),S$2)),"")</f>
        <v/>
      </c>
      <c r="T82" t="str">
        <f t="array" ref="T82">IFERROR(INDEX(Source!$A$1:$A$250,SMALL(IF(--(Source!$B$1:$B$250=Sheet2!$N82)*--(Source!$E$1:$E$250=Sheet2!$O$2),ROW(Source!$B$1:$B$250),FALSE),T$2)),"")</f>
        <v/>
      </c>
      <c r="U82" t="str">
        <f t="array" ref="U82">IFERROR(INDEX(Source!$A$1:$A$250,SMALL(IF(--(Source!$B$1:$B$250=Sheet2!$N82)*--(Source!$E$1:$E$250=Sheet2!$O$2),ROW(Source!$B$1:$B$250),FALSE),U$2)),"")</f>
        <v/>
      </c>
      <c r="V82" t="str">
        <f t="array" ref="V82">IFERROR(INDEX(Source!$A$1:$A$250,SMALL(IF(--(Source!$B$1:$B$250=Sheet2!$N82)*--(Source!$E$1:$E$250=Sheet2!$O$2),ROW(Source!$B$1:$B$250),FALSE),V$2)),"")</f>
        <v/>
      </c>
      <c r="W82" s="5">
        <f t="shared" si="3"/>
        <v>0</v>
      </c>
    </row>
    <row r="83" spans="4:23">
      <c r="D83" s="5">
        <f t="shared" si="2"/>
        <v>0</v>
      </c>
      <c r="E83" t="str">
        <f t="array" ref="E83">IFERROR(INDEX(Source!$A$1:$A$250,SMALL(IF(--(Source!$B$1:$B$250=Sheet2!$N83)*--(Source!$E$1:$E$250=Sheet2!$M$2),ROW(Source!$B$1:$B$250),FALSE),E$2)),"")</f>
        <v/>
      </c>
      <c r="F83" t="str">
        <f t="array" ref="F83">IFERROR(INDEX(Source!$A$1:$A$250,SMALL(IF(--(Source!$B$1:$B$250=Sheet2!$N83)*--(Source!$E$1:$E$250=Sheet2!$M$2),ROW(Source!$B$1:$B$250),FALSE),F$2)),"")</f>
        <v/>
      </c>
      <c r="G83" t="str">
        <f t="array" ref="G83">IFERROR(INDEX(Source!$A$1:$A$250,SMALL(IF(--(Source!$B$1:$B$250=Sheet2!$N83)*--(Source!$E$1:$E$250=Sheet2!$M$2),ROW(Source!$B$1:$B$250),FALSE),G$2)),"")</f>
        <v/>
      </c>
      <c r="H83" t="str">
        <f t="array" ref="H83">IFERROR(INDEX(Source!$A$1:$A$250,SMALL(IF(--(Source!$B$1:$B$250=Sheet2!$N83)*--(Source!$E$1:$E$250=Sheet2!$M$2),ROW(Source!$B$1:$B$250),FALSE),H$2)),"")</f>
        <v/>
      </c>
      <c r="I83" t="str">
        <f t="array" ref="I83">IFERROR(INDEX(Source!$A$1:$A$250,SMALL(IF(--(Source!$B$1:$B$250=Sheet2!$N83)*--(Source!$E$1:$E$250=Sheet2!$M$2),ROW(Source!$B$1:$B$250),FALSE),I$2)),"")</f>
        <v/>
      </c>
      <c r="J83" t="str">
        <f t="array" ref="J83">IFERROR(INDEX(Source!$A$1:$A$250,SMALL(IF(--(Source!$B$1:$B$250=Sheet2!$N83)*--(Source!$E$1:$E$250=Sheet2!$M$2),ROW(Source!$B$1:$B$250),FALSE),J$2)),"")</f>
        <v/>
      </c>
      <c r="K83" t="str">
        <f t="array" ref="K83">IFERROR(INDEX(Source!$A$1:$A$250,SMALL(IF(--(Source!$B$1:$B$250=Sheet2!$N83)*--(Source!$E$1:$E$250=Sheet2!$M$2),ROW(Source!$B$1:$B$250),FALSE),K$2)),"")</f>
        <v/>
      </c>
      <c r="L83" t="str">
        <f t="array" ref="L83">IFERROR(INDEX(Source!$A$1:$A$250,SMALL(IF(--(Source!$B$1:$B$250=Sheet2!$N83)*--(Source!$E$1:$E$250=Sheet2!$M$2),ROW(Source!$B$1:$B$250),FALSE),L$2)),"")</f>
        <v>18856 HK Equity</v>
      </c>
      <c r="M83">
        <f>COUNTIFS(Source!$E:$E,"Call",Source!$B:$B,Sheet2!$N83)</f>
        <v>1</v>
      </c>
      <c r="N83">
        <v>25118</v>
      </c>
      <c r="O83">
        <f>COUNTIFS(Source!$E:$E,"Put",Source!$B:$B,Sheet2!$N83)</f>
        <v>0</v>
      </c>
      <c r="P83" t="str">
        <f t="array" ref="P83">IFERROR(INDEX(Source!$A$1:$A$250,SMALL(IF(--(Source!$B$1:$B$250=Sheet2!$N83)*--(Source!$E$1:$E$250=Sheet2!$O$2),ROW(Source!$B$1:$B$250),FALSE),P$2)),"")</f>
        <v/>
      </c>
      <c r="Q83" t="str">
        <f t="array" ref="Q83">IFERROR(INDEX(Source!$A$1:$A$250,SMALL(IF(--(Source!$B$1:$B$250=Sheet2!$N83)*--(Source!$E$1:$E$250=Sheet2!$O$2),ROW(Source!$B$1:$B$250),FALSE),Q$2)),"")</f>
        <v/>
      </c>
      <c r="R83" t="str">
        <f t="array" ref="R83">IFERROR(INDEX(Source!$A$1:$A$250,SMALL(IF(--(Source!$B$1:$B$250=Sheet2!$N83)*--(Source!$E$1:$E$250=Sheet2!$O$2),ROW(Source!$B$1:$B$250),FALSE),R$2)),"")</f>
        <v/>
      </c>
      <c r="S83" t="str">
        <f t="array" ref="S83">IFERROR(INDEX(Source!$A$1:$A$250,SMALL(IF(--(Source!$B$1:$B$250=Sheet2!$N83)*--(Source!$E$1:$E$250=Sheet2!$O$2),ROW(Source!$B$1:$B$250),FALSE),S$2)),"")</f>
        <v/>
      </c>
      <c r="T83" t="str">
        <f t="array" ref="T83">IFERROR(INDEX(Source!$A$1:$A$250,SMALL(IF(--(Source!$B$1:$B$250=Sheet2!$N83)*--(Source!$E$1:$E$250=Sheet2!$O$2),ROW(Source!$B$1:$B$250),FALSE),T$2)),"")</f>
        <v/>
      </c>
      <c r="U83" t="str">
        <f t="array" ref="U83">IFERROR(INDEX(Source!$A$1:$A$250,SMALL(IF(--(Source!$B$1:$B$250=Sheet2!$N83)*--(Source!$E$1:$E$250=Sheet2!$O$2),ROW(Source!$B$1:$B$250),FALSE),U$2)),"")</f>
        <v/>
      </c>
      <c r="V83" t="str">
        <f t="array" ref="V83">IFERROR(INDEX(Source!$A$1:$A$250,SMALL(IF(--(Source!$B$1:$B$250=Sheet2!$N83)*--(Source!$E$1:$E$250=Sheet2!$O$2),ROW(Source!$B$1:$B$250),FALSE),V$2)),"")</f>
        <v/>
      </c>
      <c r="W83" s="5">
        <f t="shared" si="3"/>
        <v>0</v>
      </c>
    </row>
    <row r="84" spans="4:23">
      <c r="D84" s="5">
        <f t="shared" si="2"/>
        <v>0</v>
      </c>
      <c r="E84" t="str">
        <f t="array" ref="E84">IFERROR(INDEX(Source!$A$1:$A$250,SMALL(IF(--(Source!$B$1:$B$250=Sheet2!$N84)*--(Source!$E$1:$E$250=Sheet2!$M$2),ROW(Source!$B$1:$B$250),FALSE),E$2)),"")</f>
        <v/>
      </c>
      <c r="F84" t="str">
        <f t="array" ref="F84">IFERROR(INDEX(Source!$A$1:$A$250,SMALL(IF(--(Source!$B$1:$B$250=Sheet2!$N84)*--(Source!$E$1:$E$250=Sheet2!$M$2),ROW(Source!$B$1:$B$250),FALSE),F$2)),"")</f>
        <v/>
      </c>
      <c r="G84" t="str">
        <f t="array" ref="G84">IFERROR(INDEX(Source!$A$1:$A$250,SMALL(IF(--(Source!$B$1:$B$250=Sheet2!$N84)*--(Source!$E$1:$E$250=Sheet2!$M$2),ROW(Source!$B$1:$B$250),FALSE),G$2)),"")</f>
        <v/>
      </c>
      <c r="H84" t="str">
        <f t="array" ref="H84">IFERROR(INDEX(Source!$A$1:$A$250,SMALL(IF(--(Source!$B$1:$B$250=Sheet2!$N84)*--(Source!$E$1:$E$250=Sheet2!$M$2),ROW(Source!$B$1:$B$250),FALSE),H$2)),"")</f>
        <v/>
      </c>
      <c r="I84" t="str">
        <f t="array" ref="I84">IFERROR(INDEX(Source!$A$1:$A$250,SMALL(IF(--(Source!$B$1:$B$250=Sheet2!$N84)*--(Source!$E$1:$E$250=Sheet2!$M$2),ROW(Source!$B$1:$B$250),FALSE),I$2)),"")</f>
        <v/>
      </c>
      <c r="J84" t="str">
        <f t="array" ref="J84">IFERROR(INDEX(Source!$A$1:$A$250,SMALL(IF(--(Source!$B$1:$B$250=Sheet2!$N84)*--(Source!$E$1:$E$250=Sheet2!$M$2),ROW(Source!$B$1:$B$250),FALSE),J$2)),"")</f>
        <v/>
      </c>
      <c r="K84" t="str">
        <f t="array" ref="K84">IFERROR(INDEX(Source!$A$1:$A$250,SMALL(IF(--(Source!$B$1:$B$250=Sheet2!$N84)*--(Source!$E$1:$E$250=Sheet2!$M$2),ROW(Source!$B$1:$B$250),FALSE),K$2)),"")</f>
        <v/>
      </c>
      <c r="L84" t="str">
        <f t="array" ref="L84">IFERROR(INDEX(Source!$A$1:$A$250,SMALL(IF(--(Source!$B$1:$B$250=Sheet2!$N84)*--(Source!$E$1:$E$250=Sheet2!$M$2),ROW(Source!$B$1:$B$250),FALSE),L$2)),"")</f>
        <v>23970 HK Equity</v>
      </c>
      <c r="M84">
        <f>COUNTIFS(Source!$E:$E,"Call",Source!$B:$B,Sheet2!$N84)</f>
        <v>1</v>
      </c>
      <c r="N84">
        <v>25288</v>
      </c>
      <c r="O84">
        <f>COUNTIFS(Source!$E:$E,"Put",Source!$B:$B,Sheet2!$N84)</f>
        <v>0</v>
      </c>
      <c r="P84" t="str">
        <f t="array" ref="P84">IFERROR(INDEX(Source!$A$1:$A$250,SMALL(IF(--(Source!$B$1:$B$250=Sheet2!$N84)*--(Source!$E$1:$E$250=Sheet2!$O$2),ROW(Source!$B$1:$B$250),FALSE),P$2)),"")</f>
        <v/>
      </c>
      <c r="Q84" t="str">
        <f t="array" ref="Q84">IFERROR(INDEX(Source!$A$1:$A$250,SMALL(IF(--(Source!$B$1:$B$250=Sheet2!$N84)*--(Source!$E$1:$E$250=Sheet2!$O$2),ROW(Source!$B$1:$B$250),FALSE),Q$2)),"")</f>
        <v/>
      </c>
      <c r="R84" t="str">
        <f t="array" ref="R84">IFERROR(INDEX(Source!$A$1:$A$250,SMALL(IF(--(Source!$B$1:$B$250=Sheet2!$N84)*--(Source!$E$1:$E$250=Sheet2!$O$2),ROW(Source!$B$1:$B$250),FALSE),R$2)),"")</f>
        <v/>
      </c>
      <c r="S84" t="str">
        <f t="array" ref="S84">IFERROR(INDEX(Source!$A$1:$A$250,SMALL(IF(--(Source!$B$1:$B$250=Sheet2!$N84)*--(Source!$E$1:$E$250=Sheet2!$O$2),ROW(Source!$B$1:$B$250),FALSE),S$2)),"")</f>
        <v/>
      </c>
      <c r="T84" t="str">
        <f t="array" ref="T84">IFERROR(INDEX(Source!$A$1:$A$250,SMALL(IF(--(Source!$B$1:$B$250=Sheet2!$N84)*--(Source!$E$1:$E$250=Sheet2!$O$2),ROW(Source!$B$1:$B$250),FALSE),T$2)),"")</f>
        <v/>
      </c>
      <c r="U84" t="str">
        <f t="array" ref="U84">IFERROR(INDEX(Source!$A$1:$A$250,SMALL(IF(--(Source!$B$1:$B$250=Sheet2!$N84)*--(Source!$E$1:$E$250=Sheet2!$O$2),ROW(Source!$B$1:$B$250),FALSE),U$2)),"")</f>
        <v/>
      </c>
      <c r="V84" t="str">
        <f t="array" ref="V84">IFERROR(INDEX(Source!$A$1:$A$250,SMALL(IF(--(Source!$B$1:$B$250=Sheet2!$N84)*--(Source!$E$1:$E$250=Sheet2!$O$2),ROW(Source!$B$1:$B$250),FALSE),V$2)),"")</f>
        <v/>
      </c>
      <c r="W84" s="5">
        <f t="shared" si="3"/>
        <v>0</v>
      </c>
    </row>
    <row r="85" spans="4:23">
      <c r="D85" s="5">
        <f t="shared" si="2"/>
        <v>0</v>
      </c>
      <c r="E85" t="str">
        <f t="array" ref="E85">IFERROR(INDEX(Source!$A$1:$A$250,SMALL(IF(--(Source!$B$1:$B$250=Sheet2!$N85)*--(Source!$E$1:$E$250=Sheet2!$M$2),ROW(Source!$B$1:$B$250),FALSE),E$2)),"")</f>
        <v/>
      </c>
      <c r="F85" t="str">
        <f t="array" ref="F85">IFERROR(INDEX(Source!$A$1:$A$250,SMALL(IF(--(Source!$B$1:$B$250=Sheet2!$N85)*--(Source!$E$1:$E$250=Sheet2!$M$2),ROW(Source!$B$1:$B$250),FALSE),F$2)),"")</f>
        <v/>
      </c>
      <c r="G85" t="str">
        <f t="array" ref="G85">IFERROR(INDEX(Source!$A$1:$A$250,SMALL(IF(--(Source!$B$1:$B$250=Sheet2!$N85)*--(Source!$E$1:$E$250=Sheet2!$M$2),ROW(Source!$B$1:$B$250),FALSE),G$2)),"")</f>
        <v/>
      </c>
      <c r="H85" t="str">
        <f t="array" ref="H85">IFERROR(INDEX(Source!$A$1:$A$250,SMALL(IF(--(Source!$B$1:$B$250=Sheet2!$N85)*--(Source!$E$1:$E$250=Sheet2!$M$2),ROW(Source!$B$1:$B$250),FALSE),H$2)),"")</f>
        <v/>
      </c>
      <c r="I85" t="str">
        <f t="array" ref="I85">IFERROR(INDEX(Source!$A$1:$A$250,SMALL(IF(--(Source!$B$1:$B$250=Sheet2!$N85)*--(Source!$E$1:$E$250=Sheet2!$M$2),ROW(Source!$B$1:$B$250),FALSE),I$2)),"")</f>
        <v/>
      </c>
      <c r="J85" t="str">
        <f t="array" ref="J85">IFERROR(INDEX(Source!$A$1:$A$250,SMALL(IF(--(Source!$B$1:$B$250=Sheet2!$N85)*--(Source!$E$1:$E$250=Sheet2!$M$2),ROW(Source!$B$1:$B$250),FALSE),J$2)),"")</f>
        <v/>
      </c>
      <c r="K85" t="str">
        <f t="array" ref="K85">IFERROR(INDEX(Source!$A$1:$A$250,SMALL(IF(--(Source!$B$1:$B$250=Sheet2!$N85)*--(Source!$E$1:$E$250=Sheet2!$M$2),ROW(Source!$B$1:$B$250),FALSE),K$2)),"")</f>
        <v/>
      </c>
      <c r="L85" t="str">
        <f t="array" ref="L85">IFERROR(INDEX(Source!$A$1:$A$250,SMALL(IF(--(Source!$B$1:$B$250=Sheet2!$N85)*--(Source!$E$1:$E$250=Sheet2!$M$2),ROW(Source!$B$1:$B$250),FALSE),L$2)),"")</f>
        <v>20513 HK Equity</v>
      </c>
      <c r="M85">
        <f>COUNTIFS(Source!$E:$E,"Call",Source!$B:$B,Sheet2!$N85)</f>
        <v>1</v>
      </c>
      <c r="N85">
        <v>25400</v>
      </c>
      <c r="O85">
        <f>COUNTIFS(Source!$E:$E,"Put",Source!$B:$B,Sheet2!$N85)</f>
        <v>0</v>
      </c>
      <c r="P85" t="str">
        <f t="array" ref="P85">IFERROR(INDEX(Source!$A$1:$A$250,SMALL(IF(--(Source!$B$1:$B$250=Sheet2!$N85)*--(Source!$E$1:$E$250=Sheet2!$O$2),ROW(Source!$B$1:$B$250),FALSE),P$2)),"")</f>
        <v/>
      </c>
      <c r="Q85" t="str">
        <f t="array" ref="Q85">IFERROR(INDEX(Source!$A$1:$A$250,SMALL(IF(--(Source!$B$1:$B$250=Sheet2!$N85)*--(Source!$E$1:$E$250=Sheet2!$O$2),ROW(Source!$B$1:$B$250),FALSE),Q$2)),"")</f>
        <v/>
      </c>
      <c r="R85" t="str">
        <f t="array" ref="R85">IFERROR(INDEX(Source!$A$1:$A$250,SMALL(IF(--(Source!$B$1:$B$250=Sheet2!$N85)*--(Source!$E$1:$E$250=Sheet2!$O$2),ROW(Source!$B$1:$B$250),FALSE),R$2)),"")</f>
        <v/>
      </c>
      <c r="S85" t="str">
        <f t="array" ref="S85">IFERROR(INDEX(Source!$A$1:$A$250,SMALL(IF(--(Source!$B$1:$B$250=Sheet2!$N85)*--(Source!$E$1:$E$250=Sheet2!$O$2),ROW(Source!$B$1:$B$250),FALSE),S$2)),"")</f>
        <v/>
      </c>
      <c r="T85" t="str">
        <f t="array" ref="T85">IFERROR(INDEX(Source!$A$1:$A$250,SMALL(IF(--(Source!$B$1:$B$250=Sheet2!$N85)*--(Source!$E$1:$E$250=Sheet2!$O$2),ROW(Source!$B$1:$B$250),FALSE),T$2)),"")</f>
        <v/>
      </c>
      <c r="U85" t="str">
        <f t="array" ref="U85">IFERROR(INDEX(Source!$A$1:$A$250,SMALL(IF(--(Source!$B$1:$B$250=Sheet2!$N85)*--(Source!$E$1:$E$250=Sheet2!$O$2),ROW(Source!$B$1:$B$250),FALSE),U$2)),"")</f>
        <v/>
      </c>
      <c r="V85" t="str">
        <f t="array" ref="V85">IFERROR(INDEX(Source!$A$1:$A$250,SMALL(IF(--(Source!$B$1:$B$250=Sheet2!$N85)*--(Source!$E$1:$E$250=Sheet2!$O$2),ROW(Source!$B$1:$B$250),FALSE),V$2)),"")</f>
        <v/>
      </c>
      <c r="W85" s="5">
        <f t="shared" si="3"/>
        <v>0</v>
      </c>
    </row>
  </sheetData>
  <sortState ref="N3:N233">
    <sortCondition ref="N3:N2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8"/>
  <sheetViews>
    <sheetView topLeftCell="E1" workbookViewId="0">
      <selection activeCell="E3" sqref="E3:X3"/>
    </sheetView>
  </sheetViews>
  <sheetFormatPr defaultRowHeight="15" outlineLevelCol="1"/>
  <cols>
    <col min="6" max="6" width="2" bestFit="1" customWidth="1"/>
    <col min="7" max="12" width="15" bestFit="1" customWidth="1"/>
    <col min="13" max="13" width="10.42578125" bestFit="1" customWidth="1"/>
    <col min="14" max="14" width="10.42578125" customWidth="1"/>
    <col min="15" max="15" width="13.28515625" bestFit="1" customWidth="1"/>
    <col min="16" max="16" width="13.28515625" customWidth="1"/>
    <col min="17" max="17" width="10.140625" bestFit="1" customWidth="1"/>
    <col min="18" max="22" width="15" bestFit="1" customWidth="1"/>
    <col min="25" max="25" width="9.140625" customWidth="1" outlineLevel="1"/>
  </cols>
  <sheetData>
    <row r="1" spans="1:32">
      <c r="E1">
        <f ca="1">SUMPRODUCT(--(E4:E418&lt;&gt;""))</f>
        <v>0</v>
      </c>
      <c r="F1">
        <f ca="1">SUMPRODUCT(--(F4:F418&lt;&gt;""))</f>
        <v>0</v>
      </c>
      <c r="G1">
        <f ca="1">SUMPRODUCT(--(G4:G418&lt;&gt;""))</f>
        <v>1</v>
      </c>
      <c r="H1">
        <f ca="1">SUMPRODUCT(--(H4:H418&lt;&gt;""))</f>
        <v>2</v>
      </c>
      <c r="I1">
        <f ca="1">SUMPRODUCT(--(I4:I418&lt;&gt;""))</f>
        <v>8</v>
      </c>
      <c r="J1">
        <f ca="1">SUMPRODUCT(--(J4:J418&lt;&gt;""))</f>
        <v>15</v>
      </c>
      <c r="K1">
        <f ca="1">SUMPRODUCT(--(K4:K418&lt;&gt;""))</f>
        <v>26</v>
      </c>
      <c r="L1">
        <f ca="1">SUMPRODUCT(--(L4:L418&lt;&gt;""))</f>
        <v>54</v>
      </c>
      <c r="N1">
        <f ca="1">SUM(N4:N418)</f>
        <v>106</v>
      </c>
      <c r="P1">
        <f ca="1">SUM(P4:P418)</f>
        <v>96</v>
      </c>
      <c r="R1">
        <f ca="1">SUMPRODUCT(--(R4:R418&lt;&gt;""))</f>
        <v>58</v>
      </c>
      <c r="S1">
        <f t="shared" ref="S1:X1" ca="1" si="0">SUMPRODUCT(--(S4:S418&lt;&gt;""))</f>
        <v>22</v>
      </c>
      <c r="T1">
        <f t="shared" ca="1" si="0"/>
        <v>13</v>
      </c>
      <c r="U1">
        <f t="shared" ca="1" si="0"/>
        <v>2</v>
      </c>
      <c r="V1">
        <f t="shared" ca="1" si="0"/>
        <v>1</v>
      </c>
      <c r="W1">
        <f t="shared" ca="1" si="0"/>
        <v>0</v>
      </c>
      <c r="X1">
        <f t="shared" ca="1" si="0"/>
        <v>0</v>
      </c>
    </row>
    <row r="3" spans="1:32">
      <c r="D3" s="6">
        <f ca="1">SUM(D4:D86)</f>
        <v>0</v>
      </c>
      <c r="E3">
        <v>8</v>
      </c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  <c r="M3" t="s">
        <v>250</v>
      </c>
      <c r="N3" t="s">
        <v>257</v>
      </c>
      <c r="O3" t="s">
        <v>252</v>
      </c>
      <c r="P3" t="s">
        <v>256</v>
      </c>
      <c r="Q3" t="s">
        <v>251</v>
      </c>
      <c r="R3">
        <v>1</v>
      </c>
      <c r="S3">
        <v>2</v>
      </c>
      <c r="T3">
        <v>3</v>
      </c>
      <c r="U3">
        <v>4</v>
      </c>
      <c r="V3">
        <v>5</v>
      </c>
      <c r="W3">
        <v>6</v>
      </c>
      <c r="X3">
        <v>7</v>
      </c>
      <c r="Y3" s="6">
        <f ca="1">SUM(Y4:Y418)</f>
        <v>0</v>
      </c>
      <c r="AA3" t="s">
        <v>253</v>
      </c>
      <c r="AB3">
        <v>1</v>
      </c>
      <c r="AC3">
        <v>2</v>
      </c>
      <c r="AD3">
        <v>3</v>
      </c>
      <c r="AE3">
        <v>4</v>
      </c>
      <c r="AF3">
        <v>5</v>
      </c>
    </row>
    <row r="4" spans="1:32">
      <c r="A4" t="s">
        <v>245</v>
      </c>
      <c r="C4">
        <v>0</v>
      </c>
      <c r="D4" s="5">
        <f ca="1">SUMPRODUCT(--(E4:L4&lt;&gt;""))-N4</f>
        <v>0</v>
      </c>
      <c r="E4" t="str">
        <f t="array" aca="1" ref="E4" ca="1">IFERROR(INDEX(Source!$A$1:$A$250,SMALL(IF(--(Source!$B$1:$B$250=$O4)*--(Source!$E$1:$E$250=$M$3)*--(Source!$D$1:$D$250=Pyramid!$M4),ROW(Source!$B$1:$B$250),FALSE),E$3)),"")</f>
        <v/>
      </c>
      <c r="F4" t="str">
        <f t="array" aca="1" ref="F4" ca="1">IFERROR(INDEX(Source!$A$1:$A$250,SMALL(IF(--(Source!$B$1:$B$250=$O4)*--(Source!$E$1:$E$250=$M$3)*--(Source!$D$1:$D$250=Pyramid!$M4),ROW(Source!$B$1:$B$250),FALSE),F$3)),"")</f>
        <v/>
      </c>
      <c r="G4" t="str">
        <f t="array" aca="1" ref="G4" ca="1">IFERROR(INDEX(Source!$A$1:$A$250,SMALL(IF(--(Source!$B$1:$B$250=$O4)*--(Source!$E$1:$E$250=$M$3)*--(Source!$D$1:$D$250=Pyramid!$M4),ROW(Source!$B$1:$B$250),FALSE),G$3)),"")</f>
        <v/>
      </c>
      <c r="H4" t="str">
        <f t="array" aca="1" ref="H4" ca="1">IFERROR(INDEX(Source!$A$1:$A$250,SMALL(IF(--(Source!$B$1:$B$250=$O4)*--(Source!$E$1:$E$250=$M$3)*--(Source!$D$1:$D$250=Pyramid!$M4),ROW(Source!$B$1:$B$250),FALSE),H$3)),"")</f>
        <v/>
      </c>
      <c r="I4" t="str">
        <f t="array" aca="1" ref="I4" ca="1">IFERROR(INDEX(Source!$A$1:$A$250,SMALL(IF(--(Source!$B$1:$B$250=$O4)*--(Source!$E$1:$E$250=$M$3)*--(Source!$D$1:$D$250=Pyramid!$M4),ROW(Source!$B$1:$B$250),FALSE),I$3)),"")</f>
        <v/>
      </c>
      <c r="J4" t="str">
        <f t="array" aca="1" ref="J4" ca="1">IFERROR(INDEX(Source!$A$1:$A$250,SMALL(IF(--(Source!$B$1:$B$250=$O4)*--(Source!$E$1:$E$250=$M$3)*--(Source!$D$1:$D$250=Pyramid!$M4),ROW(Source!$B$1:$B$250),FALSE),J$3)),"")</f>
        <v/>
      </c>
      <c r="K4" t="str">
        <f t="array" aca="1" ref="K4" ca="1">IFERROR(INDEX(Source!$A$1:$A$250,SMALL(IF(--(Source!$B$1:$B$250=$O4)*--(Source!$E$1:$E$250=$M$3)*--(Source!$D$1:$D$250=Pyramid!$M4),ROW(Source!$B$1:$B$250),FALSE),K$3)),"")</f>
        <v/>
      </c>
      <c r="L4" t="str">
        <f t="array" aca="1" ref="L4" ca="1">IFERROR(INDEX(Source!$A$1:$A$250,SMALL(IF(--(Source!$B$1:$B$250=$O4)*--(Source!$E$1:$E$250=$M$3)*--(Source!$D$1:$D$250=Pyramid!$M4),ROW(Source!$B$1:$B$250),FALSE),L$3)),"")</f>
        <v/>
      </c>
      <c r="M4" t="str">
        <f>INDEX($A$4:$A$8,MOD($C4,5)+1)</f>
        <v>29/6/2016</v>
      </c>
      <c r="N4">
        <f ca="1">COUNTIFS(Source!B:B,Pyramid!$O4,Source!$D:$D,Pyramid!$M4,Source!$E:$E,Pyramid!$M$3)</f>
        <v>0</v>
      </c>
      <c r="O4">
        <f ca="1">OFFSET(Sheet2!$N$3,INT(C4/5),)</f>
        <v>16888</v>
      </c>
      <c r="P4">
        <f ca="1">COUNTIFS(Source!B:B,Pyramid!$O4,Source!$D:$D,Pyramid!$Q4,Source!$E:$E,Pyramid!$Q$3)</f>
        <v>0</v>
      </c>
      <c r="Q4" t="str">
        <f>INDEX($A$4:$A$8,MOD($C4,5)+1)</f>
        <v>29/6/2016</v>
      </c>
      <c r="R4" t="str">
        <f t="array" aca="1" ref="R4" ca="1">IFERROR(INDEX(Source!$A$1:$A$250,SMALL(IF(--(Source!$B$1:$B$250=$O4)*--(Source!$E$1:$E$250=$Q$3)*--(Source!$D$1:$D$250=Pyramid!$Q4),ROW(Source!$B$1:$B$250),FALSE),R$3)),"")</f>
        <v/>
      </c>
      <c r="S4" t="str">
        <f t="array" aca="1" ref="S4" ca="1">IFERROR(INDEX(Source!$A$1:$A$250,SMALL(IF(--(Source!$B$1:$B$250=$O4)*--(Source!$E$1:$E$250=$Q$3)*--(Source!$D$1:$D$250=Pyramid!$Q4),ROW(Source!$B$1:$B$250),FALSE),S$3)),"")</f>
        <v/>
      </c>
      <c r="T4" t="str">
        <f t="array" aca="1" ref="T4" ca="1">IFERROR(INDEX(Source!$A$1:$A$250,SMALL(IF(--(Source!$B$1:$B$250=$O4)*--(Source!$E$1:$E$250=$Q$3)*--(Source!$D$1:$D$250=Pyramid!$Q4),ROW(Source!$B$1:$B$250),FALSE),T$3)),"")</f>
        <v/>
      </c>
      <c r="U4" t="str">
        <f t="array" aca="1" ref="U4" ca="1">IFERROR(INDEX(Source!$A$1:$A$250,SMALL(IF(--(Source!$B$1:$B$250=$O4)*--(Source!$E$1:$E$250=$Q$3)*--(Source!$D$1:$D$250=Pyramid!$Q4),ROW(Source!$B$1:$B$250),FALSE),U$3)),"")</f>
        <v/>
      </c>
      <c r="V4" t="str">
        <f t="array" aca="1" ref="V4" ca="1">IFERROR(INDEX(Source!$A$1:$A$250,SMALL(IF(--(Source!$B$1:$B$250=$O4)*--(Source!$E$1:$E$250=$Q$3)*--(Source!$D$1:$D$250=Pyramid!$Q4),ROW(Source!$B$1:$B$250),FALSE),V$3)),"")</f>
        <v/>
      </c>
      <c r="W4" t="str">
        <f t="array" aca="1" ref="W4" ca="1">IFERROR(INDEX(Source!$A$1:$A$250,SMALL(IF(--(Source!$B$1:$B$250=$O4)*--(Source!$E$1:$E$250=$Q$3)*--(Source!$D$1:$D$250=Pyramid!$Q4),ROW(Source!$B$1:$B$250),FALSE),W$3)),"")</f>
        <v/>
      </c>
      <c r="X4" t="str">
        <f t="array" aca="1" ref="X4" ca="1">IFERROR(INDEX(Source!$A$1:$A$250,SMALL(IF(--(Source!$B$1:$B$250=$O4)*--(Source!$E$1:$E$250=$Q$3)*--(Source!$D$1:$D$250=Pyramid!$Q4),ROW(Source!$B$1:$B$250),FALSE),X$3)),"")</f>
        <v/>
      </c>
      <c r="Y4" s="5">
        <f ca="1">SUMPRODUCT(--(R4:X4&lt;&gt;""))-P4</f>
        <v>0</v>
      </c>
    </row>
    <row r="5" spans="1:32">
      <c r="A5" t="s">
        <v>244</v>
      </c>
      <c r="C5">
        <v>1</v>
      </c>
      <c r="D5" s="5">
        <f t="shared" ref="D5:D68" ca="1" si="1">SUMPRODUCT(--(E5:L5&lt;&gt;""))-N5</f>
        <v>0</v>
      </c>
      <c r="E5" t="str">
        <f t="array" aca="1" ref="E5" ca="1">IFERROR(INDEX(Source!$A$1:$A$250,SMALL(IF(--(Source!$B$1:$B$250=$O5)*--(Source!$E$1:$E$250=$M$3)*--(Source!$D$1:$D$250=Pyramid!$M5),ROW(Source!$B$1:$B$250),FALSE),E$3)),"")</f>
        <v/>
      </c>
      <c r="F5" t="str">
        <f t="array" aca="1" ref="F5" ca="1">IFERROR(INDEX(Source!$A$1:$A$250,SMALL(IF(--(Source!$B$1:$B$250=$O5)*--(Source!$E$1:$E$250=$M$3)*--(Source!$D$1:$D$250=Pyramid!$M5),ROW(Source!$B$1:$B$250),FALSE),F$3)),"")</f>
        <v/>
      </c>
      <c r="G5" t="str">
        <f t="array" aca="1" ref="G5" ca="1">IFERROR(INDEX(Source!$A$1:$A$250,SMALL(IF(--(Source!$B$1:$B$250=$O5)*--(Source!$E$1:$E$250=$M$3)*--(Source!$D$1:$D$250=Pyramid!$M5),ROW(Source!$B$1:$B$250),FALSE),G$3)),"")</f>
        <v/>
      </c>
      <c r="H5" t="str">
        <f t="array" aca="1" ref="H5" ca="1">IFERROR(INDEX(Source!$A$1:$A$250,SMALL(IF(--(Source!$B$1:$B$250=$O5)*--(Source!$E$1:$E$250=$M$3)*--(Source!$D$1:$D$250=Pyramid!$M5),ROW(Source!$B$1:$B$250),FALSE),H$3)),"")</f>
        <v/>
      </c>
      <c r="I5" t="str">
        <f t="array" aca="1" ref="I5" ca="1">IFERROR(INDEX(Source!$A$1:$A$250,SMALL(IF(--(Source!$B$1:$B$250=$O5)*--(Source!$E$1:$E$250=$M$3)*--(Source!$D$1:$D$250=Pyramid!$M5),ROW(Source!$B$1:$B$250),FALSE),I$3)),"")</f>
        <v/>
      </c>
      <c r="J5" t="str">
        <f t="array" aca="1" ref="J5" ca="1">IFERROR(INDEX(Source!$A$1:$A$250,SMALL(IF(--(Source!$B$1:$B$250=$O5)*--(Source!$E$1:$E$250=$M$3)*--(Source!$D$1:$D$250=Pyramid!$M5),ROW(Source!$B$1:$B$250),FALSE),J$3)),"")</f>
        <v/>
      </c>
      <c r="K5" t="str">
        <f t="array" aca="1" ref="K5" ca="1">IFERROR(INDEX(Source!$A$1:$A$250,SMALL(IF(--(Source!$B$1:$B$250=$O5)*--(Source!$E$1:$E$250=$M$3)*--(Source!$D$1:$D$250=Pyramid!$M5),ROW(Source!$B$1:$B$250),FALSE),K$3)),"")</f>
        <v/>
      </c>
      <c r="L5" t="str">
        <f t="array" aca="1" ref="L5" ca="1">IFERROR(INDEX(Source!$A$1:$A$250,SMALL(IF(--(Source!$B$1:$B$250=$O5)*--(Source!$E$1:$E$250=$M$3)*--(Source!$D$1:$D$250=Pyramid!$M5),ROW(Source!$B$1:$B$250),FALSE),L$3)),"")</f>
        <v/>
      </c>
      <c r="M5" t="str">
        <f t="shared" ref="M5:Q68" si="2">INDEX($A$4:$A$8,MOD($C5,5)+1)</f>
        <v>28/7/2016</v>
      </c>
      <c r="N5">
        <f ca="1">COUNTIFS(Source!B:B,Pyramid!$O5,Source!$D:$D,Pyramid!$M5,Source!$E:$E,Pyramid!$M$3)</f>
        <v>0</v>
      </c>
      <c r="O5">
        <f ca="1">OFFSET(Sheet2!$N$3,INT(C5/5),)</f>
        <v>16888</v>
      </c>
      <c r="P5">
        <f ca="1">COUNTIFS(Source!B:B,Pyramid!$O5,Source!D:D,Pyramid!$Q5,Source!$E:$E,Pyramid!$Q$3)</f>
        <v>0</v>
      </c>
      <c r="Q5" t="str">
        <f t="shared" si="2"/>
        <v>28/7/2016</v>
      </c>
      <c r="R5" t="str">
        <f t="array" aca="1" ref="R5" ca="1">IFERROR(INDEX(Source!$A$1:$A$250,SMALL(IF(--(Source!$B$1:$B$250=$O5)*--(Source!$E$1:$E$250=$Q$3)*--(Source!$D$1:$D$250=Pyramid!$Q5),ROW(Source!$B$1:$B$250),FALSE),R$3)),"")</f>
        <v/>
      </c>
      <c r="S5" t="str">
        <f t="array" aca="1" ref="S5" ca="1">IFERROR(INDEX(Source!$A$1:$A$250,SMALL(IF(--(Source!$B$1:$B$250=$O5)*--(Source!$E$1:$E$250=$Q$3)*--(Source!$D$1:$D$250=Pyramid!$Q5),ROW(Source!$B$1:$B$250),FALSE),S$3)),"")</f>
        <v/>
      </c>
      <c r="T5" t="str">
        <f t="array" aca="1" ref="T5" ca="1">IFERROR(INDEX(Source!$A$1:$A$250,SMALL(IF(--(Source!$B$1:$B$250=$O5)*--(Source!$E$1:$E$250=$Q$3)*--(Source!$D$1:$D$250=Pyramid!$Q5),ROW(Source!$B$1:$B$250),FALSE),T$3)),"")</f>
        <v/>
      </c>
      <c r="U5" t="str">
        <f t="array" aca="1" ref="U5" ca="1">IFERROR(INDEX(Source!$A$1:$A$250,SMALL(IF(--(Source!$B$1:$B$250=$O5)*--(Source!$E$1:$E$250=$Q$3)*--(Source!$D$1:$D$250=Pyramid!$Q5),ROW(Source!$B$1:$B$250),FALSE),U$3)),"")</f>
        <v/>
      </c>
      <c r="V5" t="str">
        <f t="array" aca="1" ref="V5" ca="1">IFERROR(INDEX(Source!$A$1:$A$250,SMALL(IF(--(Source!$B$1:$B$250=$O5)*--(Source!$E$1:$E$250=$Q$3)*--(Source!$D$1:$D$250=Pyramid!$Q5),ROW(Source!$B$1:$B$250),FALSE),V$3)),"")</f>
        <v/>
      </c>
      <c r="W5" t="str">
        <f t="array" aca="1" ref="W5" ca="1">IFERROR(INDEX(Source!$A$1:$A$250,SMALL(IF(--(Source!$B$1:$B$250=$O5)*--(Source!$E$1:$E$250=$Q$3)*--(Source!$D$1:$D$250=Pyramid!$Q5),ROW(Source!$B$1:$B$250),FALSE),W$3)),"")</f>
        <v/>
      </c>
      <c r="X5" t="str">
        <f t="array" aca="1" ref="X5" ca="1">IFERROR(INDEX(Source!$A$1:$A$250,SMALL(IF(--(Source!$B$1:$B$250=$O5)*--(Source!$E$1:$E$250=$Q$3)*--(Source!$D$1:$D$250=Pyramid!$Q5),ROW(Source!$B$1:$B$250),FALSE),X$3)),"")</f>
        <v/>
      </c>
      <c r="Y5" s="5">
        <f t="shared" ref="Y5:Y68" ca="1" si="3">SUMPRODUCT(--(R5:X5&lt;&gt;""))-P5</f>
        <v>0</v>
      </c>
    </row>
    <row r="6" spans="1:32">
      <c r="A6" t="s">
        <v>248</v>
      </c>
      <c r="C6">
        <v>2</v>
      </c>
      <c r="D6" s="5">
        <f t="shared" ca="1" si="1"/>
        <v>0</v>
      </c>
      <c r="E6" t="str">
        <f t="array" aca="1" ref="E6" ca="1">IFERROR(INDEX(Source!$A$1:$A$250,SMALL(IF(--(Source!$B$1:$B$250=$O6)*--(Source!$E$1:$E$250=$M$3)*--(Source!$D$1:$D$250=Pyramid!$M6),ROW(Source!$B$1:$B$250),FALSE),E$3)),"")</f>
        <v/>
      </c>
      <c r="F6" t="str">
        <f t="array" aca="1" ref="F6" ca="1">IFERROR(INDEX(Source!$A$1:$A$250,SMALL(IF(--(Source!$B$1:$B$250=$O6)*--(Source!$E$1:$E$250=$M$3)*--(Source!$D$1:$D$250=Pyramid!$M6),ROW(Source!$B$1:$B$250),FALSE),F$3)),"")</f>
        <v/>
      </c>
      <c r="G6" t="str">
        <f t="array" aca="1" ref="G6" ca="1">IFERROR(INDEX(Source!$A$1:$A$250,SMALL(IF(--(Source!$B$1:$B$250=$O6)*--(Source!$E$1:$E$250=$M$3)*--(Source!$D$1:$D$250=Pyramid!$M6),ROW(Source!$B$1:$B$250),FALSE),G$3)),"")</f>
        <v/>
      </c>
      <c r="H6" t="str">
        <f t="array" aca="1" ref="H6" ca="1">IFERROR(INDEX(Source!$A$1:$A$250,SMALL(IF(--(Source!$B$1:$B$250=$O6)*--(Source!$E$1:$E$250=$M$3)*--(Source!$D$1:$D$250=Pyramid!$M6),ROW(Source!$B$1:$B$250),FALSE),H$3)),"")</f>
        <v/>
      </c>
      <c r="I6" t="str">
        <f t="array" aca="1" ref="I6" ca="1">IFERROR(INDEX(Source!$A$1:$A$250,SMALL(IF(--(Source!$B$1:$B$250=$O6)*--(Source!$E$1:$E$250=$M$3)*--(Source!$D$1:$D$250=Pyramid!$M6),ROW(Source!$B$1:$B$250),FALSE),I$3)),"")</f>
        <v/>
      </c>
      <c r="J6" t="str">
        <f t="array" aca="1" ref="J6" ca="1">IFERROR(INDEX(Source!$A$1:$A$250,SMALL(IF(--(Source!$B$1:$B$250=$O6)*--(Source!$E$1:$E$250=$M$3)*--(Source!$D$1:$D$250=Pyramid!$M6),ROW(Source!$B$1:$B$250),FALSE),J$3)),"")</f>
        <v/>
      </c>
      <c r="K6" t="str">
        <f t="array" aca="1" ref="K6" ca="1">IFERROR(INDEX(Source!$A$1:$A$250,SMALL(IF(--(Source!$B$1:$B$250=$O6)*--(Source!$E$1:$E$250=$M$3)*--(Source!$D$1:$D$250=Pyramid!$M6),ROW(Source!$B$1:$B$250),FALSE),K$3)),"")</f>
        <v/>
      </c>
      <c r="L6" t="str">
        <f t="array" aca="1" ref="L6" ca="1">IFERROR(INDEX(Source!$A$1:$A$250,SMALL(IF(--(Source!$B$1:$B$250=$O6)*--(Source!$E$1:$E$250=$M$3)*--(Source!$D$1:$D$250=Pyramid!$M6),ROW(Source!$B$1:$B$250),FALSE),L$3)),"")</f>
        <v/>
      </c>
      <c r="M6" t="str">
        <f t="shared" si="2"/>
        <v>30/8/2016</v>
      </c>
      <c r="N6">
        <f ca="1">COUNTIFS(Source!B:B,Pyramid!$O6,Source!$D:$D,Pyramid!$M6,Source!$E:$E,Pyramid!$M$3)</f>
        <v>0</v>
      </c>
      <c r="O6">
        <f ca="1">OFFSET(Sheet2!$N$3,INT(C6/5),)</f>
        <v>16888</v>
      </c>
      <c r="P6">
        <f ca="1">COUNTIFS(Source!B:B,Pyramid!$O6,Source!D:D,Pyramid!$Q6,Source!$E:$E,Pyramid!$Q$3)</f>
        <v>0</v>
      </c>
      <c r="Q6" t="str">
        <f t="shared" si="2"/>
        <v>30/8/2016</v>
      </c>
      <c r="R6" t="str">
        <f t="array" aca="1" ref="R6" ca="1">IFERROR(INDEX(Source!$A$1:$A$250,SMALL(IF(--(Source!$B$1:$B$250=$O6)*--(Source!$E$1:$E$250=$Q$3)*--(Source!$D$1:$D$250=Pyramid!$Q6),ROW(Source!$B$1:$B$250),FALSE),R$3)),"")</f>
        <v/>
      </c>
      <c r="S6" t="str">
        <f t="array" aca="1" ref="S6" ca="1">IFERROR(INDEX(Source!$A$1:$A$250,SMALL(IF(--(Source!$B$1:$B$250=$O6)*--(Source!$E$1:$E$250=$Q$3)*--(Source!$D$1:$D$250=Pyramid!$Q6),ROW(Source!$B$1:$B$250),FALSE),S$3)),"")</f>
        <v/>
      </c>
      <c r="T6" t="str">
        <f t="array" aca="1" ref="T6" ca="1">IFERROR(INDEX(Source!$A$1:$A$250,SMALL(IF(--(Source!$B$1:$B$250=$O6)*--(Source!$E$1:$E$250=$Q$3)*--(Source!$D$1:$D$250=Pyramid!$Q6),ROW(Source!$B$1:$B$250),FALSE),T$3)),"")</f>
        <v/>
      </c>
      <c r="U6" t="str">
        <f t="array" aca="1" ref="U6" ca="1">IFERROR(INDEX(Source!$A$1:$A$250,SMALL(IF(--(Source!$B$1:$B$250=$O6)*--(Source!$E$1:$E$250=$Q$3)*--(Source!$D$1:$D$250=Pyramid!$Q6),ROW(Source!$B$1:$B$250),FALSE),U$3)),"")</f>
        <v/>
      </c>
      <c r="V6" t="str">
        <f t="array" aca="1" ref="V6" ca="1">IFERROR(INDEX(Source!$A$1:$A$250,SMALL(IF(--(Source!$B$1:$B$250=$O6)*--(Source!$E$1:$E$250=$Q$3)*--(Source!$D$1:$D$250=Pyramid!$Q6),ROW(Source!$B$1:$B$250),FALSE),V$3)),"")</f>
        <v/>
      </c>
      <c r="W6" t="str">
        <f t="array" aca="1" ref="W6" ca="1">IFERROR(INDEX(Source!$A$1:$A$250,SMALL(IF(--(Source!$B$1:$B$250=$O6)*--(Source!$E$1:$E$250=$Q$3)*--(Source!$D$1:$D$250=Pyramid!$Q6),ROW(Source!$B$1:$B$250),FALSE),W$3)),"")</f>
        <v/>
      </c>
      <c r="X6" t="str">
        <f t="array" aca="1" ref="X6" ca="1">IFERROR(INDEX(Source!$A$1:$A$250,SMALL(IF(--(Source!$B$1:$B$250=$O6)*--(Source!$E$1:$E$250=$Q$3)*--(Source!$D$1:$D$250=Pyramid!$Q6),ROW(Source!$B$1:$B$250),FALSE),X$3)),"")</f>
        <v/>
      </c>
      <c r="Y6" s="5">
        <f t="shared" ca="1" si="3"/>
        <v>0</v>
      </c>
    </row>
    <row r="7" spans="1:32">
      <c r="A7" t="s">
        <v>246</v>
      </c>
      <c r="C7">
        <v>3</v>
      </c>
      <c r="D7" s="5">
        <f t="shared" ca="1" si="1"/>
        <v>0</v>
      </c>
      <c r="E7" t="str">
        <f t="array" aca="1" ref="E7" ca="1">IFERROR(INDEX(Source!$A$1:$A$250,SMALL(IF(--(Source!$B$1:$B$250=$O7)*--(Source!$E$1:$E$250=$M$3)*--(Source!$D$1:$D$250=Pyramid!$M7),ROW(Source!$B$1:$B$250),FALSE),E$3)),"")</f>
        <v/>
      </c>
      <c r="F7" t="str">
        <f t="array" aca="1" ref="F7" ca="1">IFERROR(INDEX(Source!$A$1:$A$250,SMALL(IF(--(Source!$B$1:$B$250=$O7)*--(Source!$E$1:$E$250=$M$3)*--(Source!$D$1:$D$250=Pyramid!$M7),ROW(Source!$B$1:$B$250),FALSE),F$3)),"")</f>
        <v/>
      </c>
      <c r="G7" t="str">
        <f t="array" aca="1" ref="G7" ca="1">IFERROR(INDEX(Source!$A$1:$A$250,SMALL(IF(--(Source!$B$1:$B$250=$O7)*--(Source!$E$1:$E$250=$M$3)*--(Source!$D$1:$D$250=Pyramid!$M7),ROW(Source!$B$1:$B$250),FALSE),G$3)),"")</f>
        <v/>
      </c>
      <c r="H7" t="str">
        <f t="array" aca="1" ref="H7" ca="1">IFERROR(INDEX(Source!$A$1:$A$250,SMALL(IF(--(Source!$B$1:$B$250=$O7)*--(Source!$E$1:$E$250=$M$3)*--(Source!$D$1:$D$250=Pyramid!$M7),ROW(Source!$B$1:$B$250),FALSE),H$3)),"")</f>
        <v/>
      </c>
      <c r="I7" t="str">
        <f t="array" aca="1" ref="I7" ca="1">IFERROR(INDEX(Source!$A$1:$A$250,SMALL(IF(--(Source!$B$1:$B$250=$O7)*--(Source!$E$1:$E$250=$M$3)*--(Source!$D$1:$D$250=Pyramid!$M7),ROW(Source!$B$1:$B$250),FALSE),I$3)),"")</f>
        <v/>
      </c>
      <c r="J7" t="str">
        <f t="array" aca="1" ref="J7" ca="1">IFERROR(INDEX(Source!$A$1:$A$250,SMALL(IF(--(Source!$B$1:$B$250=$O7)*--(Source!$E$1:$E$250=$M$3)*--(Source!$D$1:$D$250=Pyramid!$M7),ROW(Source!$B$1:$B$250),FALSE),J$3)),"")</f>
        <v/>
      </c>
      <c r="K7" t="str">
        <f t="array" aca="1" ref="K7" ca="1">IFERROR(INDEX(Source!$A$1:$A$250,SMALL(IF(--(Source!$B$1:$B$250=$O7)*--(Source!$E$1:$E$250=$M$3)*--(Source!$D$1:$D$250=Pyramid!$M7),ROW(Source!$B$1:$B$250),FALSE),K$3)),"")</f>
        <v/>
      </c>
      <c r="L7" t="str">
        <f t="array" aca="1" ref="L7" ca="1">IFERROR(INDEX(Source!$A$1:$A$250,SMALL(IF(--(Source!$B$1:$B$250=$O7)*--(Source!$E$1:$E$250=$M$3)*--(Source!$D$1:$D$250=Pyramid!$M7),ROW(Source!$B$1:$B$250),FALSE),L$3)),"")</f>
        <v/>
      </c>
      <c r="M7" t="str">
        <f t="shared" si="2"/>
        <v>29/9/2016</v>
      </c>
      <c r="N7">
        <f ca="1">COUNTIFS(Source!B:B,Pyramid!$O7,Source!$D:$D,Pyramid!$M7,Source!$E:$E,Pyramid!$M$3)</f>
        <v>0</v>
      </c>
      <c r="O7">
        <f ca="1">OFFSET(Sheet2!$N$3,INT(C7/5),)</f>
        <v>16888</v>
      </c>
      <c r="P7">
        <f ca="1">COUNTIFS(Source!B:B,Pyramid!$O7,Source!D:D,Pyramid!$Q7,Source!$E:$E,Pyramid!$Q$3)</f>
        <v>1</v>
      </c>
      <c r="Q7" t="str">
        <f t="shared" si="2"/>
        <v>29/9/2016</v>
      </c>
      <c r="R7" t="str">
        <f t="array" aca="1" ref="R7" ca="1">IFERROR(INDEX(Source!$A$1:$A$250,SMALL(IF(--(Source!$B$1:$B$250=$O7)*--(Source!$E$1:$E$250=$Q$3)*--(Source!$D$1:$D$250=Pyramid!$Q7),ROW(Source!$B$1:$B$250),FALSE),R$3)),"")</f>
        <v>25969 HK Equity</v>
      </c>
      <c r="S7" t="str">
        <f t="array" aca="1" ref="S7" ca="1">IFERROR(INDEX(Source!$A$1:$A$250,SMALL(IF(--(Source!$B$1:$B$250=$O7)*--(Source!$E$1:$E$250=$Q$3)*--(Source!$D$1:$D$250=Pyramid!$Q7),ROW(Source!$B$1:$B$250),FALSE),S$3)),"")</f>
        <v/>
      </c>
      <c r="T7" t="str">
        <f t="array" aca="1" ref="T7" ca="1">IFERROR(INDEX(Source!$A$1:$A$250,SMALL(IF(--(Source!$B$1:$B$250=$O7)*--(Source!$E$1:$E$250=$Q$3)*--(Source!$D$1:$D$250=Pyramid!$Q7),ROW(Source!$B$1:$B$250),FALSE),T$3)),"")</f>
        <v/>
      </c>
      <c r="U7" t="str">
        <f t="array" aca="1" ref="U7" ca="1">IFERROR(INDEX(Source!$A$1:$A$250,SMALL(IF(--(Source!$B$1:$B$250=$O7)*--(Source!$E$1:$E$250=$Q$3)*--(Source!$D$1:$D$250=Pyramid!$Q7),ROW(Source!$B$1:$B$250),FALSE),U$3)),"")</f>
        <v/>
      </c>
      <c r="V7" t="str">
        <f t="array" aca="1" ref="V7" ca="1">IFERROR(INDEX(Source!$A$1:$A$250,SMALL(IF(--(Source!$B$1:$B$250=$O7)*--(Source!$E$1:$E$250=$Q$3)*--(Source!$D$1:$D$250=Pyramid!$Q7),ROW(Source!$B$1:$B$250),FALSE),V$3)),"")</f>
        <v/>
      </c>
      <c r="W7" t="str">
        <f t="array" aca="1" ref="W7" ca="1">IFERROR(INDEX(Source!$A$1:$A$250,SMALL(IF(--(Source!$B$1:$B$250=$O7)*--(Source!$E$1:$E$250=$Q$3)*--(Source!$D$1:$D$250=Pyramid!$Q7),ROW(Source!$B$1:$B$250),FALSE),W$3)),"")</f>
        <v/>
      </c>
      <c r="X7" t="str">
        <f t="array" aca="1" ref="X7" ca="1">IFERROR(INDEX(Source!$A$1:$A$250,SMALL(IF(--(Source!$B$1:$B$250=$O7)*--(Source!$E$1:$E$250=$Q$3)*--(Source!$D$1:$D$250=Pyramid!$Q7),ROW(Source!$B$1:$B$250),FALSE),X$3)),"")</f>
        <v/>
      </c>
      <c r="Y7" s="5">
        <f t="shared" ca="1" si="3"/>
        <v>0</v>
      </c>
    </row>
    <row r="8" spans="1:32">
      <c r="A8" t="s">
        <v>243</v>
      </c>
      <c r="C8">
        <v>4</v>
      </c>
      <c r="D8" s="5">
        <f t="shared" ca="1" si="1"/>
        <v>0</v>
      </c>
      <c r="E8" t="str">
        <f t="array" aca="1" ref="E8" ca="1">IFERROR(INDEX(Source!$A$1:$A$250,SMALL(IF(--(Source!$B$1:$B$250=$O8)*--(Source!$E$1:$E$250=$M$3)*--(Source!$D$1:$D$250=Pyramid!$M8),ROW(Source!$B$1:$B$250),FALSE),E$3)),"")</f>
        <v/>
      </c>
      <c r="F8" t="str">
        <f t="array" aca="1" ref="F8" ca="1">IFERROR(INDEX(Source!$A$1:$A$250,SMALL(IF(--(Source!$B$1:$B$250=$O8)*--(Source!$E$1:$E$250=$M$3)*--(Source!$D$1:$D$250=Pyramid!$M8),ROW(Source!$B$1:$B$250),FALSE),F$3)),"")</f>
        <v/>
      </c>
      <c r="G8" t="str">
        <f t="array" aca="1" ref="G8" ca="1">IFERROR(INDEX(Source!$A$1:$A$250,SMALL(IF(--(Source!$B$1:$B$250=$O8)*--(Source!$E$1:$E$250=$M$3)*--(Source!$D$1:$D$250=Pyramid!$M8),ROW(Source!$B$1:$B$250),FALSE),G$3)),"")</f>
        <v/>
      </c>
      <c r="H8" t="str">
        <f t="array" aca="1" ref="H8" ca="1">IFERROR(INDEX(Source!$A$1:$A$250,SMALL(IF(--(Source!$B$1:$B$250=$O8)*--(Source!$E$1:$E$250=$M$3)*--(Source!$D$1:$D$250=Pyramid!$M8),ROW(Source!$B$1:$B$250),FALSE),H$3)),"")</f>
        <v/>
      </c>
      <c r="I8" t="str">
        <f t="array" aca="1" ref="I8" ca="1">IFERROR(INDEX(Source!$A$1:$A$250,SMALL(IF(--(Source!$B$1:$B$250=$O8)*--(Source!$E$1:$E$250=$M$3)*--(Source!$D$1:$D$250=Pyramid!$M8),ROW(Source!$B$1:$B$250),FALSE),I$3)),"")</f>
        <v/>
      </c>
      <c r="J8" t="str">
        <f t="array" aca="1" ref="J8" ca="1">IFERROR(INDEX(Source!$A$1:$A$250,SMALL(IF(--(Source!$B$1:$B$250=$O8)*--(Source!$E$1:$E$250=$M$3)*--(Source!$D$1:$D$250=Pyramid!$M8),ROW(Source!$B$1:$B$250),FALSE),J$3)),"")</f>
        <v/>
      </c>
      <c r="K8" t="str">
        <f t="array" aca="1" ref="K8" ca="1">IFERROR(INDEX(Source!$A$1:$A$250,SMALL(IF(--(Source!$B$1:$B$250=$O8)*--(Source!$E$1:$E$250=$M$3)*--(Source!$D$1:$D$250=Pyramid!$M8),ROW(Source!$B$1:$B$250),FALSE),K$3)),"")</f>
        <v/>
      </c>
      <c r="L8" t="str">
        <f t="array" aca="1" ref="L8" ca="1">IFERROR(INDEX(Source!$A$1:$A$250,SMALL(IF(--(Source!$B$1:$B$250=$O8)*--(Source!$E$1:$E$250=$M$3)*--(Source!$D$1:$D$250=Pyramid!$M8),ROW(Source!$B$1:$B$250),FALSE),L$3)),"")</f>
        <v/>
      </c>
      <c r="M8" t="str">
        <f t="shared" si="2"/>
        <v>28/10/2016</v>
      </c>
      <c r="N8">
        <f ca="1">COUNTIFS(Source!B:B,Pyramid!$O8,Source!$D:$D,Pyramid!$M8,Source!$E:$E,Pyramid!$M$3)</f>
        <v>0</v>
      </c>
      <c r="O8">
        <f ca="1">OFFSET(Sheet2!$N$3,INT(C8/5),)</f>
        <v>16888</v>
      </c>
      <c r="P8">
        <f ca="1">COUNTIFS(Source!B:B,Pyramid!$O8,Source!D:D,Pyramid!$Q8,Source!$E:$E,Pyramid!$Q$3)</f>
        <v>0</v>
      </c>
      <c r="Q8" t="str">
        <f t="shared" si="2"/>
        <v>28/10/2016</v>
      </c>
      <c r="R8" t="str">
        <f t="array" aca="1" ref="R8" ca="1">IFERROR(INDEX(Source!$A$1:$A$250,SMALL(IF(--(Source!$B$1:$B$250=$O8)*--(Source!$E$1:$E$250=$Q$3)*--(Source!$D$1:$D$250=Pyramid!$Q8),ROW(Source!$B$1:$B$250),FALSE),R$3)),"")</f>
        <v/>
      </c>
      <c r="S8" t="str">
        <f t="array" aca="1" ref="S8" ca="1">IFERROR(INDEX(Source!$A$1:$A$250,SMALL(IF(--(Source!$B$1:$B$250=$O8)*--(Source!$E$1:$E$250=$Q$3)*--(Source!$D$1:$D$250=Pyramid!$Q8),ROW(Source!$B$1:$B$250),FALSE),S$3)),"")</f>
        <v/>
      </c>
      <c r="T8" t="str">
        <f t="array" aca="1" ref="T8" ca="1">IFERROR(INDEX(Source!$A$1:$A$250,SMALL(IF(--(Source!$B$1:$B$250=$O8)*--(Source!$E$1:$E$250=$Q$3)*--(Source!$D$1:$D$250=Pyramid!$Q8),ROW(Source!$B$1:$B$250),FALSE),T$3)),"")</f>
        <v/>
      </c>
      <c r="U8" t="str">
        <f t="array" aca="1" ref="U8" ca="1">IFERROR(INDEX(Source!$A$1:$A$250,SMALL(IF(--(Source!$B$1:$B$250=$O8)*--(Source!$E$1:$E$250=$Q$3)*--(Source!$D$1:$D$250=Pyramid!$Q8),ROW(Source!$B$1:$B$250),FALSE),U$3)),"")</f>
        <v/>
      </c>
      <c r="V8" t="str">
        <f t="array" aca="1" ref="V8" ca="1">IFERROR(INDEX(Source!$A$1:$A$250,SMALL(IF(--(Source!$B$1:$B$250=$O8)*--(Source!$E$1:$E$250=$Q$3)*--(Source!$D$1:$D$250=Pyramid!$Q8),ROW(Source!$B$1:$B$250),FALSE),V$3)),"")</f>
        <v/>
      </c>
      <c r="W8" t="str">
        <f t="array" aca="1" ref="W8" ca="1">IFERROR(INDEX(Source!$A$1:$A$250,SMALL(IF(--(Source!$B$1:$B$250=$O8)*--(Source!$E$1:$E$250=$Q$3)*--(Source!$D$1:$D$250=Pyramid!$Q8),ROW(Source!$B$1:$B$250),FALSE),W$3)),"")</f>
        <v/>
      </c>
      <c r="X8" t="str">
        <f t="array" aca="1" ref="X8" ca="1">IFERROR(INDEX(Source!$A$1:$A$250,SMALL(IF(--(Source!$B$1:$B$250=$O8)*--(Source!$E$1:$E$250=$Q$3)*--(Source!$D$1:$D$250=Pyramid!$Q8),ROW(Source!$B$1:$B$250),FALSE),X$3)),"")</f>
        <v/>
      </c>
      <c r="Y8" s="5">
        <f t="shared" ca="1" si="3"/>
        <v>0</v>
      </c>
    </row>
    <row r="9" spans="1:32">
      <c r="C9">
        <v>5</v>
      </c>
      <c r="D9" s="5">
        <f t="shared" ca="1" si="1"/>
        <v>0</v>
      </c>
      <c r="E9" t="str">
        <f t="array" aca="1" ref="E9" ca="1">IFERROR(INDEX(Source!$A$1:$A$250,SMALL(IF(--(Source!$B$1:$B$250=$O9)*--(Source!$E$1:$E$250=$M$3)*--(Source!$D$1:$D$250=Pyramid!$M9),ROW(Source!$B$1:$B$250),FALSE),E$3)),"")</f>
        <v/>
      </c>
      <c r="F9" t="str">
        <f t="array" aca="1" ref="F9" ca="1">IFERROR(INDEX(Source!$A$1:$A$250,SMALL(IF(--(Source!$B$1:$B$250=$O9)*--(Source!$E$1:$E$250=$M$3)*--(Source!$D$1:$D$250=Pyramid!$M9),ROW(Source!$B$1:$B$250),FALSE),F$3)),"")</f>
        <v/>
      </c>
      <c r="G9" t="str">
        <f t="array" aca="1" ref="G9" ca="1">IFERROR(INDEX(Source!$A$1:$A$250,SMALL(IF(--(Source!$B$1:$B$250=$O9)*--(Source!$E$1:$E$250=$M$3)*--(Source!$D$1:$D$250=Pyramid!$M9),ROW(Source!$B$1:$B$250),FALSE),G$3)),"")</f>
        <v/>
      </c>
      <c r="H9" t="str">
        <f t="array" aca="1" ref="H9" ca="1">IFERROR(INDEX(Source!$A$1:$A$250,SMALL(IF(--(Source!$B$1:$B$250=$O9)*--(Source!$E$1:$E$250=$M$3)*--(Source!$D$1:$D$250=Pyramid!$M9),ROW(Source!$B$1:$B$250),FALSE),H$3)),"")</f>
        <v/>
      </c>
      <c r="I9" t="str">
        <f t="array" aca="1" ref="I9" ca="1">IFERROR(INDEX(Source!$A$1:$A$250,SMALL(IF(--(Source!$B$1:$B$250=$O9)*--(Source!$E$1:$E$250=$M$3)*--(Source!$D$1:$D$250=Pyramid!$M9),ROW(Source!$B$1:$B$250),FALSE),I$3)),"")</f>
        <v/>
      </c>
      <c r="J9" t="str">
        <f t="array" aca="1" ref="J9" ca="1">IFERROR(INDEX(Source!$A$1:$A$250,SMALL(IF(--(Source!$B$1:$B$250=$O9)*--(Source!$E$1:$E$250=$M$3)*--(Source!$D$1:$D$250=Pyramid!$M9),ROW(Source!$B$1:$B$250),FALSE),J$3)),"")</f>
        <v/>
      </c>
      <c r="K9" t="str">
        <f t="array" aca="1" ref="K9" ca="1">IFERROR(INDEX(Source!$A$1:$A$250,SMALL(IF(--(Source!$B$1:$B$250=$O9)*--(Source!$E$1:$E$250=$M$3)*--(Source!$D$1:$D$250=Pyramid!$M9),ROW(Source!$B$1:$B$250),FALSE),K$3)),"")</f>
        <v/>
      </c>
      <c r="L9" t="str">
        <f t="array" aca="1" ref="L9" ca="1">IFERROR(INDEX(Source!$A$1:$A$250,SMALL(IF(--(Source!$B$1:$B$250=$O9)*--(Source!$E$1:$E$250=$M$3)*--(Source!$D$1:$D$250=Pyramid!$M9),ROW(Source!$B$1:$B$250),FALSE),L$3)),"")</f>
        <v/>
      </c>
      <c r="M9" t="str">
        <f t="shared" si="2"/>
        <v>29/6/2016</v>
      </c>
      <c r="N9">
        <f ca="1">COUNTIFS(Source!B:B,Pyramid!$O9,Source!$D:$D,Pyramid!$M9,Source!$E:$E,Pyramid!$M$3)</f>
        <v>0</v>
      </c>
      <c r="O9">
        <f ca="1">OFFSET(Sheet2!$N$3,INT(C9/5),)</f>
        <v>17000</v>
      </c>
      <c r="P9">
        <f ca="1">COUNTIFS(Source!B:B,Pyramid!$O9,Source!D:D,Pyramid!$Q9,Source!$E:$E,Pyramid!$Q$3)</f>
        <v>0</v>
      </c>
      <c r="Q9" t="str">
        <f t="shared" si="2"/>
        <v>29/6/2016</v>
      </c>
      <c r="R9" t="str">
        <f t="array" aca="1" ref="R9" ca="1">IFERROR(INDEX(Source!$A$1:$A$250,SMALL(IF(--(Source!$B$1:$B$250=$O9)*--(Source!$E$1:$E$250=$Q$3)*--(Source!$D$1:$D$250=Pyramid!$Q9),ROW(Source!$B$1:$B$250),FALSE),R$3)),"")</f>
        <v/>
      </c>
      <c r="S9" t="str">
        <f t="array" aca="1" ref="S9" ca="1">IFERROR(INDEX(Source!$A$1:$A$250,SMALL(IF(--(Source!$B$1:$B$250=$O9)*--(Source!$E$1:$E$250=$Q$3)*--(Source!$D$1:$D$250=Pyramid!$Q9),ROW(Source!$B$1:$B$250),FALSE),S$3)),"")</f>
        <v/>
      </c>
      <c r="T9" t="str">
        <f t="array" aca="1" ref="T9" ca="1">IFERROR(INDEX(Source!$A$1:$A$250,SMALL(IF(--(Source!$B$1:$B$250=$O9)*--(Source!$E$1:$E$250=$Q$3)*--(Source!$D$1:$D$250=Pyramid!$Q9),ROW(Source!$B$1:$B$250),FALSE),T$3)),"")</f>
        <v/>
      </c>
      <c r="U9" t="str">
        <f t="array" aca="1" ref="U9" ca="1">IFERROR(INDEX(Source!$A$1:$A$250,SMALL(IF(--(Source!$B$1:$B$250=$O9)*--(Source!$E$1:$E$250=$Q$3)*--(Source!$D$1:$D$250=Pyramid!$Q9),ROW(Source!$B$1:$B$250),FALSE),U$3)),"")</f>
        <v/>
      </c>
      <c r="V9" t="str">
        <f t="array" aca="1" ref="V9" ca="1">IFERROR(INDEX(Source!$A$1:$A$250,SMALL(IF(--(Source!$B$1:$B$250=$O9)*--(Source!$E$1:$E$250=$Q$3)*--(Source!$D$1:$D$250=Pyramid!$Q9),ROW(Source!$B$1:$B$250),FALSE),V$3)),"")</f>
        <v/>
      </c>
      <c r="W9" t="str">
        <f t="array" aca="1" ref="W9" ca="1">IFERROR(INDEX(Source!$A$1:$A$250,SMALL(IF(--(Source!$B$1:$B$250=$O9)*--(Source!$E$1:$E$250=$Q$3)*--(Source!$D$1:$D$250=Pyramid!$Q9),ROW(Source!$B$1:$B$250),FALSE),W$3)),"")</f>
        <v/>
      </c>
      <c r="X9" t="str">
        <f t="array" aca="1" ref="X9" ca="1">IFERROR(INDEX(Source!$A$1:$A$250,SMALL(IF(--(Source!$B$1:$B$250=$O9)*--(Source!$E$1:$E$250=$Q$3)*--(Source!$D$1:$D$250=Pyramid!$Q9),ROW(Source!$B$1:$B$250),FALSE),X$3)),"")</f>
        <v/>
      </c>
      <c r="Y9" s="5">
        <f t="shared" ca="1" si="3"/>
        <v>0</v>
      </c>
    </row>
    <row r="10" spans="1:32">
      <c r="C10">
        <v>6</v>
      </c>
      <c r="D10" s="5">
        <f t="shared" ca="1" si="1"/>
        <v>0</v>
      </c>
      <c r="E10" t="str">
        <f t="array" aca="1" ref="E10" ca="1">IFERROR(INDEX(Source!$A$1:$A$250,SMALL(IF(--(Source!$B$1:$B$250=$O10)*--(Source!$E$1:$E$250=$M$3)*--(Source!$D$1:$D$250=Pyramid!$M10),ROW(Source!$B$1:$B$250),FALSE),E$3)),"")</f>
        <v/>
      </c>
      <c r="F10" t="str">
        <f t="array" aca="1" ref="F10" ca="1">IFERROR(INDEX(Source!$A$1:$A$250,SMALL(IF(--(Source!$B$1:$B$250=$O10)*--(Source!$E$1:$E$250=$M$3)*--(Source!$D$1:$D$250=Pyramid!$M10),ROW(Source!$B$1:$B$250),FALSE),F$3)),"")</f>
        <v/>
      </c>
      <c r="G10" t="str">
        <f t="array" aca="1" ref="G10" ca="1">IFERROR(INDEX(Source!$A$1:$A$250,SMALL(IF(--(Source!$B$1:$B$250=$O10)*--(Source!$E$1:$E$250=$M$3)*--(Source!$D$1:$D$250=Pyramid!$M10),ROW(Source!$B$1:$B$250),FALSE),G$3)),"")</f>
        <v/>
      </c>
      <c r="H10" t="str">
        <f t="array" aca="1" ref="H10" ca="1">IFERROR(INDEX(Source!$A$1:$A$250,SMALL(IF(--(Source!$B$1:$B$250=$O10)*--(Source!$E$1:$E$250=$M$3)*--(Source!$D$1:$D$250=Pyramid!$M10),ROW(Source!$B$1:$B$250),FALSE),H$3)),"")</f>
        <v/>
      </c>
      <c r="I10" t="str">
        <f t="array" aca="1" ref="I10" ca="1">IFERROR(INDEX(Source!$A$1:$A$250,SMALL(IF(--(Source!$B$1:$B$250=$O10)*--(Source!$E$1:$E$250=$M$3)*--(Source!$D$1:$D$250=Pyramid!$M10),ROW(Source!$B$1:$B$250),FALSE),I$3)),"")</f>
        <v/>
      </c>
      <c r="J10" t="str">
        <f t="array" aca="1" ref="J10" ca="1">IFERROR(INDEX(Source!$A$1:$A$250,SMALL(IF(--(Source!$B$1:$B$250=$O10)*--(Source!$E$1:$E$250=$M$3)*--(Source!$D$1:$D$250=Pyramid!$M10),ROW(Source!$B$1:$B$250),FALSE),J$3)),"")</f>
        <v/>
      </c>
      <c r="K10" t="str">
        <f t="array" aca="1" ref="K10" ca="1">IFERROR(INDEX(Source!$A$1:$A$250,SMALL(IF(--(Source!$B$1:$B$250=$O10)*--(Source!$E$1:$E$250=$M$3)*--(Source!$D$1:$D$250=Pyramid!$M10),ROW(Source!$B$1:$B$250),FALSE),K$3)),"")</f>
        <v/>
      </c>
      <c r="L10" t="str">
        <f t="array" aca="1" ref="L10" ca="1">IFERROR(INDEX(Source!$A$1:$A$250,SMALL(IF(--(Source!$B$1:$B$250=$O10)*--(Source!$E$1:$E$250=$M$3)*--(Source!$D$1:$D$250=Pyramid!$M10),ROW(Source!$B$1:$B$250),FALSE),L$3)),"")</f>
        <v/>
      </c>
      <c r="M10" t="str">
        <f t="shared" si="2"/>
        <v>28/7/2016</v>
      </c>
      <c r="N10">
        <f ca="1">COUNTIFS(Source!B:B,Pyramid!$O10,Source!$D:$D,Pyramid!$M10,Source!$E:$E,Pyramid!$M$3)</f>
        <v>0</v>
      </c>
      <c r="O10">
        <f ca="1">OFFSET(Sheet2!$N$3,INT(C10/5),)</f>
        <v>17000</v>
      </c>
      <c r="P10">
        <f ca="1">COUNTIFS(Source!B:B,Pyramid!$O10,Source!D:D,Pyramid!$Q10,Source!$E:$E,Pyramid!$Q$3)</f>
        <v>0</v>
      </c>
      <c r="Q10" t="str">
        <f t="shared" si="2"/>
        <v>28/7/2016</v>
      </c>
      <c r="R10" t="str">
        <f t="array" aca="1" ref="R10" ca="1">IFERROR(INDEX(Source!$A$1:$A$250,SMALL(IF(--(Source!$B$1:$B$250=$O10)*--(Source!$E$1:$E$250=$Q$3)*--(Source!$D$1:$D$250=Pyramid!$Q10),ROW(Source!$B$1:$B$250),FALSE),R$3)),"")</f>
        <v/>
      </c>
      <c r="S10" t="str">
        <f t="array" aca="1" ref="S10" ca="1">IFERROR(INDEX(Source!$A$1:$A$250,SMALL(IF(--(Source!$B$1:$B$250=$O10)*--(Source!$E$1:$E$250=$Q$3)*--(Source!$D$1:$D$250=Pyramid!$Q10),ROW(Source!$B$1:$B$250),FALSE),S$3)),"")</f>
        <v/>
      </c>
      <c r="T10" t="str">
        <f t="array" aca="1" ref="T10" ca="1">IFERROR(INDEX(Source!$A$1:$A$250,SMALL(IF(--(Source!$B$1:$B$250=$O10)*--(Source!$E$1:$E$250=$Q$3)*--(Source!$D$1:$D$250=Pyramid!$Q10),ROW(Source!$B$1:$B$250),FALSE),T$3)),"")</f>
        <v/>
      </c>
      <c r="U10" t="str">
        <f t="array" aca="1" ref="U10" ca="1">IFERROR(INDEX(Source!$A$1:$A$250,SMALL(IF(--(Source!$B$1:$B$250=$O10)*--(Source!$E$1:$E$250=$Q$3)*--(Source!$D$1:$D$250=Pyramid!$Q10),ROW(Source!$B$1:$B$250),FALSE),U$3)),"")</f>
        <v/>
      </c>
      <c r="V10" t="str">
        <f t="array" aca="1" ref="V10" ca="1">IFERROR(INDEX(Source!$A$1:$A$250,SMALL(IF(--(Source!$B$1:$B$250=$O10)*--(Source!$E$1:$E$250=$Q$3)*--(Source!$D$1:$D$250=Pyramid!$Q10),ROW(Source!$B$1:$B$250),FALSE),V$3)),"")</f>
        <v/>
      </c>
      <c r="W10" t="str">
        <f t="array" aca="1" ref="W10" ca="1">IFERROR(INDEX(Source!$A$1:$A$250,SMALL(IF(--(Source!$B$1:$B$250=$O10)*--(Source!$E$1:$E$250=$Q$3)*--(Source!$D$1:$D$250=Pyramid!$Q10),ROW(Source!$B$1:$B$250),FALSE),W$3)),"")</f>
        <v/>
      </c>
      <c r="X10" t="str">
        <f t="array" aca="1" ref="X10" ca="1">IFERROR(INDEX(Source!$A$1:$A$250,SMALL(IF(--(Source!$B$1:$B$250=$O10)*--(Source!$E$1:$E$250=$Q$3)*--(Source!$D$1:$D$250=Pyramid!$Q10),ROW(Source!$B$1:$B$250),FALSE),X$3)),"")</f>
        <v/>
      </c>
      <c r="Y10" s="5">
        <f t="shared" ca="1" si="3"/>
        <v>0</v>
      </c>
    </row>
    <row r="11" spans="1:32">
      <c r="C11">
        <v>7</v>
      </c>
      <c r="D11" s="5">
        <f t="shared" ca="1" si="1"/>
        <v>0</v>
      </c>
      <c r="E11" t="str">
        <f t="array" aca="1" ref="E11" ca="1">IFERROR(INDEX(Source!$A$1:$A$250,SMALL(IF(--(Source!$B$1:$B$250=$O11)*--(Source!$E$1:$E$250=$M$3)*--(Source!$D$1:$D$250=Pyramid!$M11),ROW(Source!$B$1:$B$250),FALSE),E$3)),"")</f>
        <v/>
      </c>
      <c r="F11" t="str">
        <f t="array" aca="1" ref="F11" ca="1">IFERROR(INDEX(Source!$A$1:$A$250,SMALL(IF(--(Source!$B$1:$B$250=$O11)*--(Source!$E$1:$E$250=$M$3)*--(Source!$D$1:$D$250=Pyramid!$M11),ROW(Source!$B$1:$B$250),FALSE),F$3)),"")</f>
        <v/>
      </c>
      <c r="G11" t="str">
        <f t="array" aca="1" ref="G11" ca="1">IFERROR(INDEX(Source!$A$1:$A$250,SMALL(IF(--(Source!$B$1:$B$250=$O11)*--(Source!$E$1:$E$250=$M$3)*--(Source!$D$1:$D$250=Pyramid!$M11),ROW(Source!$B$1:$B$250),FALSE),G$3)),"")</f>
        <v/>
      </c>
      <c r="H11" t="str">
        <f t="array" aca="1" ref="H11" ca="1">IFERROR(INDEX(Source!$A$1:$A$250,SMALL(IF(--(Source!$B$1:$B$250=$O11)*--(Source!$E$1:$E$250=$M$3)*--(Source!$D$1:$D$250=Pyramid!$M11),ROW(Source!$B$1:$B$250),FALSE),H$3)),"")</f>
        <v/>
      </c>
      <c r="I11" t="str">
        <f t="array" aca="1" ref="I11" ca="1">IFERROR(INDEX(Source!$A$1:$A$250,SMALL(IF(--(Source!$B$1:$B$250=$O11)*--(Source!$E$1:$E$250=$M$3)*--(Source!$D$1:$D$250=Pyramid!$M11),ROW(Source!$B$1:$B$250),FALSE),I$3)),"")</f>
        <v/>
      </c>
      <c r="J11" t="str">
        <f t="array" aca="1" ref="J11" ca="1">IFERROR(INDEX(Source!$A$1:$A$250,SMALL(IF(--(Source!$B$1:$B$250=$O11)*--(Source!$E$1:$E$250=$M$3)*--(Source!$D$1:$D$250=Pyramid!$M11),ROW(Source!$B$1:$B$250),FALSE),J$3)),"")</f>
        <v/>
      </c>
      <c r="K11" t="str">
        <f t="array" aca="1" ref="K11" ca="1">IFERROR(INDEX(Source!$A$1:$A$250,SMALL(IF(--(Source!$B$1:$B$250=$O11)*--(Source!$E$1:$E$250=$M$3)*--(Source!$D$1:$D$250=Pyramid!$M11),ROW(Source!$B$1:$B$250),FALSE),K$3)),"")</f>
        <v/>
      </c>
      <c r="L11" t="str">
        <f t="array" aca="1" ref="L11" ca="1">IFERROR(INDEX(Source!$A$1:$A$250,SMALL(IF(--(Source!$B$1:$B$250=$O11)*--(Source!$E$1:$E$250=$M$3)*--(Source!$D$1:$D$250=Pyramid!$M11),ROW(Source!$B$1:$B$250),FALSE),L$3)),"")</f>
        <v/>
      </c>
      <c r="M11" t="str">
        <f t="shared" si="2"/>
        <v>30/8/2016</v>
      </c>
      <c r="N11">
        <f ca="1">COUNTIFS(Source!B:B,Pyramid!$O11,Source!$D:$D,Pyramid!$M11,Source!$E:$E,Pyramid!$M$3)</f>
        <v>0</v>
      </c>
      <c r="O11">
        <f ca="1">OFFSET(Sheet2!$N$3,INT(C11/5),)</f>
        <v>17000</v>
      </c>
      <c r="P11">
        <f ca="1">COUNTIFS(Source!B:B,Pyramid!$O11,Source!D:D,Pyramid!$Q11,Source!$E:$E,Pyramid!$Q$3)</f>
        <v>0</v>
      </c>
      <c r="Q11" t="str">
        <f t="shared" si="2"/>
        <v>30/8/2016</v>
      </c>
      <c r="R11" t="str">
        <f t="array" aca="1" ref="R11" ca="1">IFERROR(INDEX(Source!$A$1:$A$250,SMALL(IF(--(Source!$B$1:$B$250=$O11)*--(Source!$E$1:$E$250=$Q$3)*--(Source!$D$1:$D$250=Pyramid!$Q11),ROW(Source!$B$1:$B$250),FALSE),R$3)),"")</f>
        <v/>
      </c>
      <c r="S11" t="str">
        <f t="array" aca="1" ref="S11" ca="1">IFERROR(INDEX(Source!$A$1:$A$250,SMALL(IF(--(Source!$B$1:$B$250=$O11)*--(Source!$E$1:$E$250=$Q$3)*--(Source!$D$1:$D$250=Pyramid!$Q11),ROW(Source!$B$1:$B$250),FALSE),S$3)),"")</f>
        <v/>
      </c>
      <c r="T11" t="str">
        <f t="array" aca="1" ref="T11" ca="1">IFERROR(INDEX(Source!$A$1:$A$250,SMALL(IF(--(Source!$B$1:$B$250=$O11)*--(Source!$E$1:$E$250=$Q$3)*--(Source!$D$1:$D$250=Pyramid!$Q11),ROW(Source!$B$1:$B$250),FALSE),T$3)),"")</f>
        <v/>
      </c>
      <c r="U11" t="str">
        <f t="array" aca="1" ref="U11" ca="1">IFERROR(INDEX(Source!$A$1:$A$250,SMALL(IF(--(Source!$B$1:$B$250=$O11)*--(Source!$E$1:$E$250=$Q$3)*--(Source!$D$1:$D$250=Pyramid!$Q11),ROW(Source!$B$1:$B$250),FALSE),U$3)),"")</f>
        <v/>
      </c>
      <c r="V11" t="str">
        <f t="array" aca="1" ref="V11" ca="1">IFERROR(INDEX(Source!$A$1:$A$250,SMALL(IF(--(Source!$B$1:$B$250=$O11)*--(Source!$E$1:$E$250=$Q$3)*--(Source!$D$1:$D$250=Pyramid!$Q11),ROW(Source!$B$1:$B$250),FALSE),V$3)),"")</f>
        <v/>
      </c>
      <c r="W11" t="str">
        <f t="array" aca="1" ref="W11" ca="1">IFERROR(INDEX(Source!$A$1:$A$250,SMALL(IF(--(Source!$B$1:$B$250=$O11)*--(Source!$E$1:$E$250=$Q$3)*--(Source!$D$1:$D$250=Pyramid!$Q11),ROW(Source!$B$1:$B$250),FALSE),W$3)),"")</f>
        <v/>
      </c>
      <c r="X11" t="str">
        <f t="array" aca="1" ref="X11" ca="1">IFERROR(INDEX(Source!$A$1:$A$250,SMALL(IF(--(Source!$B$1:$B$250=$O11)*--(Source!$E$1:$E$250=$Q$3)*--(Source!$D$1:$D$250=Pyramid!$Q11),ROW(Source!$B$1:$B$250),FALSE),X$3)),"")</f>
        <v/>
      </c>
      <c r="Y11" s="5">
        <f t="shared" ca="1" si="3"/>
        <v>0</v>
      </c>
    </row>
    <row r="12" spans="1:32">
      <c r="C12">
        <v>8</v>
      </c>
      <c r="D12" s="5">
        <f t="shared" ca="1" si="1"/>
        <v>0</v>
      </c>
      <c r="E12" t="str">
        <f t="array" aca="1" ref="E12" ca="1">IFERROR(INDEX(Source!$A$1:$A$250,SMALL(IF(--(Source!$B$1:$B$250=$O12)*--(Source!$E$1:$E$250=$M$3)*--(Source!$D$1:$D$250=Pyramid!$M12),ROW(Source!$B$1:$B$250),FALSE),E$3)),"")</f>
        <v/>
      </c>
      <c r="F12" t="str">
        <f t="array" aca="1" ref="F12" ca="1">IFERROR(INDEX(Source!$A$1:$A$250,SMALL(IF(--(Source!$B$1:$B$250=$O12)*--(Source!$E$1:$E$250=$M$3)*--(Source!$D$1:$D$250=Pyramid!$M12),ROW(Source!$B$1:$B$250),FALSE),F$3)),"")</f>
        <v/>
      </c>
      <c r="G12" t="str">
        <f t="array" aca="1" ref="G12" ca="1">IFERROR(INDEX(Source!$A$1:$A$250,SMALL(IF(--(Source!$B$1:$B$250=$O12)*--(Source!$E$1:$E$250=$M$3)*--(Source!$D$1:$D$250=Pyramid!$M12),ROW(Source!$B$1:$B$250),FALSE),G$3)),"")</f>
        <v/>
      </c>
      <c r="H12" t="str">
        <f t="array" aca="1" ref="H12" ca="1">IFERROR(INDEX(Source!$A$1:$A$250,SMALL(IF(--(Source!$B$1:$B$250=$O12)*--(Source!$E$1:$E$250=$M$3)*--(Source!$D$1:$D$250=Pyramid!$M12),ROW(Source!$B$1:$B$250),FALSE),H$3)),"")</f>
        <v/>
      </c>
      <c r="I12" t="str">
        <f t="array" aca="1" ref="I12" ca="1">IFERROR(INDEX(Source!$A$1:$A$250,SMALL(IF(--(Source!$B$1:$B$250=$O12)*--(Source!$E$1:$E$250=$M$3)*--(Source!$D$1:$D$250=Pyramid!$M12),ROW(Source!$B$1:$B$250),FALSE),I$3)),"")</f>
        <v/>
      </c>
      <c r="J12" t="str">
        <f t="array" aca="1" ref="J12" ca="1">IFERROR(INDEX(Source!$A$1:$A$250,SMALL(IF(--(Source!$B$1:$B$250=$O12)*--(Source!$E$1:$E$250=$M$3)*--(Source!$D$1:$D$250=Pyramid!$M12),ROW(Source!$B$1:$B$250),FALSE),J$3)),"")</f>
        <v/>
      </c>
      <c r="K12" t="str">
        <f t="array" aca="1" ref="K12" ca="1">IFERROR(INDEX(Source!$A$1:$A$250,SMALL(IF(--(Source!$B$1:$B$250=$O12)*--(Source!$E$1:$E$250=$M$3)*--(Source!$D$1:$D$250=Pyramid!$M12),ROW(Source!$B$1:$B$250),FALSE),K$3)),"")</f>
        <v/>
      </c>
      <c r="L12" t="str">
        <f t="array" aca="1" ref="L12" ca="1">IFERROR(INDEX(Source!$A$1:$A$250,SMALL(IF(--(Source!$B$1:$B$250=$O12)*--(Source!$E$1:$E$250=$M$3)*--(Source!$D$1:$D$250=Pyramid!$M12),ROW(Source!$B$1:$B$250),FALSE),L$3)),"")</f>
        <v/>
      </c>
      <c r="M12" t="str">
        <f t="shared" si="2"/>
        <v>29/9/2016</v>
      </c>
      <c r="N12">
        <f ca="1">COUNTIFS(Source!B:B,Pyramid!$O12,Source!$D:$D,Pyramid!$M12,Source!$E:$E,Pyramid!$M$3)</f>
        <v>0</v>
      </c>
      <c r="O12">
        <f ca="1">OFFSET(Sheet2!$N$3,INT(C12/5),)</f>
        <v>17000</v>
      </c>
      <c r="P12">
        <f ca="1">COUNTIFS(Source!B:B,Pyramid!$O12,Source!D:D,Pyramid!$Q12,Source!$E:$E,Pyramid!$Q$3)</f>
        <v>3</v>
      </c>
      <c r="Q12" t="str">
        <f t="shared" si="2"/>
        <v>29/9/2016</v>
      </c>
      <c r="R12" t="str">
        <f t="array" aca="1" ref="R12" ca="1">IFERROR(INDEX(Source!$A$1:$A$250,SMALL(IF(--(Source!$B$1:$B$250=$O12)*--(Source!$E$1:$E$250=$Q$3)*--(Source!$D$1:$D$250=Pyramid!$Q12),ROW(Source!$B$1:$B$250),FALSE),R$3)),"")</f>
        <v>26399 HK Equity</v>
      </c>
      <c r="S12" t="str">
        <f t="array" aca="1" ref="S12" ca="1">IFERROR(INDEX(Source!$A$1:$A$250,SMALL(IF(--(Source!$B$1:$B$250=$O12)*--(Source!$E$1:$E$250=$Q$3)*--(Source!$D$1:$D$250=Pyramid!$Q12),ROW(Source!$B$1:$B$250),FALSE),S$3)),"")</f>
        <v>26444 HK Equity</v>
      </c>
      <c r="T12" t="str">
        <f t="array" aca="1" ref="T12" ca="1">IFERROR(INDEX(Source!$A$1:$A$250,SMALL(IF(--(Source!$B$1:$B$250=$O12)*--(Source!$E$1:$E$250=$Q$3)*--(Source!$D$1:$D$250=Pyramid!$Q12),ROW(Source!$B$1:$B$250),FALSE),T$3)),"")</f>
        <v>26106 HK Equity</v>
      </c>
      <c r="U12" t="str">
        <f t="array" aca="1" ref="U12" ca="1">IFERROR(INDEX(Source!$A$1:$A$250,SMALL(IF(--(Source!$B$1:$B$250=$O12)*--(Source!$E$1:$E$250=$Q$3)*--(Source!$D$1:$D$250=Pyramid!$Q12),ROW(Source!$B$1:$B$250),FALSE),U$3)),"")</f>
        <v/>
      </c>
      <c r="V12" t="str">
        <f t="array" aca="1" ref="V12" ca="1">IFERROR(INDEX(Source!$A$1:$A$250,SMALL(IF(--(Source!$B$1:$B$250=$O12)*--(Source!$E$1:$E$250=$Q$3)*--(Source!$D$1:$D$250=Pyramid!$Q12),ROW(Source!$B$1:$B$250),FALSE),V$3)),"")</f>
        <v/>
      </c>
      <c r="W12" t="str">
        <f t="array" aca="1" ref="W12" ca="1">IFERROR(INDEX(Source!$A$1:$A$250,SMALL(IF(--(Source!$B$1:$B$250=$O12)*--(Source!$E$1:$E$250=$Q$3)*--(Source!$D$1:$D$250=Pyramid!$Q12),ROW(Source!$B$1:$B$250),FALSE),W$3)),"")</f>
        <v/>
      </c>
      <c r="X12" t="str">
        <f t="array" aca="1" ref="X12" ca="1">IFERROR(INDEX(Source!$A$1:$A$250,SMALL(IF(--(Source!$B$1:$B$250=$O12)*--(Source!$E$1:$E$250=$Q$3)*--(Source!$D$1:$D$250=Pyramid!$Q12),ROW(Source!$B$1:$B$250),FALSE),X$3)),"")</f>
        <v/>
      </c>
      <c r="Y12" s="5">
        <f t="shared" ca="1" si="3"/>
        <v>0</v>
      </c>
    </row>
    <row r="13" spans="1:32">
      <c r="C13">
        <v>9</v>
      </c>
      <c r="D13" s="5">
        <f t="shared" ca="1" si="1"/>
        <v>0</v>
      </c>
      <c r="E13" t="str">
        <f t="array" aca="1" ref="E13" ca="1">IFERROR(INDEX(Source!$A$1:$A$250,SMALL(IF(--(Source!$B$1:$B$250=$O13)*--(Source!$E$1:$E$250=$M$3)*--(Source!$D$1:$D$250=Pyramid!$M13),ROW(Source!$B$1:$B$250),FALSE),E$3)),"")</f>
        <v/>
      </c>
      <c r="F13" t="str">
        <f t="array" aca="1" ref="F13" ca="1">IFERROR(INDEX(Source!$A$1:$A$250,SMALL(IF(--(Source!$B$1:$B$250=$O13)*--(Source!$E$1:$E$250=$M$3)*--(Source!$D$1:$D$250=Pyramid!$M13),ROW(Source!$B$1:$B$250),FALSE),F$3)),"")</f>
        <v/>
      </c>
      <c r="G13" t="str">
        <f t="array" aca="1" ref="G13" ca="1">IFERROR(INDEX(Source!$A$1:$A$250,SMALL(IF(--(Source!$B$1:$B$250=$O13)*--(Source!$E$1:$E$250=$M$3)*--(Source!$D$1:$D$250=Pyramid!$M13),ROW(Source!$B$1:$B$250),FALSE),G$3)),"")</f>
        <v/>
      </c>
      <c r="H13" t="str">
        <f t="array" aca="1" ref="H13" ca="1">IFERROR(INDEX(Source!$A$1:$A$250,SMALL(IF(--(Source!$B$1:$B$250=$O13)*--(Source!$E$1:$E$250=$M$3)*--(Source!$D$1:$D$250=Pyramid!$M13),ROW(Source!$B$1:$B$250),FALSE),H$3)),"")</f>
        <v/>
      </c>
      <c r="I13" t="str">
        <f t="array" aca="1" ref="I13" ca="1">IFERROR(INDEX(Source!$A$1:$A$250,SMALL(IF(--(Source!$B$1:$B$250=$O13)*--(Source!$E$1:$E$250=$M$3)*--(Source!$D$1:$D$250=Pyramid!$M13),ROW(Source!$B$1:$B$250),FALSE),I$3)),"")</f>
        <v/>
      </c>
      <c r="J13" t="str">
        <f t="array" aca="1" ref="J13" ca="1">IFERROR(INDEX(Source!$A$1:$A$250,SMALL(IF(--(Source!$B$1:$B$250=$O13)*--(Source!$E$1:$E$250=$M$3)*--(Source!$D$1:$D$250=Pyramid!$M13),ROW(Source!$B$1:$B$250),FALSE),J$3)),"")</f>
        <v/>
      </c>
      <c r="K13" t="str">
        <f t="array" aca="1" ref="K13" ca="1">IFERROR(INDEX(Source!$A$1:$A$250,SMALL(IF(--(Source!$B$1:$B$250=$O13)*--(Source!$E$1:$E$250=$M$3)*--(Source!$D$1:$D$250=Pyramid!$M13),ROW(Source!$B$1:$B$250),FALSE),K$3)),"")</f>
        <v/>
      </c>
      <c r="L13" t="str">
        <f t="array" aca="1" ref="L13" ca="1">IFERROR(INDEX(Source!$A$1:$A$250,SMALL(IF(--(Source!$B$1:$B$250=$O13)*--(Source!$E$1:$E$250=$M$3)*--(Source!$D$1:$D$250=Pyramid!$M13),ROW(Source!$B$1:$B$250),FALSE),L$3)),"")</f>
        <v/>
      </c>
      <c r="M13" t="str">
        <f t="shared" si="2"/>
        <v>28/10/2016</v>
      </c>
      <c r="N13">
        <f ca="1">COUNTIFS(Source!B:B,Pyramid!$O13,Source!$D:$D,Pyramid!$M13,Source!$E:$E,Pyramid!$M$3)</f>
        <v>0</v>
      </c>
      <c r="O13">
        <f ca="1">OFFSET(Sheet2!$N$3,INT(C13/5),)</f>
        <v>17000</v>
      </c>
      <c r="P13">
        <f ca="1">COUNTIFS(Source!B:B,Pyramid!$O13,Source!D:D,Pyramid!$Q13,Source!$E:$E,Pyramid!$Q$3)</f>
        <v>1</v>
      </c>
      <c r="Q13" t="str">
        <f t="shared" si="2"/>
        <v>28/10/2016</v>
      </c>
      <c r="R13" t="str">
        <f t="array" aca="1" ref="R13" ca="1">IFERROR(INDEX(Source!$A$1:$A$250,SMALL(IF(--(Source!$B$1:$B$250=$O13)*--(Source!$E$1:$E$250=$Q$3)*--(Source!$D$1:$D$250=Pyramid!$Q13),ROW(Source!$B$1:$B$250),FALSE),R$3)),"")</f>
        <v>26155 HK Equity</v>
      </c>
      <c r="S13" t="str">
        <f t="array" aca="1" ref="S13" ca="1">IFERROR(INDEX(Source!$A$1:$A$250,SMALL(IF(--(Source!$B$1:$B$250=$O13)*--(Source!$E$1:$E$250=$Q$3)*--(Source!$D$1:$D$250=Pyramid!$Q13),ROW(Source!$B$1:$B$250),FALSE),S$3)),"")</f>
        <v/>
      </c>
      <c r="T13" t="str">
        <f t="array" aca="1" ref="T13" ca="1">IFERROR(INDEX(Source!$A$1:$A$250,SMALL(IF(--(Source!$B$1:$B$250=$O13)*--(Source!$E$1:$E$250=$Q$3)*--(Source!$D$1:$D$250=Pyramid!$Q13),ROW(Source!$B$1:$B$250),FALSE),T$3)),"")</f>
        <v/>
      </c>
      <c r="U13" t="str">
        <f t="array" aca="1" ref="U13" ca="1">IFERROR(INDEX(Source!$A$1:$A$250,SMALL(IF(--(Source!$B$1:$B$250=$O13)*--(Source!$E$1:$E$250=$Q$3)*--(Source!$D$1:$D$250=Pyramid!$Q13),ROW(Source!$B$1:$B$250),FALSE),U$3)),"")</f>
        <v/>
      </c>
      <c r="V13" t="str">
        <f t="array" aca="1" ref="V13" ca="1">IFERROR(INDEX(Source!$A$1:$A$250,SMALL(IF(--(Source!$B$1:$B$250=$O13)*--(Source!$E$1:$E$250=$Q$3)*--(Source!$D$1:$D$250=Pyramid!$Q13),ROW(Source!$B$1:$B$250),FALSE),V$3)),"")</f>
        <v/>
      </c>
      <c r="W13" t="str">
        <f t="array" aca="1" ref="W13" ca="1">IFERROR(INDEX(Source!$A$1:$A$250,SMALL(IF(--(Source!$B$1:$B$250=$O13)*--(Source!$E$1:$E$250=$Q$3)*--(Source!$D$1:$D$250=Pyramid!$Q13),ROW(Source!$B$1:$B$250),FALSE),W$3)),"")</f>
        <v/>
      </c>
      <c r="X13" t="str">
        <f t="array" aca="1" ref="X13" ca="1">IFERROR(INDEX(Source!$A$1:$A$250,SMALL(IF(--(Source!$B$1:$B$250=$O13)*--(Source!$E$1:$E$250=$Q$3)*--(Source!$D$1:$D$250=Pyramid!$Q13),ROW(Source!$B$1:$B$250),FALSE),X$3)),"")</f>
        <v/>
      </c>
      <c r="Y13" s="5">
        <f t="shared" ca="1" si="3"/>
        <v>0</v>
      </c>
    </row>
    <row r="14" spans="1:32">
      <c r="C14">
        <v>10</v>
      </c>
      <c r="D14" s="5">
        <f t="shared" ca="1" si="1"/>
        <v>0</v>
      </c>
      <c r="E14" t="str">
        <f t="array" aca="1" ref="E14" ca="1">IFERROR(INDEX(Source!$A$1:$A$250,SMALL(IF(--(Source!$B$1:$B$250=$O14)*--(Source!$E$1:$E$250=$M$3)*--(Source!$D$1:$D$250=Pyramid!$M14),ROW(Source!$B$1:$B$250),FALSE),E$3)),"")</f>
        <v/>
      </c>
      <c r="F14" t="str">
        <f t="array" aca="1" ref="F14" ca="1">IFERROR(INDEX(Source!$A$1:$A$250,SMALL(IF(--(Source!$B$1:$B$250=$O14)*--(Source!$E$1:$E$250=$M$3)*--(Source!$D$1:$D$250=Pyramid!$M14),ROW(Source!$B$1:$B$250),FALSE),F$3)),"")</f>
        <v/>
      </c>
      <c r="G14" t="str">
        <f t="array" aca="1" ref="G14" ca="1">IFERROR(INDEX(Source!$A$1:$A$250,SMALL(IF(--(Source!$B$1:$B$250=$O14)*--(Source!$E$1:$E$250=$M$3)*--(Source!$D$1:$D$250=Pyramid!$M14),ROW(Source!$B$1:$B$250),FALSE),G$3)),"")</f>
        <v/>
      </c>
      <c r="H14" t="str">
        <f t="array" aca="1" ref="H14" ca="1">IFERROR(INDEX(Source!$A$1:$A$250,SMALL(IF(--(Source!$B$1:$B$250=$O14)*--(Source!$E$1:$E$250=$M$3)*--(Source!$D$1:$D$250=Pyramid!$M14),ROW(Source!$B$1:$B$250),FALSE),H$3)),"")</f>
        <v/>
      </c>
      <c r="I14" t="str">
        <f t="array" aca="1" ref="I14" ca="1">IFERROR(INDEX(Source!$A$1:$A$250,SMALL(IF(--(Source!$B$1:$B$250=$O14)*--(Source!$E$1:$E$250=$M$3)*--(Source!$D$1:$D$250=Pyramid!$M14),ROW(Source!$B$1:$B$250),FALSE),I$3)),"")</f>
        <v/>
      </c>
      <c r="J14" t="str">
        <f t="array" aca="1" ref="J14" ca="1">IFERROR(INDEX(Source!$A$1:$A$250,SMALL(IF(--(Source!$B$1:$B$250=$O14)*--(Source!$E$1:$E$250=$M$3)*--(Source!$D$1:$D$250=Pyramid!$M14),ROW(Source!$B$1:$B$250),FALSE),J$3)),"")</f>
        <v/>
      </c>
      <c r="K14" t="str">
        <f t="array" aca="1" ref="K14" ca="1">IFERROR(INDEX(Source!$A$1:$A$250,SMALL(IF(--(Source!$B$1:$B$250=$O14)*--(Source!$E$1:$E$250=$M$3)*--(Source!$D$1:$D$250=Pyramid!$M14),ROW(Source!$B$1:$B$250),FALSE),K$3)),"")</f>
        <v/>
      </c>
      <c r="L14" t="str">
        <f t="array" aca="1" ref="L14" ca="1">IFERROR(INDEX(Source!$A$1:$A$250,SMALL(IF(--(Source!$B$1:$B$250=$O14)*--(Source!$E$1:$E$250=$M$3)*--(Source!$D$1:$D$250=Pyramid!$M14),ROW(Source!$B$1:$B$250),FALSE),L$3)),"")</f>
        <v/>
      </c>
      <c r="M14" t="str">
        <f t="shared" si="2"/>
        <v>29/6/2016</v>
      </c>
      <c r="N14">
        <f ca="1">COUNTIFS(Source!B:B,Pyramid!$O14,Source!$D:$D,Pyramid!$M14,Source!$E:$E,Pyramid!$M$3)</f>
        <v>0</v>
      </c>
      <c r="O14">
        <f ca="1">OFFSET(Sheet2!$N$3,INT(C14/5),)</f>
        <v>17200</v>
      </c>
      <c r="P14">
        <f ca="1">COUNTIFS(Source!B:B,Pyramid!$O14,Source!D:D,Pyramid!$Q14,Source!$E:$E,Pyramid!$Q$3)</f>
        <v>0</v>
      </c>
      <c r="Q14" t="str">
        <f t="shared" si="2"/>
        <v>29/6/2016</v>
      </c>
      <c r="R14" t="str">
        <f t="array" aca="1" ref="R14" ca="1">IFERROR(INDEX(Source!$A$1:$A$250,SMALL(IF(--(Source!$B$1:$B$250=$O14)*--(Source!$E$1:$E$250=$Q$3)*--(Source!$D$1:$D$250=Pyramid!$Q14),ROW(Source!$B$1:$B$250),FALSE),R$3)),"")</f>
        <v/>
      </c>
      <c r="S14" t="str">
        <f t="array" aca="1" ref="S14" ca="1">IFERROR(INDEX(Source!$A$1:$A$250,SMALL(IF(--(Source!$B$1:$B$250=$O14)*--(Source!$E$1:$E$250=$Q$3)*--(Source!$D$1:$D$250=Pyramid!$Q14),ROW(Source!$B$1:$B$250),FALSE),S$3)),"")</f>
        <v/>
      </c>
      <c r="T14" t="str">
        <f t="array" aca="1" ref="T14" ca="1">IFERROR(INDEX(Source!$A$1:$A$250,SMALL(IF(--(Source!$B$1:$B$250=$O14)*--(Source!$E$1:$E$250=$Q$3)*--(Source!$D$1:$D$250=Pyramid!$Q14),ROW(Source!$B$1:$B$250),FALSE),T$3)),"")</f>
        <v/>
      </c>
      <c r="U14" t="str">
        <f t="array" aca="1" ref="U14" ca="1">IFERROR(INDEX(Source!$A$1:$A$250,SMALL(IF(--(Source!$B$1:$B$250=$O14)*--(Source!$E$1:$E$250=$Q$3)*--(Source!$D$1:$D$250=Pyramid!$Q14),ROW(Source!$B$1:$B$250),FALSE),U$3)),"")</f>
        <v/>
      </c>
      <c r="V14" t="str">
        <f t="array" aca="1" ref="V14" ca="1">IFERROR(INDEX(Source!$A$1:$A$250,SMALL(IF(--(Source!$B$1:$B$250=$O14)*--(Source!$E$1:$E$250=$Q$3)*--(Source!$D$1:$D$250=Pyramid!$Q14),ROW(Source!$B$1:$B$250),FALSE),V$3)),"")</f>
        <v/>
      </c>
      <c r="W14" t="str">
        <f t="array" aca="1" ref="W14" ca="1">IFERROR(INDEX(Source!$A$1:$A$250,SMALL(IF(--(Source!$B$1:$B$250=$O14)*--(Source!$E$1:$E$250=$Q$3)*--(Source!$D$1:$D$250=Pyramid!$Q14),ROW(Source!$B$1:$B$250),FALSE),W$3)),"")</f>
        <v/>
      </c>
      <c r="X14" t="str">
        <f t="array" aca="1" ref="X14" ca="1">IFERROR(INDEX(Source!$A$1:$A$250,SMALL(IF(--(Source!$B$1:$B$250=$O14)*--(Source!$E$1:$E$250=$Q$3)*--(Source!$D$1:$D$250=Pyramid!$Q14),ROW(Source!$B$1:$B$250),FALSE),X$3)),"")</f>
        <v/>
      </c>
      <c r="Y14" s="5">
        <f t="shared" ca="1" si="3"/>
        <v>0</v>
      </c>
    </row>
    <row r="15" spans="1:32">
      <c r="C15">
        <v>11</v>
      </c>
      <c r="D15" s="5">
        <f t="shared" ca="1" si="1"/>
        <v>0</v>
      </c>
      <c r="E15" t="str">
        <f t="array" aca="1" ref="E15" ca="1">IFERROR(INDEX(Source!$A$1:$A$250,SMALL(IF(--(Source!$B$1:$B$250=$O15)*--(Source!$E$1:$E$250=$M$3)*--(Source!$D$1:$D$250=Pyramid!$M15),ROW(Source!$B$1:$B$250),FALSE),E$3)),"")</f>
        <v/>
      </c>
      <c r="F15" t="str">
        <f t="array" aca="1" ref="F15" ca="1">IFERROR(INDEX(Source!$A$1:$A$250,SMALL(IF(--(Source!$B$1:$B$250=$O15)*--(Source!$E$1:$E$250=$M$3)*--(Source!$D$1:$D$250=Pyramid!$M15),ROW(Source!$B$1:$B$250),FALSE),F$3)),"")</f>
        <v/>
      </c>
      <c r="G15" t="str">
        <f t="array" aca="1" ref="G15" ca="1">IFERROR(INDEX(Source!$A$1:$A$250,SMALL(IF(--(Source!$B$1:$B$250=$O15)*--(Source!$E$1:$E$250=$M$3)*--(Source!$D$1:$D$250=Pyramid!$M15),ROW(Source!$B$1:$B$250),FALSE),G$3)),"")</f>
        <v/>
      </c>
      <c r="H15" t="str">
        <f t="array" aca="1" ref="H15" ca="1">IFERROR(INDEX(Source!$A$1:$A$250,SMALL(IF(--(Source!$B$1:$B$250=$O15)*--(Source!$E$1:$E$250=$M$3)*--(Source!$D$1:$D$250=Pyramid!$M15),ROW(Source!$B$1:$B$250),FALSE),H$3)),"")</f>
        <v/>
      </c>
      <c r="I15" t="str">
        <f t="array" aca="1" ref="I15" ca="1">IFERROR(INDEX(Source!$A$1:$A$250,SMALL(IF(--(Source!$B$1:$B$250=$O15)*--(Source!$E$1:$E$250=$M$3)*--(Source!$D$1:$D$250=Pyramid!$M15),ROW(Source!$B$1:$B$250),FALSE),I$3)),"")</f>
        <v/>
      </c>
      <c r="J15" t="str">
        <f t="array" aca="1" ref="J15" ca="1">IFERROR(INDEX(Source!$A$1:$A$250,SMALL(IF(--(Source!$B$1:$B$250=$O15)*--(Source!$E$1:$E$250=$M$3)*--(Source!$D$1:$D$250=Pyramid!$M15),ROW(Source!$B$1:$B$250),FALSE),J$3)),"")</f>
        <v/>
      </c>
      <c r="K15" t="str">
        <f t="array" aca="1" ref="K15" ca="1">IFERROR(INDEX(Source!$A$1:$A$250,SMALL(IF(--(Source!$B$1:$B$250=$O15)*--(Source!$E$1:$E$250=$M$3)*--(Source!$D$1:$D$250=Pyramid!$M15),ROW(Source!$B$1:$B$250),FALSE),K$3)),"")</f>
        <v/>
      </c>
      <c r="L15" t="str">
        <f t="array" aca="1" ref="L15" ca="1">IFERROR(INDEX(Source!$A$1:$A$250,SMALL(IF(--(Source!$B$1:$B$250=$O15)*--(Source!$E$1:$E$250=$M$3)*--(Source!$D$1:$D$250=Pyramid!$M15),ROW(Source!$B$1:$B$250),FALSE),L$3)),"")</f>
        <v/>
      </c>
      <c r="M15" t="str">
        <f t="shared" si="2"/>
        <v>28/7/2016</v>
      </c>
      <c r="N15">
        <f ca="1">COUNTIFS(Source!B:B,Pyramid!$O15,Source!$D:$D,Pyramid!$M15,Source!$E:$E,Pyramid!$M$3)</f>
        <v>0</v>
      </c>
      <c r="O15">
        <f ca="1">OFFSET(Sheet2!$N$3,INT(C15/5),)</f>
        <v>17200</v>
      </c>
      <c r="P15">
        <f ca="1">COUNTIFS(Source!B:B,Pyramid!$O15,Source!D:D,Pyramid!$Q15,Source!$E:$E,Pyramid!$Q$3)</f>
        <v>0</v>
      </c>
      <c r="Q15" t="str">
        <f t="shared" si="2"/>
        <v>28/7/2016</v>
      </c>
      <c r="R15" t="str">
        <f t="array" aca="1" ref="R15" ca="1">IFERROR(INDEX(Source!$A$1:$A$250,SMALL(IF(--(Source!$B$1:$B$250=$O15)*--(Source!$E$1:$E$250=$Q$3)*--(Source!$D$1:$D$250=Pyramid!$Q15),ROW(Source!$B$1:$B$250),FALSE),R$3)),"")</f>
        <v/>
      </c>
      <c r="S15" t="str">
        <f t="array" aca="1" ref="S15" ca="1">IFERROR(INDEX(Source!$A$1:$A$250,SMALL(IF(--(Source!$B$1:$B$250=$O15)*--(Source!$E$1:$E$250=$Q$3)*--(Source!$D$1:$D$250=Pyramid!$Q15),ROW(Source!$B$1:$B$250),FALSE),S$3)),"")</f>
        <v/>
      </c>
      <c r="T15" t="str">
        <f t="array" aca="1" ref="T15" ca="1">IFERROR(INDEX(Source!$A$1:$A$250,SMALL(IF(--(Source!$B$1:$B$250=$O15)*--(Source!$E$1:$E$250=$Q$3)*--(Source!$D$1:$D$250=Pyramid!$Q15),ROW(Source!$B$1:$B$250),FALSE),T$3)),"")</f>
        <v/>
      </c>
      <c r="U15" t="str">
        <f t="array" aca="1" ref="U15" ca="1">IFERROR(INDEX(Source!$A$1:$A$250,SMALL(IF(--(Source!$B$1:$B$250=$O15)*--(Source!$E$1:$E$250=$Q$3)*--(Source!$D$1:$D$250=Pyramid!$Q15),ROW(Source!$B$1:$B$250),FALSE),U$3)),"")</f>
        <v/>
      </c>
      <c r="V15" t="str">
        <f t="array" aca="1" ref="V15" ca="1">IFERROR(INDEX(Source!$A$1:$A$250,SMALL(IF(--(Source!$B$1:$B$250=$O15)*--(Source!$E$1:$E$250=$Q$3)*--(Source!$D$1:$D$250=Pyramid!$Q15),ROW(Source!$B$1:$B$250),FALSE),V$3)),"")</f>
        <v/>
      </c>
      <c r="W15" t="str">
        <f t="array" aca="1" ref="W15" ca="1">IFERROR(INDEX(Source!$A$1:$A$250,SMALL(IF(--(Source!$B$1:$B$250=$O15)*--(Source!$E$1:$E$250=$Q$3)*--(Source!$D$1:$D$250=Pyramid!$Q15),ROW(Source!$B$1:$B$250),FALSE),W$3)),"")</f>
        <v/>
      </c>
      <c r="X15" t="str">
        <f t="array" aca="1" ref="X15" ca="1">IFERROR(INDEX(Source!$A$1:$A$250,SMALL(IF(--(Source!$B$1:$B$250=$O15)*--(Source!$E$1:$E$250=$Q$3)*--(Source!$D$1:$D$250=Pyramid!$Q15),ROW(Source!$B$1:$B$250),FALSE),X$3)),"")</f>
        <v/>
      </c>
      <c r="Y15" s="5">
        <f t="shared" ca="1" si="3"/>
        <v>0</v>
      </c>
    </row>
    <row r="16" spans="1:32">
      <c r="C16">
        <v>12</v>
      </c>
      <c r="D16" s="5">
        <f t="shared" ca="1" si="1"/>
        <v>0</v>
      </c>
      <c r="E16" t="str">
        <f t="array" aca="1" ref="E16" ca="1">IFERROR(INDEX(Source!$A$1:$A$250,SMALL(IF(--(Source!$B$1:$B$250=$O16)*--(Source!$E$1:$E$250=$M$3)*--(Source!$D$1:$D$250=Pyramid!$M16),ROW(Source!$B$1:$B$250),FALSE),E$3)),"")</f>
        <v/>
      </c>
      <c r="F16" t="str">
        <f t="array" aca="1" ref="F16" ca="1">IFERROR(INDEX(Source!$A$1:$A$250,SMALL(IF(--(Source!$B$1:$B$250=$O16)*--(Source!$E$1:$E$250=$M$3)*--(Source!$D$1:$D$250=Pyramid!$M16),ROW(Source!$B$1:$B$250),FALSE),F$3)),"")</f>
        <v/>
      </c>
      <c r="G16" t="str">
        <f t="array" aca="1" ref="G16" ca="1">IFERROR(INDEX(Source!$A$1:$A$250,SMALL(IF(--(Source!$B$1:$B$250=$O16)*--(Source!$E$1:$E$250=$M$3)*--(Source!$D$1:$D$250=Pyramid!$M16),ROW(Source!$B$1:$B$250),FALSE),G$3)),"")</f>
        <v/>
      </c>
      <c r="H16" t="str">
        <f t="array" aca="1" ref="H16" ca="1">IFERROR(INDEX(Source!$A$1:$A$250,SMALL(IF(--(Source!$B$1:$B$250=$O16)*--(Source!$E$1:$E$250=$M$3)*--(Source!$D$1:$D$250=Pyramid!$M16),ROW(Source!$B$1:$B$250),FALSE),H$3)),"")</f>
        <v/>
      </c>
      <c r="I16" t="str">
        <f t="array" aca="1" ref="I16" ca="1">IFERROR(INDEX(Source!$A$1:$A$250,SMALL(IF(--(Source!$B$1:$B$250=$O16)*--(Source!$E$1:$E$250=$M$3)*--(Source!$D$1:$D$250=Pyramid!$M16),ROW(Source!$B$1:$B$250),FALSE),I$3)),"")</f>
        <v/>
      </c>
      <c r="J16" t="str">
        <f t="array" aca="1" ref="J16" ca="1">IFERROR(INDEX(Source!$A$1:$A$250,SMALL(IF(--(Source!$B$1:$B$250=$O16)*--(Source!$E$1:$E$250=$M$3)*--(Source!$D$1:$D$250=Pyramid!$M16),ROW(Source!$B$1:$B$250),FALSE),J$3)),"")</f>
        <v/>
      </c>
      <c r="K16" t="str">
        <f t="array" aca="1" ref="K16" ca="1">IFERROR(INDEX(Source!$A$1:$A$250,SMALL(IF(--(Source!$B$1:$B$250=$O16)*--(Source!$E$1:$E$250=$M$3)*--(Source!$D$1:$D$250=Pyramid!$M16),ROW(Source!$B$1:$B$250),FALSE),K$3)),"")</f>
        <v/>
      </c>
      <c r="L16" t="str">
        <f t="array" aca="1" ref="L16" ca="1">IFERROR(INDEX(Source!$A$1:$A$250,SMALL(IF(--(Source!$B$1:$B$250=$O16)*--(Source!$E$1:$E$250=$M$3)*--(Source!$D$1:$D$250=Pyramid!$M16),ROW(Source!$B$1:$B$250),FALSE),L$3)),"")</f>
        <v/>
      </c>
      <c r="M16" t="str">
        <f t="shared" si="2"/>
        <v>30/8/2016</v>
      </c>
      <c r="N16">
        <f ca="1">COUNTIFS(Source!B:B,Pyramid!$O16,Source!$D:$D,Pyramid!$M16,Source!$E:$E,Pyramid!$M$3)</f>
        <v>0</v>
      </c>
      <c r="O16">
        <f ca="1">OFFSET(Sheet2!$N$3,INT(C16/5),)</f>
        <v>17200</v>
      </c>
      <c r="P16">
        <f ca="1">COUNTIFS(Source!B:B,Pyramid!$O16,Source!D:D,Pyramid!$Q16,Source!$E:$E,Pyramid!$Q$3)</f>
        <v>0</v>
      </c>
      <c r="Q16" t="str">
        <f t="shared" si="2"/>
        <v>30/8/2016</v>
      </c>
      <c r="R16" t="str">
        <f t="array" aca="1" ref="R16" ca="1">IFERROR(INDEX(Source!$A$1:$A$250,SMALL(IF(--(Source!$B$1:$B$250=$O16)*--(Source!$E$1:$E$250=$Q$3)*--(Source!$D$1:$D$250=Pyramid!$Q16),ROW(Source!$B$1:$B$250),FALSE),R$3)),"")</f>
        <v/>
      </c>
      <c r="S16" t="str">
        <f t="array" aca="1" ref="S16" ca="1">IFERROR(INDEX(Source!$A$1:$A$250,SMALL(IF(--(Source!$B$1:$B$250=$O16)*--(Source!$E$1:$E$250=$Q$3)*--(Source!$D$1:$D$250=Pyramid!$Q16),ROW(Source!$B$1:$B$250),FALSE),S$3)),"")</f>
        <v/>
      </c>
      <c r="T16" t="str">
        <f t="array" aca="1" ref="T16" ca="1">IFERROR(INDEX(Source!$A$1:$A$250,SMALL(IF(--(Source!$B$1:$B$250=$O16)*--(Source!$E$1:$E$250=$Q$3)*--(Source!$D$1:$D$250=Pyramid!$Q16),ROW(Source!$B$1:$B$250),FALSE),T$3)),"")</f>
        <v/>
      </c>
      <c r="U16" t="str">
        <f t="array" aca="1" ref="U16" ca="1">IFERROR(INDEX(Source!$A$1:$A$250,SMALL(IF(--(Source!$B$1:$B$250=$O16)*--(Source!$E$1:$E$250=$Q$3)*--(Source!$D$1:$D$250=Pyramid!$Q16),ROW(Source!$B$1:$B$250),FALSE),U$3)),"")</f>
        <v/>
      </c>
      <c r="V16" t="str">
        <f t="array" aca="1" ref="V16" ca="1">IFERROR(INDEX(Source!$A$1:$A$250,SMALL(IF(--(Source!$B$1:$B$250=$O16)*--(Source!$E$1:$E$250=$Q$3)*--(Source!$D$1:$D$250=Pyramid!$Q16),ROW(Source!$B$1:$B$250),FALSE),V$3)),"")</f>
        <v/>
      </c>
      <c r="W16" t="str">
        <f t="array" aca="1" ref="W16" ca="1">IFERROR(INDEX(Source!$A$1:$A$250,SMALL(IF(--(Source!$B$1:$B$250=$O16)*--(Source!$E$1:$E$250=$Q$3)*--(Source!$D$1:$D$250=Pyramid!$Q16),ROW(Source!$B$1:$B$250),FALSE),W$3)),"")</f>
        <v/>
      </c>
      <c r="X16" t="str">
        <f t="array" aca="1" ref="X16" ca="1">IFERROR(INDEX(Source!$A$1:$A$250,SMALL(IF(--(Source!$B$1:$B$250=$O16)*--(Source!$E$1:$E$250=$Q$3)*--(Source!$D$1:$D$250=Pyramid!$Q16),ROW(Source!$B$1:$B$250),FALSE),X$3)),"")</f>
        <v/>
      </c>
      <c r="Y16" s="5">
        <f t="shared" ca="1" si="3"/>
        <v>0</v>
      </c>
    </row>
    <row r="17" spans="3:25">
      <c r="C17">
        <v>13</v>
      </c>
      <c r="D17" s="5">
        <f t="shared" ca="1" si="1"/>
        <v>0</v>
      </c>
      <c r="E17" t="str">
        <f t="array" aca="1" ref="E17" ca="1">IFERROR(INDEX(Source!$A$1:$A$250,SMALL(IF(--(Source!$B$1:$B$250=$O17)*--(Source!$E$1:$E$250=$M$3)*--(Source!$D$1:$D$250=Pyramid!$M17),ROW(Source!$B$1:$B$250),FALSE),E$3)),"")</f>
        <v/>
      </c>
      <c r="F17" t="str">
        <f t="array" aca="1" ref="F17" ca="1">IFERROR(INDEX(Source!$A$1:$A$250,SMALL(IF(--(Source!$B$1:$B$250=$O17)*--(Source!$E$1:$E$250=$M$3)*--(Source!$D$1:$D$250=Pyramid!$M17),ROW(Source!$B$1:$B$250),FALSE),F$3)),"")</f>
        <v/>
      </c>
      <c r="G17" t="str">
        <f t="array" aca="1" ref="G17" ca="1">IFERROR(INDEX(Source!$A$1:$A$250,SMALL(IF(--(Source!$B$1:$B$250=$O17)*--(Source!$E$1:$E$250=$M$3)*--(Source!$D$1:$D$250=Pyramid!$M17),ROW(Source!$B$1:$B$250),FALSE),G$3)),"")</f>
        <v/>
      </c>
      <c r="H17" t="str">
        <f t="array" aca="1" ref="H17" ca="1">IFERROR(INDEX(Source!$A$1:$A$250,SMALL(IF(--(Source!$B$1:$B$250=$O17)*--(Source!$E$1:$E$250=$M$3)*--(Source!$D$1:$D$250=Pyramid!$M17),ROW(Source!$B$1:$B$250),FALSE),H$3)),"")</f>
        <v/>
      </c>
      <c r="I17" t="str">
        <f t="array" aca="1" ref="I17" ca="1">IFERROR(INDEX(Source!$A$1:$A$250,SMALL(IF(--(Source!$B$1:$B$250=$O17)*--(Source!$E$1:$E$250=$M$3)*--(Source!$D$1:$D$250=Pyramid!$M17),ROW(Source!$B$1:$B$250),FALSE),I$3)),"")</f>
        <v/>
      </c>
      <c r="J17" t="str">
        <f t="array" aca="1" ref="J17" ca="1">IFERROR(INDEX(Source!$A$1:$A$250,SMALL(IF(--(Source!$B$1:$B$250=$O17)*--(Source!$E$1:$E$250=$M$3)*--(Source!$D$1:$D$250=Pyramid!$M17),ROW(Source!$B$1:$B$250),FALSE),J$3)),"")</f>
        <v/>
      </c>
      <c r="K17" t="str">
        <f t="array" aca="1" ref="K17" ca="1">IFERROR(INDEX(Source!$A$1:$A$250,SMALL(IF(--(Source!$B$1:$B$250=$O17)*--(Source!$E$1:$E$250=$M$3)*--(Source!$D$1:$D$250=Pyramid!$M17),ROW(Source!$B$1:$B$250),FALSE),K$3)),"")</f>
        <v/>
      </c>
      <c r="L17" t="str">
        <f t="array" aca="1" ref="L17" ca="1">IFERROR(INDEX(Source!$A$1:$A$250,SMALL(IF(--(Source!$B$1:$B$250=$O17)*--(Source!$E$1:$E$250=$M$3)*--(Source!$D$1:$D$250=Pyramid!$M17),ROW(Source!$B$1:$B$250),FALSE),L$3)),"")</f>
        <v/>
      </c>
      <c r="M17" t="str">
        <f t="shared" si="2"/>
        <v>29/9/2016</v>
      </c>
      <c r="N17">
        <f ca="1">COUNTIFS(Source!B:B,Pyramid!$O17,Source!$D:$D,Pyramid!$M17,Source!$E:$E,Pyramid!$M$3)</f>
        <v>0</v>
      </c>
      <c r="O17">
        <f ca="1">OFFSET(Sheet2!$N$3,INT(C17/5),)</f>
        <v>17200</v>
      </c>
      <c r="P17">
        <f ca="1">COUNTIFS(Source!B:B,Pyramid!$O17,Source!D:D,Pyramid!$Q17,Source!$E:$E,Pyramid!$Q$3)</f>
        <v>1</v>
      </c>
      <c r="Q17" t="str">
        <f t="shared" si="2"/>
        <v>29/9/2016</v>
      </c>
      <c r="R17" t="str">
        <f t="array" aca="1" ref="R17" ca="1">IFERROR(INDEX(Source!$A$1:$A$250,SMALL(IF(--(Source!$B$1:$B$250=$O17)*--(Source!$E$1:$E$250=$Q$3)*--(Source!$D$1:$D$250=Pyramid!$Q17),ROW(Source!$B$1:$B$250),FALSE),R$3)),"")</f>
        <v>26037 HK Equity</v>
      </c>
      <c r="S17" t="str">
        <f t="array" aca="1" ref="S17" ca="1">IFERROR(INDEX(Source!$A$1:$A$250,SMALL(IF(--(Source!$B$1:$B$250=$O17)*--(Source!$E$1:$E$250=$Q$3)*--(Source!$D$1:$D$250=Pyramid!$Q17),ROW(Source!$B$1:$B$250),FALSE),S$3)),"")</f>
        <v/>
      </c>
      <c r="T17" t="str">
        <f t="array" aca="1" ref="T17" ca="1">IFERROR(INDEX(Source!$A$1:$A$250,SMALL(IF(--(Source!$B$1:$B$250=$O17)*--(Source!$E$1:$E$250=$Q$3)*--(Source!$D$1:$D$250=Pyramid!$Q17),ROW(Source!$B$1:$B$250),FALSE),T$3)),"")</f>
        <v/>
      </c>
      <c r="U17" t="str">
        <f t="array" aca="1" ref="U17" ca="1">IFERROR(INDEX(Source!$A$1:$A$250,SMALL(IF(--(Source!$B$1:$B$250=$O17)*--(Source!$E$1:$E$250=$Q$3)*--(Source!$D$1:$D$250=Pyramid!$Q17),ROW(Source!$B$1:$B$250),FALSE),U$3)),"")</f>
        <v/>
      </c>
      <c r="V17" t="str">
        <f t="array" aca="1" ref="V17" ca="1">IFERROR(INDEX(Source!$A$1:$A$250,SMALL(IF(--(Source!$B$1:$B$250=$O17)*--(Source!$E$1:$E$250=$Q$3)*--(Source!$D$1:$D$250=Pyramid!$Q17),ROW(Source!$B$1:$B$250),FALSE),V$3)),"")</f>
        <v/>
      </c>
      <c r="W17" t="str">
        <f t="array" aca="1" ref="W17" ca="1">IFERROR(INDEX(Source!$A$1:$A$250,SMALL(IF(--(Source!$B$1:$B$250=$O17)*--(Source!$E$1:$E$250=$Q$3)*--(Source!$D$1:$D$250=Pyramid!$Q17),ROW(Source!$B$1:$B$250),FALSE),W$3)),"")</f>
        <v/>
      </c>
      <c r="X17" t="str">
        <f t="array" aca="1" ref="X17" ca="1">IFERROR(INDEX(Source!$A$1:$A$250,SMALL(IF(--(Source!$B$1:$B$250=$O17)*--(Source!$E$1:$E$250=$Q$3)*--(Source!$D$1:$D$250=Pyramid!$Q17),ROW(Source!$B$1:$B$250),FALSE),X$3)),"")</f>
        <v/>
      </c>
      <c r="Y17" s="5">
        <f t="shared" ca="1" si="3"/>
        <v>0</v>
      </c>
    </row>
    <row r="18" spans="3:25">
      <c r="C18">
        <v>14</v>
      </c>
      <c r="D18" s="5">
        <f t="shared" ca="1" si="1"/>
        <v>0</v>
      </c>
      <c r="E18" t="str">
        <f t="array" aca="1" ref="E18" ca="1">IFERROR(INDEX(Source!$A$1:$A$250,SMALL(IF(--(Source!$B$1:$B$250=$O18)*--(Source!$E$1:$E$250=$M$3)*--(Source!$D$1:$D$250=Pyramid!$M18),ROW(Source!$B$1:$B$250),FALSE),E$3)),"")</f>
        <v/>
      </c>
      <c r="F18" t="str">
        <f t="array" aca="1" ref="F18" ca="1">IFERROR(INDEX(Source!$A$1:$A$250,SMALL(IF(--(Source!$B$1:$B$250=$O18)*--(Source!$E$1:$E$250=$M$3)*--(Source!$D$1:$D$250=Pyramid!$M18),ROW(Source!$B$1:$B$250),FALSE),F$3)),"")</f>
        <v/>
      </c>
      <c r="G18" t="str">
        <f t="array" aca="1" ref="G18" ca="1">IFERROR(INDEX(Source!$A$1:$A$250,SMALL(IF(--(Source!$B$1:$B$250=$O18)*--(Source!$E$1:$E$250=$M$3)*--(Source!$D$1:$D$250=Pyramid!$M18),ROW(Source!$B$1:$B$250),FALSE),G$3)),"")</f>
        <v/>
      </c>
      <c r="H18" t="str">
        <f t="array" aca="1" ref="H18" ca="1">IFERROR(INDEX(Source!$A$1:$A$250,SMALL(IF(--(Source!$B$1:$B$250=$O18)*--(Source!$E$1:$E$250=$M$3)*--(Source!$D$1:$D$250=Pyramid!$M18),ROW(Source!$B$1:$B$250),FALSE),H$3)),"")</f>
        <v/>
      </c>
      <c r="I18" t="str">
        <f t="array" aca="1" ref="I18" ca="1">IFERROR(INDEX(Source!$A$1:$A$250,SMALL(IF(--(Source!$B$1:$B$250=$O18)*--(Source!$E$1:$E$250=$M$3)*--(Source!$D$1:$D$250=Pyramid!$M18),ROW(Source!$B$1:$B$250),FALSE),I$3)),"")</f>
        <v/>
      </c>
      <c r="J18" t="str">
        <f t="array" aca="1" ref="J18" ca="1">IFERROR(INDEX(Source!$A$1:$A$250,SMALL(IF(--(Source!$B$1:$B$250=$O18)*--(Source!$E$1:$E$250=$M$3)*--(Source!$D$1:$D$250=Pyramid!$M18),ROW(Source!$B$1:$B$250),FALSE),J$3)),"")</f>
        <v/>
      </c>
      <c r="K18" t="str">
        <f t="array" aca="1" ref="K18" ca="1">IFERROR(INDEX(Source!$A$1:$A$250,SMALL(IF(--(Source!$B$1:$B$250=$O18)*--(Source!$E$1:$E$250=$M$3)*--(Source!$D$1:$D$250=Pyramid!$M18),ROW(Source!$B$1:$B$250),FALSE),K$3)),"")</f>
        <v/>
      </c>
      <c r="L18" t="str">
        <f t="array" aca="1" ref="L18" ca="1">IFERROR(INDEX(Source!$A$1:$A$250,SMALL(IF(--(Source!$B$1:$B$250=$O18)*--(Source!$E$1:$E$250=$M$3)*--(Source!$D$1:$D$250=Pyramid!$M18),ROW(Source!$B$1:$B$250),FALSE),L$3)),"")</f>
        <v>26020 HK Equity</v>
      </c>
      <c r="M18" t="str">
        <f t="shared" si="2"/>
        <v>28/10/2016</v>
      </c>
      <c r="N18">
        <f ca="1">COUNTIFS(Source!B:B,Pyramid!$O18,Source!$D:$D,Pyramid!$M18,Source!$E:$E,Pyramid!$M$3)</f>
        <v>1</v>
      </c>
      <c r="O18">
        <f ca="1">OFFSET(Sheet2!$N$3,INT(C18/5),)</f>
        <v>17200</v>
      </c>
      <c r="P18">
        <f ca="1">COUNTIFS(Source!B:B,Pyramid!$O18,Source!D:D,Pyramid!$Q18,Source!$E:$E,Pyramid!$Q$3)</f>
        <v>0</v>
      </c>
      <c r="Q18" t="str">
        <f t="shared" si="2"/>
        <v>28/10/2016</v>
      </c>
      <c r="R18" t="str">
        <f t="array" aca="1" ref="R18" ca="1">IFERROR(INDEX(Source!$A$1:$A$250,SMALL(IF(--(Source!$B$1:$B$250=$O18)*--(Source!$E$1:$E$250=$Q$3)*--(Source!$D$1:$D$250=Pyramid!$Q18),ROW(Source!$B$1:$B$250),FALSE),R$3)),"")</f>
        <v/>
      </c>
      <c r="S18" t="str">
        <f t="array" aca="1" ref="S18" ca="1">IFERROR(INDEX(Source!$A$1:$A$250,SMALL(IF(--(Source!$B$1:$B$250=$O18)*--(Source!$E$1:$E$250=$Q$3)*--(Source!$D$1:$D$250=Pyramid!$Q18),ROW(Source!$B$1:$B$250),FALSE),S$3)),"")</f>
        <v/>
      </c>
      <c r="T18" t="str">
        <f t="array" aca="1" ref="T18" ca="1">IFERROR(INDEX(Source!$A$1:$A$250,SMALL(IF(--(Source!$B$1:$B$250=$O18)*--(Source!$E$1:$E$250=$Q$3)*--(Source!$D$1:$D$250=Pyramid!$Q18),ROW(Source!$B$1:$B$250),FALSE),T$3)),"")</f>
        <v/>
      </c>
      <c r="U18" t="str">
        <f t="array" aca="1" ref="U18" ca="1">IFERROR(INDEX(Source!$A$1:$A$250,SMALL(IF(--(Source!$B$1:$B$250=$O18)*--(Source!$E$1:$E$250=$Q$3)*--(Source!$D$1:$D$250=Pyramid!$Q18),ROW(Source!$B$1:$B$250),FALSE),U$3)),"")</f>
        <v/>
      </c>
      <c r="V18" t="str">
        <f t="array" aca="1" ref="V18" ca="1">IFERROR(INDEX(Source!$A$1:$A$250,SMALL(IF(--(Source!$B$1:$B$250=$O18)*--(Source!$E$1:$E$250=$Q$3)*--(Source!$D$1:$D$250=Pyramid!$Q18),ROW(Source!$B$1:$B$250),FALSE),V$3)),"")</f>
        <v/>
      </c>
      <c r="W18" t="str">
        <f t="array" aca="1" ref="W18" ca="1">IFERROR(INDEX(Source!$A$1:$A$250,SMALL(IF(--(Source!$B$1:$B$250=$O18)*--(Source!$E$1:$E$250=$Q$3)*--(Source!$D$1:$D$250=Pyramid!$Q18),ROW(Source!$B$1:$B$250),FALSE),W$3)),"")</f>
        <v/>
      </c>
      <c r="X18" t="str">
        <f t="array" aca="1" ref="X18" ca="1">IFERROR(INDEX(Source!$A$1:$A$250,SMALL(IF(--(Source!$B$1:$B$250=$O18)*--(Source!$E$1:$E$250=$Q$3)*--(Source!$D$1:$D$250=Pyramid!$Q18),ROW(Source!$B$1:$B$250),FALSE),X$3)),"")</f>
        <v/>
      </c>
      <c r="Y18" s="5">
        <f t="shared" ca="1" si="3"/>
        <v>0</v>
      </c>
    </row>
    <row r="19" spans="3:25">
      <c r="C19">
        <v>15</v>
      </c>
      <c r="D19" s="5">
        <f t="shared" ca="1" si="1"/>
        <v>0</v>
      </c>
      <c r="E19" t="str">
        <f t="array" aca="1" ref="E19" ca="1">IFERROR(INDEX(Source!$A$1:$A$250,SMALL(IF(--(Source!$B$1:$B$250=$O19)*--(Source!$E$1:$E$250=$M$3)*--(Source!$D$1:$D$250=Pyramid!$M19),ROW(Source!$B$1:$B$250),FALSE),E$3)),"")</f>
        <v/>
      </c>
      <c r="F19" t="str">
        <f t="array" aca="1" ref="F19" ca="1">IFERROR(INDEX(Source!$A$1:$A$250,SMALL(IF(--(Source!$B$1:$B$250=$O19)*--(Source!$E$1:$E$250=$M$3)*--(Source!$D$1:$D$250=Pyramid!$M19),ROW(Source!$B$1:$B$250),FALSE),F$3)),"")</f>
        <v/>
      </c>
      <c r="G19" t="str">
        <f t="array" aca="1" ref="G19" ca="1">IFERROR(INDEX(Source!$A$1:$A$250,SMALL(IF(--(Source!$B$1:$B$250=$O19)*--(Source!$E$1:$E$250=$M$3)*--(Source!$D$1:$D$250=Pyramid!$M19),ROW(Source!$B$1:$B$250),FALSE),G$3)),"")</f>
        <v/>
      </c>
      <c r="H19" t="str">
        <f t="array" aca="1" ref="H19" ca="1">IFERROR(INDEX(Source!$A$1:$A$250,SMALL(IF(--(Source!$B$1:$B$250=$O19)*--(Source!$E$1:$E$250=$M$3)*--(Source!$D$1:$D$250=Pyramid!$M19),ROW(Source!$B$1:$B$250),FALSE),H$3)),"")</f>
        <v/>
      </c>
      <c r="I19" t="str">
        <f t="array" aca="1" ref="I19" ca="1">IFERROR(INDEX(Source!$A$1:$A$250,SMALL(IF(--(Source!$B$1:$B$250=$O19)*--(Source!$E$1:$E$250=$M$3)*--(Source!$D$1:$D$250=Pyramid!$M19),ROW(Source!$B$1:$B$250),FALSE),I$3)),"")</f>
        <v/>
      </c>
      <c r="J19" t="str">
        <f t="array" aca="1" ref="J19" ca="1">IFERROR(INDEX(Source!$A$1:$A$250,SMALL(IF(--(Source!$B$1:$B$250=$O19)*--(Source!$E$1:$E$250=$M$3)*--(Source!$D$1:$D$250=Pyramid!$M19),ROW(Source!$B$1:$B$250),FALSE),J$3)),"")</f>
        <v/>
      </c>
      <c r="K19" t="str">
        <f t="array" aca="1" ref="K19" ca="1">IFERROR(INDEX(Source!$A$1:$A$250,SMALL(IF(--(Source!$B$1:$B$250=$O19)*--(Source!$E$1:$E$250=$M$3)*--(Source!$D$1:$D$250=Pyramid!$M19),ROW(Source!$B$1:$B$250),FALSE),K$3)),"")</f>
        <v/>
      </c>
      <c r="L19" t="str">
        <f t="array" aca="1" ref="L19" ca="1">IFERROR(INDEX(Source!$A$1:$A$250,SMALL(IF(--(Source!$B$1:$B$250=$O19)*--(Source!$E$1:$E$250=$M$3)*--(Source!$D$1:$D$250=Pyramid!$M19),ROW(Source!$B$1:$B$250),FALSE),L$3)),"")</f>
        <v/>
      </c>
      <c r="M19" t="str">
        <f t="shared" si="2"/>
        <v>29/6/2016</v>
      </c>
      <c r="N19">
        <f ca="1">COUNTIFS(Source!B:B,Pyramid!$O19,Source!$D:$D,Pyramid!$M19,Source!$E:$E,Pyramid!$M$3)</f>
        <v>0</v>
      </c>
      <c r="O19">
        <f ca="1">OFFSET(Sheet2!$N$3,INT(C19/5),)</f>
        <v>17448</v>
      </c>
      <c r="P19">
        <f ca="1">COUNTIFS(Source!B:B,Pyramid!$O19,Source!D:D,Pyramid!$Q19,Source!$E:$E,Pyramid!$Q$3)</f>
        <v>0</v>
      </c>
      <c r="Q19" t="str">
        <f t="shared" si="2"/>
        <v>29/6/2016</v>
      </c>
      <c r="R19" t="str">
        <f t="array" aca="1" ref="R19" ca="1">IFERROR(INDEX(Source!$A$1:$A$250,SMALL(IF(--(Source!$B$1:$B$250=$O19)*--(Source!$E$1:$E$250=$Q$3)*--(Source!$D$1:$D$250=Pyramid!$Q19),ROW(Source!$B$1:$B$250),FALSE),R$3)),"")</f>
        <v/>
      </c>
      <c r="S19" t="str">
        <f t="array" aca="1" ref="S19" ca="1">IFERROR(INDEX(Source!$A$1:$A$250,SMALL(IF(--(Source!$B$1:$B$250=$O19)*--(Source!$E$1:$E$250=$Q$3)*--(Source!$D$1:$D$250=Pyramid!$Q19),ROW(Source!$B$1:$B$250),FALSE),S$3)),"")</f>
        <v/>
      </c>
      <c r="T19" t="str">
        <f t="array" aca="1" ref="T19" ca="1">IFERROR(INDEX(Source!$A$1:$A$250,SMALL(IF(--(Source!$B$1:$B$250=$O19)*--(Source!$E$1:$E$250=$Q$3)*--(Source!$D$1:$D$250=Pyramid!$Q19),ROW(Source!$B$1:$B$250),FALSE),T$3)),"")</f>
        <v/>
      </c>
      <c r="U19" t="str">
        <f t="array" aca="1" ref="U19" ca="1">IFERROR(INDEX(Source!$A$1:$A$250,SMALL(IF(--(Source!$B$1:$B$250=$O19)*--(Source!$E$1:$E$250=$Q$3)*--(Source!$D$1:$D$250=Pyramid!$Q19),ROW(Source!$B$1:$B$250),FALSE),U$3)),"")</f>
        <v/>
      </c>
      <c r="V19" t="str">
        <f t="array" aca="1" ref="V19" ca="1">IFERROR(INDEX(Source!$A$1:$A$250,SMALL(IF(--(Source!$B$1:$B$250=$O19)*--(Source!$E$1:$E$250=$Q$3)*--(Source!$D$1:$D$250=Pyramid!$Q19),ROW(Source!$B$1:$B$250),FALSE),V$3)),"")</f>
        <v/>
      </c>
      <c r="W19" t="str">
        <f t="array" aca="1" ref="W19" ca="1">IFERROR(INDEX(Source!$A$1:$A$250,SMALL(IF(--(Source!$B$1:$B$250=$O19)*--(Source!$E$1:$E$250=$Q$3)*--(Source!$D$1:$D$250=Pyramid!$Q19),ROW(Source!$B$1:$B$250),FALSE),W$3)),"")</f>
        <v/>
      </c>
      <c r="X19" t="str">
        <f t="array" aca="1" ref="X19" ca="1">IFERROR(INDEX(Source!$A$1:$A$250,SMALL(IF(--(Source!$B$1:$B$250=$O19)*--(Source!$E$1:$E$250=$Q$3)*--(Source!$D$1:$D$250=Pyramid!$Q19),ROW(Source!$B$1:$B$250),FALSE),X$3)),"")</f>
        <v/>
      </c>
      <c r="Y19" s="5">
        <f t="shared" ca="1" si="3"/>
        <v>0</v>
      </c>
    </row>
    <row r="20" spans="3:25">
      <c r="C20">
        <v>16</v>
      </c>
      <c r="D20" s="5">
        <f t="shared" ca="1" si="1"/>
        <v>0</v>
      </c>
      <c r="E20" t="str">
        <f t="array" aca="1" ref="E20" ca="1">IFERROR(INDEX(Source!$A$1:$A$250,SMALL(IF(--(Source!$B$1:$B$250=$O20)*--(Source!$E$1:$E$250=$M$3)*--(Source!$D$1:$D$250=Pyramid!$M20),ROW(Source!$B$1:$B$250),FALSE),E$3)),"")</f>
        <v/>
      </c>
      <c r="F20" t="str">
        <f t="array" aca="1" ref="F20" ca="1">IFERROR(INDEX(Source!$A$1:$A$250,SMALL(IF(--(Source!$B$1:$B$250=$O20)*--(Source!$E$1:$E$250=$M$3)*--(Source!$D$1:$D$250=Pyramid!$M20),ROW(Source!$B$1:$B$250),FALSE),F$3)),"")</f>
        <v/>
      </c>
      <c r="G20" t="str">
        <f t="array" aca="1" ref="G20" ca="1">IFERROR(INDEX(Source!$A$1:$A$250,SMALL(IF(--(Source!$B$1:$B$250=$O20)*--(Source!$E$1:$E$250=$M$3)*--(Source!$D$1:$D$250=Pyramid!$M20),ROW(Source!$B$1:$B$250),FALSE),G$3)),"")</f>
        <v/>
      </c>
      <c r="H20" t="str">
        <f t="array" aca="1" ref="H20" ca="1">IFERROR(INDEX(Source!$A$1:$A$250,SMALL(IF(--(Source!$B$1:$B$250=$O20)*--(Source!$E$1:$E$250=$M$3)*--(Source!$D$1:$D$250=Pyramid!$M20),ROW(Source!$B$1:$B$250),FALSE),H$3)),"")</f>
        <v/>
      </c>
      <c r="I20" t="str">
        <f t="array" aca="1" ref="I20" ca="1">IFERROR(INDEX(Source!$A$1:$A$250,SMALL(IF(--(Source!$B$1:$B$250=$O20)*--(Source!$E$1:$E$250=$M$3)*--(Source!$D$1:$D$250=Pyramid!$M20),ROW(Source!$B$1:$B$250),FALSE),I$3)),"")</f>
        <v/>
      </c>
      <c r="J20" t="str">
        <f t="array" aca="1" ref="J20" ca="1">IFERROR(INDEX(Source!$A$1:$A$250,SMALL(IF(--(Source!$B$1:$B$250=$O20)*--(Source!$E$1:$E$250=$M$3)*--(Source!$D$1:$D$250=Pyramid!$M20),ROW(Source!$B$1:$B$250),FALSE),J$3)),"")</f>
        <v/>
      </c>
      <c r="K20" t="str">
        <f t="array" aca="1" ref="K20" ca="1">IFERROR(INDEX(Source!$A$1:$A$250,SMALL(IF(--(Source!$B$1:$B$250=$O20)*--(Source!$E$1:$E$250=$M$3)*--(Source!$D$1:$D$250=Pyramid!$M20),ROW(Source!$B$1:$B$250),FALSE),K$3)),"")</f>
        <v/>
      </c>
      <c r="L20" t="str">
        <f t="array" aca="1" ref="L20" ca="1">IFERROR(INDEX(Source!$A$1:$A$250,SMALL(IF(--(Source!$B$1:$B$250=$O20)*--(Source!$E$1:$E$250=$M$3)*--(Source!$D$1:$D$250=Pyramid!$M20),ROW(Source!$B$1:$B$250),FALSE),L$3)),"")</f>
        <v/>
      </c>
      <c r="M20" t="str">
        <f t="shared" si="2"/>
        <v>28/7/2016</v>
      </c>
      <c r="N20">
        <f ca="1">COUNTIFS(Source!B:B,Pyramid!$O20,Source!$D:$D,Pyramid!$M20,Source!$E:$E,Pyramid!$M$3)</f>
        <v>0</v>
      </c>
      <c r="O20">
        <f ca="1">OFFSET(Sheet2!$N$3,INT(C20/5),)</f>
        <v>17448</v>
      </c>
      <c r="P20">
        <f ca="1">COUNTIFS(Source!B:B,Pyramid!$O20,Source!D:D,Pyramid!$Q20,Source!$E:$E,Pyramid!$Q$3)</f>
        <v>0</v>
      </c>
      <c r="Q20" t="str">
        <f t="shared" si="2"/>
        <v>28/7/2016</v>
      </c>
      <c r="R20" t="str">
        <f t="array" aca="1" ref="R20" ca="1">IFERROR(INDEX(Source!$A$1:$A$250,SMALL(IF(--(Source!$B$1:$B$250=$O20)*--(Source!$E$1:$E$250=$Q$3)*--(Source!$D$1:$D$250=Pyramid!$Q20),ROW(Source!$B$1:$B$250),FALSE),R$3)),"")</f>
        <v/>
      </c>
      <c r="S20" t="str">
        <f t="array" aca="1" ref="S20" ca="1">IFERROR(INDEX(Source!$A$1:$A$250,SMALL(IF(--(Source!$B$1:$B$250=$O20)*--(Source!$E$1:$E$250=$Q$3)*--(Source!$D$1:$D$250=Pyramid!$Q20),ROW(Source!$B$1:$B$250),FALSE),S$3)),"")</f>
        <v/>
      </c>
      <c r="T20" t="str">
        <f t="array" aca="1" ref="T20" ca="1">IFERROR(INDEX(Source!$A$1:$A$250,SMALL(IF(--(Source!$B$1:$B$250=$O20)*--(Source!$E$1:$E$250=$Q$3)*--(Source!$D$1:$D$250=Pyramid!$Q20),ROW(Source!$B$1:$B$250),FALSE),T$3)),"")</f>
        <v/>
      </c>
      <c r="U20" t="str">
        <f t="array" aca="1" ref="U20" ca="1">IFERROR(INDEX(Source!$A$1:$A$250,SMALL(IF(--(Source!$B$1:$B$250=$O20)*--(Source!$E$1:$E$250=$Q$3)*--(Source!$D$1:$D$250=Pyramid!$Q20),ROW(Source!$B$1:$B$250),FALSE),U$3)),"")</f>
        <v/>
      </c>
      <c r="V20" t="str">
        <f t="array" aca="1" ref="V20" ca="1">IFERROR(INDEX(Source!$A$1:$A$250,SMALL(IF(--(Source!$B$1:$B$250=$O20)*--(Source!$E$1:$E$250=$Q$3)*--(Source!$D$1:$D$250=Pyramid!$Q20),ROW(Source!$B$1:$B$250),FALSE),V$3)),"")</f>
        <v/>
      </c>
      <c r="W20" t="str">
        <f t="array" aca="1" ref="W20" ca="1">IFERROR(INDEX(Source!$A$1:$A$250,SMALL(IF(--(Source!$B$1:$B$250=$O20)*--(Source!$E$1:$E$250=$Q$3)*--(Source!$D$1:$D$250=Pyramid!$Q20),ROW(Source!$B$1:$B$250),FALSE),W$3)),"")</f>
        <v/>
      </c>
      <c r="X20" t="str">
        <f t="array" aca="1" ref="X20" ca="1">IFERROR(INDEX(Source!$A$1:$A$250,SMALL(IF(--(Source!$B$1:$B$250=$O20)*--(Source!$E$1:$E$250=$Q$3)*--(Source!$D$1:$D$250=Pyramid!$Q20),ROW(Source!$B$1:$B$250),FALSE),X$3)),"")</f>
        <v/>
      </c>
      <c r="Y20" s="5">
        <f t="shared" ca="1" si="3"/>
        <v>0</v>
      </c>
    </row>
    <row r="21" spans="3:25">
      <c r="C21">
        <v>17</v>
      </c>
      <c r="D21" s="5">
        <f t="shared" ca="1" si="1"/>
        <v>0</v>
      </c>
      <c r="E21" t="str">
        <f t="array" aca="1" ref="E21" ca="1">IFERROR(INDEX(Source!$A$1:$A$250,SMALL(IF(--(Source!$B$1:$B$250=$O21)*--(Source!$E$1:$E$250=$M$3)*--(Source!$D$1:$D$250=Pyramid!$M21),ROW(Source!$B$1:$B$250),FALSE),E$3)),"")</f>
        <v/>
      </c>
      <c r="F21" t="str">
        <f t="array" aca="1" ref="F21" ca="1">IFERROR(INDEX(Source!$A$1:$A$250,SMALL(IF(--(Source!$B$1:$B$250=$O21)*--(Source!$E$1:$E$250=$M$3)*--(Source!$D$1:$D$250=Pyramid!$M21),ROW(Source!$B$1:$B$250),FALSE),F$3)),"")</f>
        <v/>
      </c>
      <c r="G21" t="str">
        <f t="array" aca="1" ref="G21" ca="1">IFERROR(INDEX(Source!$A$1:$A$250,SMALL(IF(--(Source!$B$1:$B$250=$O21)*--(Source!$E$1:$E$250=$M$3)*--(Source!$D$1:$D$250=Pyramid!$M21),ROW(Source!$B$1:$B$250),FALSE),G$3)),"")</f>
        <v/>
      </c>
      <c r="H21" t="str">
        <f t="array" aca="1" ref="H21" ca="1">IFERROR(INDEX(Source!$A$1:$A$250,SMALL(IF(--(Source!$B$1:$B$250=$O21)*--(Source!$E$1:$E$250=$M$3)*--(Source!$D$1:$D$250=Pyramid!$M21),ROW(Source!$B$1:$B$250),FALSE),H$3)),"")</f>
        <v/>
      </c>
      <c r="I21" t="str">
        <f t="array" aca="1" ref="I21" ca="1">IFERROR(INDEX(Source!$A$1:$A$250,SMALL(IF(--(Source!$B$1:$B$250=$O21)*--(Source!$E$1:$E$250=$M$3)*--(Source!$D$1:$D$250=Pyramid!$M21),ROW(Source!$B$1:$B$250),FALSE),I$3)),"")</f>
        <v/>
      </c>
      <c r="J21" t="str">
        <f t="array" aca="1" ref="J21" ca="1">IFERROR(INDEX(Source!$A$1:$A$250,SMALL(IF(--(Source!$B$1:$B$250=$O21)*--(Source!$E$1:$E$250=$M$3)*--(Source!$D$1:$D$250=Pyramid!$M21),ROW(Source!$B$1:$B$250),FALSE),J$3)),"")</f>
        <v/>
      </c>
      <c r="K21" t="str">
        <f t="array" aca="1" ref="K21" ca="1">IFERROR(INDEX(Source!$A$1:$A$250,SMALL(IF(--(Source!$B$1:$B$250=$O21)*--(Source!$E$1:$E$250=$M$3)*--(Source!$D$1:$D$250=Pyramid!$M21),ROW(Source!$B$1:$B$250),FALSE),K$3)),"")</f>
        <v/>
      </c>
      <c r="L21" t="str">
        <f t="array" aca="1" ref="L21" ca="1">IFERROR(INDEX(Source!$A$1:$A$250,SMALL(IF(--(Source!$B$1:$B$250=$O21)*--(Source!$E$1:$E$250=$M$3)*--(Source!$D$1:$D$250=Pyramid!$M21),ROW(Source!$B$1:$B$250),FALSE),L$3)),"")</f>
        <v/>
      </c>
      <c r="M21" t="str">
        <f t="shared" si="2"/>
        <v>30/8/2016</v>
      </c>
      <c r="N21">
        <f ca="1">COUNTIFS(Source!B:B,Pyramid!$O21,Source!$D:$D,Pyramid!$M21,Source!$E:$E,Pyramid!$M$3)</f>
        <v>0</v>
      </c>
      <c r="O21">
        <f ca="1">OFFSET(Sheet2!$N$3,INT(C21/5),)</f>
        <v>17448</v>
      </c>
      <c r="P21">
        <f ca="1">COUNTIFS(Source!B:B,Pyramid!$O21,Source!D:D,Pyramid!$Q21,Source!$E:$E,Pyramid!$Q$3)</f>
        <v>0</v>
      </c>
      <c r="Q21" t="str">
        <f t="shared" si="2"/>
        <v>30/8/2016</v>
      </c>
      <c r="R21" t="str">
        <f t="array" aca="1" ref="R21" ca="1">IFERROR(INDEX(Source!$A$1:$A$250,SMALL(IF(--(Source!$B$1:$B$250=$O21)*--(Source!$E$1:$E$250=$Q$3)*--(Source!$D$1:$D$250=Pyramid!$Q21),ROW(Source!$B$1:$B$250),FALSE),R$3)),"")</f>
        <v/>
      </c>
      <c r="S21" t="str">
        <f t="array" aca="1" ref="S21" ca="1">IFERROR(INDEX(Source!$A$1:$A$250,SMALL(IF(--(Source!$B$1:$B$250=$O21)*--(Source!$E$1:$E$250=$Q$3)*--(Source!$D$1:$D$250=Pyramid!$Q21),ROW(Source!$B$1:$B$250),FALSE),S$3)),"")</f>
        <v/>
      </c>
      <c r="T21" t="str">
        <f t="array" aca="1" ref="T21" ca="1">IFERROR(INDEX(Source!$A$1:$A$250,SMALL(IF(--(Source!$B$1:$B$250=$O21)*--(Source!$E$1:$E$250=$Q$3)*--(Source!$D$1:$D$250=Pyramid!$Q21),ROW(Source!$B$1:$B$250),FALSE),T$3)),"")</f>
        <v/>
      </c>
      <c r="U21" t="str">
        <f t="array" aca="1" ref="U21" ca="1">IFERROR(INDEX(Source!$A$1:$A$250,SMALL(IF(--(Source!$B$1:$B$250=$O21)*--(Source!$E$1:$E$250=$Q$3)*--(Source!$D$1:$D$250=Pyramid!$Q21),ROW(Source!$B$1:$B$250),FALSE),U$3)),"")</f>
        <v/>
      </c>
      <c r="V21" t="str">
        <f t="array" aca="1" ref="V21" ca="1">IFERROR(INDEX(Source!$A$1:$A$250,SMALL(IF(--(Source!$B$1:$B$250=$O21)*--(Source!$E$1:$E$250=$Q$3)*--(Source!$D$1:$D$250=Pyramid!$Q21),ROW(Source!$B$1:$B$250),FALSE),V$3)),"")</f>
        <v/>
      </c>
      <c r="W21" t="str">
        <f t="array" aca="1" ref="W21" ca="1">IFERROR(INDEX(Source!$A$1:$A$250,SMALL(IF(--(Source!$B$1:$B$250=$O21)*--(Source!$E$1:$E$250=$Q$3)*--(Source!$D$1:$D$250=Pyramid!$Q21),ROW(Source!$B$1:$B$250),FALSE),W$3)),"")</f>
        <v/>
      </c>
      <c r="X21" t="str">
        <f t="array" aca="1" ref="X21" ca="1">IFERROR(INDEX(Source!$A$1:$A$250,SMALL(IF(--(Source!$B$1:$B$250=$O21)*--(Source!$E$1:$E$250=$Q$3)*--(Source!$D$1:$D$250=Pyramid!$Q21),ROW(Source!$B$1:$B$250),FALSE),X$3)),"")</f>
        <v/>
      </c>
      <c r="Y21" s="5">
        <f t="shared" ca="1" si="3"/>
        <v>0</v>
      </c>
    </row>
    <row r="22" spans="3:25">
      <c r="C22">
        <v>18</v>
      </c>
      <c r="D22" s="5">
        <f t="shared" ca="1" si="1"/>
        <v>0</v>
      </c>
      <c r="E22" t="str">
        <f t="array" aca="1" ref="E22" ca="1">IFERROR(INDEX(Source!$A$1:$A$250,SMALL(IF(--(Source!$B$1:$B$250=$O22)*--(Source!$E$1:$E$250=$M$3)*--(Source!$D$1:$D$250=Pyramid!$M22),ROW(Source!$B$1:$B$250),FALSE),E$3)),"")</f>
        <v/>
      </c>
      <c r="F22" t="str">
        <f t="array" aca="1" ref="F22" ca="1">IFERROR(INDEX(Source!$A$1:$A$250,SMALL(IF(--(Source!$B$1:$B$250=$O22)*--(Source!$E$1:$E$250=$M$3)*--(Source!$D$1:$D$250=Pyramid!$M22),ROW(Source!$B$1:$B$250),FALSE),F$3)),"")</f>
        <v/>
      </c>
      <c r="G22" t="str">
        <f t="array" aca="1" ref="G22" ca="1">IFERROR(INDEX(Source!$A$1:$A$250,SMALL(IF(--(Source!$B$1:$B$250=$O22)*--(Source!$E$1:$E$250=$M$3)*--(Source!$D$1:$D$250=Pyramid!$M22),ROW(Source!$B$1:$B$250),FALSE),G$3)),"")</f>
        <v/>
      </c>
      <c r="H22" t="str">
        <f t="array" aca="1" ref="H22" ca="1">IFERROR(INDEX(Source!$A$1:$A$250,SMALL(IF(--(Source!$B$1:$B$250=$O22)*--(Source!$E$1:$E$250=$M$3)*--(Source!$D$1:$D$250=Pyramid!$M22),ROW(Source!$B$1:$B$250),FALSE),H$3)),"")</f>
        <v/>
      </c>
      <c r="I22" t="str">
        <f t="array" aca="1" ref="I22" ca="1">IFERROR(INDEX(Source!$A$1:$A$250,SMALL(IF(--(Source!$B$1:$B$250=$O22)*--(Source!$E$1:$E$250=$M$3)*--(Source!$D$1:$D$250=Pyramid!$M22),ROW(Source!$B$1:$B$250),FALSE),I$3)),"")</f>
        <v/>
      </c>
      <c r="J22" t="str">
        <f t="array" aca="1" ref="J22" ca="1">IFERROR(INDEX(Source!$A$1:$A$250,SMALL(IF(--(Source!$B$1:$B$250=$O22)*--(Source!$E$1:$E$250=$M$3)*--(Source!$D$1:$D$250=Pyramid!$M22),ROW(Source!$B$1:$B$250),FALSE),J$3)),"")</f>
        <v/>
      </c>
      <c r="K22" t="str">
        <f t="array" aca="1" ref="K22" ca="1">IFERROR(INDEX(Source!$A$1:$A$250,SMALL(IF(--(Source!$B$1:$B$250=$O22)*--(Source!$E$1:$E$250=$M$3)*--(Source!$D$1:$D$250=Pyramid!$M22),ROW(Source!$B$1:$B$250),FALSE),K$3)),"")</f>
        <v/>
      </c>
      <c r="L22" t="str">
        <f t="array" aca="1" ref="L22" ca="1">IFERROR(INDEX(Source!$A$1:$A$250,SMALL(IF(--(Source!$B$1:$B$250=$O22)*--(Source!$E$1:$E$250=$M$3)*--(Source!$D$1:$D$250=Pyramid!$M22),ROW(Source!$B$1:$B$250),FALSE),L$3)),"")</f>
        <v/>
      </c>
      <c r="M22" t="str">
        <f t="shared" si="2"/>
        <v>29/9/2016</v>
      </c>
      <c r="N22">
        <f ca="1">COUNTIFS(Source!B:B,Pyramid!$O22,Source!$D:$D,Pyramid!$M22,Source!$E:$E,Pyramid!$M$3)</f>
        <v>0</v>
      </c>
      <c r="O22">
        <f ca="1">OFFSET(Sheet2!$N$3,INT(C22/5),)</f>
        <v>17448</v>
      </c>
      <c r="P22">
        <f ca="1">COUNTIFS(Source!B:B,Pyramid!$O22,Source!D:D,Pyramid!$Q22,Source!$E:$E,Pyramid!$Q$3)</f>
        <v>1</v>
      </c>
      <c r="Q22" t="str">
        <f t="shared" si="2"/>
        <v>29/9/2016</v>
      </c>
      <c r="R22" t="str">
        <f t="array" aca="1" ref="R22" ca="1">IFERROR(INDEX(Source!$A$1:$A$250,SMALL(IF(--(Source!$B$1:$B$250=$O22)*--(Source!$E$1:$E$250=$Q$3)*--(Source!$D$1:$D$250=Pyramid!$Q22),ROW(Source!$B$1:$B$250),FALSE),R$3)),"")</f>
        <v>26485 HK Equity</v>
      </c>
      <c r="S22" t="str">
        <f t="array" aca="1" ref="S22" ca="1">IFERROR(INDEX(Source!$A$1:$A$250,SMALL(IF(--(Source!$B$1:$B$250=$O22)*--(Source!$E$1:$E$250=$Q$3)*--(Source!$D$1:$D$250=Pyramid!$Q22),ROW(Source!$B$1:$B$250),FALSE),S$3)),"")</f>
        <v/>
      </c>
      <c r="T22" t="str">
        <f t="array" aca="1" ref="T22" ca="1">IFERROR(INDEX(Source!$A$1:$A$250,SMALL(IF(--(Source!$B$1:$B$250=$O22)*--(Source!$E$1:$E$250=$Q$3)*--(Source!$D$1:$D$250=Pyramid!$Q22),ROW(Source!$B$1:$B$250),FALSE),T$3)),"")</f>
        <v/>
      </c>
      <c r="U22" t="str">
        <f t="array" aca="1" ref="U22" ca="1">IFERROR(INDEX(Source!$A$1:$A$250,SMALL(IF(--(Source!$B$1:$B$250=$O22)*--(Source!$E$1:$E$250=$Q$3)*--(Source!$D$1:$D$250=Pyramid!$Q22),ROW(Source!$B$1:$B$250),FALSE),U$3)),"")</f>
        <v/>
      </c>
      <c r="V22" t="str">
        <f t="array" aca="1" ref="V22" ca="1">IFERROR(INDEX(Source!$A$1:$A$250,SMALL(IF(--(Source!$B$1:$B$250=$O22)*--(Source!$E$1:$E$250=$Q$3)*--(Source!$D$1:$D$250=Pyramid!$Q22),ROW(Source!$B$1:$B$250),FALSE),V$3)),"")</f>
        <v/>
      </c>
      <c r="W22" t="str">
        <f t="array" aca="1" ref="W22" ca="1">IFERROR(INDEX(Source!$A$1:$A$250,SMALL(IF(--(Source!$B$1:$B$250=$O22)*--(Source!$E$1:$E$250=$Q$3)*--(Source!$D$1:$D$250=Pyramid!$Q22),ROW(Source!$B$1:$B$250),FALSE),W$3)),"")</f>
        <v/>
      </c>
      <c r="X22" t="str">
        <f t="array" aca="1" ref="X22" ca="1">IFERROR(INDEX(Source!$A$1:$A$250,SMALL(IF(--(Source!$B$1:$B$250=$O22)*--(Source!$E$1:$E$250=$Q$3)*--(Source!$D$1:$D$250=Pyramid!$Q22),ROW(Source!$B$1:$B$250),FALSE),X$3)),"")</f>
        <v/>
      </c>
      <c r="Y22" s="5">
        <f t="shared" ca="1" si="3"/>
        <v>0</v>
      </c>
    </row>
    <row r="23" spans="3:25">
      <c r="C23">
        <v>19</v>
      </c>
      <c r="D23" s="5">
        <f t="shared" ca="1" si="1"/>
        <v>0</v>
      </c>
      <c r="E23" t="str">
        <f t="array" aca="1" ref="E23" ca="1">IFERROR(INDEX(Source!$A$1:$A$250,SMALL(IF(--(Source!$B$1:$B$250=$O23)*--(Source!$E$1:$E$250=$M$3)*--(Source!$D$1:$D$250=Pyramid!$M23),ROW(Source!$B$1:$B$250),FALSE),E$3)),"")</f>
        <v/>
      </c>
      <c r="F23" t="str">
        <f t="array" aca="1" ref="F23" ca="1">IFERROR(INDEX(Source!$A$1:$A$250,SMALL(IF(--(Source!$B$1:$B$250=$O23)*--(Source!$E$1:$E$250=$M$3)*--(Source!$D$1:$D$250=Pyramid!$M23),ROW(Source!$B$1:$B$250),FALSE),F$3)),"")</f>
        <v/>
      </c>
      <c r="G23" t="str">
        <f t="array" aca="1" ref="G23" ca="1">IFERROR(INDEX(Source!$A$1:$A$250,SMALL(IF(--(Source!$B$1:$B$250=$O23)*--(Source!$E$1:$E$250=$M$3)*--(Source!$D$1:$D$250=Pyramid!$M23),ROW(Source!$B$1:$B$250),FALSE),G$3)),"")</f>
        <v/>
      </c>
      <c r="H23" t="str">
        <f t="array" aca="1" ref="H23" ca="1">IFERROR(INDEX(Source!$A$1:$A$250,SMALL(IF(--(Source!$B$1:$B$250=$O23)*--(Source!$E$1:$E$250=$M$3)*--(Source!$D$1:$D$250=Pyramid!$M23),ROW(Source!$B$1:$B$250),FALSE),H$3)),"")</f>
        <v/>
      </c>
      <c r="I23" t="str">
        <f t="array" aca="1" ref="I23" ca="1">IFERROR(INDEX(Source!$A$1:$A$250,SMALL(IF(--(Source!$B$1:$B$250=$O23)*--(Source!$E$1:$E$250=$M$3)*--(Source!$D$1:$D$250=Pyramid!$M23),ROW(Source!$B$1:$B$250),FALSE),I$3)),"")</f>
        <v/>
      </c>
      <c r="J23" t="str">
        <f t="array" aca="1" ref="J23" ca="1">IFERROR(INDEX(Source!$A$1:$A$250,SMALL(IF(--(Source!$B$1:$B$250=$O23)*--(Source!$E$1:$E$250=$M$3)*--(Source!$D$1:$D$250=Pyramid!$M23),ROW(Source!$B$1:$B$250),FALSE),J$3)),"")</f>
        <v/>
      </c>
      <c r="K23" t="str">
        <f t="array" aca="1" ref="K23" ca="1">IFERROR(INDEX(Source!$A$1:$A$250,SMALL(IF(--(Source!$B$1:$B$250=$O23)*--(Source!$E$1:$E$250=$M$3)*--(Source!$D$1:$D$250=Pyramid!$M23),ROW(Source!$B$1:$B$250),FALSE),K$3)),"")</f>
        <v/>
      </c>
      <c r="L23" t="str">
        <f t="array" aca="1" ref="L23" ca="1">IFERROR(INDEX(Source!$A$1:$A$250,SMALL(IF(--(Source!$B$1:$B$250=$O23)*--(Source!$E$1:$E$250=$M$3)*--(Source!$D$1:$D$250=Pyramid!$M23),ROW(Source!$B$1:$B$250),FALSE),L$3)),"")</f>
        <v/>
      </c>
      <c r="M23" t="str">
        <f t="shared" si="2"/>
        <v>28/10/2016</v>
      </c>
      <c r="N23">
        <f ca="1">COUNTIFS(Source!B:B,Pyramid!$O23,Source!$D:$D,Pyramid!$M23,Source!$E:$E,Pyramid!$M$3)</f>
        <v>0</v>
      </c>
      <c r="O23">
        <f ca="1">OFFSET(Sheet2!$N$3,INT(C23/5),)</f>
        <v>17448</v>
      </c>
      <c r="P23">
        <f ca="1">COUNTIFS(Source!B:B,Pyramid!$O23,Source!D:D,Pyramid!$Q23,Source!$E:$E,Pyramid!$Q$3)</f>
        <v>0</v>
      </c>
      <c r="Q23" t="str">
        <f t="shared" si="2"/>
        <v>28/10/2016</v>
      </c>
      <c r="R23" t="str">
        <f t="array" aca="1" ref="R23" ca="1">IFERROR(INDEX(Source!$A$1:$A$250,SMALL(IF(--(Source!$B$1:$B$250=$O23)*--(Source!$E$1:$E$250=$Q$3)*--(Source!$D$1:$D$250=Pyramid!$Q23),ROW(Source!$B$1:$B$250),FALSE),R$3)),"")</f>
        <v/>
      </c>
      <c r="S23" t="str">
        <f t="array" aca="1" ref="S23" ca="1">IFERROR(INDEX(Source!$A$1:$A$250,SMALL(IF(--(Source!$B$1:$B$250=$O23)*--(Source!$E$1:$E$250=$Q$3)*--(Source!$D$1:$D$250=Pyramid!$Q23),ROW(Source!$B$1:$B$250),FALSE),S$3)),"")</f>
        <v/>
      </c>
      <c r="T23" t="str">
        <f t="array" aca="1" ref="T23" ca="1">IFERROR(INDEX(Source!$A$1:$A$250,SMALL(IF(--(Source!$B$1:$B$250=$O23)*--(Source!$E$1:$E$250=$Q$3)*--(Source!$D$1:$D$250=Pyramid!$Q23),ROW(Source!$B$1:$B$250),FALSE),T$3)),"")</f>
        <v/>
      </c>
      <c r="U23" t="str">
        <f t="array" aca="1" ref="U23" ca="1">IFERROR(INDEX(Source!$A$1:$A$250,SMALL(IF(--(Source!$B$1:$B$250=$O23)*--(Source!$E$1:$E$250=$Q$3)*--(Source!$D$1:$D$250=Pyramid!$Q23),ROW(Source!$B$1:$B$250),FALSE),U$3)),"")</f>
        <v/>
      </c>
      <c r="V23" t="str">
        <f t="array" aca="1" ref="V23" ca="1">IFERROR(INDEX(Source!$A$1:$A$250,SMALL(IF(--(Source!$B$1:$B$250=$O23)*--(Source!$E$1:$E$250=$Q$3)*--(Source!$D$1:$D$250=Pyramid!$Q23),ROW(Source!$B$1:$B$250),FALSE),V$3)),"")</f>
        <v/>
      </c>
      <c r="W23" t="str">
        <f t="array" aca="1" ref="W23" ca="1">IFERROR(INDEX(Source!$A$1:$A$250,SMALL(IF(--(Source!$B$1:$B$250=$O23)*--(Source!$E$1:$E$250=$Q$3)*--(Source!$D$1:$D$250=Pyramid!$Q23),ROW(Source!$B$1:$B$250),FALSE),W$3)),"")</f>
        <v/>
      </c>
      <c r="X23" t="str">
        <f t="array" aca="1" ref="X23" ca="1">IFERROR(INDEX(Source!$A$1:$A$250,SMALL(IF(--(Source!$B$1:$B$250=$O23)*--(Source!$E$1:$E$250=$Q$3)*--(Source!$D$1:$D$250=Pyramid!$Q23),ROW(Source!$B$1:$B$250),FALSE),X$3)),"")</f>
        <v/>
      </c>
      <c r="Y23" s="5">
        <f t="shared" ca="1" si="3"/>
        <v>0</v>
      </c>
    </row>
    <row r="24" spans="3:25">
      <c r="C24">
        <v>20</v>
      </c>
      <c r="D24" s="5">
        <f t="shared" ca="1" si="1"/>
        <v>0</v>
      </c>
      <c r="E24" t="str">
        <f t="array" aca="1" ref="E24" ca="1">IFERROR(INDEX(Source!$A$1:$A$250,SMALL(IF(--(Source!$B$1:$B$250=$O24)*--(Source!$E$1:$E$250=$M$3)*--(Source!$D$1:$D$250=Pyramid!$M24),ROW(Source!$B$1:$B$250),FALSE),E$3)),"")</f>
        <v/>
      </c>
      <c r="F24" t="str">
        <f t="array" aca="1" ref="F24" ca="1">IFERROR(INDEX(Source!$A$1:$A$250,SMALL(IF(--(Source!$B$1:$B$250=$O24)*--(Source!$E$1:$E$250=$M$3)*--(Source!$D$1:$D$250=Pyramid!$M24),ROW(Source!$B$1:$B$250),FALSE),F$3)),"")</f>
        <v/>
      </c>
      <c r="G24" t="str">
        <f t="array" aca="1" ref="G24" ca="1">IFERROR(INDEX(Source!$A$1:$A$250,SMALL(IF(--(Source!$B$1:$B$250=$O24)*--(Source!$E$1:$E$250=$M$3)*--(Source!$D$1:$D$250=Pyramid!$M24),ROW(Source!$B$1:$B$250),FALSE),G$3)),"")</f>
        <v/>
      </c>
      <c r="H24" t="str">
        <f t="array" aca="1" ref="H24" ca="1">IFERROR(INDEX(Source!$A$1:$A$250,SMALL(IF(--(Source!$B$1:$B$250=$O24)*--(Source!$E$1:$E$250=$M$3)*--(Source!$D$1:$D$250=Pyramid!$M24),ROW(Source!$B$1:$B$250),FALSE),H$3)),"")</f>
        <v/>
      </c>
      <c r="I24" t="str">
        <f t="array" aca="1" ref="I24" ca="1">IFERROR(INDEX(Source!$A$1:$A$250,SMALL(IF(--(Source!$B$1:$B$250=$O24)*--(Source!$E$1:$E$250=$M$3)*--(Source!$D$1:$D$250=Pyramid!$M24),ROW(Source!$B$1:$B$250),FALSE),I$3)),"")</f>
        <v/>
      </c>
      <c r="J24" t="str">
        <f t="array" aca="1" ref="J24" ca="1">IFERROR(INDEX(Source!$A$1:$A$250,SMALL(IF(--(Source!$B$1:$B$250=$O24)*--(Source!$E$1:$E$250=$M$3)*--(Source!$D$1:$D$250=Pyramid!$M24),ROW(Source!$B$1:$B$250),FALSE),J$3)),"")</f>
        <v/>
      </c>
      <c r="K24" t="str">
        <f t="array" aca="1" ref="K24" ca="1">IFERROR(INDEX(Source!$A$1:$A$250,SMALL(IF(--(Source!$B$1:$B$250=$O24)*--(Source!$E$1:$E$250=$M$3)*--(Source!$D$1:$D$250=Pyramid!$M24),ROW(Source!$B$1:$B$250),FALSE),K$3)),"")</f>
        <v/>
      </c>
      <c r="L24" t="str">
        <f t="array" aca="1" ref="L24" ca="1">IFERROR(INDEX(Source!$A$1:$A$250,SMALL(IF(--(Source!$B$1:$B$250=$O24)*--(Source!$E$1:$E$250=$M$3)*--(Source!$D$1:$D$250=Pyramid!$M24),ROW(Source!$B$1:$B$250),FALSE),L$3)),"")</f>
        <v/>
      </c>
      <c r="M24" t="str">
        <f t="shared" si="2"/>
        <v>29/6/2016</v>
      </c>
      <c r="N24">
        <f ca="1">COUNTIFS(Source!B:B,Pyramid!$O24,Source!$D:$D,Pyramid!$M24,Source!$E:$E,Pyramid!$M$3)</f>
        <v>0</v>
      </c>
      <c r="O24">
        <f ca="1">OFFSET(Sheet2!$N$3,INT(C24/5),)</f>
        <v>17500</v>
      </c>
      <c r="P24">
        <f ca="1">COUNTIFS(Source!B:B,Pyramid!$O24,Source!D:D,Pyramid!$Q24,Source!$E:$E,Pyramid!$Q$3)</f>
        <v>0</v>
      </c>
      <c r="Q24" t="str">
        <f t="shared" si="2"/>
        <v>29/6/2016</v>
      </c>
      <c r="R24" t="str">
        <f t="array" aca="1" ref="R24" ca="1">IFERROR(INDEX(Source!$A$1:$A$250,SMALL(IF(--(Source!$B$1:$B$250=$O24)*--(Source!$E$1:$E$250=$Q$3)*--(Source!$D$1:$D$250=Pyramid!$Q24),ROW(Source!$B$1:$B$250),FALSE),R$3)),"")</f>
        <v/>
      </c>
      <c r="S24" t="str">
        <f t="array" aca="1" ref="S24" ca="1">IFERROR(INDEX(Source!$A$1:$A$250,SMALL(IF(--(Source!$B$1:$B$250=$O24)*--(Source!$E$1:$E$250=$Q$3)*--(Source!$D$1:$D$250=Pyramid!$Q24),ROW(Source!$B$1:$B$250),FALSE),S$3)),"")</f>
        <v/>
      </c>
      <c r="T24" t="str">
        <f t="array" aca="1" ref="T24" ca="1">IFERROR(INDEX(Source!$A$1:$A$250,SMALL(IF(--(Source!$B$1:$B$250=$O24)*--(Source!$E$1:$E$250=$Q$3)*--(Source!$D$1:$D$250=Pyramid!$Q24),ROW(Source!$B$1:$B$250),FALSE),T$3)),"")</f>
        <v/>
      </c>
      <c r="U24" t="str">
        <f t="array" aca="1" ref="U24" ca="1">IFERROR(INDEX(Source!$A$1:$A$250,SMALL(IF(--(Source!$B$1:$B$250=$O24)*--(Source!$E$1:$E$250=$Q$3)*--(Source!$D$1:$D$250=Pyramid!$Q24),ROW(Source!$B$1:$B$250),FALSE),U$3)),"")</f>
        <v/>
      </c>
      <c r="V24" t="str">
        <f t="array" aca="1" ref="V24" ca="1">IFERROR(INDEX(Source!$A$1:$A$250,SMALL(IF(--(Source!$B$1:$B$250=$O24)*--(Source!$E$1:$E$250=$Q$3)*--(Source!$D$1:$D$250=Pyramid!$Q24),ROW(Source!$B$1:$B$250),FALSE),V$3)),"")</f>
        <v/>
      </c>
      <c r="W24" t="str">
        <f t="array" aca="1" ref="W24" ca="1">IFERROR(INDEX(Source!$A$1:$A$250,SMALL(IF(--(Source!$B$1:$B$250=$O24)*--(Source!$E$1:$E$250=$Q$3)*--(Source!$D$1:$D$250=Pyramid!$Q24),ROW(Source!$B$1:$B$250),FALSE),W$3)),"")</f>
        <v/>
      </c>
      <c r="X24" t="str">
        <f t="array" aca="1" ref="X24" ca="1">IFERROR(INDEX(Source!$A$1:$A$250,SMALL(IF(--(Source!$B$1:$B$250=$O24)*--(Source!$E$1:$E$250=$Q$3)*--(Source!$D$1:$D$250=Pyramid!$Q24),ROW(Source!$B$1:$B$250),FALSE),X$3)),"")</f>
        <v/>
      </c>
      <c r="Y24" s="5">
        <f t="shared" ca="1" si="3"/>
        <v>0</v>
      </c>
    </row>
    <row r="25" spans="3:25">
      <c r="C25">
        <v>21</v>
      </c>
      <c r="D25" s="5">
        <f t="shared" ca="1" si="1"/>
        <v>0</v>
      </c>
      <c r="E25" t="str">
        <f t="array" aca="1" ref="E25" ca="1">IFERROR(INDEX(Source!$A$1:$A$250,SMALL(IF(--(Source!$B$1:$B$250=$O25)*--(Source!$E$1:$E$250=$M$3)*--(Source!$D$1:$D$250=Pyramid!$M25),ROW(Source!$B$1:$B$250),FALSE),E$3)),"")</f>
        <v/>
      </c>
      <c r="F25" t="str">
        <f t="array" aca="1" ref="F25" ca="1">IFERROR(INDEX(Source!$A$1:$A$250,SMALL(IF(--(Source!$B$1:$B$250=$O25)*--(Source!$E$1:$E$250=$M$3)*--(Source!$D$1:$D$250=Pyramid!$M25),ROW(Source!$B$1:$B$250),FALSE),F$3)),"")</f>
        <v/>
      </c>
      <c r="G25" t="str">
        <f t="array" aca="1" ref="G25" ca="1">IFERROR(INDEX(Source!$A$1:$A$250,SMALL(IF(--(Source!$B$1:$B$250=$O25)*--(Source!$E$1:$E$250=$M$3)*--(Source!$D$1:$D$250=Pyramid!$M25),ROW(Source!$B$1:$B$250),FALSE),G$3)),"")</f>
        <v/>
      </c>
      <c r="H25" t="str">
        <f t="array" aca="1" ref="H25" ca="1">IFERROR(INDEX(Source!$A$1:$A$250,SMALL(IF(--(Source!$B$1:$B$250=$O25)*--(Source!$E$1:$E$250=$M$3)*--(Source!$D$1:$D$250=Pyramid!$M25),ROW(Source!$B$1:$B$250),FALSE),H$3)),"")</f>
        <v/>
      </c>
      <c r="I25" t="str">
        <f t="array" aca="1" ref="I25" ca="1">IFERROR(INDEX(Source!$A$1:$A$250,SMALL(IF(--(Source!$B$1:$B$250=$O25)*--(Source!$E$1:$E$250=$M$3)*--(Source!$D$1:$D$250=Pyramid!$M25),ROW(Source!$B$1:$B$250),FALSE),I$3)),"")</f>
        <v/>
      </c>
      <c r="J25" t="str">
        <f t="array" aca="1" ref="J25" ca="1">IFERROR(INDEX(Source!$A$1:$A$250,SMALL(IF(--(Source!$B$1:$B$250=$O25)*--(Source!$E$1:$E$250=$M$3)*--(Source!$D$1:$D$250=Pyramid!$M25),ROW(Source!$B$1:$B$250),FALSE),J$3)),"")</f>
        <v/>
      </c>
      <c r="K25" t="str">
        <f t="array" aca="1" ref="K25" ca="1">IFERROR(INDEX(Source!$A$1:$A$250,SMALL(IF(--(Source!$B$1:$B$250=$O25)*--(Source!$E$1:$E$250=$M$3)*--(Source!$D$1:$D$250=Pyramid!$M25),ROW(Source!$B$1:$B$250),FALSE),K$3)),"")</f>
        <v/>
      </c>
      <c r="L25" t="str">
        <f t="array" aca="1" ref="L25" ca="1">IFERROR(INDEX(Source!$A$1:$A$250,SMALL(IF(--(Source!$B$1:$B$250=$O25)*--(Source!$E$1:$E$250=$M$3)*--(Source!$D$1:$D$250=Pyramid!$M25),ROW(Source!$B$1:$B$250),FALSE),L$3)),"")</f>
        <v/>
      </c>
      <c r="M25" t="str">
        <f t="shared" si="2"/>
        <v>28/7/2016</v>
      </c>
      <c r="N25">
        <f ca="1">COUNTIFS(Source!B:B,Pyramid!$O25,Source!$D:$D,Pyramid!$M25,Source!$E:$E,Pyramid!$M$3)</f>
        <v>0</v>
      </c>
      <c r="O25">
        <f ca="1">OFFSET(Sheet2!$N$3,INT(C25/5),)</f>
        <v>17500</v>
      </c>
      <c r="P25">
        <f ca="1">COUNTIFS(Source!B:B,Pyramid!$O25,Source!D:D,Pyramid!$Q25,Source!$E:$E,Pyramid!$Q$3)</f>
        <v>0</v>
      </c>
      <c r="Q25" t="str">
        <f t="shared" si="2"/>
        <v>28/7/2016</v>
      </c>
      <c r="R25" t="str">
        <f t="array" aca="1" ref="R25" ca="1">IFERROR(INDEX(Source!$A$1:$A$250,SMALL(IF(--(Source!$B$1:$B$250=$O25)*--(Source!$E$1:$E$250=$Q$3)*--(Source!$D$1:$D$250=Pyramid!$Q25),ROW(Source!$B$1:$B$250),FALSE),R$3)),"")</f>
        <v/>
      </c>
      <c r="S25" t="str">
        <f t="array" aca="1" ref="S25" ca="1">IFERROR(INDEX(Source!$A$1:$A$250,SMALL(IF(--(Source!$B$1:$B$250=$O25)*--(Source!$E$1:$E$250=$Q$3)*--(Source!$D$1:$D$250=Pyramid!$Q25),ROW(Source!$B$1:$B$250),FALSE),S$3)),"")</f>
        <v/>
      </c>
      <c r="T25" t="str">
        <f t="array" aca="1" ref="T25" ca="1">IFERROR(INDEX(Source!$A$1:$A$250,SMALL(IF(--(Source!$B$1:$B$250=$O25)*--(Source!$E$1:$E$250=$Q$3)*--(Source!$D$1:$D$250=Pyramid!$Q25),ROW(Source!$B$1:$B$250),FALSE),T$3)),"")</f>
        <v/>
      </c>
      <c r="U25" t="str">
        <f t="array" aca="1" ref="U25" ca="1">IFERROR(INDEX(Source!$A$1:$A$250,SMALL(IF(--(Source!$B$1:$B$250=$O25)*--(Source!$E$1:$E$250=$Q$3)*--(Source!$D$1:$D$250=Pyramid!$Q25),ROW(Source!$B$1:$B$250),FALSE),U$3)),"")</f>
        <v/>
      </c>
      <c r="V25" t="str">
        <f t="array" aca="1" ref="V25" ca="1">IFERROR(INDEX(Source!$A$1:$A$250,SMALL(IF(--(Source!$B$1:$B$250=$O25)*--(Source!$E$1:$E$250=$Q$3)*--(Source!$D$1:$D$250=Pyramid!$Q25),ROW(Source!$B$1:$B$250),FALSE),V$3)),"")</f>
        <v/>
      </c>
      <c r="W25" t="str">
        <f t="array" aca="1" ref="W25" ca="1">IFERROR(INDEX(Source!$A$1:$A$250,SMALL(IF(--(Source!$B$1:$B$250=$O25)*--(Source!$E$1:$E$250=$Q$3)*--(Source!$D$1:$D$250=Pyramid!$Q25),ROW(Source!$B$1:$B$250),FALSE),W$3)),"")</f>
        <v/>
      </c>
      <c r="X25" t="str">
        <f t="array" aca="1" ref="X25" ca="1">IFERROR(INDEX(Source!$A$1:$A$250,SMALL(IF(--(Source!$B$1:$B$250=$O25)*--(Source!$E$1:$E$250=$Q$3)*--(Source!$D$1:$D$250=Pyramid!$Q25),ROW(Source!$B$1:$B$250),FALSE),X$3)),"")</f>
        <v/>
      </c>
      <c r="Y25" s="5">
        <f t="shared" ca="1" si="3"/>
        <v>0</v>
      </c>
    </row>
    <row r="26" spans="3:25">
      <c r="C26">
        <v>22</v>
      </c>
      <c r="D26" s="5">
        <f t="shared" ca="1" si="1"/>
        <v>0</v>
      </c>
      <c r="E26" t="str">
        <f t="array" aca="1" ref="E26" ca="1">IFERROR(INDEX(Source!$A$1:$A$250,SMALL(IF(--(Source!$B$1:$B$250=$O26)*--(Source!$E$1:$E$250=$M$3)*--(Source!$D$1:$D$250=Pyramid!$M26),ROW(Source!$B$1:$B$250),FALSE),E$3)),"")</f>
        <v/>
      </c>
      <c r="F26" t="str">
        <f t="array" aca="1" ref="F26" ca="1">IFERROR(INDEX(Source!$A$1:$A$250,SMALL(IF(--(Source!$B$1:$B$250=$O26)*--(Source!$E$1:$E$250=$M$3)*--(Source!$D$1:$D$250=Pyramid!$M26),ROW(Source!$B$1:$B$250),FALSE),F$3)),"")</f>
        <v/>
      </c>
      <c r="G26" t="str">
        <f t="array" aca="1" ref="G26" ca="1">IFERROR(INDEX(Source!$A$1:$A$250,SMALL(IF(--(Source!$B$1:$B$250=$O26)*--(Source!$E$1:$E$250=$M$3)*--(Source!$D$1:$D$250=Pyramid!$M26),ROW(Source!$B$1:$B$250),FALSE),G$3)),"")</f>
        <v/>
      </c>
      <c r="H26" t="str">
        <f t="array" aca="1" ref="H26" ca="1">IFERROR(INDEX(Source!$A$1:$A$250,SMALL(IF(--(Source!$B$1:$B$250=$O26)*--(Source!$E$1:$E$250=$M$3)*--(Source!$D$1:$D$250=Pyramid!$M26),ROW(Source!$B$1:$B$250),FALSE),H$3)),"")</f>
        <v/>
      </c>
      <c r="I26" t="str">
        <f t="array" aca="1" ref="I26" ca="1">IFERROR(INDEX(Source!$A$1:$A$250,SMALL(IF(--(Source!$B$1:$B$250=$O26)*--(Source!$E$1:$E$250=$M$3)*--(Source!$D$1:$D$250=Pyramid!$M26),ROW(Source!$B$1:$B$250),FALSE),I$3)),"")</f>
        <v/>
      </c>
      <c r="J26" t="str">
        <f t="array" aca="1" ref="J26" ca="1">IFERROR(INDEX(Source!$A$1:$A$250,SMALL(IF(--(Source!$B$1:$B$250=$O26)*--(Source!$E$1:$E$250=$M$3)*--(Source!$D$1:$D$250=Pyramid!$M26),ROW(Source!$B$1:$B$250),FALSE),J$3)),"")</f>
        <v/>
      </c>
      <c r="K26" t="str">
        <f t="array" aca="1" ref="K26" ca="1">IFERROR(INDEX(Source!$A$1:$A$250,SMALL(IF(--(Source!$B$1:$B$250=$O26)*--(Source!$E$1:$E$250=$M$3)*--(Source!$D$1:$D$250=Pyramid!$M26),ROW(Source!$B$1:$B$250),FALSE),K$3)),"")</f>
        <v/>
      </c>
      <c r="L26" t="str">
        <f t="array" aca="1" ref="L26" ca="1">IFERROR(INDEX(Source!$A$1:$A$250,SMALL(IF(--(Source!$B$1:$B$250=$O26)*--(Source!$E$1:$E$250=$M$3)*--(Source!$D$1:$D$250=Pyramid!$M26),ROW(Source!$B$1:$B$250),FALSE),L$3)),"")</f>
        <v/>
      </c>
      <c r="M26" t="str">
        <f t="shared" si="2"/>
        <v>30/8/2016</v>
      </c>
      <c r="N26">
        <f ca="1">COUNTIFS(Source!B:B,Pyramid!$O26,Source!$D:$D,Pyramid!$M26,Source!$E:$E,Pyramid!$M$3)</f>
        <v>0</v>
      </c>
      <c r="O26">
        <f ca="1">OFFSET(Sheet2!$N$3,INT(C26/5),)</f>
        <v>17500</v>
      </c>
      <c r="P26">
        <f ca="1">COUNTIFS(Source!B:B,Pyramid!$O26,Source!D:D,Pyramid!$Q26,Source!$E:$E,Pyramid!$Q$3)</f>
        <v>0</v>
      </c>
      <c r="Q26" t="str">
        <f t="shared" si="2"/>
        <v>30/8/2016</v>
      </c>
      <c r="R26" t="str">
        <f t="array" aca="1" ref="R26" ca="1">IFERROR(INDEX(Source!$A$1:$A$250,SMALL(IF(--(Source!$B$1:$B$250=$O26)*--(Source!$E$1:$E$250=$Q$3)*--(Source!$D$1:$D$250=Pyramid!$Q26),ROW(Source!$B$1:$B$250),FALSE),R$3)),"")</f>
        <v/>
      </c>
      <c r="S26" t="str">
        <f t="array" aca="1" ref="S26" ca="1">IFERROR(INDEX(Source!$A$1:$A$250,SMALL(IF(--(Source!$B$1:$B$250=$O26)*--(Source!$E$1:$E$250=$Q$3)*--(Source!$D$1:$D$250=Pyramid!$Q26),ROW(Source!$B$1:$B$250),FALSE),S$3)),"")</f>
        <v/>
      </c>
      <c r="T26" t="str">
        <f t="array" aca="1" ref="T26" ca="1">IFERROR(INDEX(Source!$A$1:$A$250,SMALL(IF(--(Source!$B$1:$B$250=$O26)*--(Source!$E$1:$E$250=$Q$3)*--(Source!$D$1:$D$250=Pyramid!$Q26),ROW(Source!$B$1:$B$250),FALSE),T$3)),"")</f>
        <v/>
      </c>
      <c r="U26" t="str">
        <f t="array" aca="1" ref="U26" ca="1">IFERROR(INDEX(Source!$A$1:$A$250,SMALL(IF(--(Source!$B$1:$B$250=$O26)*--(Source!$E$1:$E$250=$Q$3)*--(Source!$D$1:$D$250=Pyramid!$Q26),ROW(Source!$B$1:$B$250),FALSE),U$3)),"")</f>
        <v/>
      </c>
      <c r="V26" t="str">
        <f t="array" aca="1" ref="V26" ca="1">IFERROR(INDEX(Source!$A$1:$A$250,SMALL(IF(--(Source!$B$1:$B$250=$O26)*--(Source!$E$1:$E$250=$Q$3)*--(Source!$D$1:$D$250=Pyramid!$Q26),ROW(Source!$B$1:$B$250),FALSE),V$3)),"")</f>
        <v/>
      </c>
      <c r="W26" t="str">
        <f t="array" aca="1" ref="W26" ca="1">IFERROR(INDEX(Source!$A$1:$A$250,SMALL(IF(--(Source!$B$1:$B$250=$O26)*--(Source!$E$1:$E$250=$Q$3)*--(Source!$D$1:$D$250=Pyramid!$Q26),ROW(Source!$B$1:$B$250),FALSE),W$3)),"")</f>
        <v/>
      </c>
      <c r="X26" t="str">
        <f t="array" aca="1" ref="X26" ca="1">IFERROR(INDEX(Source!$A$1:$A$250,SMALL(IF(--(Source!$B$1:$B$250=$O26)*--(Source!$E$1:$E$250=$Q$3)*--(Source!$D$1:$D$250=Pyramid!$Q26),ROW(Source!$B$1:$B$250),FALSE),X$3)),"")</f>
        <v/>
      </c>
      <c r="Y26" s="5">
        <f t="shared" ca="1" si="3"/>
        <v>0</v>
      </c>
    </row>
    <row r="27" spans="3:25">
      <c r="C27">
        <v>23</v>
      </c>
      <c r="D27" s="5">
        <f t="shared" ca="1" si="1"/>
        <v>0</v>
      </c>
      <c r="E27" t="str">
        <f t="array" aca="1" ref="E27" ca="1">IFERROR(INDEX(Source!$A$1:$A$250,SMALL(IF(--(Source!$B$1:$B$250=$O27)*--(Source!$E$1:$E$250=$M$3)*--(Source!$D$1:$D$250=Pyramid!$M27),ROW(Source!$B$1:$B$250),FALSE),E$3)),"")</f>
        <v/>
      </c>
      <c r="F27" t="str">
        <f t="array" aca="1" ref="F27" ca="1">IFERROR(INDEX(Source!$A$1:$A$250,SMALL(IF(--(Source!$B$1:$B$250=$O27)*--(Source!$E$1:$E$250=$M$3)*--(Source!$D$1:$D$250=Pyramid!$M27),ROW(Source!$B$1:$B$250),FALSE),F$3)),"")</f>
        <v/>
      </c>
      <c r="G27" t="str">
        <f t="array" aca="1" ref="G27" ca="1">IFERROR(INDEX(Source!$A$1:$A$250,SMALL(IF(--(Source!$B$1:$B$250=$O27)*--(Source!$E$1:$E$250=$M$3)*--(Source!$D$1:$D$250=Pyramid!$M27),ROW(Source!$B$1:$B$250),FALSE),G$3)),"")</f>
        <v/>
      </c>
      <c r="H27" t="str">
        <f t="array" aca="1" ref="H27" ca="1">IFERROR(INDEX(Source!$A$1:$A$250,SMALL(IF(--(Source!$B$1:$B$250=$O27)*--(Source!$E$1:$E$250=$M$3)*--(Source!$D$1:$D$250=Pyramid!$M27),ROW(Source!$B$1:$B$250),FALSE),H$3)),"")</f>
        <v/>
      </c>
      <c r="I27" t="str">
        <f t="array" aca="1" ref="I27" ca="1">IFERROR(INDEX(Source!$A$1:$A$250,SMALL(IF(--(Source!$B$1:$B$250=$O27)*--(Source!$E$1:$E$250=$M$3)*--(Source!$D$1:$D$250=Pyramid!$M27),ROW(Source!$B$1:$B$250),FALSE),I$3)),"")</f>
        <v/>
      </c>
      <c r="J27" t="str">
        <f t="array" aca="1" ref="J27" ca="1">IFERROR(INDEX(Source!$A$1:$A$250,SMALL(IF(--(Source!$B$1:$B$250=$O27)*--(Source!$E$1:$E$250=$M$3)*--(Source!$D$1:$D$250=Pyramid!$M27),ROW(Source!$B$1:$B$250),FALSE),J$3)),"")</f>
        <v/>
      </c>
      <c r="K27" t="str">
        <f t="array" aca="1" ref="K27" ca="1">IFERROR(INDEX(Source!$A$1:$A$250,SMALL(IF(--(Source!$B$1:$B$250=$O27)*--(Source!$E$1:$E$250=$M$3)*--(Source!$D$1:$D$250=Pyramid!$M27),ROW(Source!$B$1:$B$250),FALSE),K$3)),"")</f>
        <v/>
      </c>
      <c r="L27" t="str">
        <f t="array" aca="1" ref="L27" ca="1">IFERROR(INDEX(Source!$A$1:$A$250,SMALL(IF(--(Source!$B$1:$B$250=$O27)*--(Source!$E$1:$E$250=$M$3)*--(Source!$D$1:$D$250=Pyramid!$M27),ROW(Source!$B$1:$B$250),FALSE),L$3)),"")</f>
        <v/>
      </c>
      <c r="M27" t="str">
        <f t="shared" si="2"/>
        <v>29/9/2016</v>
      </c>
      <c r="N27">
        <f ca="1">COUNTIFS(Source!B:B,Pyramid!$O27,Source!$D:$D,Pyramid!$M27,Source!$E:$E,Pyramid!$M$3)</f>
        <v>0</v>
      </c>
      <c r="O27">
        <f ca="1">OFFSET(Sheet2!$N$3,INT(C27/5),)</f>
        <v>17500</v>
      </c>
      <c r="P27">
        <f ca="1">COUNTIFS(Source!B:B,Pyramid!$O27,Source!D:D,Pyramid!$Q27,Source!$E:$E,Pyramid!$Q$3)</f>
        <v>2</v>
      </c>
      <c r="Q27" t="str">
        <f t="shared" si="2"/>
        <v>29/9/2016</v>
      </c>
      <c r="R27" t="str">
        <f t="array" aca="1" ref="R27" ca="1">IFERROR(INDEX(Source!$A$1:$A$250,SMALL(IF(--(Source!$B$1:$B$250=$O27)*--(Source!$E$1:$E$250=$Q$3)*--(Source!$D$1:$D$250=Pyramid!$Q27),ROW(Source!$B$1:$B$250),FALSE),R$3)),"")</f>
        <v>26540 HK Equity</v>
      </c>
      <c r="S27" t="str">
        <f t="array" aca="1" ref="S27" ca="1">IFERROR(INDEX(Source!$A$1:$A$250,SMALL(IF(--(Source!$B$1:$B$250=$O27)*--(Source!$E$1:$E$250=$Q$3)*--(Source!$D$1:$D$250=Pyramid!$Q27),ROW(Source!$B$1:$B$250),FALSE),S$3)),"")</f>
        <v>25916 HK Equity</v>
      </c>
      <c r="T27" t="str">
        <f t="array" aca="1" ref="T27" ca="1">IFERROR(INDEX(Source!$A$1:$A$250,SMALL(IF(--(Source!$B$1:$B$250=$O27)*--(Source!$E$1:$E$250=$Q$3)*--(Source!$D$1:$D$250=Pyramid!$Q27),ROW(Source!$B$1:$B$250),FALSE),T$3)),"")</f>
        <v/>
      </c>
      <c r="U27" t="str">
        <f t="array" aca="1" ref="U27" ca="1">IFERROR(INDEX(Source!$A$1:$A$250,SMALL(IF(--(Source!$B$1:$B$250=$O27)*--(Source!$E$1:$E$250=$Q$3)*--(Source!$D$1:$D$250=Pyramid!$Q27),ROW(Source!$B$1:$B$250),FALSE),U$3)),"")</f>
        <v/>
      </c>
      <c r="V27" t="str">
        <f t="array" aca="1" ref="V27" ca="1">IFERROR(INDEX(Source!$A$1:$A$250,SMALL(IF(--(Source!$B$1:$B$250=$O27)*--(Source!$E$1:$E$250=$Q$3)*--(Source!$D$1:$D$250=Pyramid!$Q27),ROW(Source!$B$1:$B$250),FALSE),V$3)),"")</f>
        <v/>
      </c>
      <c r="W27" t="str">
        <f t="array" aca="1" ref="W27" ca="1">IFERROR(INDEX(Source!$A$1:$A$250,SMALL(IF(--(Source!$B$1:$B$250=$O27)*--(Source!$E$1:$E$250=$Q$3)*--(Source!$D$1:$D$250=Pyramid!$Q27),ROW(Source!$B$1:$B$250),FALSE),W$3)),"")</f>
        <v/>
      </c>
      <c r="X27" t="str">
        <f t="array" aca="1" ref="X27" ca="1">IFERROR(INDEX(Source!$A$1:$A$250,SMALL(IF(--(Source!$B$1:$B$250=$O27)*--(Source!$E$1:$E$250=$Q$3)*--(Source!$D$1:$D$250=Pyramid!$Q27),ROW(Source!$B$1:$B$250),FALSE),X$3)),"")</f>
        <v/>
      </c>
      <c r="Y27" s="5">
        <f t="shared" ca="1" si="3"/>
        <v>0</v>
      </c>
    </row>
    <row r="28" spans="3:25">
      <c r="C28">
        <v>24</v>
      </c>
      <c r="D28" s="5">
        <f t="shared" ca="1" si="1"/>
        <v>0</v>
      </c>
      <c r="E28" t="str">
        <f t="array" aca="1" ref="E28" ca="1">IFERROR(INDEX(Source!$A$1:$A$250,SMALL(IF(--(Source!$B$1:$B$250=$O28)*--(Source!$E$1:$E$250=$M$3)*--(Source!$D$1:$D$250=Pyramid!$M28),ROW(Source!$B$1:$B$250),FALSE),E$3)),"")</f>
        <v/>
      </c>
      <c r="F28" t="str">
        <f t="array" aca="1" ref="F28" ca="1">IFERROR(INDEX(Source!$A$1:$A$250,SMALL(IF(--(Source!$B$1:$B$250=$O28)*--(Source!$E$1:$E$250=$M$3)*--(Source!$D$1:$D$250=Pyramid!$M28),ROW(Source!$B$1:$B$250),FALSE),F$3)),"")</f>
        <v/>
      </c>
      <c r="G28" t="str">
        <f t="array" aca="1" ref="G28" ca="1">IFERROR(INDEX(Source!$A$1:$A$250,SMALL(IF(--(Source!$B$1:$B$250=$O28)*--(Source!$E$1:$E$250=$M$3)*--(Source!$D$1:$D$250=Pyramid!$M28),ROW(Source!$B$1:$B$250),FALSE),G$3)),"")</f>
        <v/>
      </c>
      <c r="H28" t="str">
        <f t="array" aca="1" ref="H28" ca="1">IFERROR(INDEX(Source!$A$1:$A$250,SMALL(IF(--(Source!$B$1:$B$250=$O28)*--(Source!$E$1:$E$250=$M$3)*--(Source!$D$1:$D$250=Pyramid!$M28),ROW(Source!$B$1:$B$250),FALSE),H$3)),"")</f>
        <v/>
      </c>
      <c r="I28" t="str">
        <f t="array" aca="1" ref="I28" ca="1">IFERROR(INDEX(Source!$A$1:$A$250,SMALL(IF(--(Source!$B$1:$B$250=$O28)*--(Source!$E$1:$E$250=$M$3)*--(Source!$D$1:$D$250=Pyramid!$M28),ROW(Source!$B$1:$B$250),FALSE),I$3)),"")</f>
        <v/>
      </c>
      <c r="J28" t="str">
        <f t="array" aca="1" ref="J28" ca="1">IFERROR(INDEX(Source!$A$1:$A$250,SMALL(IF(--(Source!$B$1:$B$250=$O28)*--(Source!$E$1:$E$250=$M$3)*--(Source!$D$1:$D$250=Pyramid!$M28),ROW(Source!$B$1:$B$250),FALSE),J$3)),"")</f>
        <v/>
      </c>
      <c r="K28" t="str">
        <f t="array" aca="1" ref="K28" ca="1">IFERROR(INDEX(Source!$A$1:$A$250,SMALL(IF(--(Source!$B$1:$B$250=$O28)*--(Source!$E$1:$E$250=$M$3)*--(Source!$D$1:$D$250=Pyramid!$M28),ROW(Source!$B$1:$B$250),FALSE),K$3)),"")</f>
        <v/>
      </c>
      <c r="L28" t="str">
        <f t="array" aca="1" ref="L28" ca="1">IFERROR(INDEX(Source!$A$1:$A$250,SMALL(IF(--(Source!$B$1:$B$250=$O28)*--(Source!$E$1:$E$250=$M$3)*--(Source!$D$1:$D$250=Pyramid!$M28),ROW(Source!$B$1:$B$250),FALSE),L$3)),"")</f>
        <v/>
      </c>
      <c r="M28" t="str">
        <f t="shared" si="2"/>
        <v>28/10/2016</v>
      </c>
      <c r="N28">
        <f ca="1">COUNTIFS(Source!B:B,Pyramid!$O28,Source!$D:$D,Pyramid!$M28,Source!$E:$E,Pyramid!$M$3)</f>
        <v>0</v>
      </c>
      <c r="O28">
        <f ca="1">OFFSET(Sheet2!$N$3,INT(C28/5),)</f>
        <v>17500</v>
      </c>
      <c r="P28">
        <f ca="1">COUNTIFS(Source!B:B,Pyramid!$O28,Source!D:D,Pyramid!$Q28,Source!$E:$E,Pyramid!$Q$3)</f>
        <v>0</v>
      </c>
      <c r="Q28" t="str">
        <f t="shared" si="2"/>
        <v>28/10/2016</v>
      </c>
      <c r="R28" t="str">
        <f t="array" aca="1" ref="R28" ca="1">IFERROR(INDEX(Source!$A$1:$A$250,SMALL(IF(--(Source!$B$1:$B$250=$O28)*--(Source!$E$1:$E$250=$Q$3)*--(Source!$D$1:$D$250=Pyramid!$Q28),ROW(Source!$B$1:$B$250),FALSE),R$3)),"")</f>
        <v/>
      </c>
      <c r="S28" t="str">
        <f t="array" aca="1" ref="S28" ca="1">IFERROR(INDEX(Source!$A$1:$A$250,SMALL(IF(--(Source!$B$1:$B$250=$O28)*--(Source!$E$1:$E$250=$Q$3)*--(Source!$D$1:$D$250=Pyramid!$Q28),ROW(Source!$B$1:$B$250),FALSE),S$3)),"")</f>
        <v/>
      </c>
      <c r="T28" t="str">
        <f t="array" aca="1" ref="T28" ca="1">IFERROR(INDEX(Source!$A$1:$A$250,SMALL(IF(--(Source!$B$1:$B$250=$O28)*--(Source!$E$1:$E$250=$Q$3)*--(Source!$D$1:$D$250=Pyramid!$Q28),ROW(Source!$B$1:$B$250),FALSE),T$3)),"")</f>
        <v/>
      </c>
      <c r="U28" t="str">
        <f t="array" aca="1" ref="U28" ca="1">IFERROR(INDEX(Source!$A$1:$A$250,SMALL(IF(--(Source!$B$1:$B$250=$O28)*--(Source!$E$1:$E$250=$Q$3)*--(Source!$D$1:$D$250=Pyramid!$Q28),ROW(Source!$B$1:$B$250),FALSE),U$3)),"")</f>
        <v/>
      </c>
      <c r="V28" t="str">
        <f t="array" aca="1" ref="V28" ca="1">IFERROR(INDEX(Source!$A$1:$A$250,SMALL(IF(--(Source!$B$1:$B$250=$O28)*--(Source!$E$1:$E$250=$Q$3)*--(Source!$D$1:$D$250=Pyramid!$Q28),ROW(Source!$B$1:$B$250),FALSE),V$3)),"")</f>
        <v/>
      </c>
      <c r="W28" t="str">
        <f t="array" aca="1" ref="W28" ca="1">IFERROR(INDEX(Source!$A$1:$A$250,SMALL(IF(--(Source!$B$1:$B$250=$O28)*--(Source!$E$1:$E$250=$Q$3)*--(Source!$D$1:$D$250=Pyramid!$Q28),ROW(Source!$B$1:$B$250),FALSE),W$3)),"")</f>
        <v/>
      </c>
      <c r="X28" t="str">
        <f t="array" aca="1" ref="X28" ca="1">IFERROR(INDEX(Source!$A$1:$A$250,SMALL(IF(--(Source!$B$1:$B$250=$O28)*--(Source!$E$1:$E$250=$Q$3)*--(Source!$D$1:$D$250=Pyramid!$Q28),ROW(Source!$B$1:$B$250),FALSE),X$3)),"")</f>
        <v/>
      </c>
      <c r="Y28" s="5">
        <f t="shared" ca="1" si="3"/>
        <v>0</v>
      </c>
    </row>
    <row r="29" spans="3:25">
      <c r="C29">
        <v>25</v>
      </c>
      <c r="D29" s="5">
        <f t="shared" ca="1" si="1"/>
        <v>0</v>
      </c>
      <c r="E29" t="str">
        <f t="array" aca="1" ref="E29" ca="1">IFERROR(INDEX(Source!$A$1:$A$250,SMALL(IF(--(Source!$B$1:$B$250=$O29)*--(Source!$E$1:$E$250=$M$3)*--(Source!$D$1:$D$250=Pyramid!$M29),ROW(Source!$B$1:$B$250),FALSE),E$3)),"")</f>
        <v/>
      </c>
      <c r="F29" t="str">
        <f t="array" aca="1" ref="F29" ca="1">IFERROR(INDEX(Source!$A$1:$A$250,SMALL(IF(--(Source!$B$1:$B$250=$O29)*--(Source!$E$1:$E$250=$M$3)*--(Source!$D$1:$D$250=Pyramid!$M29),ROW(Source!$B$1:$B$250),FALSE),F$3)),"")</f>
        <v/>
      </c>
      <c r="G29" t="str">
        <f t="array" aca="1" ref="G29" ca="1">IFERROR(INDEX(Source!$A$1:$A$250,SMALL(IF(--(Source!$B$1:$B$250=$O29)*--(Source!$E$1:$E$250=$M$3)*--(Source!$D$1:$D$250=Pyramid!$M29),ROW(Source!$B$1:$B$250),FALSE),G$3)),"")</f>
        <v/>
      </c>
      <c r="H29" t="str">
        <f t="array" aca="1" ref="H29" ca="1">IFERROR(INDEX(Source!$A$1:$A$250,SMALL(IF(--(Source!$B$1:$B$250=$O29)*--(Source!$E$1:$E$250=$M$3)*--(Source!$D$1:$D$250=Pyramid!$M29),ROW(Source!$B$1:$B$250),FALSE),H$3)),"")</f>
        <v/>
      </c>
      <c r="I29" t="str">
        <f t="array" aca="1" ref="I29" ca="1">IFERROR(INDEX(Source!$A$1:$A$250,SMALL(IF(--(Source!$B$1:$B$250=$O29)*--(Source!$E$1:$E$250=$M$3)*--(Source!$D$1:$D$250=Pyramid!$M29),ROW(Source!$B$1:$B$250),FALSE),I$3)),"")</f>
        <v/>
      </c>
      <c r="J29" t="str">
        <f t="array" aca="1" ref="J29" ca="1">IFERROR(INDEX(Source!$A$1:$A$250,SMALL(IF(--(Source!$B$1:$B$250=$O29)*--(Source!$E$1:$E$250=$M$3)*--(Source!$D$1:$D$250=Pyramid!$M29),ROW(Source!$B$1:$B$250),FALSE),J$3)),"")</f>
        <v/>
      </c>
      <c r="K29" t="str">
        <f t="array" aca="1" ref="K29" ca="1">IFERROR(INDEX(Source!$A$1:$A$250,SMALL(IF(--(Source!$B$1:$B$250=$O29)*--(Source!$E$1:$E$250=$M$3)*--(Source!$D$1:$D$250=Pyramid!$M29),ROW(Source!$B$1:$B$250),FALSE),K$3)),"")</f>
        <v/>
      </c>
      <c r="L29" t="str">
        <f t="array" aca="1" ref="L29" ca="1">IFERROR(INDEX(Source!$A$1:$A$250,SMALL(IF(--(Source!$B$1:$B$250=$O29)*--(Source!$E$1:$E$250=$M$3)*--(Source!$D$1:$D$250=Pyramid!$M29),ROW(Source!$B$1:$B$250),FALSE),L$3)),"")</f>
        <v/>
      </c>
      <c r="M29" t="str">
        <f t="shared" si="2"/>
        <v>29/6/2016</v>
      </c>
      <c r="N29">
        <f ca="1">COUNTIFS(Source!B:B,Pyramid!$O29,Source!$D:$D,Pyramid!$M29,Source!$E:$E,Pyramid!$M$3)</f>
        <v>0</v>
      </c>
      <c r="O29">
        <f ca="1">OFFSET(Sheet2!$N$3,INT(C29/5),)</f>
        <v>17600</v>
      </c>
      <c r="P29">
        <f ca="1">COUNTIFS(Source!B:B,Pyramid!$O29,Source!D:D,Pyramid!$Q29,Source!$E:$E,Pyramid!$Q$3)</f>
        <v>0</v>
      </c>
      <c r="Q29" t="str">
        <f t="shared" si="2"/>
        <v>29/6/2016</v>
      </c>
      <c r="R29" t="str">
        <f t="array" aca="1" ref="R29" ca="1">IFERROR(INDEX(Source!$A$1:$A$250,SMALL(IF(--(Source!$B$1:$B$250=$O29)*--(Source!$E$1:$E$250=$Q$3)*--(Source!$D$1:$D$250=Pyramid!$Q29),ROW(Source!$B$1:$B$250),FALSE),R$3)),"")</f>
        <v/>
      </c>
      <c r="S29" t="str">
        <f t="array" aca="1" ref="S29" ca="1">IFERROR(INDEX(Source!$A$1:$A$250,SMALL(IF(--(Source!$B$1:$B$250=$O29)*--(Source!$E$1:$E$250=$Q$3)*--(Source!$D$1:$D$250=Pyramid!$Q29),ROW(Source!$B$1:$B$250),FALSE),S$3)),"")</f>
        <v/>
      </c>
      <c r="T29" t="str">
        <f t="array" aca="1" ref="T29" ca="1">IFERROR(INDEX(Source!$A$1:$A$250,SMALL(IF(--(Source!$B$1:$B$250=$O29)*--(Source!$E$1:$E$250=$Q$3)*--(Source!$D$1:$D$250=Pyramid!$Q29),ROW(Source!$B$1:$B$250),FALSE),T$3)),"")</f>
        <v/>
      </c>
      <c r="U29" t="str">
        <f t="array" aca="1" ref="U29" ca="1">IFERROR(INDEX(Source!$A$1:$A$250,SMALL(IF(--(Source!$B$1:$B$250=$O29)*--(Source!$E$1:$E$250=$Q$3)*--(Source!$D$1:$D$250=Pyramid!$Q29),ROW(Source!$B$1:$B$250),FALSE),U$3)),"")</f>
        <v/>
      </c>
      <c r="V29" t="str">
        <f t="array" aca="1" ref="V29" ca="1">IFERROR(INDEX(Source!$A$1:$A$250,SMALL(IF(--(Source!$B$1:$B$250=$O29)*--(Source!$E$1:$E$250=$Q$3)*--(Source!$D$1:$D$250=Pyramid!$Q29),ROW(Source!$B$1:$B$250),FALSE),V$3)),"")</f>
        <v/>
      </c>
      <c r="W29" t="str">
        <f t="array" aca="1" ref="W29" ca="1">IFERROR(INDEX(Source!$A$1:$A$250,SMALL(IF(--(Source!$B$1:$B$250=$O29)*--(Source!$E$1:$E$250=$Q$3)*--(Source!$D$1:$D$250=Pyramid!$Q29),ROW(Source!$B$1:$B$250),FALSE),W$3)),"")</f>
        <v/>
      </c>
      <c r="X29" t="str">
        <f t="array" aca="1" ref="X29" ca="1">IFERROR(INDEX(Source!$A$1:$A$250,SMALL(IF(--(Source!$B$1:$B$250=$O29)*--(Source!$E$1:$E$250=$Q$3)*--(Source!$D$1:$D$250=Pyramid!$Q29),ROW(Source!$B$1:$B$250),FALSE),X$3)),"")</f>
        <v/>
      </c>
      <c r="Y29" s="5">
        <f t="shared" ca="1" si="3"/>
        <v>0</v>
      </c>
    </row>
    <row r="30" spans="3:25">
      <c r="C30">
        <v>26</v>
      </c>
      <c r="D30" s="5">
        <f t="shared" ca="1" si="1"/>
        <v>0</v>
      </c>
      <c r="E30" t="str">
        <f t="array" aca="1" ref="E30" ca="1">IFERROR(INDEX(Source!$A$1:$A$250,SMALL(IF(--(Source!$B$1:$B$250=$O30)*--(Source!$E$1:$E$250=$M$3)*--(Source!$D$1:$D$250=Pyramid!$M30),ROW(Source!$B$1:$B$250),FALSE),E$3)),"")</f>
        <v/>
      </c>
      <c r="F30" t="str">
        <f t="array" aca="1" ref="F30" ca="1">IFERROR(INDEX(Source!$A$1:$A$250,SMALL(IF(--(Source!$B$1:$B$250=$O30)*--(Source!$E$1:$E$250=$M$3)*--(Source!$D$1:$D$250=Pyramid!$M30),ROW(Source!$B$1:$B$250),FALSE),F$3)),"")</f>
        <v/>
      </c>
      <c r="G30" t="str">
        <f t="array" aca="1" ref="G30" ca="1">IFERROR(INDEX(Source!$A$1:$A$250,SMALL(IF(--(Source!$B$1:$B$250=$O30)*--(Source!$E$1:$E$250=$M$3)*--(Source!$D$1:$D$250=Pyramid!$M30),ROW(Source!$B$1:$B$250),FALSE),G$3)),"")</f>
        <v/>
      </c>
      <c r="H30" t="str">
        <f t="array" aca="1" ref="H30" ca="1">IFERROR(INDEX(Source!$A$1:$A$250,SMALL(IF(--(Source!$B$1:$B$250=$O30)*--(Source!$E$1:$E$250=$M$3)*--(Source!$D$1:$D$250=Pyramid!$M30),ROW(Source!$B$1:$B$250),FALSE),H$3)),"")</f>
        <v/>
      </c>
      <c r="I30" t="str">
        <f t="array" aca="1" ref="I30" ca="1">IFERROR(INDEX(Source!$A$1:$A$250,SMALL(IF(--(Source!$B$1:$B$250=$O30)*--(Source!$E$1:$E$250=$M$3)*--(Source!$D$1:$D$250=Pyramid!$M30),ROW(Source!$B$1:$B$250),FALSE),I$3)),"")</f>
        <v/>
      </c>
      <c r="J30" t="str">
        <f t="array" aca="1" ref="J30" ca="1">IFERROR(INDEX(Source!$A$1:$A$250,SMALL(IF(--(Source!$B$1:$B$250=$O30)*--(Source!$E$1:$E$250=$M$3)*--(Source!$D$1:$D$250=Pyramid!$M30),ROW(Source!$B$1:$B$250),FALSE),J$3)),"")</f>
        <v/>
      </c>
      <c r="K30" t="str">
        <f t="array" aca="1" ref="K30" ca="1">IFERROR(INDEX(Source!$A$1:$A$250,SMALL(IF(--(Source!$B$1:$B$250=$O30)*--(Source!$E$1:$E$250=$M$3)*--(Source!$D$1:$D$250=Pyramid!$M30),ROW(Source!$B$1:$B$250),FALSE),K$3)),"")</f>
        <v/>
      </c>
      <c r="L30" t="str">
        <f t="array" aca="1" ref="L30" ca="1">IFERROR(INDEX(Source!$A$1:$A$250,SMALL(IF(--(Source!$B$1:$B$250=$O30)*--(Source!$E$1:$E$250=$M$3)*--(Source!$D$1:$D$250=Pyramid!$M30),ROW(Source!$B$1:$B$250),FALSE),L$3)),"")</f>
        <v/>
      </c>
      <c r="M30" t="str">
        <f t="shared" si="2"/>
        <v>28/7/2016</v>
      </c>
      <c r="N30">
        <f ca="1">COUNTIFS(Source!B:B,Pyramid!$O30,Source!$D:$D,Pyramid!$M30,Source!$E:$E,Pyramid!$M$3)</f>
        <v>0</v>
      </c>
      <c r="O30">
        <f ca="1">OFFSET(Sheet2!$N$3,INT(C30/5),)</f>
        <v>17600</v>
      </c>
      <c r="P30">
        <f ca="1">COUNTIFS(Source!B:B,Pyramid!$O30,Source!D:D,Pyramid!$Q30,Source!$E:$E,Pyramid!$Q$3)</f>
        <v>0</v>
      </c>
      <c r="Q30" t="str">
        <f t="shared" si="2"/>
        <v>28/7/2016</v>
      </c>
      <c r="R30" t="str">
        <f t="array" aca="1" ref="R30" ca="1">IFERROR(INDEX(Source!$A$1:$A$250,SMALL(IF(--(Source!$B$1:$B$250=$O30)*--(Source!$E$1:$E$250=$Q$3)*--(Source!$D$1:$D$250=Pyramid!$Q30),ROW(Source!$B$1:$B$250),FALSE),R$3)),"")</f>
        <v/>
      </c>
      <c r="S30" t="str">
        <f t="array" aca="1" ref="S30" ca="1">IFERROR(INDEX(Source!$A$1:$A$250,SMALL(IF(--(Source!$B$1:$B$250=$O30)*--(Source!$E$1:$E$250=$Q$3)*--(Source!$D$1:$D$250=Pyramid!$Q30),ROW(Source!$B$1:$B$250),FALSE),S$3)),"")</f>
        <v/>
      </c>
      <c r="T30" t="str">
        <f t="array" aca="1" ref="T30" ca="1">IFERROR(INDEX(Source!$A$1:$A$250,SMALL(IF(--(Source!$B$1:$B$250=$O30)*--(Source!$E$1:$E$250=$Q$3)*--(Source!$D$1:$D$250=Pyramid!$Q30),ROW(Source!$B$1:$B$250),FALSE),T$3)),"")</f>
        <v/>
      </c>
      <c r="U30" t="str">
        <f t="array" aca="1" ref="U30" ca="1">IFERROR(INDEX(Source!$A$1:$A$250,SMALL(IF(--(Source!$B$1:$B$250=$O30)*--(Source!$E$1:$E$250=$Q$3)*--(Source!$D$1:$D$250=Pyramid!$Q30),ROW(Source!$B$1:$B$250),FALSE),U$3)),"")</f>
        <v/>
      </c>
      <c r="V30" t="str">
        <f t="array" aca="1" ref="V30" ca="1">IFERROR(INDEX(Source!$A$1:$A$250,SMALL(IF(--(Source!$B$1:$B$250=$O30)*--(Source!$E$1:$E$250=$Q$3)*--(Source!$D$1:$D$250=Pyramid!$Q30),ROW(Source!$B$1:$B$250),FALSE),V$3)),"")</f>
        <v/>
      </c>
      <c r="W30" t="str">
        <f t="array" aca="1" ref="W30" ca="1">IFERROR(INDEX(Source!$A$1:$A$250,SMALL(IF(--(Source!$B$1:$B$250=$O30)*--(Source!$E$1:$E$250=$Q$3)*--(Source!$D$1:$D$250=Pyramid!$Q30),ROW(Source!$B$1:$B$250),FALSE),W$3)),"")</f>
        <v/>
      </c>
      <c r="X30" t="str">
        <f t="array" aca="1" ref="X30" ca="1">IFERROR(INDEX(Source!$A$1:$A$250,SMALL(IF(--(Source!$B$1:$B$250=$O30)*--(Source!$E$1:$E$250=$Q$3)*--(Source!$D$1:$D$250=Pyramid!$Q30),ROW(Source!$B$1:$B$250),FALSE),X$3)),"")</f>
        <v/>
      </c>
      <c r="Y30" s="5">
        <f t="shared" ca="1" si="3"/>
        <v>0</v>
      </c>
    </row>
    <row r="31" spans="3:25">
      <c r="C31">
        <v>27</v>
      </c>
      <c r="D31" s="5">
        <f t="shared" ca="1" si="1"/>
        <v>0</v>
      </c>
      <c r="E31" t="str">
        <f t="array" aca="1" ref="E31" ca="1">IFERROR(INDEX(Source!$A$1:$A$250,SMALL(IF(--(Source!$B$1:$B$250=$O31)*--(Source!$E$1:$E$250=$M$3)*--(Source!$D$1:$D$250=Pyramid!$M31),ROW(Source!$B$1:$B$250),FALSE),E$3)),"")</f>
        <v/>
      </c>
      <c r="F31" t="str">
        <f t="array" aca="1" ref="F31" ca="1">IFERROR(INDEX(Source!$A$1:$A$250,SMALL(IF(--(Source!$B$1:$B$250=$O31)*--(Source!$E$1:$E$250=$M$3)*--(Source!$D$1:$D$250=Pyramid!$M31),ROW(Source!$B$1:$B$250),FALSE),F$3)),"")</f>
        <v/>
      </c>
      <c r="G31" t="str">
        <f t="array" aca="1" ref="G31" ca="1">IFERROR(INDEX(Source!$A$1:$A$250,SMALL(IF(--(Source!$B$1:$B$250=$O31)*--(Source!$E$1:$E$250=$M$3)*--(Source!$D$1:$D$250=Pyramid!$M31),ROW(Source!$B$1:$B$250),FALSE),G$3)),"")</f>
        <v/>
      </c>
      <c r="H31" t="str">
        <f t="array" aca="1" ref="H31" ca="1">IFERROR(INDEX(Source!$A$1:$A$250,SMALL(IF(--(Source!$B$1:$B$250=$O31)*--(Source!$E$1:$E$250=$M$3)*--(Source!$D$1:$D$250=Pyramid!$M31),ROW(Source!$B$1:$B$250),FALSE),H$3)),"")</f>
        <v/>
      </c>
      <c r="I31" t="str">
        <f t="array" aca="1" ref="I31" ca="1">IFERROR(INDEX(Source!$A$1:$A$250,SMALL(IF(--(Source!$B$1:$B$250=$O31)*--(Source!$E$1:$E$250=$M$3)*--(Source!$D$1:$D$250=Pyramid!$M31),ROW(Source!$B$1:$B$250),FALSE),I$3)),"")</f>
        <v/>
      </c>
      <c r="J31" t="str">
        <f t="array" aca="1" ref="J31" ca="1">IFERROR(INDEX(Source!$A$1:$A$250,SMALL(IF(--(Source!$B$1:$B$250=$O31)*--(Source!$E$1:$E$250=$M$3)*--(Source!$D$1:$D$250=Pyramid!$M31),ROW(Source!$B$1:$B$250),FALSE),J$3)),"")</f>
        <v/>
      </c>
      <c r="K31" t="str">
        <f t="array" aca="1" ref="K31" ca="1">IFERROR(INDEX(Source!$A$1:$A$250,SMALL(IF(--(Source!$B$1:$B$250=$O31)*--(Source!$E$1:$E$250=$M$3)*--(Source!$D$1:$D$250=Pyramid!$M31),ROW(Source!$B$1:$B$250),FALSE),K$3)),"")</f>
        <v/>
      </c>
      <c r="L31" t="str">
        <f t="array" aca="1" ref="L31" ca="1">IFERROR(INDEX(Source!$A$1:$A$250,SMALL(IF(--(Source!$B$1:$B$250=$O31)*--(Source!$E$1:$E$250=$M$3)*--(Source!$D$1:$D$250=Pyramid!$M31),ROW(Source!$B$1:$B$250),FALSE),L$3)),"")</f>
        <v/>
      </c>
      <c r="M31" t="str">
        <f t="shared" si="2"/>
        <v>30/8/2016</v>
      </c>
      <c r="N31">
        <f ca="1">COUNTIFS(Source!B:B,Pyramid!$O31,Source!$D:$D,Pyramid!$M31,Source!$E:$E,Pyramid!$M$3)</f>
        <v>0</v>
      </c>
      <c r="O31">
        <f ca="1">OFFSET(Sheet2!$N$3,INT(C31/5),)</f>
        <v>17600</v>
      </c>
      <c r="P31">
        <f ca="1">COUNTIFS(Source!B:B,Pyramid!$O31,Source!D:D,Pyramid!$Q31,Source!$E:$E,Pyramid!$Q$3)</f>
        <v>2</v>
      </c>
      <c r="Q31" t="str">
        <f t="shared" si="2"/>
        <v>30/8/2016</v>
      </c>
      <c r="R31" t="str">
        <f t="array" aca="1" ref="R31" ca="1">IFERROR(INDEX(Source!$A$1:$A$250,SMALL(IF(--(Source!$B$1:$B$250=$O31)*--(Source!$E$1:$E$250=$Q$3)*--(Source!$D$1:$D$250=Pyramid!$Q31),ROW(Source!$B$1:$B$250),FALSE),R$3)),"")</f>
        <v>26036 HK Equity</v>
      </c>
      <c r="S31" t="str">
        <f t="array" aca="1" ref="S31" ca="1">IFERROR(INDEX(Source!$A$1:$A$250,SMALL(IF(--(Source!$B$1:$B$250=$O31)*--(Source!$E$1:$E$250=$Q$3)*--(Source!$D$1:$D$250=Pyramid!$Q31),ROW(Source!$B$1:$B$250),FALSE),S$3)),"")</f>
        <v>26320 HK Equity</v>
      </c>
      <c r="T31" t="str">
        <f t="array" aca="1" ref="T31" ca="1">IFERROR(INDEX(Source!$A$1:$A$250,SMALL(IF(--(Source!$B$1:$B$250=$O31)*--(Source!$E$1:$E$250=$Q$3)*--(Source!$D$1:$D$250=Pyramid!$Q31),ROW(Source!$B$1:$B$250),FALSE),T$3)),"")</f>
        <v/>
      </c>
      <c r="U31" t="str">
        <f t="array" aca="1" ref="U31" ca="1">IFERROR(INDEX(Source!$A$1:$A$250,SMALL(IF(--(Source!$B$1:$B$250=$O31)*--(Source!$E$1:$E$250=$Q$3)*--(Source!$D$1:$D$250=Pyramid!$Q31),ROW(Source!$B$1:$B$250),FALSE),U$3)),"")</f>
        <v/>
      </c>
      <c r="V31" t="str">
        <f t="array" aca="1" ref="V31" ca="1">IFERROR(INDEX(Source!$A$1:$A$250,SMALL(IF(--(Source!$B$1:$B$250=$O31)*--(Source!$E$1:$E$250=$Q$3)*--(Source!$D$1:$D$250=Pyramid!$Q31),ROW(Source!$B$1:$B$250),FALSE),V$3)),"")</f>
        <v/>
      </c>
      <c r="W31" t="str">
        <f t="array" aca="1" ref="W31" ca="1">IFERROR(INDEX(Source!$A$1:$A$250,SMALL(IF(--(Source!$B$1:$B$250=$O31)*--(Source!$E$1:$E$250=$Q$3)*--(Source!$D$1:$D$250=Pyramid!$Q31),ROW(Source!$B$1:$B$250),FALSE),W$3)),"")</f>
        <v/>
      </c>
      <c r="X31" t="str">
        <f t="array" aca="1" ref="X31" ca="1">IFERROR(INDEX(Source!$A$1:$A$250,SMALL(IF(--(Source!$B$1:$B$250=$O31)*--(Source!$E$1:$E$250=$Q$3)*--(Source!$D$1:$D$250=Pyramid!$Q31),ROW(Source!$B$1:$B$250),FALSE),X$3)),"")</f>
        <v/>
      </c>
      <c r="Y31" s="5">
        <f t="shared" ca="1" si="3"/>
        <v>0</v>
      </c>
    </row>
    <row r="32" spans="3:25">
      <c r="C32">
        <v>28</v>
      </c>
      <c r="D32" s="5">
        <f t="shared" ca="1" si="1"/>
        <v>0</v>
      </c>
      <c r="E32" t="str">
        <f t="array" aca="1" ref="E32" ca="1">IFERROR(INDEX(Source!$A$1:$A$250,SMALL(IF(--(Source!$B$1:$B$250=$O32)*--(Source!$E$1:$E$250=$M$3)*--(Source!$D$1:$D$250=Pyramid!$M32),ROW(Source!$B$1:$B$250),FALSE),E$3)),"")</f>
        <v/>
      </c>
      <c r="F32" t="str">
        <f t="array" aca="1" ref="F32" ca="1">IFERROR(INDEX(Source!$A$1:$A$250,SMALL(IF(--(Source!$B$1:$B$250=$O32)*--(Source!$E$1:$E$250=$M$3)*--(Source!$D$1:$D$250=Pyramid!$M32),ROW(Source!$B$1:$B$250),FALSE),F$3)),"")</f>
        <v/>
      </c>
      <c r="G32" t="str">
        <f t="array" aca="1" ref="G32" ca="1">IFERROR(INDEX(Source!$A$1:$A$250,SMALL(IF(--(Source!$B$1:$B$250=$O32)*--(Source!$E$1:$E$250=$M$3)*--(Source!$D$1:$D$250=Pyramid!$M32),ROW(Source!$B$1:$B$250),FALSE),G$3)),"")</f>
        <v/>
      </c>
      <c r="H32" t="str">
        <f t="array" aca="1" ref="H32" ca="1">IFERROR(INDEX(Source!$A$1:$A$250,SMALL(IF(--(Source!$B$1:$B$250=$O32)*--(Source!$E$1:$E$250=$M$3)*--(Source!$D$1:$D$250=Pyramid!$M32),ROW(Source!$B$1:$B$250),FALSE),H$3)),"")</f>
        <v/>
      </c>
      <c r="I32" t="str">
        <f t="array" aca="1" ref="I32" ca="1">IFERROR(INDEX(Source!$A$1:$A$250,SMALL(IF(--(Source!$B$1:$B$250=$O32)*--(Source!$E$1:$E$250=$M$3)*--(Source!$D$1:$D$250=Pyramid!$M32),ROW(Source!$B$1:$B$250),FALSE),I$3)),"")</f>
        <v/>
      </c>
      <c r="J32" t="str">
        <f t="array" aca="1" ref="J32" ca="1">IFERROR(INDEX(Source!$A$1:$A$250,SMALL(IF(--(Source!$B$1:$B$250=$O32)*--(Source!$E$1:$E$250=$M$3)*--(Source!$D$1:$D$250=Pyramid!$M32),ROW(Source!$B$1:$B$250),FALSE),J$3)),"")</f>
        <v/>
      </c>
      <c r="K32" t="str">
        <f t="array" aca="1" ref="K32" ca="1">IFERROR(INDEX(Source!$A$1:$A$250,SMALL(IF(--(Source!$B$1:$B$250=$O32)*--(Source!$E$1:$E$250=$M$3)*--(Source!$D$1:$D$250=Pyramid!$M32),ROW(Source!$B$1:$B$250),FALSE),K$3)),"")</f>
        <v/>
      </c>
      <c r="L32" t="str">
        <f t="array" aca="1" ref="L32" ca="1">IFERROR(INDEX(Source!$A$1:$A$250,SMALL(IF(--(Source!$B$1:$B$250=$O32)*--(Source!$E$1:$E$250=$M$3)*--(Source!$D$1:$D$250=Pyramid!$M32),ROW(Source!$B$1:$B$250),FALSE),L$3)),"")</f>
        <v/>
      </c>
      <c r="M32" t="str">
        <f t="shared" si="2"/>
        <v>29/9/2016</v>
      </c>
      <c r="N32">
        <f ca="1">COUNTIFS(Source!B:B,Pyramid!$O32,Source!$D:$D,Pyramid!$M32,Source!$E:$E,Pyramid!$M$3)</f>
        <v>0</v>
      </c>
      <c r="O32">
        <f ca="1">OFFSET(Sheet2!$N$3,INT(C32/5),)</f>
        <v>17600</v>
      </c>
      <c r="P32">
        <f ca="1">COUNTIFS(Source!B:B,Pyramid!$O32,Source!D:D,Pyramid!$Q32,Source!$E:$E,Pyramid!$Q$3)</f>
        <v>1</v>
      </c>
      <c r="Q32" t="str">
        <f t="shared" si="2"/>
        <v>29/9/2016</v>
      </c>
      <c r="R32" t="str">
        <f t="array" aca="1" ref="R32" ca="1">IFERROR(INDEX(Source!$A$1:$A$250,SMALL(IF(--(Source!$B$1:$B$250=$O32)*--(Source!$E$1:$E$250=$Q$3)*--(Source!$D$1:$D$250=Pyramid!$Q32),ROW(Source!$B$1:$B$250),FALSE),R$3)),"")</f>
        <v>25625 HK Equity</v>
      </c>
      <c r="S32" t="str">
        <f t="array" aca="1" ref="S32" ca="1">IFERROR(INDEX(Source!$A$1:$A$250,SMALL(IF(--(Source!$B$1:$B$250=$O32)*--(Source!$E$1:$E$250=$Q$3)*--(Source!$D$1:$D$250=Pyramid!$Q32),ROW(Source!$B$1:$B$250),FALSE),S$3)),"")</f>
        <v/>
      </c>
      <c r="T32" t="str">
        <f t="array" aca="1" ref="T32" ca="1">IFERROR(INDEX(Source!$A$1:$A$250,SMALL(IF(--(Source!$B$1:$B$250=$O32)*--(Source!$E$1:$E$250=$Q$3)*--(Source!$D$1:$D$250=Pyramid!$Q32),ROW(Source!$B$1:$B$250),FALSE),T$3)),"")</f>
        <v/>
      </c>
      <c r="U32" t="str">
        <f t="array" aca="1" ref="U32" ca="1">IFERROR(INDEX(Source!$A$1:$A$250,SMALL(IF(--(Source!$B$1:$B$250=$O32)*--(Source!$E$1:$E$250=$Q$3)*--(Source!$D$1:$D$250=Pyramid!$Q32),ROW(Source!$B$1:$B$250),FALSE),U$3)),"")</f>
        <v/>
      </c>
      <c r="V32" t="str">
        <f t="array" aca="1" ref="V32" ca="1">IFERROR(INDEX(Source!$A$1:$A$250,SMALL(IF(--(Source!$B$1:$B$250=$O32)*--(Source!$E$1:$E$250=$Q$3)*--(Source!$D$1:$D$250=Pyramid!$Q32),ROW(Source!$B$1:$B$250),FALSE),V$3)),"")</f>
        <v/>
      </c>
      <c r="W32" t="str">
        <f t="array" aca="1" ref="W32" ca="1">IFERROR(INDEX(Source!$A$1:$A$250,SMALL(IF(--(Source!$B$1:$B$250=$O32)*--(Source!$E$1:$E$250=$Q$3)*--(Source!$D$1:$D$250=Pyramid!$Q32),ROW(Source!$B$1:$B$250),FALSE),W$3)),"")</f>
        <v/>
      </c>
      <c r="X32" t="str">
        <f t="array" aca="1" ref="X32" ca="1">IFERROR(INDEX(Source!$A$1:$A$250,SMALL(IF(--(Source!$B$1:$B$250=$O32)*--(Source!$E$1:$E$250=$Q$3)*--(Source!$D$1:$D$250=Pyramid!$Q32),ROW(Source!$B$1:$B$250),FALSE),X$3)),"")</f>
        <v/>
      </c>
      <c r="Y32" s="5">
        <f t="shared" ca="1" si="3"/>
        <v>0</v>
      </c>
    </row>
    <row r="33" spans="3:25">
      <c r="C33">
        <v>29</v>
      </c>
      <c r="D33" s="5">
        <f t="shared" ca="1" si="1"/>
        <v>0</v>
      </c>
      <c r="E33" t="str">
        <f t="array" aca="1" ref="E33" ca="1">IFERROR(INDEX(Source!$A$1:$A$250,SMALL(IF(--(Source!$B$1:$B$250=$O33)*--(Source!$E$1:$E$250=$M$3)*--(Source!$D$1:$D$250=Pyramid!$M33),ROW(Source!$B$1:$B$250),FALSE),E$3)),"")</f>
        <v/>
      </c>
      <c r="F33" t="str">
        <f t="array" aca="1" ref="F33" ca="1">IFERROR(INDEX(Source!$A$1:$A$250,SMALL(IF(--(Source!$B$1:$B$250=$O33)*--(Source!$E$1:$E$250=$M$3)*--(Source!$D$1:$D$250=Pyramid!$M33),ROW(Source!$B$1:$B$250),FALSE),F$3)),"")</f>
        <v/>
      </c>
      <c r="G33" t="str">
        <f t="array" aca="1" ref="G33" ca="1">IFERROR(INDEX(Source!$A$1:$A$250,SMALL(IF(--(Source!$B$1:$B$250=$O33)*--(Source!$E$1:$E$250=$M$3)*--(Source!$D$1:$D$250=Pyramid!$M33),ROW(Source!$B$1:$B$250),FALSE),G$3)),"")</f>
        <v/>
      </c>
      <c r="H33" t="str">
        <f t="array" aca="1" ref="H33" ca="1">IFERROR(INDEX(Source!$A$1:$A$250,SMALL(IF(--(Source!$B$1:$B$250=$O33)*--(Source!$E$1:$E$250=$M$3)*--(Source!$D$1:$D$250=Pyramid!$M33),ROW(Source!$B$1:$B$250),FALSE),H$3)),"")</f>
        <v/>
      </c>
      <c r="I33" t="str">
        <f t="array" aca="1" ref="I33" ca="1">IFERROR(INDEX(Source!$A$1:$A$250,SMALL(IF(--(Source!$B$1:$B$250=$O33)*--(Source!$E$1:$E$250=$M$3)*--(Source!$D$1:$D$250=Pyramid!$M33),ROW(Source!$B$1:$B$250),FALSE),I$3)),"")</f>
        <v/>
      </c>
      <c r="J33" t="str">
        <f t="array" aca="1" ref="J33" ca="1">IFERROR(INDEX(Source!$A$1:$A$250,SMALL(IF(--(Source!$B$1:$B$250=$O33)*--(Source!$E$1:$E$250=$M$3)*--(Source!$D$1:$D$250=Pyramid!$M33),ROW(Source!$B$1:$B$250),FALSE),J$3)),"")</f>
        <v/>
      </c>
      <c r="K33" t="str">
        <f t="array" aca="1" ref="K33" ca="1">IFERROR(INDEX(Source!$A$1:$A$250,SMALL(IF(--(Source!$B$1:$B$250=$O33)*--(Source!$E$1:$E$250=$M$3)*--(Source!$D$1:$D$250=Pyramid!$M33),ROW(Source!$B$1:$B$250),FALSE),K$3)),"")</f>
        <v/>
      </c>
      <c r="L33" t="str">
        <f t="array" aca="1" ref="L33" ca="1">IFERROR(INDEX(Source!$A$1:$A$250,SMALL(IF(--(Source!$B$1:$B$250=$O33)*--(Source!$E$1:$E$250=$M$3)*--(Source!$D$1:$D$250=Pyramid!$M33),ROW(Source!$B$1:$B$250),FALSE),L$3)),"")</f>
        <v/>
      </c>
      <c r="M33" t="str">
        <f t="shared" si="2"/>
        <v>28/10/2016</v>
      </c>
      <c r="N33">
        <f ca="1">COUNTIFS(Source!B:B,Pyramid!$O33,Source!$D:$D,Pyramid!$M33,Source!$E:$E,Pyramid!$M$3)</f>
        <v>0</v>
      </c>
      <c r="O33">
        <f ca="1">OFFSET(Sheet2!$N$3,INT(C33/5),)</f>
        <v>17600</v>
      </c>
      <c r="P33">
        <f ca="1">COUNTIFS(Source!B:B,Pyramid!$O33,Source!D:D,Pyramid!$Q33,Source!$E:$E,Pyramid!$Q$3)</f>
        <v>0</v>
      </c>
      <c r="Q33" t="str">
        <f t="shared" si="2"/>
        <v>28/10/2016</v>
      </c>
      <c r="R33" t="str">
        <f t="array" aca="1" ref="R33" ca="1">IFERROR(INDEX(Source!$A$1:$A$250,SMALL(IF(--(Source!$B$1:$B$250=$O33)*--(Source!$E$1:$E$250=$Q$3)*--(Source!$D$1:$D$250=Pyramid!$Q33),ROW(Source!$B$1:$B$250),FALSE),R$3)),"")</f>
        <v/>
      </c>
      <c r="S33" t="str">
        <f t="array" aca="1" ref="S33" ca="1">IFERROR(INDEX(Source!$A$1:$A$250,SMALL(IF(--(Source!$B$1:$B$250=$O33)*--(Source!$E$1:$E$250=$Q$3)*--(Source!$D$1:$D$250=Pyramid!$Q33),ROW(Source!$B$1:$B$250),FALSE),S$3)),"")</f>
        <v/>
      </c>
      <c r="T33" t="str">
        <f t="array" aca="1" ref="T33" ca="1">IFERROR(INDEX(Source!$A$1:$A$250,SMALL(IF(--(Source!$B$1:$B$250=$O33)*--(Source!$E$1:$E$250=$Q$3)*--(Source!$D$1:$D$250=Pyramid!$Q33),ROW(Source!$B$1:$B$250),FALSE),T$3)),"")</f>
        <v/>
      </c>
      <c r="U33" t="str">
        <f t="array" aca="1" ref="U33" ca="1">IFERROR(INDEX(Source!$A$1:$A$250,SMALL(IF(--(Source!$B$1:$B$250=$O33)*--(Source!$E$1:$E$250=$Q$3)*--(Source!$D$1:$D$250=Pyramid!$Q33),ROW(Source!$B$1:$B$250),FALSE),U$3)),"")</f>
        <v/>
      </c>
      <c r="V33" t="str">
        <f t="array" aca="1" ref="V33" ca="1">IFERROR(INDEX(Source!$A$1:$A$250,SMALL(IF(--(Source!$B$1:$B$250=$O33)*--(Source!$E$1:$E$250=$Q$3)*--(Source!$D$1:$D$250=Pyramid!$Q33),ROW(Source!$B$1:$B$250),FALSE),V$3)),"")</f>
        <v/>
      </c>
      <c r="W33" t="str">
        <f t="array" aca="1" ref="W33" ca="1">IFERROR(INDEX(Source!$A$1:$A$250,SMALL(IF(--(Source!$B$1:$B$250=$O33)*--(Source!$E$1:$E$250=$Q$3)*--(Source!$D$1:$D$250=Pyramid!$Q33),ROW(Source!$B$1:$B$250),FALSE),W$3)),"")</f>
        <v/>
      </c>
      <c r="X33" t="str">
        <f t="array" aca="1" ref="X33" ca="1">IFERROR(INDEX(Source!$A$1:$A$250,SMALL(IF(--(Source!$B$1:$B$250=$O33)*--(Source!$E$1:$E$250=$Q$3)*--(Source!$D$1:$D$250=Pyramid!$Q33),ROW(Source!$B$1:$B$250),FALSE),X$3)),"")</f>
        <v/>
      </c>
      <c r="Y33" s="5">
        <f t="shared" ca="1" si="3"/>
        <v>0</v>
      </c>
    </row>
    <row r="34" spans="3:25">
      <c r="C34">
        <v>30</v>
      </c>
      <c r="D34" s="5">
        <f t="shared" ca="1" si="1"/>
        <v>0</v>
      </c>
      <c r="E34" t="str">
        <f t="array" aca="1" ref="E34" ca="1">IFERROR(INDEX(Source!$A$1:$A$250,SMALL(IF(--(Source!$B$1:$B$250=$O34)*--(Source!$E$1:$E$250=$M$3)*--(Source!$D$1:$D$250=Pyramid!$M34),ROW(Source!$B$1:$B$250),FALSE),E$3)),"")</f>
        <v/>
      </c>
      <c r="F34" t="str">
        <f t="array" aca="1" ref="F34" ca="1">IFERROR(INDEX(Source!$A$1:$A$250,SMALL(IF(--(Source!$B$1:$B$250=$O34)*--(Source!$E$1:$E$250=$M$3)*--(Source!$D$1:$D$250=Pyramid!$M34),ROW(Source!$B$1:$B$250),FALSE),F$3)),"")</f>
        <v/>
      </c>
      <c r="G34" t="str">
        <f t="array" aca="1" ref="G34" ca="1">IFERROR(INDEX(Source!$A$1:$A$250,SMALL(IF(--(Source!$B$1:$B$250=$O34)*--(Source!$E$1:$E$250=$M$3)*--(Source!$D$1:$D$250=Pyramid!$M34),ROW(Source!$B$1:$B$250),FALSE),G$3)),"")</f>
        <v/>
      </c>
      <c r="H34" t="str">
        <f t="array" aca="1" ref="H34" ca="1">IFERROR(INDEX(Source!$A$1:$A$250,SMALL(IF(--(Source!$B$1:$B$250=$O34)*--(Source!$E$1:$E$250=$M$3)*--(Source!$D$1:$D$250=Pyramid!$M34),ROW(Source!$B$1:$B$250),FALSE),H$3)),"")</f>
        <v/>
      </c>
      <c r="I34" t="str">
        <f t="array" aca="1" ref="I34" ca="1">IFERROR(INDEX(Source!$A$1:$A$250,SMALL(IF(--(Source!$B$1:$B$250=$O34)*--(Source!$E$1:$E$250=$M$3)*--(Source!$D$1:$D$250=Pyramid!$M34),ROW(Source!$B$1:$B$250),FALSE),I$3)),"")</f>
        <v/>
      </c>
      <c r="J34" t="str">
        <f t="array" aca="1" ref="J34" ca="1">IFERROR(INDEX(Source!$A$1:$A$250,SMALL(IF(--(Source!$B$1:$B$250=$O34)*--(Source!$E$1:$E$250=$M$3)*--(Source!$D$1:$D$250=Pyramid!$M34),ROW(Source!$B$1:$B$250),FALSE),J$3)),"")</f>
        <v/>
      </c>
      <c r="K34" t="str">
        <f t="array" aca="1" ref="K34" ca="1">IFERROR(INDEX(Source!$A$1:$A$250,SMALL(IF(--(Source!$B$1:$B$250=$O34)*--(Source!$E$1:$E$250=$M$3)*--(Source!$D$1:$D$250=Pyramid!$M34),ROW(Source!$B$1:$B$250),FALSE),K$3)),"")</f>
        <v/>
      </c>
      <c r="L34" t="str">
        <f t="array" aca="1" ref="L34" ca="1">IFERROR(INDEX(Source!$A$1:$A$250,SMALL(IF(--(Source!$B$1:$B$250=$O34)*--(Source!$E$1:$E$250=$M$3)*--(Source!$D$1:$D$250=Pyramid!$M34),ROW(Source!$B$1:$B$250),FALSE),L$3)),"")</f>
        <v/>
      </c>
      <c r="M34" t="str">
        <f t="shared" si="2"/>
        <v>29/6/2016</v>
      </c>
      <c r="N34">
        <f ca="1">COUNTIFS(Source!B:B,Pyramid!$O34,Source!$D:$D,Pyramid!$M34,Source!$E:$E,Pyramid!$M$3)</f>
        <v>0</v>
      </c>
      <c r="O34">
        <f ca="1">OFFSET(Sheet2!$N$3,INT(C34/5),)</f>
        <v>17800</v>
      </c>
      <c r="P34">
        <f ca="1">COUNTIFS(Source!B:B,Pyramid!$O34,Source!D:D,Pyramid!$Q34,Source!$E:$E,Pyramid!$Q$3)</f>
        <v>0</v>
      </c>
      <c r="Q34" t="str">
        <f t="shared" si="2"/>
        <v>29/6/2016</v>
      </c>
      <c r="R34" t="str">
        <f t="array" aca="1" ref="R34" ca="1">IFERROR(INDEX(Source!$A$1:$A$250,SMALL(IF(--(Source!$B$1:$B$250=$O34)*--(Source!$E$1:$E$250=$Q$3)*--(Source!$D$1:$D$250=Pyramid!$Q34),ROW(Source!$B$1:$B$250),FALSE),R$3)),"")</f>
        <v/>
      </c>
      <c r="S34" t="str">
        <f t="array" aca="1" ref="S34" ca="1">IFERROR(INDEX(Source!$A$1:$A$250,SMALL(IF(--(Source!$B$1:$B$250=$O34)*--(Source!$E$1:$E$250=$Q$3)*--(Source!$D$1:$D$250=Pyramid!$Q34),ROW(Source!$B$1:$B$250),FALSE),S$3)),"")</f>
        <v/>
      </c>
      <c r="T34" t="str">
        <f t="array" aca="1" ref="T34" ca="1">IFERROR(INDEX(Source!$A$1:$A$250,SMALL(IF(--(Source!$B$1:$B$250=$O34)*--(Source!$E$1:$E$250=$Q$3)*--(Source!$D$1:$D$250=Pyramid!$Q34),ROW(Source!$B$1:$B$250),FALSE),T$3)),"")</f>
        <v/>
      </c>
      <c r="U34" t="str">
        <f t="array" aca="1" ref="U34" ca="1">IFERROR(INDEX(Source!$A$1:$A$250,SMALL(IF(--(Source!$B$1:$B$250=$O34)*--(Source!$E$1:$E$250=$Q$3)*--(Source!$D$1:$D$250=Pyramid!$Q34),ROW(Source!$B$1:$B$250),FALSE),U$3)),"")</f>
        <v/>
      </c>
      <c r="V34" t="str">
        <f t="array" aca="1" ref="V34" ca="1">IFERROR(INDEX(Source!$A$1:$A$250,SMALL(IF(--(Source!$B$1:$B$250=$O34)*--(Source!$E$1:$E$250=$Q$3)*--(Source!$D$1:$D$250=Pyramid!$Q34),ROW(Source!$B$1:$B$250),FALSE),V$3)),"")</f>
        <v/>
      </c>
      <c r="W34" t="str">
        <f t="array" aca="1" ref="W34" ca="1">IFERROR(INDEX(Source!$A$1:$A$250,SMALL(IF(--(Source!$B$1:$B$250=$O34)*--(Source!$E$1:$E$250=$Q$3)*--(Source!$D$1:$D$250=Pyramid!$Q34),ROW(Source!$B$1:$B$250),FALSE),W$3)),"")</f>
        <v/>
      </c>
      <c r="X34" t="str">
        <f t="array" aca="1" ref="X34" ca="1">IFERROR(INDEX(Source!$A$1:$A$250,SMALL(IF(--(Source!$B$1:$B$250=$O34)*--(Source!$E$1:$E$250=$Q$3)*--(Source!$D$1:$D$250=Pyramid!$Q34),ROW(Source!$B$1:$B$250),FALSE),X$3)),"")</f>
        <v/>
      </c>
      <c r="Y34" s="5">
        <f t="shared" ca="1" si="3"/>
        <v>0</v>
      </c>
    </row>
    <row r="35" spans="3:25">
      <c r="C35">
        <v>31</v>
      </c>
      <c r="D35" s="5">
        <f t="shared" ca="1" si="1"/>
        <v>0</v>
      </c>
      <c r="E35" t="str">
        <f t="array" aca="1" ref="E35" ca="1">IFERROR(INDEX(Source!$A$1:$A$250,SMALL(IF(--(Source!$B$1:$B$250=$O35)*--(Source!$E$1:$E$250=$M$3)*--(Source!$D$1:$D$250=Pyramid!$M35),ROW(Source!$B$1:$B$250),FALSE),E$3)),"")</f>
        <v/>
      </c>
      <c r="F35" t="str">
        <f t="array" aca="1" ref="F35" ca="1">IFERROR(INDEX(Source!$A$1:$A$250,SMALL(IF(--(Source!$B$1:$B$250=$O35)*--(Source!$E$1:$E$250=$M$3)*--(Source!$D$1:$D$250=Pyramid!$M35),ROW(Source!$B$1:$B$250),FALSE),F$3)),"")</f>
        <v/>
      </c>
      <c r="G35" t="str">
        <f t="array" aca="1" ref="G35" ca="1">IFERROR(INDEX(Source!$A$1:$A$250,SMALL(IF(--(Source!$B$1:$B$250=$O35)*--(Source!$E$1:$E$250=$M$3)*--(Source!$D$1:$D$250=Pyramid!$M35),ROW(Source!$B$1:$B$250),FALSE),G$3)),"")</f>
        <v/>
      </c>
      <c r="H35" t="str">
        <f t="array" aca="1" ref="H35" ca="1">IFERROR(INDEX(Source!$A$1:$A$250,SMALL(IF(--(Source!$B$1:$B$250=$O35)*--(Source!$E$1:$E$250=$M$3)*--(Source!$D$1:$D$250=Pyramid!$M35),ROW(Source!$B$1:$B$250),FALSE),H$3)),"")</f>
        <v/>
      </c>
      <c r="I35" t="str">
        <f t="array" aca="1" ref="I35" ca="1">IFERROR(INDEX(Source!$A$1:$A$250,SMALL(IF(--(Source!$B$1:$B$250=$O35)*--(Source!$E$1:$E$250=$M$3)*--(Source!$D$1:$D$250=Pyramid!$M35),ROW(Source!$B$1:$B$250),FALSE),I$3)),"")</f>
        <v/>
      </c>
      <c r="J35" t="str">
        <f t="array" aca="1" ref="J35" ca="1">IFERROR(INDEX(Source!$A$1:$A$250,SMALL(IF(--(Source!$B$1:$B$250=$O35)*--(Source!$E$1:$E$250=$M$3)*--(Source!$D$1:$D$250=Pyramid!$M35),ROW(Source!$B$1:$B$250),FALSE),J$3)),"")</f>
        <v/>
      </c>
      <c r="K35" t="str">
        <f t="array" aca="1" ref="K35" ca="1">IFERROR(INDEX(Source!$A$1:$A$250,SMALL(IF(--(Source!$B$1:$B$250=$O35)*--(Source!$E$1:$E$250=$M$3)*--(Source!$D$1:$D$250=Pyramid!$M35),ROW(Source!$B$1:$B$250),FALSE),K$3)),"")</f>
        <v/>
      </c>
      <c r="L35" t="str">
        <f t="array" aca="1" ref="L35" ca="1">IFERROR(INDEX(Source!$A$1:$A$250,SMALL(IF(--(Source!$B$1:$B$250=$O35)*--(Source!$E$1:$E$250=$M$3)*--(Source!$D$1:$D$250=Pyramid!$M35),ROW(Source!$B$1:$B$250),FALSE),L$3)),"")</f>
        <v/>
      </c>
      <c r="M35" t="str">
        <f t="shared" si="2"/>
        <v>28/7/2016</v>
      </c>
      <c r="N35">
        <f ca="1">COUNTIFS(Source!B:B,Pyramid!$O35,Source!$D:$D,Pyramid!$M35,Source!$E:$E,Pyramid!$M$3)</f>
        <v>0</v>
      </c>
      <c r="O35">
        <f ca="1">OFFSET(Sheet2!$N$3,INT(C35/5),)</f>
        <v>17800</v>
      </c>
      <c r="P35">
        <f ca="1">COUNTIFS(Source!B:B,Pyramid!$O35,Source!D:D,Pyramid!$Q35,Source!$E:$E,Pyramid!$Q$3)</f>
        <v>0</v>
      </c>
      <c r="Q35" t="str">
        <f t="shared" si="2"/>
        <v>28/7/2016</v>
      </c>
      <c r="R35" t="str">
        <f t="array" aca="1" ref="R35" ca="1">IFERROR(INDEX(Source!$A$1:$A$250,SMALL(IF(--(Source!$B$1:$B$250=$O35)*--(Source!$E$1:$E$250=$Q$3)*--(Source!$D$1:$D$250=Pyramid!$Q35),ROW(Source!$B$1:$B$250),FALSE),R$3)),"")</f>
        <v/>
      </c>
      <c r="S35" t="str">
        <f t="array" aca="1" ref="S35" ca="1">IFERROR(INDEX(Source!$A$1:$A$250,SMALL(IF(--(Source!$B$1:$B$250=$O35)*--(Source!$E$1:$E$250=$Q$3)*--(Source!$D$1:$D$250=Pyramid!$Q35),ROW(Source!$B$1:$B$250),FALSE),S$3)),"")</f>
        <v/>
      </c>
      <c r="T35" t="str">
        <f t="array" aca="1" ref="T35" ca="1">IFERROR(INDEX(Source!$A$1:$A$250,SMALL(IF(--(Source!$B$1:$B$250=$O35)*--(Source!$E$1:$E$250=$Q$3)*--(Source!$D$1:$D$250=Pyramid!$Q35),ROW(Source!$B$1:$B$250),FALSE),T$3)),"")</f>
        <v/>
      </c>
      <c r="U35" t="str">
        <f t="array" aca="1" ref="U35" ca="1">IFERROR(INDEX(Source!$A$1:$A$250,SMALL(IF(--(Source!$B$1:$B$250=$O35)*--(Source!$E$1:$E$250=$Q$3)*--(Source!$D$1:$D$250=Pyramid!$Q35),ROW(Source!$B$1:$B$250),FALSE),U$3)),"")</f>
        <v/>
      </c>
      <c r="V35" t="str">
        <f t="array" aca="1" ref="V35" ca="1">IFERROR(INDEX(Source!$A$1:$A$250,SMALL(IF(--(Source!$B$1:$B$250=$O35)*--(Source!$E$1:$E$250=$Q$3)*--(Source!$D$1:$D$250=Pyramid!$Q35),ROW(Source!$B$1:$B$250),FALSE),V$3)),"")</f>
        <v/>
      </c>
      <c r="W35" t="str">
        <f t="array" aca="1" ref="W35" ca="1">IFERROR(INDEX(Source!$A$1:$A$250,SMALL(IF(--(Source!$B$1:$B$250=$O35)*--(Source!$E$1:$E$250=$Q$3)*--(Source!$D$1:$D$250=Pyramid!$Q35),ROW(Source!$B$1:$B$250),FALSE),W$3)),"")</f>
        <v/>
      </c>
      <c r="X35" t="str">
        <f t="array" aca="1" ref="X35" ca="1">IFERROR(INDEX(Source!$A$1:$A$250,SMALL(IF(--(Source!$B$1:$B$250=$O35)*--(Source!$E$1:$E$250=$Q$3)*--(Source!$D$1:$D$250=Pyramid!$Q35),ROW(Source!$B$1:$B$250),FALSE),X$3)),"")</f>
        <v/>
      </c>
      <c r="Y35" s="5">
        <f t="shared" ca="1" si="3"/>
        <v>0</v>
      </c>
    </row>
    <row r="36" spans="3:25">
      <c r="C36">
        <v>32</v>
      </c>
      <c r="D36" s="5">
        <f t="shared" ca="1" si="1"/>
        <v>0</v>
      </c>
      <c r="E36" t="str">
        <f t="array" aca="1" ref="E36" ca="1">IFERROR(INDEX(Source!$A$1:$A$250,SMALL(IF(--(Source!$B$1:$B$250=$O36)*--(Source!$E$1:$E$250=$M$3)*--(Source!$D$1:$D$250=Pyramid!$M36),ROW(Source!$B$1:$B$250),FALSE),E$3)),"")</f>
        <v/>
      </c>
      <c r="F36" t="str">
        <f t="array" aca="1" ref="F36" ca="1">IFERROR(INDEX(Source!$A$1:$A$250,SMALL(IF(--(Source!$B$1:$B$250=$O36)*--(Source!$E$1:$E$250=$M$3)*--(Source!$D$1:$D$250=Pyramid!$M36),ROW(Source!$B$1:$B$250),FALSE),F$3)),"")</f>
        <v/>
      </c>
      <c r="G36" t="str">
        <f t="array" aca="1" ref="G36" ca="1">IFERROR(INDEX(Source!$A$1:$A$250,SMALL(IF(--(Source!$B$1:$B$250=$O36)*--(Source!$E$1:$E$250=$M$3)*--(Source!$D$1:$D$250=Pyramid!$M36),ROW(Source!$B$1:$B$250),FALSE),G$3)),"")</f>
        <v/>
      </c>
      <c r="H36" t="str">
        <f t="array" aca="1" ref="H36" ca="1">IFERROR(INDEX(Source!$A$1:$A$250,SMALL(IF(--(Source!$B$1:$B$250=$O36)*--(Source!$E$1:$E$250=$M$3)*--(Source!$D$1:$D$250=Pyramid!$M36),ROW(Source!$B$1:$B$250),FALSE),H$3)),"")</f>
        <v/>
      </c>
      <c r="I36" t="str">
        <f t="array" aca="1" ref="I36" ca="1">IFERROR(INDEX(Source!$A$1:$A$250,SMALL(IF(--(Source!$B$1:$B$250=$O36)*--(Source!$E$1:$E$250=$M$3)*--(Source!$D$1:$D$250=Pyramid!$M36),ROW(Source!$B$1:$B$250),FALSE),I$3)),"")</f>
        <v/>
      </c>
      <c r="J36" t="str">
        <f t="array" aca="1" ref="J36" ca="1">IFERROR(INDEX(Source!$A$1:$A$250,SMALL(IF(--(Source!$B$1:$B$250=$O36)*--(Source!$E$1:$E$250=$M$3)*--(Source!$D$1:$D$250=Pyramid!$M36),ROW(Source!$B$1:$B$250),FALSE),J$3)),"")</f>
        <v/>
      </c>
      <c r="K36" t="str">
        <f t="array" aca="1" ref="K36" ca="1">IFERROR(INDEX(Source!$A$1:$A$250,SMALL(IF(--(Source!$B$1:$B$250=$O36)*--(Source!$E$1:$E$250=$M$3)*--(Source!$D$1:$D$250=Pyramid!$M36),ROW(Source!$B$1:$B$250),FALSE),K$3)),"")</f>
        <v/>
      </c>
      <c r="L36" t="str">
        <f t="array" aca="1" ref="L36" ca="1">IFERROR(INDEX(Source!$A$1:$A$250,SMALL(IF(--(Source!$B$1:$B$250=$O36)*--(Source!$E$1:$E$250=$M$3)*--(Source!$D$1:$D$250=Pyramid!$M36),ROW(Source!$B$1:$B$250),FALSE),L$3)),"")</f>
        <v/>
      </c>
      <c r="M36" t="str">
        <f t="shared" si="2"/>
        <v>30/8/2016</v>
      </c>
      <c r="N36">
        <f ca="1">COUNTIFS(Source!B:B,Pyramid!$O36,Source!$D:$D,Pyramid!$M36,Source!$E:$E,Pyramid!$M$3)</f>
        <v>0</v>
      </c>
      <c r="O36">
        <f ca="1">OFFSET(Sheet2!$N$3,INT(C36/5),)</f>
        <v>17800</v>
      </c>
      <c r="P36">
        <f ca="1">COUNTIFS(Source!B:B,Pyramid!$O36,Source!D:D,Pyramid!$Q36,Source!$E:$E,Pyramid!$Q$3)</f>
        <v>1</v>
      </c>
      <c r="Q36" t="str">
        <f t="shared" si="2"/>
        <v>30/8/2016</v>
      </c>
      <c r="R36" t="str">
        <f t="array" aca="1" ref="R36" ca="1">IFERROR(INDEX(Source!$A$1:$A$250,SMALL(IF(--(Source!$B$1:$B$250=$O36)*--(Source!$E$1:$E$250=$Q$3)*--(Source!$D$1:$D$250=Pyramid!$Q36),ROW(Source!$B$1:$B$250),FALSE),R$3)),"")</f>
        <v>25946 HK Equity</v>
      </c>
      <c r="S36" t="str">
        <f t="array" aca="1" ref="S36" ca="1">IFERROR(INDEX(Source!$A$1:$A$250,SMALL(IF(--(Source!$B$1:$B$250=$O36)*--(Source!$E$1:$E$250=$Q$3)*--(Source!$D$1:$D$250=Pyramid!$Q36),ROW(Source!$B$1:$B$250),FALSE),S$3)),"")</f>
        <v/>
      </c>
      <c r="T36" t="str">
        <f t="array" aca="1" ref="T36" ca="1">IFERROR(INDEX(Source!$A$1:$A$250,SMALL(IF(--(Source!$B$1:$B$250=$O36)*--(Source!$E$1:$E$250=$Q$3)*--(Source!$D$1:$D$250=Pyramid!$Q36),ROW(Source!$B$1:$B$250),FALSE),T$3)),"")</f>
        <v/>
      </c>
      <c r="U36" t="str">
        <f t="array" aca="1" ref="U36" ca="1">IFERROR(INDEX(Source!$A$1:$A$250,SMALL(IF(--(Source!$B$1:$B$250=$O36)*--(Source!$E$1:$E$250=$Q$3)*--(Source!$D$1:$D$250=Pyramid!$Q36),ROW(Source!$B$1:$B$250),FALSE),U$3)),"")</f>
        <v/>
      </c>
      <c r="V36" t="str">
        <f t="array" aca="1" ref="V36" ca="1">IFERROR(INDEX(Source!$A$1:$A$250,SMALL(IF(--(Source!$B$1:$B$250=$O36)*--(Source!$E$1:$E$250=$Q$3)*--(Source!$D$1:$D$250=Pyramid!$Q36),ROW(Source!$B$1:$B$250),FALSE),V$3)),"")</f>
        <v/>
      </c>
      <c r="W36" t="str">
        <f t="array" aca="1" ref="W36" ca="1">IFERROR(INDEX(Source!$A$1:$A$250,SMALL(IF(--(Source!$B$1:$B$250=$O36)*--(Source!$E$1:$E$250=$Q$3)*--(Source!$D$1:$D$250=Pyramid!$Q36),ROW(Source!$B$1:$B$250),FALSE),W$3)),"")</f>
        <v/>
      </c>
      <c r="X36" t="str">
        <f t="array" aca="1" ref="X36" ca="1">IFERROR(INDEX(Source!$A$1:$A$250,SMALL(IF(--(Source!$B$1:$B$250=$O36)*--(Source!$E$1:$E$250=$Q$3)*--(Source!$D$1:$D$250=Pyramid!$Q36),ROW(Source!$B$1:$B$250),FALSE),X$3)),"")</f>
        <v/>
      </c>
      <c r="Y36" s="5">
        <f t="shared" ca="1" si="3"/>
        <v>0</v>
      </c>
    </row>
    <row r="37" spans="3:25">
      <c r="C37">
        <v>33</v>
      </c>
      <c r="D37" s="5">
        <f t="shared" ca="1" si="1"/>
        <v>0</v>
      </c>
      <c r="E37" t="str">
        <f t="array" aca="1" ref="E37" ca="1">IFERROR(INDEX(Source!$A$1:$A$250,SMALL(IF(--(Source!$B$1:$B$250=$O37)*--(Source!$E$1:$E$250=$M$3)*--(Source!$D$1:$D$250=Pyramid!$M37),ROW(Source!$B$1:$B$250),FALSE),E$3)),"")</f>
        <v/>
      </c>
      <c r="F37" t="str">
        <f t="array" aca="1" ref="F37" ca="1">IFERROR(INDEX(Source!$A$1:$A$250,SMALL(IF(--(Source!$B$1:$B$250=$O37)*--(Source!$E$1:$E$250=$M$3)*--(Source!$D$1:$D$250=Pyramid!$M37),ROW(Source!$B$1:$B$250),FALSE),F$3)),"")</f>
        <v/>
      </c>
      <c r="G37" t="str">
        <f t="array" aca="1" ref="G37" ca="1">IFERROR(INDEX(Source!$A$1:$A$250,SMALL(IF(--(Source!$B$1:$B$250=$O37)*--(Source!$E$1:$E$250=$M$3)*--(Source!$D$1:$D$250=Pyramid!$M37),ROW(Source!$B$1:$B$250),FALSE),G$3)),"")</f>
        <v/>
      </c>
      <c r="H37" t="str">
        <f t="array" aca="1" ref="H37" ca="1">IFERROR(INDEX(Source!$A$1:$A$250,SMALL(IF(--(Source!$B$1:$B$250=$O37)*--(Source!$E$1:$E$250=$M$3)*--(Source!$D$1:$D$250=Pyramid!$M37),ROW(Source!$B$1:$B$250),FALSE),H$3)),"")</f>
        <v/>
      </c>
      <c r="I37" t="str">
        <f t="array" aca="1" ref="I37" ca="1">IFERROR(INDEX(Source!$A$1:$A$250,SMALL(IF(--(Source!$B$1:$B$250=$O37)*--(Source!$E$1:$E$250=$M$3)*--(Source!$D$1:$D$250=Pyramid!$M37),ROW(Source!$B$1:$B$250),FALSE),I$3)),"")</f>
        <v/>
      </c>
      <c r="J37" t="str">
        <f t="array" aca="1" ref="J37" ca="1">IFERROR(INDEX(Source!$A$1:$A$250,SMALL(IF(--(Source!$B$1:$B$250=$O37)*--(Source!$E$1:$E$250=$M$3)*--(Source!$D$1:$D$250=Pyramid!$M37),ROW(Source!$B$1:$B$250),FALSE),J$3)),"")</f>
        <v/>
      </c>
      <c r="K37" t="str">
        <f t="array" aca="1" ref="K37" ca="1">IFERROR(INDEX(Source!$A$1:$A$250,SMALL(IF(--(Source!$B$1:$B$250=$O37)*--(Source!$E$1:$E$250=$M$3)*--(Source!$D$1:$D$250=Pyramid!$M37),ROW(Source!$B$1:$B$250),FALSE),K$3)),"")</f>
        <v/>
      </c>
      <c r="L37" t="str">
        <f t="array" aca="1" ref="L37" ca="1">IFERROR(INDEX(Source!$A$1:$A$250,SMALL(IF(--(Source!$B$1:$B$250=$O37)*--(Source!$E$1:$E$250=$M$3)*--(Source!$D$1:$D$250=Pyramid!$M37),ROW(Source!$B$1:$B$250),FALSE),L$3)),"")</f>
        <v/>
      </c>
      <c r="M37" t="str">
        <f t="shared" si="2"/>
        <v>29/9/2016</v>
      </c>
      <c r="N37">
        <f ca="1">COUNTIFS(Source!B:B,Pyramid!$O37,Source!$D:$D,Pyramid!$M37,Source!$E:$E,Pyramid!$M$3)</f>
        <v>0</v>
      </c>
      <c r="O37">
        <f ca="1">OFFSET(Sheet2!$N$3,INT(C37/5),)</f>
        <v>17800</v>
      </c>
      <c r="P37">
        <f ca="1">COUNTIFS(Source!B:B,Pyramid!$O37,Source!D:D,Pyramid!$Q37,Source!$E:$E,Pyramid!$Q$3)</f>
        <v>0</v>
      </c>
      <c r="Q37" t="str">
        <f t="shared" si="2"/>
        <v>29/9/2016</v>
      </c>
      <c r="R37" t="str">
        <f t="array" aca="1" ref="R37" ca="1">IFERROR(INDEX(Source!$A$1:$A$250,SMALL(IF(--(Source!$B$1:$B$250=$O37)*--(Source!$E$1:$E$250=$Q$3)*--(Source!$D$1:$D$250=Pyramid!$Q37),ROW(Source!$B$1:$B$250),FALSE),R$3)),"")</f>
        <v/>
      </c>
      <c r="S37" t="str">
        <f t="array" aca="1" ref="S37" ca="1">IFERROR(INDEX(Source!$A$1:$A$250,SMALL(IF(--(Source!$B$1:$B$250=$O37)*--(Source!$E$1:$E$250=$Q$3)*--(Source!$D$1:$D$250=Pyramid!$Q37),ROW(Source!$B$1:$B$250),FALSE),S$3)),"")</f>
        <v/>
      </c>
      <c r="T37" t="str">
        <f t="array" aca="1" ref="T37" ca="1">IFERROR(INDEX(Source!$A$1:$A$250,SMALL(IF(--(Source!$B$1:$B$250=$O37)*--(Source!$E$1:$E$250=$Q$3)*--(Source!$D$1:$D$250=Pyramid!$Q37),ROW(Source!$B$1:$B$250),FALSE),T$3)),"")</f>
        <v/>
      </c>
      <c r="U37" t="str">
        <f t="array" aca="1" ref="U37" ca="1">IFERROR(INDEX(Source!$A$1:$A$250,SMALL(IF(--(Source!$B$1:$B$250=$O37)*--(Source!$E$1:$E$250=$Q$3)*--(Source!$D$1:$D$250=Pyramid!$Q37),ROW(Source!$B$1:$B$250),FALSE),U$3)),"")</f>
        <v/>
      </c>
      <c r="V37" t="str">
        <f t="array" aca="1" ref="V37" ca="1">IFERROR(INDEX(Source!$A$1:$A$250,SMALL(IF(--(Source!$B$1:$B$250=$O37)*--(Source!$E$1:$E$250=$Q$3)*--(Source!$D$1:$D$250=Pyramid!$Q37),ROW(Source!$B$1:$B$250),FALSE),V$3)),"")</f>
        <v/>
      </c>
      <c r="W37" t="str">
        <f t="array" aca="1" ref="W37" ca="1">IFERROR(INDEX(Source!$A$1:$A$250,SMALL(IF(--(Source!$B$1:$B$250=$O37)*--(Source!$E$1:$E$250=$Q$3)*--(Source!$D$1:$D$250=Pyramid!$Q37),ROW(Source!$B$1:$B$250),FALSE),W$3)),"")</f>
        <v/>
      </c>
      <c r="X37" t="str">
        <f t="array" aca="1" ref="X37" ca="1">IFERROR(INDEX(Source!$A$1:$A$250,SMALL(IF(--(Source!$B$1:$B$250=$O37)*--(Source!$E$1:$E$250=$Q$3)*--(Source!$D$1:$D$250=Pyramid!$Q37),ROW(Source!$B$1:$B$250),FALSE),X$3)),"")</f>
        <v/>
      </c>
      <c r="Y37" s="5">
        <f t="shared" ca="1" si="3"/>
        <v>0</v>
      </c>
    </row>
    <row r="38" spans="3:25">
      <c r="C38">
        <v>34</v>
      </c>
      <c r="D38" s="5">
        <f t="shared" ca="1" si="1"/>
        <v>0</v>
      </c>
      <c r="E38" t="str">
        <f t="array" aca="1" ref="E38" ca="1">IFERROR(INDEX(Source!$A$1:$A$250,SMALL(IF(--(Source!$B$1:$B$250=$O38)*--(Source!$E$1:$E$250=$M$3)*--(Source!$D$1:$D$250=Pyramid!$M38),ROW(Source!$B$1:$B$250),FALSE),E$3)),"")</f>
        <v/>
      </c>
      <c r="F38" t="str">
        <f t="array" aca="1" ref="F38" ca="1">IFERROR(INDEX(Source!$A$1:$A$250,SMALL(IF(--(Source!$B$1:$B$250=$O38)*--(Source!$E$1:$E$250=$M$3)*--(Source!$D$1:$D$250=Pyramid!$M38),ROW(Source!$B$1:$B$250),FALSE),F$3)),"")</f>
        <v/>
      </c>
      <c r="G38" t="str">
        <f t="array" aca="1" ref="G38" ca="1">IFERROR(INDEX(Source!$A$1:$A$250,SMALL(IF(--(Source!$B$1:$B$250=$O38)*--(Source!$E$1:$E$250=$M$3)*--(Source!$D$1:$D$250=Pyramid!$M38),ROW(Source!$B$1:$B$250),FALSE),G$3)),"")</f>
        <v/>
      </c>
      <c r="H38" t="str">
        <f t="array" aca="1" ref="H38" ca="1">IFERROR(INDEX(Source!$A$1:$A$250,SMALL(IF(--(Source!$B$1:$B$250=$O38)*--(Source!$E$1:$E$250=$M$3)*--(Source!$D$1:$D$250=Pyramid!$M38),ROW(Source!$B$1:$B$250),FALSE),H$3)),"")</f>
        <v/>
      </c>
      <c r="I38" t="str">
        <f t="array" aca="1" ref="I38" ca="1">IFERROR(INDEX(Source!$A$1:$A$250,SMALL(IF(--(Source!$B$1:$B$250=$O38)*--(Source!$E$1:$E$250=$M$3)*--(Source!$D$1:$D$250=Pyramid!$M38),ROW(Source!$B$1:$B$250),FALSE),I$3)),"")</f>
        <v/>
      </c>
      <c r="J38" t="str">
        <f t="array" aca="1" ref="J38" ca="1">IFERROR(INDEX(Source!$A$1:$A$250,SMALL(IF(--(Source!$B$1:$B$250=$O38)*--(Source!$E$1:$E$250=$M$3)*--(Source!$D$1:$D$250=Pyramid!$M38),ROW(Source!$B$1:$B$250),FALSE),J$3)),"")</f>
        <v/>
      </c>
      <c r="K38" t="str">
        <f t="array" aca="1" ref="K38" ca="1">IFERROR(INDEX(Source!$A$1:$A$250,SMALL(IF(--(Source!$B$1:$B$250=$O38)*--(Source!$E$1:$E$250=$M$3)*--(Source!$D$1:$D$250=Pyramid!$M38),ROW(Source!$B$1:$B$250),FALSE),K$3)),"")</f>
        <v/>
      </c>
      <c r="L38" t="str">
        <f t="array" aca="1" ref="L38" ca="1">IFERROR(INDEX(Source!$A$1:$A$250,SMALL(IF(--(Source!$B$1:$B$250=$O38)*--(Source!$E$1:$E$250=$M$3)*--(Source!$D$1:$D$250=Pyramid!$M38),ROW(Source!$B$1:$B$250),FALSE),L$3)),"")</f>
        <v/>
      </c>
      <c r="M38" t="str">
        <f t="shared" si="2"/>
        <v>28/10/2016</v>
      </c>
      <c r="N38">
        <f ca="1">COUNTIFS(Source!B:B,Pyramid!$O38,Source!$D:$D,Pyramid!$M38,Source!$E:$E,Pyramid!$M$3)</f>
        <v>0</v>
      </c>
      <c r="O38">
        <f ca="1">OFFSET(Sheet2!$N$3,INT(C38/5),)</f>
        <v>17800</v>
      </c>
      <c r="P38">
        <f ca="1">COUNTIFS(Source!B:B,Pyramid!$O38,Source!D:D,Pyramid!$Q38,Source!$E:$E,Pyramid!$Q$3)</f>
        <v>0</v>
      </c>
      <c r="Q38" t="str">
        <f t="shared" si="2"/>
        <v>28/10/2016</v>
      </c>
      <c r="R38" t="str">
        <f t="array" aca="1" ref="R38" ca="1">IFERROR(INDEX(Source!$A$1:$A$250,SMALL(IF(--(Source!$B$1:$B$250=$O38)*--(Source!$E$1:$E$250=$Q$3)*--(Source!$D$1:$D$250=Pyramid!$Q38),ROW(Source!$B$1:$B$250),FALSE),R$3)),"")</f>
        <v/>
      </c>
      <c r="S38" t="str">
        <f t="array" aca="1" ref="S38" ca="1">IFERROR(INDEX(Source!$A$1:$A$250,SMALL(IF(--(Source!$B$1:$B$250=$O38)*--(Source!$E$1:$E$250=$Q$3)*--(Source!$D$1:$D$250=Pyramid!$Q38),ROW(Source!$B$1:$B$250),FALSE),S$3)),"")</f>
        <v/>
      </c>
      <c r="T38" t="str">
        <f t="array" aca="1" ref="T38" ca="1">IFERROR(INDEX(Source!$A$1:$A$250,SMALL(IF(--(Source!$B$1:$B$250=$O38)*--(Source!$E$1:$E$250=$Q$3)*--(Source!$D$1:$D$250=Pyramid!$Q38),ROW(Source!$B$1:$B$250),FALSE),T$3)),"")</f>
        <v/>
      </c>
      <c r="U38" t="str">
        <f t="array" aca="1" ref="U38" ca="1">IFERROR(INDEX(Source!$A$1:$A$250,SMALL(IF(--(Source!$B$1:$B$250=$O38)*--(Source!$E$1:$E$250=$Q$3)*--(Source!$D$1:$D$250=Pyramid!$Q38),ROW(Source!$B$1:$B$250),FALSE),U$3)),"")</f>
        <v/>
      </c>
      <c r="V38" t="str">
        <f t="array" aca="1" ref="V38" ca="1">IFERROR(INDEX(Source!$A$1:$A$250,SMALL(IF(--(Source!$B$1:$B$250=$O38)*--(Source!$E$1:$E$250=$Q$3)*--(Source!$D$1:$D$250=Pyramid!$Q38),ROW(Source!$B$1:$B$250),FALSE),V$3)),"")</f>
        <v/>
      </c>
      <c r="W38" t="str">
        <f t="array" aca="1" ref="W38" ca="1">IFERROR(INDEX(Source!$A$1:$A$250,SMALL(IF(--(Source!$B$1:$B$250=$O38)*--(Source!$E$1:$E$250=$Q$3)*--(Source!$D$1:$D$250=Pyramid!$Q38),ROW(Source!$B$1:$B$250),FALSE),W$3)),"")</f>
        <v/>
      </c>
      <c r="X38" t="str">
        <f t="array" aca="1" ref="X38" ca="1">IFERROR(INDEX(Source!$A$1:$A$250,SMALL(IF(--(Source!$B$1:$B$250=$O38)*--(Source!$E$1:$E$250=$Q$3)*--(Source!$D$1:$D$250=Pyramid!$Q38),ROW(Source!$B$1:$B$250),FALSE),X$3)),"")</f>
        <v/>
      </c>
      <c r="Y38" s="5">
        <f t="shared" ca="1" si="3"/>
        <v>0</v>
      </c>
    </row>
    <row r="39" spans="3:25">
      <c r="C39">
        <v>35</v>
      </c>
      <c r="D39" s="5">
        <f t="shared" ca="1" si="1"/>
        <v>0</v>
      </c>
      <c r="E39" t="str">
        <f t="array" aca="1" ref="E39" ca="1">IFERROR(INDEX(Source!$A$1:$A$250,SMALL(IF(--(Source!$B$1:$B$250=$O39)*--(Source!$E$1:$E$250=$M$3)*--(Source!$D$1:$D$250=Pyramid!$M39),ROW(Source!$B$1:$B$250),FALSE),E$3)),"")</f>
        <v/>
      </c>
      <c r="F39" t="str">
        <f t="array" aca="1" ref="F39" ca="1">IFERROR(INDEX(Source!$A$1:$A$250,SMALL(IF(--(Source!$B$1:$B$250=$O39)*--(Source!$E$1:$E$250=$M$3)*--(Source!$D$1:$D$250=Pyramid!$M39),ROW(Source!$B$1:$B$250),FALSE),F$3)),"")</f>
        <v/>
      </c>
      <c r="G39" t="str">
        <f t="array" aca="1" ref="G39" ca="1">IFERROR(INDEX(Source!$A$1:$A$250,SMALL(IF(--(Source!$B$1:$B$250=$O39)*--(Source!$E$1:$E$250=$M$3)*--(Source!$D$1:$D$250=Pyramid!$M39),ROW(Source!$B$1:$B$250),FALSE),G$3)),"")</f>
        <v/>
      </c>
      <c r="H39" t="str">
        <f t="array" aca="1" ref="H39" ca="1">IFERROR(INDEX(Source!$A$1:$A$250,SMALL(IF(--(Source!$B$1:$B$250=$O39)*--(Source!$E$1:$E$250=$M$3)*--(Source!$D$1:$D$250=Pyramid!$M39),ROW(Source!$B$1:$B$250),FALSE),H$3)),"")</f>
        <v/>
      </c>
      <c r="I39" t="str">
        <f t="array" aca="1" ref="I39" ca="1">IFERROR(INDEX(Source!$A$1:$A$250,SMALL(IF(--(Source!$B$1:$B$250=$O39)*--(Source!$E$1:$E$250=$M$3)*--(Source!$D$1:$D$250=Pyramid!$M39),ROW(Source!$B$1:$B$250),FALSE),I$3)),"")</f>
        <v/>
      </c>
      <c r="J39" t="str">
        <f t="array" aca="1" ref="J39" ca="1">IFERROR(INDEX(Source!$A$1:$A$250,SMALL(IF(--(Source!$B$1:$B$250=$O39)*--(Source!$E$1:$E$250=$M$3)*--(Source!$D$1:$D$250=Pyramid!$M39),ROW(Source!$B$1:$B$250),FALSE),J$3)),"")</f>
        <v/>
      </c>
      <c r="K39" t="str">
        <f t="array" aca="1" ref="K39" ca="1">IFERROR(INDEX(Source!$A$1:$A$250,SMALL(IF(--(Source!$B$1:$B$250=$O39)*--(Source!$E$1:$E$250=$M$3)*--(Source!$D$1:$D$250=Pyramid!$M39),ROW(Source!$B$1:$B$250),FALSE),K$3)),"")</f>
        <v/>
      </c>
      <c r="L39" t="str">
        <f t="array" aca="1" ref="L39" ca="1">IFERROR(INDEX(Source!$A$1:$A$250,SMALL(IF(--(Source!$B$1:$B$250=$O39)*--(Source!$E$1:$E$250=$M$3)*--(Source!$D$1:$D$250=Pyramid!$M39),ROW(Source!$B$1:$B$250),FALSE),L$3)),"")</f>
        <v/>
      </c>
      <c r="M39" t="str">
        <f t="shared" si="2"/>
        <v>29/6/2016</v>
      </c>
      <c r="N39">
        <f ca="1">COUNTIFS(Source!B:B,Pyramid!$O39,Source!$D:$D,Pyramid!$M39,Source!$E:$E,Pyramid!$M$3)</f>
        <v>0</v>
      </c>
      <c r="O39">
        <f ca="1">OFFSET(Sheet2!$N$3,INT(C39/5),)</f>
        <v>17988</v>
      </c>
      <c r="P39">
        <f ca="1">COUNTIFS(Source!B:B,Pyramid!$O39,Source!D:D,Pyramid!$Q39,Source!$E:$E,Pyramid!$Q$3)</f>
        <v>0</v>
      </c>
      <c r="Q39" t="str">
        <f t="shared" si="2"/>
        <v>29/6/2016</v>
      </c>
      <c r="R39" t="str">
        <f t="array" aca="1" ref="R39" ca="1">IFERROR(INDEX(Source!$A$1:$A$250,SMALL(IF(--(Source!$B$1:$B$250=$O39)*--(Source!$E$1:$E$250=$Q$3)*--(Source!$D$1:$D$250=Pyramid!$Q39),ROW(Source!$B$1:$B$250),FALSE),R$3)),"")</f>
        <v/>
      </c>
      <c r="S39" t="str">
        <f t="array" aca="1" ref="S39" ca="1">IFERROR(INDEX(Source!$A$1:$A$250,SMALL(IF(--(Source!$B$1:$B$250=$O39)*--(Source!$E$1:$E$250=$Q$3)*--(Source!$D$1:$D$250=Pyramid!$Q39),ROW(Source!$B$1:$B$250),FALSE),S$3)),"")</f>
        <v/>
      </c>
      <c r="T39" t="str">
        <f t="array" aca="1" ref="T39" ca="1">IFERROR(INDEX(Source!$A$1:$A$250,SMALL(IF(--(Source!$B$1:$B$250=$O39)*--(Source!$E$1:$E$250=$Q$3)*--(Source!$D$1:$D$250=Pyramid!$Q39),ROW(Source!$B$1:$B$250),FALSE),T$3)),"")</f>
        <v/>
      </c>
      <c r="U39" t="str">
        <f t="array" aca="1" ref="U39" ca="1">IFERROR(INDEX(Source!$A$1:$A$250,SMALL(IF(--(Source!$B$1:$B$250=$O39)*--(Source!$E$1:$E$250=$Q$3)*--(Source!$D$1:$D$250=Pyramid!$Q39),ROW(Source!$B$1:$B$250),FALSE),U$3)),"")</f>
        <v/>
      </c>
      <c r="V39" t="str">
        <f t="array" aca="1" ref="V39" ca="1">IFERROR(INDEX(Source!$A$1:$A$250,SMALL(IF(--(Source!$B$1:$B$250=$O39)*--(Source!$E$1:$E$250=$Q$3)*--(Source!$D$1:$D$250=Pyramid!$Q39),ROW(Source!$B$1:$B$250),FALSE),V$3)),"")</f>
        <v/>
      </c>
      <c r="W39" t="str">
        <f t="array" aca="1" ref="W39" ca="1">IFERROR(INDEX(Source!$A$1:$A$250,SMALL(IF(--(Source!$B$1:$B$250=$O39)*--(Source!$E$1:$E$250=$Q$3)*--(Source!$D$1:$D$250=Pyramid!$Q39),ROW(Source!$B$1:$B$250),FALSE),W$3)),"")</f>
        <v/>
      </c>
      <c r="X39" t="str">
        <f t="array" aca="1" ref="X39" ca="1">IFERROR(INDEX(Source!$A$1:$A$250,SMALL(IF(--(Source!$B$1:$B$250=$O39)*--(Source!$E$1:$E$250=$Q$3)*--(Source!$D$1:$D$250=Pyramid!$Q39),ROW(Source!$B$1:$B$250),FALSE),X$3)),"")</f>
        <v/>
      </c>
      <c r="Y39" s="5">
        <f t="shared" ca="1" si="3"/>
        <v>0</v>
      </c>
    </row>
    <row r="40" spans="3:25">
      <c r="C40">
        <v>36</v>
      </c>
      <c r="D40" s="5">
        <f t="shared" ca="1" si="1"/>
        <v>0</v>
      </c>
      <c r="E40" t="str">
        <f t="array" aca="1" ref="E40" ca="1">IFERROR(INDEX(Source!$A$1:$A$250,SMALL(IF(--(Source!$B$1:$B$250=$O40)*--(Source!$E$1:$E$250=$M$3)*--(Source!$D$1:$D$250=Pyramid!$M40),ROW(Source!$B$1:$B$250),FALSE),E$3)),"")</f>
        <v/>
      </c>
      <c r="F40" t="str">
        <f t="array" aca="1" ref="F40" ca="1">IFERROR(INDEX(Source!$A$1:$A$250,SMALL(IF(--(Source!$B$1:$B$250=$O40)*--(Source!$E$1:$E$250=$M$3)*--(Source!$D$1:$D$250=Pyramid!$M40),ROW(Source!$B$1:$B$250),FALSE),F$3)),"")</f>
        <v/>
      </c>
      <c r="G40" t="str">
        <f t="array" aca="1" ref="G40" ca="1">IFERROR(INDEX(Source!$A$1:$A$250,SMALL(IF(--(Source!$B$1:$B$250=$O40)*--(Source!$E$1:$E$250=$M$3)*--(Source!$D$1:$D$250=Pyramid!$M40),ROW(Source!$B$1:$B$250),FALSE),G$3)),"")</f>
        <v/>
      </c>
      <c r="H40" t="str">
        <f t="array" aca="1" ref="H40" ca="1">IFERROR(INDEX(Source!$A$1:$A$250,SMALL(IF(--(Source!$B$1:$B$250=$O40)*--(Source!$E$1:$E$250=$M$3)*--(Source!$D$1:$D$250=Pyramid!$M40),ROW(Source!$B$1:$B$250),FALSE),H$3)),"")</f>
        <v/>
      </c>
      <c r="I40" t="str">
        <f t="array" aca="1" ref="I40" ca="1">IFERROR(INDEX(Source!$A$1:$A$250,SMALL(IF(--(Source!$B$1:$B$250=$O40)*--(Source!$E$1:$E$250=$M$3)*--(Source!$D$1:$D$250=Pyramid!$M40),ROW(Source!$B$1:$B$250),FALSE),I$3)),"")</f>
        <v/>
      </c>
      <c r="J40" t="str">
        <f t="array" aca="1" ref="J40" ca="1">IFERROR(INDEX(Source!$A$1:$A$250,SMALL(IF(--(Source!$B$1:$B$250=$O40)*--(Source!$E$1:$E$250=$M$3)*--(Source!$D$1:$D$250=Pyramid!$M40),ROW(Source!$B$1:$B$250),FALSE),J$3)),"")</f>
        <v/>
      </c>
      <c r="K40" t="str">
        <f t="array" aca="1" ref="K40" ca="1">IFERROR(INDEX(Source!$A$1:$A$250,SMALL(IF(--(Source!$B$1:$B$250=$O40)*--(Source!$E$1:$E$250=$M$3)*--(Source!$D$1:$D$250=Pyramid!$M40),ROW(Source!$B$1:$B$250),FALSE),K$3)),"")</f>
        <v/>
      </c>
      <c r="L40" t="str">
        <f t="array" aca="1" ref="L40" ca="1">IFERROR(INDEX(Source!$A$1:$A$250,SMALL(IF(--(Source!$B$1:$B$250=$O40)*--(Source!$E$1:$E$250=$M$3)*--(Source!$D$1:$D$250=Pyramid!$M40),ROW(Source!$B$1:$B$250),FALSE),L$3)),"")</f>
        <v/>
      </c>
      <c r="M40" t="str">
        <f t="shared" si="2"/>
        <v>28/7/2016</v>
      </c>
      <c r="N40">
        <f ca="1">COUNTIFS(Source!B:B,Pyramid!$O40,Source!$D:$D,Pyramid!$M40,Source!$E:$E,Pyramid!$M$3)</f>
        <v>0</v>
      </c>
      <c r="O40">
        <f ca="1">OFFSET(Sheet2!$N$3,INT(C40/5),)</f>
        <v>17988</v>
      </c>
      <c r="P40">
        <f ca="1">COUNTIFS(Source!B:B,Pyramid!$O40,Source!D:D,Pyramid!$Q40,Source!$E:$E,Pyramid!$Q$3)</f>
        <v>0</v>
      </c>
      <c r="Q40" t="str">
        <f t="shared" si="2"/>
        <v>28/7/2016</v>
      </c>
      <c r="R40" t="str">
        <f t="array" aca="1" ref="R40" ca="1">IFERROR(INDEX(Source!$A$1:$A$250,SMALL(IF(--(Source!$B$1:$B$250=$O40)*--(Source!$E$1:$E$250=$Q$3)*--(Source!$D$1:$D$250=Pyramid!$Q40),ROW(Source!$B$1:$B$250),FALSE),R$3)),"")</f>
        <v/>
      </c>
      <c r="S40" t="str">
        <f t="array" aca="1" ref="S40" ca="1">IFERROR(INDEX(Source!$A$1:$A$250,SMALL(IF(--(Source!$B$1:$B$250=$O40)*--(Source!$E$1:$E$250=$Q$3)*--(Source!$D$1:$D$250=Pyramid!$Q40),ROW(Source!$B$1:$B$250),FALSE),S$3)),"")</f>
        <v/>
      </c>
      <c r="T40" t="str">
        <f t="array" aca="1" ref="T40" ca="1">IFERROR(INDEX(Source!$A$1:$A$250,SMALL(IF(--(Source!$B$1:$B$250=$O40)*--(Source!$E$1:$E$250=$Q$3)*--(Source!$D$1:$D$250=Pyramid!$Q40),ROW(Source!$B$1:$B$250),FALSE),T$3)),"")</f>
        <v/>
      </c>
      <c r="U40" t="str">
        <f t="array" aca="1" ref="U40" ca="1">IFERROR(INDEX(Source!$A$1:$A$250,SMALL(IF(--(Source!$B$1:$B$250=$O40)*--(Source!$E$1:$E$250=$Q$3)*--(Source!$D$1:$D$250=Pyramid!$Q40),ROW(Source!$B$1:$B$250),FALSE),U$3)),"")</f>
        <v/>
      </c>
      <c r="V40" t="str">
        <f t="array" aca="1" ref="V40" ca="1">IFERROR(INDEX(Source!$A$1:$A$250,SMALL(IF(--(Source!$B$1:$B$250=$O40)*--(Source!$E$1:$E$250=$Q$3)*--(Source!$D$1:$D$250=Pyramid!$Q40),ROW(Source!$B$1:$B$250),FALSE),V$3)),"")</f>
        <v/>
      </c>
      <c r="W40" t="str">
        <f t="array" aca="1" ref="W40" ca="1">IFERROR(INDEX(Source!$A$1:$A$250,SMALL(IF(--(Source!$B$1:$B$250=$O40)*--(Source!$E$1:$E$250=$Q$3)*--(Source!$D$1:$D$250=Pyramid!$Q40),ROW(Source!$B$1:$B$250),FALSE),W$3)),"")</f>
        <v/>
      </c>
      <c r="X40" t="str">
        <f t="array" aca="1" ref="X40" ca="1">IFERROR(INDEX(Source!$A$1:$A$250,SMALL(IF(--(Source!$B$1:$B$250=$O40)*--(Source!$E$1:$E$250=$Q$3)*--(Source!$D$1:$D$250=Pyramid!$Q40),ROW(Source!$B$1:$B$250),FALSE),X$3)),"")</f>
        <v/>
      </c>
      <c r="Y40" s="5">
        <f t="shared" ca="1" si="3"/>
        <v>0</v>
      </c>
    </row>
    <row r="41" spans="3:25">
      <c r="C41">
        <v>37</v>
      </c>
      <c r="D41" s="5">
        <f t="shared" ca="1" si="1"/>
        <v>0</v>
      </c>
      <c r="E41" t="str">
        <f t="array" aca="1" ref="E41" ca="1">IFERROR(INDEX(Source!$A$1:$A$250,SMALL(IF(--(Source!$B$1:$B$250=$O41)*--(Source!$E$1:$E$250=$M$3)*--(Source!$D$1:$D$250=Pyramid!$M41),ROW(Source!$B$1:$B$250),FALSE),E$3)),"")</f>
        <v/>
      </c>
      <c r="F41" t="str">
        <f t="array" aca="1" ref="F41" ca="1">IFERROR(INDEX(Source!$A$1:$A$250,SMALL(IF(--(Source!$B$1:$B$250=$O41)*--(Source!$E$1:$E$250=$M$3)*--(Source!$D$1:$D$250=Pyramid!$M41),ROW(Source!$B$1:$B$250),FALSE),F$3)),"")</f>
        <v/>
      </c>
      <c r="G41" t="str">
        <f t="array" aca="1" ref="G41" ca="1">IFERROR(INDEX(Source!$A$1:$A$250,SMALL(IF(--(Source!$B$1:$B$250=$O41)*--(Source!$E$1:$E$250=$M$3)*--(Source!$D$1:$D$250=Pyramid!$M41),ROW(Source!$B$1:$B$250),FALSE),G$3)),"")</f>
        <v/>
      </c>
      <c r="H41" t="str">
        <f t="array" aca="1" ref="H41" ca="1">IFERROR(INDEX(Source!$A$1:$A$250,SMALL(IF(--(Source!$B$1:$B$250=$O41)*--(Source!$E$1:$E$250=$M$3)*--(Source!$D$1:$D$250=Pyramid!$M41),ROW(Source!$B$1:$B$250),FALSE),H$3)),"")</f>
        <v/>
      </c>
      <c r="I41" t="str">
        <f t="array" aca="1" ref="I41" ca="1">IFERROR(INDEX(Source!$A$1:$A$250,SMALL(IF(--(Source!$B$1:$B$250=$O41)*--(Source!$E$1:$E$250=$M$3)*--(Source!$D$1:$D$250=Pyramid!$M41),ROW(Source!$B$1:$B$250),FALSE),I$3)),"")</f>
        <v/>
      </c>
      <c r="J41" t="str">
        <f t="array" aca="1" ref="J41" ca="1">IFERROR(INDEX(Source!$A$1:$A$250,SMALL(IF(--(Source!$B$1:$B$250=$O41)*--(Source!$E$1:$E$250=$M$3)*--(Source!$D$1:$D$250=Pyramid!$M41),ROW(Source!$B$1:$B$250),FALSE),J$3)),"")</f>
        <v/>
      </c>
      <c r="K41" t="str">
        <f t="array" aca="1" ref="K41" ca="1">IFERROR(INDEX(Source!$A$1:$A$250,SMALL(IF(--(Source!$B$1:$B$250=$O41)*--(Source!$E$1:$E$250=$M$3)*--(Source!$D$1:$D$250=Pyramid!$M41),ROW(Source!$B$1:$B$250),FALSE),K$3)),"")</f>
        <v/>
      </c>
      <c r="L41" t="str">
        <f t="array" aca="1" ref="L41" ca="1">IFERROR(INDEX(Source!$A$1:$A$250,SMALL(IF(--(Source!$B$1:$B$250=$O41)*--(Source!$E$1:$E$250=$M$3)*--(Source!$D$1:$D$250=Pyramid!$M41),ROW(Source!$B$1:$B$250),FALSE),L$3)),"")</f>
        <v/>
      </c>
      <c r="M41" t="str">
        <f t="shared" si="2"/>
        <v>30/8/2016</v>
      </c>
      <c r="N41">
        <f ca="1">COUNTIFS(Source!B:B,Pyramid!$O41,Source!$D:$D,Pyramid!$M41,Source!$E:$E,Pyramid!$M$3)</f>
        <v>0</v>
      </c>
      <c r="O41">
        <f ca="1">OFFSET(Sheet2!$N$3,INT(C41/5),)</f>
        <v>17988</v>
      </c>
      <c r="P41">
        <f ca="1">COUNTIFS(Source!B:B,Pyramid!$O41,Source!D:D,Pyramid!$Q41,Source!$E:$E,Pyramid!$Q$3)</f>
        <v>1</v>
      </c>
      <c r="Q41" t="str">
        <f t="shared" si="2"/>
        <v>30/8/2016</v>
      </c>
      <c r="R41" t="str">
        <f t="array" aca="1" ref="R41" ca="1">IFERROR(INDEX(Source!$A$1:$A$250,SMALL(IF(--(Source!$B$1:$B$250=$O41)*--(Source!$E$1:$E$250=$Q$3)*--(Source!$D$1:$D$250=Pyramid!$Q41),ROW(Source!$B$1:$B$250),FALSE),R$3)),"")</f>
        <v>26142 HK Equity</v>
      </c>
      <c r="S41" t="str">
        <f t="array" aca="1" ref="S41" ca="1">IFERROR(INDEX(Source!$A$1:$A$250,SMALL(IF(--(Source!$B$1:$B$250=$O41)*--(Source!$E$1:$E$250=$Q$3)*--(Source!$D$1:$D$250=Pyramid!$Q41),ROW(Source!$B$1:$B$250),FALSE),S$3)),"")</f>
        <v/>
      </c>
      <c r="T41" t="str">
        <f t="array" aca="1" ref="T41" ca="1">IFERROR(INDEX(Source!$A$1:$A$250,SMALL(IF(--(Source!$B$1:$B$250=$O41)*--(Source!$E$1:$E$250=$Q$3)*--(Source!$D$1:$D$250=Pyramid!$Q41),ROW(Source!$B$1:$B$250),FALSE),T$3)),"")</f>
        <v/>
      </c>
      <c r="U41" t="str">
        <f t="array" aca="1" ref="U41" ca="1">IFERROR(INDEX(Source!$A$1:$A$250,SMALL(IF(--(Source!$B$1:$B$250=$O41)*--(Source!$E$1:$E$250=$Q$3)*--(Source!$D$1:$D$250=Pyramid!$Q41),ROW(Source!$B$1:$B$250),FALSE),U$3)),"")</f>
        <v/>
      </c>
      <c r="V41" t="str">
        <f t="array" aca="1" ref="V41" ca="1">IFERROR(INDEX(Source!$A$1:$A$250,SMALL(IF(--(Source!$B$1:$B$250=$O41)*--(Source!$E$1:$E$250=$Q$3)*--(Source!$D$1:$D$250=Pyramid!$Q41),ROW(Source!$B$1:$B$250),FALSE),V$3)),"")</f>
        <v/>
      </c>
      <c r="W41" t="str">
        <f t="array" aca="1" ref="W41" ca="1">IFERROR(INDEX(Source!$A$1:$A$250,SMALL(IF(--(Source!$B$1:$B$250=$O41)*--(Source!$E$1:$E$250=$Q$3)*--(Source!$D$1:$D$250=Pyramid!$Q41),ROW(Source!$B$1:$B$250),FALSE),W$3)),"")</f>
        <v/>
      </c>
      <c r="X41" t="str">
        <f t="array" aca="1" ref="X41" ca="1">IFERROR(INDEX(Source!$A$1:$A$250,SMALL(IF(--(Source!$B$1:$B$250=$O41)*--(Source!$E$1:$E$250=$Q$3)*--(Source!$D$1:$D$250=Pyramid!$Q41),ROW(Source!$B$1:$B$250),FALSE),X$3)),"")</f>
        <v/>
      </c>
      <c r="Y41" s="5">
        <f t="shared" ca="1" si="3"/>
        <v>0</v>
      </c>
    </row>
    <row r="42" spans="3:25">
      <c r="C42">
        <v>38</v>
      </c>
      <c r="D42" s="5">
        <f t="shared" ca="1" si="1"/>
        <v>0</v>
      </c>
      <c r="E42" t="str">
        <f t="array" aca="1" ref="E42" ca="1">IFERROR(INDEX(Source!$A$1:$A$250,SMALL(IF(--(Source!$B$1:$B$250=$O42)*--(Source!$E$1:$E$250=$M$3)*--(Source!$D$1:$D$250=Pyramid!$M42),ROW(Source!$B$1:$B$250),FALSE),E$3)),"")</f>
        <v/>
      </c>
      <c r="F42" t="str">
        <f t="array" aca="1" ref="F42" ca="1">IFERROR(INDEX(Source!$A$1:$A$250,SMALL(IF(--(Source!$B$1:$B$250=$O42)*--(Source!$E$1:$E$250=$M$3)*--(Source!$D$1:$D$250=Pyramid!$M42),ROW(Source!$B$1:$B$250),FALSE),F$3)),"")</f>
        <v/>
      </c>
      <c r="G42" t="str">
        <f t="array" aca="1" ref="G42" ca="1">IFERROR(INDEX(Source!$A$1:$A$250,SMALL(IF(--(Source!$B$1:$B$250=$O42)*--(Source!$E$1:$E$250=$M$3)*--(Source!$D$1:$D$250=Pyramid!$M42),ROW(Source!$B$1:$B$250),FALSE),G$3)),"")</f>
        <v/>
      </c>
      <c r="H42" t="str">
        <f t="array" aca="1" ref="H42" ca="1">IFERROR(INDEX(Source!$A$1:$A$250,SMALL(IF(--(Source!$B$1:$B$250=$O42)*--(Source!$E$1:$E$250=$M$3)*--(Source!$D$1:$D$250=Pyramid!$M42),ROW(Source!$B$1:$B$250),FALSE),H$3)),"")</f>
        <v/>
      </c>
      <c r="I42" t="str">
        <f t="array" aca="1" ref="I42" ca="1">IFERROR(INDEX(Source!$A$1:$A$250,SMALL(IF(--(Source!$B$1:$B$250=$O42)*--(Source!$E$1:$E$250=$M$3)*--(Source!$D$1:$D$250=Pyramid!$M42),ROW(Source!$B$1:$B$250),FALSE),I$3)),"")</f>
        <v/>
      </c>
      <c r="J42" t="str">
        <f t="array" aca="1" ref="J42" ca="1">IFERROR(INDEX(Source!$A$1:$A$250,SMALL(IF(--(Source!$B$1:$B$250=$O42)*--(Source!$E$1:$E$250=$M$3)*--(Source!$D$1:$D$250=Pyramid!$M42),ROW(Source!$B$1:$B$250),FALSE),J$3)),"")</f>
        <v/>
      </c>
      <c r="K42" t="str">
        <f t="array" aca="1" ref="K42" ca="1">IFERROR(INDEX(Source!$A$1:$A$250,SMALL(IF(--(Source!$B$1:$B$250=$O42)*--(Source!$E$1:$E$250=$M$3)*--(Source!$D$1:$D$250=Pyramid!$M42),ROW(Source!$B$1:$B$250),FALSE),K$3)),"")</f>
        <v/>
      </c>
      <c r="L42" t="str">
        <f t="array" aca="1" ref="L42" ca="1">IFERROR(INDEX(Source!$A$1:$A$250,SMALL(IF(--(Source!$B$1:$B$250=$O42)*--(Source!$E$1:$E$250=$M$3)*--(Source!$D$1:$D$250=Pyramid!$M42),ROW(Source!$B$1:$B$250),FALSE),L$3)),"")</f>
        <v/>
      </c>
      <c r="M42" t="str">
        <f t="shared" si="2"/>
        <v>29/9/2016</v>
      </c>
      <c r="N42">
        <f ca="1">COUNTIFS(Source!B:B,Pyramid!$O42,Source!$D:$D,Pyramid!$M42,Source!$E:$E,Pyramid!$M$3)</f>
        <v>0</v>
      </c>
      <c r="O42">
        <f ca="1">OFFSET(Sheet2!$N$3,INT(C42/5),)</f>
        <v>17988</v>
      </c>
      <c r="P42">
        <f ca="1">COUNTIFS(Source!B:B,Pyramid!$O42,Source!D:D,Pyramid!$Q42,Source!$E:$E,Pyramid!$Q$3)</f>
        <v>0</v>
      </c>
      <c r="Q42" t="str">
        <f t="shared" si="2"/>
        <v>29/9/2016</v>
      </c>
      <c r="R42" t="str">
        <f t="array" aca="1" ref="R42" ca="1">IFERROR(INDEX(Source!$A$1:$A$250,SMALL(IF(--(Source!$B$1:$B$250=$O42)*--(Source!$E$1:$E$250=$Q$3)*--(Source!$D$1:$D$250=Pyramid!$Q42),ROW(Source!$B$1:$B$250),FALSE),R$3)),"")</f>
        <v/>
      </c>
      <c r="S42" t="str">
        <f t="array" aca="1" ref="S42" ca="1">IFERROR(INDEX(Source!$A$1:$A$250,SMALL(IF(--(Source!$B$1:$B$250=$O42)*--(Source!$E$1:$E$250=$Q$3)*--(Source!$D$1:$D$250=Pyramid!$Q42),ROW(Source!$B$1:$B$250),FALSE),S$3)),"")</f>
        <v/>
      </c>
      <c r="T42" t="str">
        <f t="array" aca="1" ref="T42" ca="1">IFERROR(INDEX(Source!$A$1:$A$250,SMALL(IF(--(Source!$B$1:$B$250=$O42)*--(Source!$E$1:$E$250=$Q$3)*--(Source!$D$1:$D$250=Pyramid!$Q42),ROW(Source!$B$1:$B$250),FALSE),T$3)),"")</f>
        <v/>
      </c>
      <c r="U42" t="str">
        <f t="array" aca="1" ref="U42" ca="1">IFERROR(INDEX(Source!$A$1:$A$250,SMALL(IF(--(Source!$B$1:$B$250=$O42)*--(Source!$E$1:$E$250=$Q$3)*--(Source!$D$1:$D$250=Pyramid!$Q42),ROW(Source!$B$1:$B$250),FALSE),U$3)),"")</f>
        <v/>
      </c>
      <c r="V42" t="str">
        <f t="array" aca="1" ref="V42" ca="1">IFERROR(INDEX(Source!$A$1:$A$250,SMALL(IF(--(Source!$B$1:$B$250=$O42)*--(Source!$E$1:$E$250=$Q$3)*--(Source!$D$1:$D$250=Pyramid!$Q42),ROW(Source!$B$1:$B$250),FALSE),V$3)),"")</f>
        <v/>
      </c>
      <c r="W42" t="str">
        <f t="array" aca="1" ref="W42" ca="1">IFERROR(INDEX(Source!$A$1:$A$250,SMALL(IF(--(Source!$B$1:$B$250=$O42)*--(Source!$E$1:$E$250=$Q$3)*--(Source!$D$1:$D$250=Pyramid!$Q42),ROW(Source!$B$1:$B$250),FALSE),W$3)),"")</f>
        <v/>
      </c>
      <c r="X42" t="str">
        <f t="array" aca="1" ref="X42" ca="1">IFERROR(INDEX(Source!$A$1:$A$250,SMALL(IF(--(Source!$B$1:$B$250=$O42)*--(Source!$E$1:$E$250=$Q$3)*--(Source!$D$1:$D$250=Pyramid!$Q42),ROW(Source!$B$1:$B$250),FALSE),X$3)),"")</f>
        <v/>
      </c>
      <c r="Y42" s="5">
        <f t="shared" ca="1" si="3"/>
        <v>0</v>
      </c>
    </row>
    <row r="43" spans="3:25">
      <c r="C43">
        <v>39</v>
      </c>
      <c r="D43" s="5">
        <f t="shared" ca="1" si="1"/>
        <v>0</v>
      </c>
      <c r="E43" t="str">
        <f t="array" aca="1" ref="E43" ca="1">IFERROR(INDEX(Source!$A$1:$A$250,SMALL(IF(--(Source!$B$1:$B$250=$O43)*--(Source!$E$1:$E$250=$M$3)*--(Source!$D$1:$D$250=Pyramid!$M43),ROW(Source!$B$1:$B$250),FALSE),E$3)),"")</f>
        <v/>
      </c>
      <c r="F43" t="str">
        <f t="array" aca="1" ref="F43" ca="1">IFERROR(INDEX(Source!$A$1:$A$250,SMALL(IF(--(Source!$B$1:$B$250=$O43)*--(Source!$E$1:$E$250=$M$3)*--(Source!$D$1:$D$250=Pyramid!$M43),ROW(Source!$B$1:$B$250),FALSE),F$3)),"")</f>
        <v/>
      </c>
      <c r="G43" t="str">
        <f t="array" aca="1" ref="G43" ca="1">IFERROR(INDEX(Source!$A$1:$A$250,SMALL(IF(--(Source!$B$1:$B$250=$O43)*--(Source!$E$1:$E$250=$M$3)*--(Source!$D$1:$D$250=Pyramid!$M43),ROW(Source!$B$1:$B$250),FALSE),G$3)),"")</f>
        <v/>
      </c>
      <c r="H43" t="str">
        <f t="array" aca="1" ref="H43" ca="1">IFERROR(INDEX(Source!$A$1:$A$250,SMALL(IF(--(Source!$B$1:$B$250=$O43)*--(Source!$E$1:$E$250=$M$3)*--(Source!$D$1:$D$250=Pyramid!$M43),ROW(Source!$B$1:$B$250),FALSE),H$3)),"")</f>
        <v/>
      </c>
      <c r="I43" t="str">
        <f t="array" aca="1" ref="I43" ca="1">IFERROR(INDEX(Source!$A$1:$A$250,SMALL(IF(--(Source!$B$1:$B$250=$O43)*--(Source!$E$1:$E$250=$M$3)*--(Source!$D$1:$D$250=Pyramid!$M43),ROW(Source!$B$1:$B$250),FALSE),I$3)),"")</f>
        <v/>
      </c>
      <c r="J43" t="str">
        <f t="array" aca="1" ref="J43" ca="1">IFERROR(INDEX(Source!$A$1:$A$250,SMALL(IF(--(Source!$B$1:$B$250=$O43)*--(Source!$E$1:$E$250=$M$3)*--(Source!$D$1:$D$250=Pyramid!$M43),ROW(Source!$B$1:$B$250),FALSE),J$3)),"")</f>
        <v/>
      </c>
      <c r="K43" t="str">
        <f t="array" aca="1" ref="K43" ca="1">IFERROR(INDEX(Source!$A$1:$A$250,SMALL(IF(--(Source!$B$1:$B$250=$O43)*--(Source!$E$1:$E$250=$M$3)*--(Source!$D$1:$D$250=Pyramid!$M43),ROW(Source!$B$1:$B$250),FALSE),K$3)),"")</f>
        <v/>
      </c>
      <c r="L43" t="str">
        <f t="array" aca="1" ref="L43" ca="1">IFERROR(INDEX(Source!$A$1:$A$250,SMALL(IF(--(Source!$B$1:$B$250=$O43)*--(Source!$E$1:$E$250=$M$3)*--(Source!$D$1:$D$250=Pyramid!$M43),ROW(Source!$B$1:$B$250),FALSE),L$3)),"")</f>
        <v/>
      </c>
      <c r="M43" t="str">
        <f t="shared" si="2"/>
        <v>28/10/2016</v>
      </c>
      <c r="N43">
        <f ca="1">COUNTIFS(Source!B:B,Pyramid!$O43,Source!$D:$D,Pyramid!$M43,Source!$E:$E,Pyramid!$M$3)</f>
        <v>0</v>
      </c>
      <c r="O43">
        <f ca="1">OFFSET(Sheet2!$N$3,INT(C43/5),)</f>
        <v>17988</v>
      </c>
      <c r="P43">
        <f ca="1">COUNTIFS(Source!B:B,Pyramid!$O43,Source!D:D,Pyramid!$Q43,Source!$E:$E,Pyramid!$Q$3)</f>
        <v>0</v>
      </c>
      <c r="Q43" t="str">
        <f t="shared" si="2"/>
        <v>28/10/2016</v>
      </c>
      <c r="R43" t="str">
        <f t="array" aca="1" ref="R43" ca="1">IFERROR(INDEX(Source!$A$1:$A$250,SMALL(IF(--(Source!$B$1:$B$250=$O43)*--(Source!$E$1:$E$250=$Q$3)*--(Source!$D$1:$D$250=Pyramid!$Q43),ROW(Source!$B$1:$B$250),FALSE),R$3)),"")</f>
        <v/>
      </c>
      <c r="S43" t="str">
        <f t="array" aca="1" ref="S43" ca="1">IFERROR(INDEX(Source!$A$1:$A$250,SMALL(IF(--(Source!$B$1:$B$250=$O43)*--(Source!$E$1:$E$250=$Q$3)*--(Source!$D$1:$D$250=Pyramid!$Q43),ROW(Source!$B$1:$B$250),FALSE),S$3)),"")</f>
        <v/>
      </c>
      <c r="T43" t="str">
        <f t="array" aca="1" ref="T43" ca="1">IFERROR(INDEX(Source!$A$1:$A$250,SMALL(IF(--(Source!$B$1:$B$250=$O43)*--(Source!$E$1:$E$250=$Q$3)*--(Source!$D$1:$D$250=Pyramid!$Q43),ROW(Source!$B$1:$B$250),FALSE),T$3)),"")</f>
        <v/>
      </c>
      <c r="U43" t="str">
        <f t="array" aca="1" ref="U43" ca="1">IFERROR(INDEX(Source!$A$1:$A$250,SMALL(IF(--(Source!$B$1:$B$250=$O43)*--(Source!$E$1:$E$250=$Q$3)*--(Source!$D$1:$D$250=Pyramid!$Q43),ROW(Source!$B$1:$B$250),FALSE),U$3)),"")</f>
        <v/>
      </c>
      <c r="V43" t="str">
        <f t="array" aca="1" ref="V43" ca="1">IFERROR(INDEX(Source!$A$1:$A$250,SMALL(IF(--(Source!$B$1:$B$250=$O43)*--(Source!$E$1:$E$250=$Q$3)*--(Source!$D$1:$D$250=Pyramid!$Q43),ROW(Source!$B$1:$B$250),FALSE),V$3)),"")</f>
        <v/>
      </c>
      <c r="W43" t="str">
        <f t="array" aca="1" ref="W43" ca="1">IFERROR(INDEX(Source!$A$1:$A$250,SMALL(IF(--(Source!$B$1:$B$250=$O43)*--(Source!$E$1:$E$250=$Q$3)*--(Source!$D$1:$D$250=Pyramid!$Q43),ROW(Source!$B$1:$B$250),FALSE),W$3)),"")</f>
        <v/>
      </c>
      <c r="X43" t="str">
        <f t="array" aca="1" ref="X43" ca="1">IFERROR(INDEX(Source!$A$1:$A$250,SMALL(IF(--(Source!$B$1:$B$250=$O43)*--(Source!$E$1:$E$250=$Q$3)*--(Source!$D$1:$D$250=Pyramid!$Q43),ROW(Source!$B$1:$B$250),FALSE),X$3)),"")</f>
        <v/>
      </c>
      <c r="Y43" s="5">
        <f t="shared" ca="1" si="3"/>
        <v>0</v>
      </c>
    </row>
    <row r="44" spans="3:25">
      <c r="C44">
        <v>40</v>
      </c>
      <c r="D44" s="5">
        <f t="shared" ca="1" si="1"/>
        <v>0</v>
      </c>
      <c r="E44" t="str">
        <f t="array" aca="1" ref="E44" ca="1">IFERROR(INDEX(Source!$A$1:$A$250,SMALL(IF(--(Source!$B$1:$B$250=$O44)*--(Source!$E$1:$E$250=$M$3)*--(Source!$D$1:$D$250=Pyramid!$M44),ROW(Source!$B$1:$B$250),FALSE),E$3)),"")</f>
        <v/>
      </c>
      <c r="F44" t="str">
        <f t="array" aca="1" ref="F44" ca="1">IFERROR(INDEX(Source!$A$1:$A$250,SMALL(IF(--(Source!$B$1:$B$250=$O44)*--(Source!$E$1:$E$250=$M$3)*--(Source!$D$1:$D$250=Pyramid!$M44),ROW(Source!$B$1:$B$250),FALSE),F$3)),"")</f>
        <v/>
      </c>
      <c r="G44" t="str">
        <f t="array" aca="1" ref="G44" ca="1">IFERROR(INDEX(Source!$A$1:$A$250,SMALL(IF(--(Source!$B$1:$B$250=$O44)*--(Source!$E$1:$E$250=$M$3)*--(Source!$D$1:$D$250=Pyramid!$M44),ROW(Source!$B$1:$B$250),FALSE),G$3)),"")</f>
        <v/>
      </c>
      <c r="H44" t="str">
        <f t="array" aca="1" ref="H44" ca="1">IFERROR(INDEX(Source!$A$1:$A$250,SMALL(IF(--(Source!$B$1:$B$250=$O44)*--(Source!$E$1:$E$250=$M$3)*--(Source!$D$1:$D$250=Pyramid!$M44),ROW(Source!$B$1:$B$250),FALSE),H$3)),"")</f>
        <v/>
      </c>
      <c r="I44" t="str">
        <f t="array" aca="1" ref="I44" ca="1">IFERROR(INDEX(Source!$A$1:$A$250,SMALL(IF(--(Source!$B$1:$B$250=$O44)*--(Source!$E$1:$E$250=$M$3)*--(Source!$D$1:$D$250=Pyramid!$M44),ROW(Source!$B$1:$B$250),FALSE),I$3)),"")</f>
        <v/>
      </c>
      <c r="J44" t="str">
        <f t="array" aca="1" ref="J44" ca="1">IFERROR(INDEX(Source!$A$1:$A$250,SMALL(IF(--(Source!$B$1:$B$250=$O44)*--(Source!$E$1:$E$250=$M$3)*--(Source!$D$1:$D$250=Pyramid!$M44),ROW(Source!$B$1:$B$250),FALSE),J$3)),"")</f>
        <v/>
      </c>
      <c r="K44" t="str">
        <f t="array" aca="1" ref="K44" ca="1">IFERROR(INDEX(Source!$A$1:$A$250,SMALL(IF(--(Source!$B$1:$B$250=$O44)*--(Source!$E$1:$E$250=$M$3)*--(Source!$D$1:$D$250=Pyramid!$M44),ROW(Source!$B$1:$B$250),FALSE),K$3)),"")</f>
        <v/>
      </c>
      <c r="L44" t="str">
        <f t="array" aca="1" ref="L44" ca="1">IFERROR(INDEX(Source!$A$1:$A$250,SMALL(IF(--(Source!$B$1:$B$250=$O44)*--(Source!$E$1:$E$250=$M$3)*--(Source!$D$1:$D$250=Pyramid!$M44),ROW(Source!$B$1:$B$250),FALSE),L$3)),"")</f>
        <v/>
      </c>
      <c r="M44" t="str">
        <f t="shared" si="2"/>
        <v>29/6/2016</v>
      </c>
      <c r="N44">
        <f ca="1">COUNTIFS(Source!B:B,Pyramid!$O44,Source!$D:$D,Pyramid!$M44,Source!$E:$E,Pyramid!$M$3)</f>
        <v>0</v>
      </c>
      <c r="O44">
        <f ca="1">OFFSET(Sheet2!$N$3,INT(C44/5),)</f>
        <v>18000</v>
      </c>
      <c r="P44">
        <f ca="1">COUNTIFS(Source!B:B,Pyramid!$O44,Source!D:D,Pyramid!$Q44,Source!$E:$E,Pyramid!$Q$3)</f>
        <v>0</v>
      </c>
      <c r="Q44" t="str">
        <f t="shared" si="2"/>
        <v>29/6/2016</v>
      </c>
      <c r="R44" t="str">
        <f t="array" aca="1" ref="R44" ca="1">IFERROR(INDEX(Source!$A$1:$A$250,SMALL(IF(--(Source!$B$1:$B$250=$O44)*--(Source!$E$1:$E$250=$Q$3)*--(Source!$D$1:$D$250=Pyramid!$Q44),ROW(Source!$B$1:$B$250),FALSE),R$3)),"")</f>
        <v/>
      </c>
      <c r="S44" t="str">
        <f t="array" aca="1" ref="S44" ca="1">IFERROR(INDEX(Source!$A$1:$A$250,SMALL(IF(--(Source!$B$1:$B$250=$O44)*--(Source!$E$1:$E$250=$Q$3)*--(Source!$D$1:$D$250=Pyramid!$Q44),ROW(Source!$B$1:$B$250),FALSE),S$3)),"")</f>
        <v/>
      </c>
      <c r="T44" t="str">
        <f t="array" aca="1" ref="T44" ca="1">IFERROR(INDEX(Source!$A$1:$A$250,SMALL(IF(--(Source!$B$1:$B$250=$O44)*--(Source!$E$1:$E$250=$Q$3)*--(Source!$D$1:$D$250=Pyramid!$Q44),ROW(Source!$B$1:$B$250),FALSE),T$3)),"")</f>
        <v/>
      </c>
      <c r="U44" t="str">
        <f t="array" aca="1" ref="U44" ca="1">IFERROR(INDEX(Source!$A$1:$A$250,SMALL(IF(--(Source!$B$1:$B$250=$O44)*--(Source!$E$1:$E$250=$Q$3)*--(Source!$D$1:$D$250=Pyramid!$Q44),ROW(Source!$B$1:$B$250),FALSE),U$3)),"")</f>
        <v/>
      </c>
      <c r="V44" t="str">
        <f t="array" aca="1" ref="V44" ca="1">IFERROR(INDEX(Source!$A$1:$A$250,SMALL(IF(--(Source!$B$1:$B$250=$O44)*--(Source!$E$1:$E$250=$Q$3)*--(Source!$D$1:$D$250=Pyramid!$Q44),ROW(Source!$B$1:$B$250),FALSE),V$3)),"")</f>
        <v/>
      </c>
      <c r="W44" t="str">
        <f t="array" aca="1" ref="W44" ca="1">IFERROR(INDEX(Source!$A$1:$A$250,SMALL(IF(--(Source!$B$1:$B$250=$O44)*--(Source!$E$1:$E$250=$Q$3)*--(Source!$D$1:$D$250=Pyramid!$Q44),ROW(Source!$B$1:$B$250),FALSE),W$3)),"")</f>
        <v/>
      </c>
      <c r="X44" t="str">
        <f t="array" aca="1" ref="X44" ca="1">IFERROR(INDEX(Source!$A$1:$A$250,SMALL(IF(--(Source!$B$1:$B$250=$O44)*--(Source!$E$1:$E$250=$Q$3)*--(Source!$D$1:$D$250=Pyramid!$Q44),ROW(Source!$B$1:$B$250),FALSE),X$3)),"")</f>
        <v/>
      </c>
      <c r="Y44" s="5">
        <f t="shared" ca="1" si="3"/>
        <v>0</v>
      </c>
    </row>
    <row r="45" spans="3:25">
      <c r="C45">
        <v>41</v>
      </c>
      <c r="D45" s="5">
        <f t="shared" ca="1" si="1"/>
        <v>0</v>
      </c>
      <c r="E45" t="str">
        <f t="array" aca="1" ref="E45" ca="1">IFERROR(INDEX(Source!$A$1:$A$250,SMALL(IF(--(Source!$B$1:$B$250=$O45)*--(Source!$E$1:$E$250=$M$3)*--(Source!$D$1:$D$250=Pyramid!$M45),ROW(Source!$B$1:$B$250),FALSE),E$3)),"")</f>
        <v/>
      </c>
      <c r="F45" t="str">
        <f t="array" aca="1" ref="F45" ca="1">IFERROR(INDEX(Source!$A$1:$A$250,SMALL(IF(--(Source!$B$1:$B$250=$O45)*--(Source!$E$1:$E$250=$M$3)*--(Source!$D$1:$D$250=Pyramid!$M45),ROW(Source!$B$1:$B$250),FALSE),F$3)),"")</f>
        <v/>
      </c>
      <c r="G45" t="str">
        <f t="array" aca="1" ref="G45" ca="1">IFERROR(INDEX(Source!$A$1:$A$250,SMALL(IF(--(Source!$B$1:$B$250=$O45)*--(Source!$E$1:$E$250=$M$3)*--(Source!$D$1:$D$250=Pyramid!$M45),ROW(Source!$B$1:$B$250),FALSE),G$3)),"")</f>
        <v/>
      </c>
      <c r="H45" t="str">
        <f t="array" aca="1" ref="H45" ca="1">IFERROR(INDEX(Source!$A$1:$A$250,SMALL(IF(--(Source!$B$1:$B$250=$O45)*--(Source!$E$1:$E$250=$M$3)*--(Source!$D$1:$D$250=Pyramid!$M45),ROW(Source!$B$1:$B$250),FALSE),H$3)),"")</f>
        <v/>
      </c>
      <c r="I45" t="str">
        <f t="array" aca="1" ref="I45" ca="1">IFERROR(INDEX(Source!$A$1:$A$250,SMALL(IF(--(Source!$B$1:$B$250=$O45)*--(Source!$E$1:$E$250=$M$3)*--(Source!$D$1:$D$250=Pyramid!$M45),ROW(Source!$B$1:$B$250),FALSE),I$3)),"")</f>
        <v/>
      </c>
      <c r="J45" t="str">
        <f t="array" aca="1" ref="J45" ca="1">IFERROR(INDEX(Source!$A$1:$A$250,SMALL(IF(--(Source!$B$1:$B$250=$O45)*--(Source!$E$1:$E$250=$M$3)*--(Source!$D$1:$D$250=Pyramid!$M45),ROW(Source!$B$1:$B$250),FALSE),J$3)),"")</f>
        <v/>
      </c>
      <c r="K45" t="str">
        <f t="array" aca="1" ref="K45" ca="1">IFERROR(INDEX(Source!$A$1:$A$250,SMALL(IF(--(Source!$B$1:$B$250=$O45)*--(Source!$E$1:$E$250=$M$3)*--(Source!$D$1:$D$250=Pyramid!$M45),ROW(Source!$B$1:$B$250),FALSE),K$3)),"")</f>
        <v/>
      </c>
      <c r="L45" t="str">
        <f t="array" aca="1" ref="L45" ca="1">IFERROR(INDEX(Source!$A$1:$A$250,SMALL(IF(--(Source!$B$1:$B$250=$O45)*--(Source!$E$1:$E$250=$M$3)*--(Source!$D$1:$D$250=Pyramid!$M45),ROW(Source!$B$1:$B$250),FALSE),L$3)),"")</f>
        <v/>
      </c>
      <c r="M45" t="str">
        <f t="shared" si="2"/>
        <v>28/7/2016</v>
      </c>
      <c r="N45">
        <f ca="1">COUNTIFS(Source!B:B,Pyramid!$O45,Source!$D:$D,Pyramid!$M45,Source!$E:$E,Pyramid!$M$3)</f>
        <v>0</v>
      </c>
      <c r="O45">
        <f ca="1">OFFSET(Sheet2!$N$3,INT(C45/5),)</f>
        <v>18000</v>
      </c>
      <c r="P45">
        <f ca="1">COUNTIFS(Source!B:B,Pyramid!$O45,Source!D:D,Pyramid!$Q45,Source!$E:$E,Pyramid!$Q$3)</f>
        <v>0</v>
      </c>
      <c r="Q45" t="str">
        <f t="shared" si="2"/>
        <v>28/7/2016</v>
      </c>
      <c r="R45" t="str">
        <f t="array" aca="1" ref="R45" ca="1">IFERROR(INDEX(Source!$A$1:$A$250,SMALL(IF(--(Source!$B$1:$B$250=$O45)*--(Source!$E$1:$E$250=$Q$3)*--(Source!$D$1:$D$250=Pyramid!$Q45),ROW(Source!$B$1:$B$250),FALSE),R$3)),"")</f>
        <v/>
      </c>
      <c r="S45" t="str">
        <f t="array" aca="1" ref="S45" ca="1">IFERROR(INDEX(Source!$A$1:$A$250,SMALL(IF(--(Source!$B$1:$B$250=$O45)*--(Source!$E$1:$E$250=$Q$3)*--(Source!$D$1:$D$250=Pyramid!$Q45),ROW(Source!$B$1:$B$250),FALSE),S$3)),"")</f>
        <v/>
      </c>
      <c r="T45" t="str">
        <f t="array" aca="1" ref="T45" ca="1">IFERROR(INDEX(Source!$A$1:$A$250,SMALL(IF(--(Source!$B$1:$B$250=$O45)*--(Source!$E$1:$E$250=$Q$3)*--(Source!$D$1:$D$250=Pyramid!$Q45),ROW(Source!$B$1:$B$250),FALSE),T$3)),"")</f>
        <v/>
      </c>
      <c r="U45" t="str">
        <f t="array" aca="1" ref="U45" ca="1">IFERROR(INDEX(Source!$A$1:$A$250,SMALL(IF(--(Source!$B$1:$B$250=$O45)*--(Source!$E$1:$E$250=$Q$3)*--(Source!$D$1:$D$250=Pyramid!$Q45),ROW(Source!$B$1:$B$250),FALSE),U$3)),"")</f>
        <v/>
      </c>
      <c r="V45" t="str">
        <f t="array" aca="1" ref="V45" ca="1">IFERROR(INDEX(Source!$A$1:$A$250,SMALL(IF(--(Source!$B$1:$B$250=$O45)*--(Source!$E$1:$E$250=$Q$3)*--(Source!$D$1:$D$250=Pyramid!$Q45),ROW(Source!$B$1:$B$250),FALSE),V$3)),"")</f>
        <v/>
      </c>
      <c r="W45" t="str">
        <f t="array" aca="1" ref="W45" ca="1">IFERROR(INDEX(Source!$A$1:$A$250,SMALL(IF(--(Source!$B$1:$B$250=$O45)*--(Source!$E$1:$E$250=$Q$3)*--(Source!$D$1:$D$250=Pyramid!$Q45),ROW(Source!$B$1:$B$250),FALSE),W$3)),"")</f>
        <v/>
      </c>
      <c r="X45" t="str">
        <f t="array" aca="1" ref="X45" ca="1">IFERROR(INDEX(Source!$A$1:$A$250,SMALL(IF(--(Source!$B$1:$B$250=$O45)*--(Source!$E$1:$E$250=$Q$3)*--(Source!$D$1:$D$250=Pyramid!$Q45),ROW(Source!$B$1:$B$250),FALSE),X$3)),"")</f>
        <v/>
      </c>
      <c r="Y45" s="5">
        <f t="shared" ca="1" si="3"/>
        <v>0</v>
      </c>
    </row>
    <row r="46" spans="3:25">
      <c r="C46">
        <v>42</v>
      </c>
      <c r="D46" s="5">
        <f t="shared" ca="1" si="1"/>
        <v>0</v>
      </c>
      <c r="E46" t="str">
        <f t="array" aca="1" ref="E46" ca="1">IFERROR(INDEX(Source!$A$1:$A$250,SMALL(IF(--(Source!$B$1:$B$250=$O46)*--(Source!$E$1:$E$250=$M$3)*--(Source!$D$1:$D$250=Pyramid!$M46),ROW(Source!$B$1:$B$250),FALSE),E$3)),"")</f>
        <v/>
      </c>
      <c r="F46" t="str">
        <f t="array" aca="1" ref="F46" ca="1">IFERROR(INDEX(Source!$A$1:$A$250,SMALL(IF(--(Source!$B$1:$B$250=$O46)*--(Source!$E$1:$E$250=$M$3)*--(Source!$D$1:$D$250=Pyramid!$M46),ROW(Source!$B$1:$B$250),FALSE),F$3)),"")</f>
        <v/>
      </c>
      <c r="G46" t="str">
        <f t="array" aca="1" ref="G46" ca="1">IFERROR(INDEX(Source!$A$1:$A$250,SMALL(IF(--(Source!$B$1:$B$250=$O46)*--(Source!$E$1:$E$250=$M$3)*--(Source!$D$1:$D$250=Pyramid!$M46),ROW(Source!$B$1:$B$250),FALSE),G$3)),"")</f>
        <v/>
      </c>
      <c r="H46" t="str">
        <f t="array" aca="1" ref="H46" ca="1">IFERROR(INDEX(Source!$A$1:$A$250,SMALL(IF(--(Source!$B$1:$B$250=$O46)*--(Source!$E$1:$E$250=$M$3)*--(Source!$D$1:$D$250=Pyramid!$M46),ROW(Source!$B$1:$B$250),FALSE),H$3)),"")</f>
        <v/>
      </c>
      <c r="I46" t="str">
        <f t="array" aca="1" ref="I46" ca="1">IFERROR(INDEX(Source!$A$1:$A$250,SMALL(IF(--(Source!$B$1:$B$250=$O46)*--(Source!$E$1:$E$250=$M$3)*--(Source!$D$1:$D$250=Pyramid!$M46),ROW(Source!$B$1:$B$250),FALSE),I$3)),"")</f>
        <v/>
      </c>
      <c r="J46" t="str">
        <f t="array" aca="1" ref="J46" ca="1">IFERROR(INDEX(Source!$A$1:$A$250,SMALL(IF(--(Source!$B$1:$B$250=$O46)*--(Source!$E$1:$E$250=$M$3)*--(Source!$D$1:$D$250=Pyramid!$M46),ROW(Source!$B$1:$B$250),FALSE),J$3)),"")</f>
        <v/>
      </c>
      <c r="K46" t="str">
        <f t="array" aca="1" ref="K46" ca="1">IFERROR(INDEX(Source!$A$1:$A$250,SMALL(IF(--(Source!$B$1:$B$250=$O46)*--(Source!$E$1:$E$250=$M$3)*--(Source!$D$1:$D$250=Pyramid!$M46),ROW(Source!$B$1:$B$250),FALSE),K$3)),"")</f>
        <v/>
      </c>
      <c r="L46" t="str">
        <f t="array" aca="1" ref="L46" ca="1">IFERROR(INDEX(Source!$A$1:$A$250,SMALL(IF(--(Source!$B$1:$B$250=$O46)*--(Source!$E$1:$E$250=$M$3)*--(Source!$D$1:$D$250=Pyramid!$M46),ROW(Source!$B$1:$B$250),FALSE),L$3)),"")</f>
        <v/>
      </c>
      <c r="M46" t="str">
        <f t="shared" si="2"/>
        <v>30/8/2016</v>
      </c>
      <c r="N46">
        <f ca="1">COUNTIFS(Source!B:B,Pyramid!$O46,Source!$D:$D,Pyramid!$M46,Source!$E:$E,Pyramid!$M$3)</f>
        <v>0</v>
      </c>
      <c r="O46">
        <f ca="1">OFFSET(Sheet2!$N$3,INT(C46/5),)</f>
        <v>18000</v>
      </c>
      <c r="P46">
        <f ca="1">COUNTIFS(Source!B:B,Pyramid!$O46,Source!D:D,Pyramid!$Q46,Source!$E:$E,Pyramid!$Q$3)</f>
        <v>3</v>
      </c>
      <c r="Q46" t="str">
        <f t="shared" si="2"/>
        <v>30/8/2016</v>
      </c>
      <c r="R46" t="str">
        <f t="array" aca="1" ref="R46" ca="1">IFERROR(INDEX(Source!$A$1:$A$250,SMALL(IF(--(Source!$B$1:$B$250=$O46)*--(Source!$E$1:$E$250=$Q$3)*--(Source!$D$1:$D$250=Pyramid!$Q46),ROW(Source!$B$1:$B$250),FALSE),R$3)),"")</f>
        <v>25994 HK Equity</v>
      </c>
      <c r="S46" t="str">
        <f t="array" aca="1" ref="S46" ca="1">IFERROR(INDEX(Source!$A$1:$A$250,SMALL(IF(--(Source!$B$1:$B$250=$O46)*--(Source!$E$1:$E$250=$Q$3)*--(Source!$D$1:$D$250=Pyramid!$Q46),ROW(Source!$B$1:$B$250),FALSE),S$3)),"")</f>
        <v>26052 HK Equity</v>
      </c>
      <c r="T46" t="str">
        <f t="array" aca="1" ref="T46" ca="1">IFERROR(INDEX(Source!$A$1:$A$250,SMALL(IF(--(Source!$B$1:$B$250=$O46)*--(Source!$E$1:$E$250=$Q$3)*--(Source!$D$1:$D$250=Pyramid!$Q46),ROW(Source!$B$1:$B$250),FALSE),T$3)),"")</f>
        <v>26532 HK Equity</v>
      </c>
      <c r="U46" t="str">
        <f t="array" aca="1" ref="U46" ca="1">IFERROR(INDEX(Source!$A$1:$A$250,SMALL(IF(--(Source!$B$1:$B$250=$O46)*--(Source!$E$1:$E$250=$Q$3)*--(Source!$D$1:$D$250=Pyramid!$Q46),ROW(Source!$B$1:$B$250),FALSE),U$3)),"")</f>
        <v/>
      </c>
      <c r="V46" t="str">
        <f t="array" aca="1" ref="V46" ca="1">IFERROR(INDEX(Source!$A$1:$A$250,SMALL(IF(--(Source!$B$1:$B$250=$O46)*--(Source!$E$1:$E$250=$Q$3)*--(Source!$D$1:$D$250=Pyramid!$Q46),ROW(Source!$B$1:$B$250),FALSE),V$3)),"")</f>
        <v/>
      </c>
      <c r="W46" t="str">
        <f t="array" aca="1" ref="W46" ca="1">IFERROR(INDEX(Source!$A$1:$A$250,SMALL(IF(--(Source!$B$1:$B$250=$O46)*--(Source!$E$1:$E$250=$Q$3)*--(Source!$D$1:$D$250=Pyramid!$Q46),ROW(Source!$B$1:$B$250),FALSE),W$3)),"")</f>
        <v/>
      </c>
      <c r="X46" t="str">
        <f t="array" aca="1" ref="X46" ca="1">IFERROR(INDEX(Source!$A$1:$A$250,SMALL(IF(--(Source!$B$1:$B$250=$O46)*--(Source!$E$1:$E$250=$Q$3)*--(Source!$D$1:$D$250=Pyramid!$Q46),ROW(Source!$B$1:$B$250),FALSE),X$3)),"")</f>
        <v/>
      </c>
      <c r="Y46" s="5">
        <f t="shared" ca="1" si="3"/>
        <v>0</v>
      </c>
    </row>
    <row r="47" spans="3:25">
      <c r="C47">
        <v>43</v>
      </c>
      <c r="D47" s="5">
        <f t="shared" ca="1" si="1"/>
        <v>0</v>
      </c>
      <c r="E47" t="str">
        <f t="array" aca="1" ref="E47" ca="1">IFERROR(INDEX(Source!$A$1:$A$250,SMALL(IF(--(Source!$B$1:$B$250=$O47)*--(Source!$E$1:$E$250=$M$3)*--(Source!$D$1:$D$250=Pyramid!$M47),ROW(Source!$B$1:$B$250),FALSE),E$3)),"")</f>
        <v/>
      </c>
      <c r="F47" t="str">
        <f t="array" aca="1" ref="F47" ca="1">IFERROR(INDEX(Source!$A$1:$A$250,SMALL(IF(--(Source!$B$1:$B$250=$O47)*--(Source!$E$1:$E$250=$M$3)*--(Source!$D$1:$D$250=Pyramid!$M47),ROW(Source!$B$1:$B$250),FALSE),F$3)),"")</f>
        <v/>
      </c>
      <c r="G47" t="str">
        <f t="array" aca="1" ref="G47" ca="1">IFERROR(INDEX(Source!$A$1:$A$250,SMALL(IF(--(Source!$B$1:$B$250=$O47)*--(Source!$E$1:$E$250=$M$3)*--(Source!$D$1:$D$250=Pyramid!$M47),ROW(Source!$B$1:$B$250),FALSE),G$3)),"")</f>
        <v/>
      </c>
      <c r="H47" t="str">
        <f t="array" aca="1" ref="H47" ca="1">IFERROR(INDEX(Source!$A$1:$A$250,SMALL(IF(--(Source!$B$1:$B$250=$O47)*--(Source!$E$1:$E$250=$M$3)*--(Source!$D$1:$D$250=Pyramid!$M47),ROW(Source!$B$1:$B$250),FALSE),H$3)),"")</f>
        <v/>
      </c>
      <c r="I47" t="str">
        <f t="array" aca="1" ref="I47" ca="1">IFERROR(INDEX(Source!$A$1:$A$250,SMALL(IF(--(Source!$B$1:$B$250=$O47)*--(Source!$E$1:$E$250=$M$3)*--(Source!$D$1:$D$250=Pyramid!$M47),ROW(Source!$B$1:$B$250),FALSE),I$3)),"")</f>
        <v>26329 HK Equity</v>
      </c>
      <c r="J47" t="str">
        <f t="array" aca="1" ref="J47" ca="1">IFERROR(INDEX(Source!$A$1:$A$250,SMALL(IF(--(Source!$B$1:$B$250=$O47)*--(Source!$E$1:$E$250=$M$3)*--(Source!$D$1:$D$250=Pyramid!$M47),ROW(Source!$B$1:$B$250),FALSE),J$3)),"")</f>
        <v>26064 HK Equity</v>
      </c>
      <c r="K47" t="str">
        <f t="array" aca="1" ref="K47" ca="1">IFERROR(INDEX(Source!$A$1:$A$250,SMALL(IF(--(Source!$B$1:$B$250=$O47)*--(Source!$E$1:$E$250=$M$3)*--(Source!$D$1:$D$250=Pyramid!$M47),ROW(Source!$B$1:$B$250),FALSE),K$3)),"")</f>
        <v>25686 HK Equity</v>
      </c>
      <c r="L47" t="str">
        <f t="array" aca="1" ref="L47" ca="1">IFERROR(INDEX(Source!$A$1:$A$250,SMALL(IF(--(Source!$B$1:$B$250=$O47)*--(Source!$E$1:$E$250=$M$3)*--(Source!$D$1:$D$250=Pyramid!$M47),ROW(Source!$B$1:$B$250),FALSE),L$3)),"")</f>
        <v>25986 HK Equity</v>
      </c>
      <c r="M47" t="str">
        <f t="shared" si="2"/>
        <v>29/9/2016</v>
      </c>
      <c r="N47">
        <f ca="1">COUNTIFS(Source!B:B,Pyramid!$O47,Source!$D:$D,Pyramid!$M47,Source!$E:$E,Pyramid!$M$3)</f>
        <v>4</v>
      </c>
      <c r="O47">
        <f ca="1">OFFSET(Sheet2!$N$3,INT(C47/5),)</f>
        <v>18000</v>
      </c>
      <c r="P47">
        <f ca="1">COUNTIFS(Source!B:B,Pyramid!$O47,Source!D:D,Pyramid!$Q47,Source!$E:$E,Pyramid!$Q$3)</f>
        <v>0</v>
      </c>
      <c r="Q47" t="str">
        <f t="shared" si="2"/>
        <v>29/9/2016</v>
      </c>
      <c r="R47" t="str">
        <f t="array" aca="1" ref="R47" ca="1">IFERROR(INDEX(Source!$A$1:$A$250,SMALL(IF(--(Source!$B$1:$B$250=$O47)*--(Source!$E$1:$E$250=$Q$3)*--(Source!$D$1:$D$250=Pyramid!$Q47),ROW(Source!$B$1:$B$250),FALSE),R$3)),"")</f>
        <v/>
      </c>
      <c r="S47" t="str">
        <f t="array" aca="1" ref="S47" ca="1">IFERROR(INDEX(Source!$A$1:$A$250,SMALL(IF(--(Source!$B$1:$B$250=$O47)*--(Source!$E$1:$E$250=$Q$3)*--(Source!$D$1:$D$250=Pyramid!$Q47),ROW(Source!$B$1:$B$250),FALSE),S$3)),"")</f>
        <v/>
      </c>
      <c r="T47" t="str">
        <f t="array" aca="1" ref="T47" ca="1">IFERROR(INDEX(Source!$A$1:$A$250,SMALL(IF(--(Source!$B$1:$B$250=$O47)*--(Source!$E$1:$E$250=$Q$3)*--(Source!$D$1:$D$250=Pyramid!$Q47),ROW(Source!$B$1:$B$250),FALSE),T$3)),"")</f>
        <v/>
      </c>
      <c r="U47" t="str">
        <f t="array" aca="1" ref="U47" ca="1">IFERROR(INDEX(Source!$A$1:$A$250,SMALL(IF(--(Source!$B$1:$B$250=$O47)*--(Source!$E$1:$E$250=$Q$3)*--(Source!$D$1:$D$250=Pyramid!$Q47),ROW(Source!$B$1:$B$250),FALSE),U$3)),"")</f>
        <v/>
      </c>
      <c r="V47" t="str">
        <f t="array" aca="1" ref="V47" ca="1">IFERROR(INDEX(Source!$A$1:$A$250,SMALL(IF(--(Source!$B$1:$B$250=$O47)*--(Source!$E$1:$E$250=$Q$3)*--(Source!$D$1:$D$250=Pyramid!$Q47),ROW(Source!$B$1:$B$250),FALSE),V$3)),"")</f>
        <v/>
      </c>
      <c r="W47" t="str">
        <f t="array" aca="1" ref="W47" ca="1">IFERROR(INDEX(Source!$A$1:$A$250,SMALL(IF(--(Source!$B$1:$B$250=$O47)*--(Source!$E$1:$E$250=$Q$3)*--(Source!$D$1:$D$250=Pyramid!$Q47),ROW(Source!$B$1:$B$250),FALSE),W$3)),"")</f>
        <v/>
      </c>
      <c r="X47" t="str">
        <f t="array" aca="1" ref="X47" ca="1">IFERROR(INDEX(Source!$A$1:$A$250,SMALL(IF(--(Source!$B$1:$B$250=$O47)*--(Source!$E$1:$E$250=$Q$3)*--(Source!$D$1:$D$250=Pyramid!$Q47),ROW(Source!$B$1:$B$250),FALSE),X$3)),"")</f>
        <v/>
      </c>
      <c r="Y47" s="5">
        <f t="shared" ca="1" si="3"/>
        <v>0</v>
      </c>
    </row>
    <row r="48" spans="3:25">
      <c r="C48">
        <v>44</v>
      </c>
      <c r="D48" s="5">
        <f t="shared" ca="1" si="1"/>
        <v>0</v>
      </c>
      <c r="E48" t="str">
        <f t="array" aca="1" ref="E48" ca="1">IFERROR(INDEX(Source!$A$1:$A$250,SMALL(IF(--(Source!$B$1:$B$250=$O48)*--(Source!$E$1:$E$250=$M$3)*--(Source!$D$1:$D$250=Pyramid!$M48),ROW(Source!$B$1:$B$250),FALSE),E$3)),"")</f>
        <v/>
      </c>
      <c r="F48" t="str">
        <f t="array" aca="1" ref="F48" ca="1">IFERROR(INDEX(Source!$A$1:$A$250,SMALL(IF(--(Source!$B$1:$B$250=$O48)*--(Source!$E$1:$E$250=$M$3)*--(Source!$D$1:$D$250=Pyramid!$M48),ROW(Source!$B$1:$B$250),FALSE),F$3)),"")</f>
        <v/>
      </c>
      <c r="G48" t="str">
        <f t="array" aca="1" ref="G48" ca="1">IFERROR(INDEX(Source!$A$1:$A$250,SMALL(IF(--(Source!$B$1:$B$250=$O48)*--(Source!$E$1:$E$250=$M$3)*--(Source!$D$1:$D$250=Pyramid!$M48),ROW(Source!$B$1:$B$250),FALSE),G$3)),"")</f>
        <v/>
      </c>
      <c r="H48" t="str">
        <f t="array" aca="1" ref="H48" ca="1">IFERROR(INDEX(Source!$A$1:$A$250,SMALL(IF(--(Source!$B$1:$B$250=$O48)*--(Source!$E$1:$E$250=$M$3)*--(Source!$D$1:$D$250=Pyramid!$M48),ROW(Source!$B$1:$B$250),FALSE),H$3)),"")</f>
        <v/>
      </c>
      <c r="I48" t="str">
        <f t="array" aca="1" ref="I48" ca="1">IFERROR(INDEX(Source!$A$1:$A$250,SMALL(IF(--(Source!$B$1:$B$250=$O48)*--(Source!$E$1:$E$250=$M$3)*--(Source!$D$1:$D$250=Pyramid!$M48),ROW(Source!$B$1:$B$250),FALSE),I$3)),"")</f>
        <v/>
      </c>
      <c r="J48" t="str">
        <f t="array" aca="1" ref="J48" ca="1">IFERROR(INDEX(Source!$A$1:$A$250,SMALL(IF(--(Source!$B$1:$B$250=$O48)*--(Source!$E$1:$E$250=$M$3)*--(Source!$D$1:$D$250=Pyramid!$M48),ROW(Source!$B$1:$B$250),FALSE),J$3)),"")</f>
        <v/>
      </c>
      <c r="K48" t="str">
        <f t="array" aca="1" ref="K48" ca="1">IFERROR(INDEX(Source!$A$1:$A$250,SMALL(IF(--(Source!$B$1:$B$250=$O48)*--(Source!$E$1:$E$250=$M$3)*--(Source!$D$1:$D$250=Pyramid!$M48),ROW(Source!$B$1:$B$250),FALSE),K$3)),"")</f>
        <v/>
      </c>
      <c r="L48" t="str">
        <f t="array" aca="1" ref="L48" ca="1">IFERROR(INDEX(Source!$A$1:$A$250,SMALL(IF(--(Source!$B$1:$B$250=$O48)*--(Source!$E$1:$E$250=$M$3)*--(Source!$D$1:$D$250=Pyramid!$M48),ROW(Source!$B$1:$B$250),FALSE),L$3)),"")</f>
        <v/>
      </c>
      <c r="M48" t="str">
        <f t="shared" si="2"/>
        <v>28/10/2016</v>
      </c>
      <c r="N48">
        <f ca="1">COUNTIFS(Source!B:B,Pyramid!$O48,Source!$D:$D,Pyramid!$M48,Source!$E:$E,Pyramid!$M$3)</f>
        <v>0</v>
      </c>
      <c r="O48">
        <f ca="1">OFFSET(Sheet2!$N$3,INT(C48/5),)</f>
        <v>18000</v>
      </c>
      <c r="P48">
        <f ca="1">COUNTIFS(Source!B:B,Pyramid!$O48,Source!D:D,Pyramid!$Q48,Source!$E:$E,Pyramid!$Q$3)</f>
        <v>0</v>
      </c>
      <c r="Q48" t="str">
        <f t="shared" si="2"/>
        <v>28/10/2016</v>
      </c>
      <c r="R48" t="str">
        <f t="array" aca="1" ref="R48" ca="1">IFERROR(INDEX(Source!$A$1:$A$250,SMALL(IF(--(Source!$B$1:$B$250=$O48)*--(Source!$E$1:$E$250=$Q$3)*--(Source!$D$1:$D$250=Pyramid!$Q48),ROW(Source!$B$1:$B$250),FALSE),R$3)),"")</f>
        <v/>
      </c>
      <c r="S48" t="str">
        <f t="array" aca="1" ref="S48" ca="1">IFERROR(INDEX(Source!$A$1:$A$250,SMALL(IF(--(Source!$B$1:$B$250=$O48)*--(Source!$E$1:$E$250=$Q$3)*--(Source!$D$1:$D$250=Pyramid!$Q48),ROW(Source!$B$1:$B$250),FALSE),S$3)),"")</f>
        <v/>
      </c>
      <c r="T48" t="str">
        <f t="array" aca="1" ref="T48" ca="1">IFERROR(INDEX(Source!$A$1:$A$250,SMALL(IF(--(Source!$B$1:$B$250=$O48)*--(Source!$E$1:$E$250=$Q$3)*--(Source!$D$1:$D$250=Pyramid!$Q48),ROW(Source!$B$1:$B$250),FALSE),T$3)),"")</f>
        <v/>
      </c>
      <c r="U48" t="str">
        <f t="array" aca="1" ref="U48" ca="1">IFERROR(INDEX(Source!$A$1:$A$250,SMALL(IF(--(Source!$B$1:$B$250=$O48)*--(Source!$E$1:$E$250=$Q$3)*--(Source!$D$1:$D$250=Pyramid!$Q48),ROW(Source!$B$1:$B$250),FALSE),U$3)),"")</f>
        <v/>
      </c>
      <c r="V48" t="str">
        <f t="array" aca="1" ref="V48" ca="1">IFERROR(INDEX(Source!$A$1:$A$250,SMALL(IF(--(Source!$B$1:$B$250=$O48)*--(Source!$E$1:$E$250=$Q$3)*--(Source!$D$1:$D$250=Pyramid!$Q48),ROW(Source!$B$1:$B$250),FALSE),V$3)),"")</f>
        <v/>
      </c>
      <c r="W48" t="str">
        <f t="array" aca="1" ref="W48" ca="1">IFERROR(INDEX(Source!$A$1:$A$250,SMALL(IF(--(Source!$B$1:$B$250=$O48)*--(Source!$E$1:$E$250=$Q$3)*--(Source!$D$1:$D$250=Pyramid!$Q48),ROW(Source!$B$1:$B$250),FALSE),W$3)),"")</f>
        <v/>
      </c>
      <c r="X48" t="str">
        <f t="array" aca="1" ref="X48" ca="1">IFERROR(INDEX(Source!$A$1:$A$250,SMALL(IF(--(Source!$B$1:$B$250=$O48)*--(Source!$E$1:$E$250=$Q$3)*--(Source!$D$1:$D$250=Pyramid!$Q48),ROW(Source!$B$1:$B$250),FALSE),X$3)),"")</f>
        <v/>
      </c>
      <c r="Y48" s="5">
        <f t="shared" ca="1" si="3"/>
        <v>0</v>
      </c>
    </row>
    <row r="49" spans="3:25">
      <c r="C49">
        <v>45</v>
      </c>
      <c r="D49" s="5">
        <f t="shared" ca="1" si="1"/>
        <v>0</v>
      </c>
      <c r="E49" t="str">
        <f t="array" aca="1" ref="E49" ca="1">IFERROR(INDEX(Source!$A$1:$A$250,SMALL(IF(--(Source!$B$1:$B$250=$O49)*--(Source!$E$1:$E$250=$M$3)*--(Source!$D$1:$D$250=Pyramid!$M49),ROW(Source!$B$1:$B$250),FALSE),E$3)),"")</f>
        <v/>
      </c>
      <c r="F49" t="str">
        <f t="array" aca="1" ref="F49" ca="1">IFERROR(INDEX(Source!$A$1:$A$250,SMALL(IF(--(Source!$B$1:$B$250=$O49)*--(Source!$E$1:$E$250=$M$3)*--(Source!$D$1:$D$250=Pyramid!$M49),ROW(Source!$B$1:$B$250),FALSE),F$3)),"")</f>
        <v/>
      </c>
      <c r="G49" t="str">
        <f t="array" aca="1" ref="G49" ca="1">IFERROR(INDEX(Source!$A$1:$A$250,SMALL(IF(--(Source!$B$1:$B$250=$O49)*--(Source!$E$1:$E$250=$M$3)*--(Source!$D$1:$D$250=Pyramid!$M49),ROW(Source!$B$1:$B$250),FALSE),G$3)),"")</f>
        <v/>
      </c>
      <c r="H49" t="str">
        <f t="array" aca="1" ref="H49" ca="1">IFERROR(INDEX(Source!$A$1:$A$250,SMALL(IF(--(Source!$B$1:$B$250=$O49)*--(Source!$E$1:$E$250=$M$3)*--(Source!$D$1:$D$250=Pyramid!$M49),ROW(Source!$B$1:$B$250),FALSE),H$3)),"")</f>
        <v/>
      </c>
      <c r="I49" t="str">
        <f t="array" aca="1" ref="I49" ca="1">IFERROR(INDEX(Source!$A$1:$A$250,SMALL(IF(--(Source!$B$1:$B$250=$O49)*--(Source!$E$1:$E$250=$M$3)*--(Source!$D$1:$D$250=Pyramid!$M49),ROW(Source!$B$1:$B$250),FALSE),I$3)),"")</f>
        <v/>
      </c>
      <c r="J49" t="str">
        <f t="array" aca="1" ref="J49" ca="1">IFERROR(INDEX(Source!$A$1:$A$250,SMALL(IF(--(Source!$B$1:$B$250=$O49)*--(Source!$E$1:$E$250=$M$3)*--(Source!$D$1:$D$250=Pyramid!$M49),ROW(Source!$B$1:$B$250),FALSE),J$3)),"")</f>
        <v/>
      </c>
      <c r="K49" t="str">
        <f t="array" aca="1" ref="K49" ca="1">IFERROR(INDEX(Source!$A$1:$A$250,SMALL(IF(--(Source!$B$1:$B$250=$O49)*--(Source!$E$1:$E$250=$M$3)*--(Source!$D$1:$D$250=Pyramid!$M49),ROW(Source!$B$1:$B$250),FALSE),K$3)),"")</f>
        <v/>
      </c>
      <c r="L49" t="str">
        <f t="array" aca="1" ref="L49" ca="1">IFERROR(INDEX(Source!$A$1:$A$250,SMALL(IF(--(Source!$B$1:$B$250=$O49)*--(Source!$E$1:$E$250=$M$3)*--(Source!$D$1:$D$250=Pyramid!$M49),ROW(Source!$B$1:$B$250),FALSE),L$3)),"")</f>
        <v/>
      </c>
      <c r="M49" t="str">
        <f t="shared" si="2"/>
        <v>29/6/2016</v>
      </c>
      <c r="N49">
        <f ca="1">COUNTIFS(Source!B:B,Pyramid!$O49,Source!$D:$D,Pyramid!$M49,Source!$E:$E,Pyramid!$M$3)</f>
        <v>0</v>
      </c>
      <c r="O49">
        <f ca="1">OFFSET(Sheet2!$N$3,INT(C49/5),)</f>
        <v>18308</v>
      </c>
      <c r="P49">
        <f ca="1">COUNTIFS(Source!B:B,Pyramid!$O49,Source!D:D,Pyramid!$Q49,Source!$E:$E,Pyramid!$Q$3)</f>
        <v>0</v>
      </c>
      <c r="Q49" t="str">
        <f t="shared" si="2"/>
        <v>29/6/2016</v>
      </c>
      <c r="R49" t="str">
        <f t="array" aca="1" ref="R49" ca="1">IFERROR(INDEX(Source!$A$1:$A$250,SMALL(IF(--(Source!$B$1:$B$250=$O49)*--(Source!$E$1:$E$250=$Q$3)*--(Source!$D$1:$D$250=Pyramid!$Q49),ROW(Source!$B$1:$B$250),FALSE),R$3)),"")</f>
        <v/>
      </c>
      <c r="S49" t="str">
        <f t="array" aca="1" ref="S49" ca="1">IFERROR(INDEX(Source!$A$1:$A$250,SMALL(IF(--(Source!$B$1:$B$250=$O49)*--(Source!$E$1:$E$250=$Q$3)*--(Source!$D$1:$D$250=Pyramid!$Q49),ROW(Source!$B$1:$B$250),FALSE),S$3)),"")</f>
        <v/>
      </c>
      <c r="T49" t="str">
        <f t="array" aca="1" ref="T49" ca="1">IFERROR(INDEX(Source!$A$1:$A$250,SMALL(IF(--(Source!$B$1:$B$250=$O49)*--(Source!$E$1:$E$250=$Q$3)*--(Source!$D$1:$D$250=Pyramid!$Q49),ROW(Source!$B$1:$B$250),FALSE),T$3)),"")</f>
        <v/>
      </c>
      <c r="U49" t="str">
        <f t="array" aca="1" ref="U49" ca="1">IFERROR(INDEX(Source!$A$1:$A$250,SMALL(IF(--(Source!$B$1:$B$250=$O49)*--(Source!$E$1:$E$250=$Q$3)*--(Source!$D$1:$D$250=Pyramid!$Q49),ROW(Source!$B$1:$B$250),FALSE),U$3)),"")</f>
        <v/>
      </c>
      <c r="V49" t="str">
        <f t="array" aca="1" ref="V49" ca="1">IFERROR(INDEX(Source!$A$1:$A$250,SMALL(IF(--(Source!$B$1:$B$250=$O49)*--(Source!$E$1:$E$250=$Q$3)*--(Source!$D$1:$D$250=Pyramid!$Q49),ROW(Source!$B$1:$B$250),FALSE),V$3)),"")</f>
        <v/>
      </c>
      <c r="W49" t="str">
        <f t="array" aca="1" ref="W49" ca="1">IFERROR(INDEX(Source!$A$1:$A$250,SMALL(IF(--(Source!$B$1:$B$250=$O49)*--(Source!$E$1:$E$250=$Q$3)*--(Source!$D$1:$D$250=Pyramid!$Q49),ROW(Source!$B$1:$B$250),FALSE),W$3)),"")</f>
        <v/>
      </c>
      <c r="X49" t="str">
        <f t="array" aca="1" ref="X49" ca="1">IFERROR(INDEX(Source!$A$1:$A$250,SMALL(IF(--(Source!$B$1:$B$250=$O49)*--(Source!$E$1:$E$250=$Q$3)*--(Source!$D$1:$D$250=Pyramid!$Q49),ROW(Source!$B$1:$B$250),FALSE),X$3)),"")</f>
        <v/>
      </c>
      <c r="Y49" s="5">
        <f t="shared" ca="1" si="3"/>
        <v>0</v>
      </c>
    </row>
    <row r="50" spans="3:25">
      <c r="C50">
        <v>46</v>
      </c>
      <c r="D50" s="5">
        <f t="shared" ca="1" si="1"/>
        <v>0</v>
      </c>
      <c r="E50" t="str">
        <f t="array" aca="1" ref="E50" ca="1">IFERROR(INDEX(Source!$A$1:$A$250,SMALL(IF(--(Source!$B$1:$B$250=$O50)*--(Source!$E$1:$E$250=$M$3)*--(Source!$D$1:$D$250=Pyramid!$M50),ROW(Source!$B$1:$B$250),FALSE),E$3)),"")</f>
        <v/>
      </c>
      <c r="F50" t="str">
        <f t="array" aca="1" ref="F50" ca="1">IFERROR(INDEX(Source!$A$1:$A$250,SMALL(IF(--(Source!$B$1:$B$250=$O50)*--(Source!$E$1:$E$250=$M$3)*--(Source!$D$1:$D$250=Pyramid!$M50),ROW(Source!$B$1:$B$250),FALSE),F$3)),"")</f>
        <v/>
      </c>
      <c r="G50" t="str">
        <f t="array" aca="1" ref="G50" ca="1">IFERROR(INDEX(Source!$A$1:$A$250,SMALL(IF(--(Source!$B$1:$B$250=$O50)*--(Source!$E$1:$E$250=$M$3)*--(Source!$D$1:$D$250=Pyramid!$M50),ROW(Source!$B$1:$B$250),FALSE),G$3)),"")</f>
        <v/>
      </c>
      <c r="H50" t="str">
        <f t="array" aca="1" ref="H50" ca="1">IFERROR(INDEX(Source!$A$1:$A$250,SMALL(IF(--(Source!$B$1:$B$250=$O50)*--(Source!$E$1:$E$250=$M$3)*--(Source!$D$1:$D$250=Pyramid!$M50),ROW(Source!$B$1:$B$250),FALSE),H$3)),"")</f>
        <v/>
      </c>
      <c r="I50" t="str">
        <f t="array" aca="1" ref="I50" ca="1">IFERROR(INDEX(Source!$A$1:$A$250,SMALL(IF(--(Source!$B$1:$B$250=$O50)*--(Source!$E$1:$E$250=$M$3)*--(Source!$D$1:$D$250=Pyramid!$M50),ROW(Source!$B$1:$B$250),FALSE),I$3)),"")</f>
        <v/>
      </c>
      <c r="J50" t="str">
        <f t="array" aca="1" ref="J50" ca="1">IFERROR(INDEX(Source!$A$1:$A$250,SMALL(IF(--(Source!$B$1:$B$250=$O50)*--(Source!$E$1:$E$250=$M$3)*--(Source!$D$1:$D$250=Pyramid!$M50),ROW(Source!$B$1:$B$250),FALSE),J$3)),"")</f>
        <v/>
      </c>
      <c r="K50" t="str">
        <f t="array" aca="1" ref="K50" ca="1">IFERROR(INDEX(Source!$A$1:$A$250,SMALL(IF(--(Source!$B$1:$B$250=$O50)*--(Source!$E$1:$E$250=$M$3)*--(Source!$D$1:$D$250=Pyramid!$M50),ROW(Source!$B$1:$B$250),FALSE),K$3)),"")</f>
        <v/>
      </c>
      <c r="L50" t="str">
        <f t="array" aca="1" ref="L50" ca="1">IFERROR(INDEX(Source!$A$1:$A$250,SMALL(IF(--(Source!$B$1:$B$250=$O50)*--(Source!$E$1:$E$250=$M$3)*--(Source!$D$1:$D$250=Pyramid!$M50),ROW(Source!$B$1:$B$250),FALSE),L$3)),"")</f>
        <v/>
      </c>
      <c r="M50" t="str">
        <f t="shared" si="2"/>
        <v>28/7/2016</v>
      </c>
      <c r="N50">
        <f ca="1">COUNTIFS(Source!B:B,Pyramid!$O50,Source!$D:$D,Pyramid!$M50,Source!$E:$E,Pyramid!$M$3)</f>
        <v>0</v>
      </c>
      <c r="O50">
        <f ca="1">OFFSET(Sheet2!$N$3,INT(C50/5),)</f>
        <v>18308</v>
      </c>
      <c r="P50">
        <f ca="1">COUNTIFS(Source!B:B,Pyramid!$O50,Source!D:D,Pyramid!$Q50,Source!$E:$E,Pyramid!$Q$3)</f>
        <v>0</v>
      </c>
      <c r="Q50" t="str">
        <f t="shared" si="2"/>
        <v>28/7/2016</v>
      </c>
      <c r="R50" t="str">
        <f t="array" aca="1" ref="R50" ca="1">IFERROR(INDEX(Source!$A$1:$A$250,SMALL(IF(--(Source!$B$1:$B$250=$O50)*--(Source!$E$1:$E$250=$Q$3)*--(Source!$D$1:$D$250=Pyramid!$Q50),ROW(Source!$B$1:$B$250),FALSE),R$3)),"")</f>
        <v/>
      </c>
      <c r="S50" t="str">
        <f t="array" aca="1" ref="S50" ca="1">IFERROR(INDEX(Source!$A$1:$A$250,SMALL(IF(--(Source!$B$1:$B$250=$O50)*--(Source!$E$1:$E$250=$Q$3)*--(Source!$D$1:$D$250=Pyramid!$Q50),ROW(Source!$B$1:$B$250),FALSE),S$3)),"")</f>
        <v/>
      </c>
      <c r="T50" t="str">
        <f t="array" aca="1" ref="T50" ca="1">IFERROR(INDEX(Source!$A$1:$A$250,SMALL(IF(--(Source!$B$1:$B$250=$O50)*--(Source!$E$1:$E$250=$Q$3)*--(Source!$D$1:$D$250=Pyramid!$Q50),ROW(Source!$B$1:$B$250),FALSE),T$3)),"")</f>
        <v/>
      </c>
      <c r="U50" t="str">
        <f t="array" aca="1" ref="U50" ca="1">IFERROR(INDEX(Source!$A$1:$A$250,SMALL(IF(--(Source!$B$1:$B$250=$O50)*--(Source!$E$1:$E$250=$Q$3)*--(Source!$D$1:$D$250=Pyramid!$Q50),ROW(Source!$B$1:$B$250),FALSE),U$3)),"")</f>
        <v/>
      </c>
      <c r="V50" t="str">
        <f t="array" aca="1" ref="V50" ca="1">IFERROR(INDEX(Source!$A$1:$A$250,SMALL(IF(--(Source!$B$1:$B$250=$O50)*--(Source!$E$1:$E$250=$Q$3)*--(Source!$D$1:$D$250=Pyramid!$Q50),ROW(Source!$B$1:$B$250),FALSE),V$3)),"")</f>
        <v/>
      </c>
      <c r="W50" t="str">
        <f t="array" aca="1" ref="W50" ca="1">IFERROR(INDEX(Source!$A$1:$A$250,SMALL(IF(--(Source!$B$1:$B$250=$O50)*--(Source!$E$1:$E$250=$Q$3)*--(Source!$D$1:$D$250=Pyramid!$Q50),ROW(Source!$B$1:$B$250),FALSE),W$3)),"")</f>
        <v/>
      </c>
      <c r="X50" t="str">
        <f t="array" aca="1" ref="X50" ca="1">IFERROR(INDEX(Source!$A$1:$A$250,SMALL(IF(--(Source!$B$1:$B$250=$O50)*--(Source!$E$1:$E$250=$Q$3)*--(Source!$D$1:$D$250=Pyramid!$Q50),ROW(Source!$B$1:$B$250),FALSE),X$3)),"")</f>
        <v/>
      </c>
      <c r="Y50" s="5">
        <f t="shared" ca="1" si="3"/>
        <v>0</v>
      </c>
    </row>
    <row r="51" spans="3:25">
      <c r="C51">
        <v>47</v>
      </c>
      <c r="D51" s="5">
        <f t="shared" ca="1" si="1"/>
        <v>0</v>
      </c>
      <c r="E51" t="str">
        <f t="array" aca="1" ref="E51" ca="1">IFERROR(INDEX(Source!$A$1:$A$250,SMALL(IF(--(Source!$B$1:$B$250=$O51)*--(Source!$E$1:$E$250=$M$3)*--(Source!$D$1:$D$250=Pyramid!$M51),ROW(Source!$B$1:$B$250),FALSE),E$3)),"")</f>
        <v/>
      </c>
      <c r="F51" t="str">
        <f t="array" aca="1" ref="F51" ca="1">IFERROR(INDEX(Source!$A$1:$A$250,SMALL(IF(--(Source!$B$1:$B$250=$O51)*--(Source!$E$1:$E$250=$M$3)*--(Source!$D$1:$D$250=Pyramid!$M51),ROW(Source!$B$1:$B$250),FALSE),F$3)),"")</f>
        <v/>
      </c>
      <c r="G51" t="str">
        <f t="array" aca="1" ref="G51" ca="1">IFERROR(INDEX(Source!$A$1:$A$250,SMALL(IF(--(Source!$B$1:$B$250=$O51)*--(Source!$E$1:$E$250=$M$3)*--(Source!$D$1:$D$250=Pyramid!$M51),ROW(Source!$B$1:$B$250),FALSE),G$3)),"")</f>
        <v/>
      </c>
      <c r="H51" t="str">
        <f t="array" aca="1" ref="H51" ca="1">IFERROR(INDEX(Source!$A$1:$A$250,SMALL(IF(--(Source!$B$1:$B$250=$O51)*--(Source!$E$1:$E$250=$M$3)*--(Source!$D$1:$D$250=Pyramid!$M51),ROW(Source!$B$1:$B$250),FALSE),H$3)),"")</f>
        <v/>
      </c>
      <c r="I51" t="str">
        <f t="array" aca="1" ref="I51" ca="1">IFERROR(INDEX(Source!$A$1:$A$250,SMALL(IF(--(Source!$B$1:$B$250=$O51)*--(Source!$E$1:$E$250=$M$3)*--(Source!$D$1:$D$250=Pyramid!$M51),ROW(Source!$B$1:$B$250),FALSE),I$3)),"")</f>
        <v/>
      </c>
      <c r="J51" t="str">
        <f t="array" aca="1" ref="J51" ca="1">IFERROR(INDEX(Source!$A$1:$A$250,SMALL(IF(--(Source!$B$1:$B$250=$O51)*--(Source!$E$1:$E$250=$M$3)*--(Source!$D$1:$D$250=Pyramid!$M51),ROW(Source!$B$1:$B$250),FALSE),J$3)),"")</f>
        <v/>
      </c>
      <c r="K51" t="str">
        <f t="array" aca="1" ref="K51" ca="1">IFERROR(INDEX(Source!$A$1:$A$250,SMALL(IF(--(Source!$B$1:$B$250=$O51)*--(Source!$E$1:$E$250=$M$3)*--(Source!$D$1:$D$250=Pyramid!$M51),ROW(Source!$B$1:$B$250),FALSE),K$3)),"")</f>
        <v/>
      </c>
      <c r="L51" t="str">
        <f t="array" aca="1" ref="L51" ca="1">IFERROR(INDEX(Source!$A$1:$A$250,SMALL(IF(--(Source!$B$1:$B$250=$O51)*--(Source!$E$1:$E$250=$M$3)*--(Source!$D$1:$D$250=Pyramid!$M51),ROW(Source!$B$1:$B$250),FALSE),L$3)),"")</f>
        <v/>
      </c>
      <c r="M51" t="str">
        <f t="shared" si="2"/>
        <v>30/8/2016</v>
      </c>
      <c r="N51">
        <f ca="1">COUNTIFS(Source!B:B,Pyramid!$O51,Source!$D:$D,Pyramid!$M51,Source!$E:$E,Pyramid!$M$3)</f>
        <v>0</v>
      </c>
      <c r="O51">
        <f ca="1">OFFSET(Sheet2!$N$3,INT(C51/5),)</f>
        <v>18308</v>
      </c>
      <c r="P51">
        <f ca="1">COUNTIFS(Source!B:B,Pyramid!$O51,Source!D:D,Pyramid!$Q51,Source!$E:$E,Pyramid!$Q$3)</f>
        <v>0</v>
      </c>
      <c r="Q51" t="str">
        <f t="shared" si="2"/>
        <v>30/8/2016</v>
      </c>
      <c r="R51" t="str">
        <f t="array" aca="1" ref="R51" ca="1">IFERROR(INDEX(Source!$A$1:$A$250,SMALL(IF(--(Source!$B$1:$B$250=$O51)*--(Source!$E$1:$E$250=$Q$3)*--(Source!$D$1:$D$250=Pyramid!$Q51),ROW(Source!$B$1:$B$250),FALSE),R$3)),"")</f>
        <v/>
      </c>
      <c r="S51" t="str">
        <f t="array" aca="1" ref="S51" ca="1">IFERROR(INDEX(Source!$A$1:$A$250,SMALL(IF(--(Source!$B$1:$B$250=$O51)*--(Source!$E$1:$E$250=$Q$3)*--(Source!$D$1:$D$250=Pyramid!$Q51),ROW(Source!$B$1:$B$250),FALSE),S$3)),"")</f>
        <v/>
      </c>
      <c r="T51" t="str">
        <f t="array" aca="1" ref="T51" ca="1">IFERROR(INDEX(Source!$A$1:$A$250,SMALL(IF(--(Source!$B$1:$B$250=$O51)*--(Source!$E$1:$E$250=$Q$3)*--(Source!$D$1:$D$250=Pyramid!$Q51),ROW(Source!$B$1:$B$250),FALSE),T$3)),"")</f>
        <v/>
      </c>
      <c r="U51" t="str">
        <f t="array" aca="1" ref="U51" ca="1">IFERROR(INDEX(Source!$A$1:$A$250,SMALL(IF(--(Source!$B$1:$B$250=$O51)*--(Source!$E$1:$E$250=$Q$3)*--(Source!$D$1:$D$250=Pyramid!$Q51),ROW(Source!$B$1:$B$250),FALSE),U$3)),"")</f>
        <v/>
      </c>
      <c r="V51" t="str">
        <f t="array" aca="1" ref="V51" ca="1">IFERROR(INDEX(Source!$A$1:$A$250,SMALL(IF(--(Source!$B$1:$B$250=$O51)*--(Source!$E$1:$E$250=$Q$3)*--(Source!$D$1:$D$250=Pyramid!$Q51),ROW(Source!$B$1:$B$250),FALSE),V$3)),"")</f>
        <v/>
      </c>
      <c r="W51" t="str">
        <f t="array" aca="1" ref="W51" ca="1">IFERROR(INDEX(Source!$A$1:$A$250,SMALL(IF(--(Source!$B$1:$B$250=$O51)*--(Source!$E$1:$E$250=$Q$3)*--(Source!$D$1:$D$250=Pyramid!$Q51),ROW(Source!$B$1:$B$250),FALSE),W$3)),"")</f>
        <v/>
      </c>
      <c r="X51" t="str">
        <f t="array" aca="1" ref="X51" ca="1">IFERROR(INDEX(Source!$A$1:$A$250,SMALL(IF(--(Source!$B$1:$B$250=$O51)*--(Source!$E$1:$E$250=$Q$3)*--(Source!$D$1:$D$250=Pyramid!$Q51),ROW(Source!$B$1:$B$250),FALSE),X$3)),"")</f>
        <v/>
      </c>
      <c r="Y51" s="5">
        <f t="shared" ca="1" si="3"/>
        <v>0</v>
      </c>
    </row>
    <row r="52" spans="3:25">
      <c r="C52">
        <v>48</v>
      </c>
      <c r="D52" s="5">
        <f t="shared" ca="1" si="1"/>
        <v>0</v>
      </c>
      <c r="E52" t="str">
        <f t="array" aca="1" ref="E52" ca="1">IFERROR(INDEX(Source!$A$1:$A$250,SMALL(IF(--(Source!$B$1:$B$250=$O52)*--(Source!$E$1:$E$250=$M$3)*--(Source!$D$1:$D$250=Pyramid!$M52),ROW(Source!$B$1:$B$250),FALSE),E$3)),"")</f>
        <v/>
      </c>
      <c r="F52" t="str">
        <f t="array" aca="1" ref="F52" ca="1">IFERROR(INDEX(Source!$A$1:$A$250,SMALL(IF(--(Source!$B$1:$B$250=$O52)*--(Source!$E$1:$E$250=$M$3)*--(Source!$D$1:$D$250=Pyramid!$M52),ROW(Source!$B$1:$B$250),FALSE),F$3)),"")</f>
        <v/>
      </c>
      <c r="G52" t="str">
        <f t="array" aca="1" ref="G52" ca="1">IFERROR(INDEX(Source!$A$1:$A$250,SMALL(IF(--(Source!$B$1:$B$250=$O52)*--(Source!$E$1:$E$250=$M$3)*--(Source!$D$1:$D$250=Pyramid!$M52),ROW(Source!$B$1:$B$250),FALSE),G$3)),"")</f>
        <v/>
      </c>
      <c r="H52" t="str">
        <f t="array" aca="1" ref="H52" ca="1">IFERROR(INDEX(Source!$A$1:$A$250,SMALL(IF(--(Source!$B$1:$B$250=$O52)*--(Source!$E$1:$E$250=$M$3)*--(Source!$D$1:$D$250=Pyramid!$M52),ROW(Source!$B$1:$B$250),FALSE),H$3)),"")</f>
        <v/>
      </c>
      <c r="I52" t="str">
        <f t="array" aca="1" ref="I52" ca="1">IFERROR(INDEX(Source!$A$1:$A$250,SMALL(IF(--(Source!$B$1:$B$250=$O52)*--(Source!$E$1:$E$250=$M$3)*--(Source!$D$1:$D$250=Pyramid!$M52),ROW(Source!$B$1:$B$250),FALSE),I$3)),"")</f>
        <v/>
      </c>
      <c r="J52" t="str">
        <f t="array" aca="1" ref="J52" ca="1">IFERROR(INDEX(Source!$A$1:$A$250,SMALL(IF(--(Source!$B$1:$B$250=$O52)*--(Source!$E$1:$E$250=$M$3)*--(Source!$D$1:$D$250=Pyramid!$M52),ROW(Source!$B$1:$B$250),FALSE),J$3)),"")</f>
        <v/>
      </c>
      <c r="K52" t="str">
        <f t="array" aca="1" ref="K52" ca="1">IFERROR(INDEX(Source!$A$1:$A$250,SMALL(IF(--(Source!$B$1:$B$250=$O52)*--(Source!$E$1:$E$250=$M$3)*--(Source!$D$1:$D$250=Pyramid!$M52),ROW(Source!$B$1:$B$250),FALSE),K$3)),"")</f>
        <v/>
      </c>
      <c r="L52" t="str">
        <f t="array" aca="1" ref="L52" ca="1">IFERROR(INDEX(Source!$A$1:$A$250,SMALL(IF(--(Source!$B$1:$B$250=$O52)*--(Source!$E$1:$E$250=$M$3)*--(Source!$D$1:$D$250=Pyramid!$M52),ROW(Source!$B$1:$B$250),FALSE),L$3)),"")</f>
        <v/>
      </c>
      <c r="M52" t="str">
        <f t="shared" si="2"/>
        <v>29/9/2016</v>
      </c>
      <c r="N52">
        <f ca="1">COUNTIFS(Source!B:B,Pyramid!$O52,Source!$D:$D,Pyramid!$M52,Source!$E:$E,Pyramid!$M$3)</f>
        <v>0</v>
      </c>
      <c r="O52">
        <f ca="1">OFFSET(Sheet2!$N$3,INT(C52/5),)</f>
        <v>18308</v>
      </c>
      <c r="P52">
        <f ca="1">COUNTIFS(Source!B:B,Pyramid!$O52,Source!D:D,Pyramid!$Q52,Source!$E:$E,Pyramid!$Q$3)</f>
        <v>1</v>
      </c>
      <c r="Q52" t="str">
        <f t="shared" si="2"/>
        <v>29/9/2016</v>
      </c>
      <c r="R52" t="str">
        <f t="array" aca="1" ref="R52" ca="1">IFERROR(INDEX(Source!$A$1:$A$250,SMALL(IF(--(Source!$B$1:$B$250=$O52)*--(Source!$E$1:$E$250=$Q$3)*--(Source!$D$1:$D$250=Pyramid!$Q52),ROW(Source!$B$1:$B$250),FALSE),R$3)),"")</f>
        <v>27112 HK Equity</v>
      </c>
      <c r="S52" t="str">
        <f t="array" aca="1" ref="S52" ca="1">IFERROR(INDEX(Source!$A$1:$A$250,SMALL(IF(--(Source!$B$1:$B$250=$O52)*--(Source!$E$1:$E$250=$Q$3)*--(Source!$D$1:$D$250=Pyramid!$Q52),ROW(Source!$B$1:$B$250),FALSE),S$3)),"")</f>
        <v/>
      </c>
      <c r="T52" t="str">
        <f t="array" aca="1" ref="T52" ca="1">IFERROR(INDEX(Source!$A$1:$A$250,SMALL(IF(--(Source!$B$1:$B$250=$O52)*--(Source!$E$1:$E$250=$Q$3)*--(Source!$D$1:$D$250=Pyramid!$Q52),ROW(Source!$B$1:$B$250),FALSE),T$3)),"")</f>
        <v/>
      </c>
      <c r="U52" t="str">
        <f t="array" aca="1" ref="U52" ca="1">IFERROR(INDEX(Source!$A$1:$A$250,SMALL(IF(--(Source!$B$1:$B$250=$O52)*--(Source!$E$1:$E$250=$Q$3)*--(Source!$D$1:$D$250=Pyramid!$Q52),ROW(Source!$B$1:$B$250),FALSE),U$3)),"")</f>
        <v/>
      </c>
      <c r="V52" t="str">
        <f t="array" aca="1" ref="V52" ca="1">IFERROR(INDEX(Source!$A$1:$A$250,SMALL(IF(--(Source!$B$1:$B$250=$O52)*--(Source!$E$1:$E$250=$Q$3)*--(Source!$D$1:$D$250=Pyramid!$Q52),ROW(Source!$B$1:$B$250),FALSE),V$3)),"")</f>
        <v/>
      </c>
      <c r="W52" t="str">
        <f t="array" aca="1" ref="W52" ca="1">IFERROR(INDEX(Source!$A$1:$A$250,SMALL(IF(--(Source!$B$1:$B$250=$O52)*--(Source!$E$1:$E$250=$Q$3)*--(Source!$D$1:$D$250=Pyramid!$Q52),ROW(Source!$B$1:$B$250),FALSE),W$3)),"")</f>
        <v/>
      </c>
      <c r="X52" t="str">
        <f t="array" aca="1" ref="X52" ca="1">IFERROR(INDEX(Source!$A$1:$A$250,SMALL(IF(--(Source!$B$1:$B$250=$O52)*--(Source!$E$1:$E$250=$Q$3)*--(Source!$D$1:$D$250=Pyramid!$Q52),ROW(Source!$B$1:$B$250),FALSE),X$3)),"")</f>
        <v/>
      </c>
      <c r="Y52" s="5">
        <f t="shared" ca="1" si="3"/>
        <v>0</v>
      </c>
    </row>
    <row r="53" spans="3:25">
      <c r="C53">
        <v>49</v>
      </c>
      <c r="D53" s="5">
        <f t="shared" ca="1" si="1"/>
        <v>0</v>
      </c>
      <c r="E53" t="str">
        <f t="array" aca="1" ref="E53" ca="1">IFERROR(INDEX(Source!$A$1:$A$250,SMALL(IF(--(Source!$B$1:$B$250=$O53)*--(Source!$E$1:$E$250=$M$3)*--(Source!$D$1:$D$250=Pyramid!$M53),ROW(Source!$B$1:$B$250),FALSE),E$3)),"")</f>
        <v/>
      </c>
      <c r="F53" t="str">
        <f t="array" aca="1" ref="F53" ca="1">IFERROR(INDEX(Source!$A$1:$A$250,SMALL(IF(--(Source!$B$1:$B$250=$O53)*--(Source!$E$1:$E$250=$M$3)*--(Source!$D$1:$D$250=Pyramid!$M53),ROW(Source!$B$1:$B$250),FALSE),F$3)),"")</f>
        <v/>
      </c>
      <c r="G53" t="str">
        <f t="array" aca="1" ref="G53" ca="1">IFERROR(INDEX(Source!$A$1:$A$250,SMALL(IF(--(Source!$B$1:$B$250=$O53)*--(Source!$E$1:$E$250=$M$3)*--(Source!$D$1:$D$250=Pyramid!$M53),ROW(Source!$B$1:$B$250),FALSE),G$3)),"")</f>
        <v/>
      </c>
      <c r="H53" t="str">
        <f t="array" aca="1" ref="H53" ca="1">IFERROR(INDEX(Source!$A$1:$A$250,SMALL(IF(--(Source!$B$1:$B$250=$O53)*--(Source!$E$1:$E$250=$M$3)*--(Source!$D$1:$D$250=Pyramid!$M53),ROW(Source!$B$1:$B$250),FALSE),H$3)),"")</f>
        <v/>
      </c>
      <c r="I53" t="str">
        <f t="array" aca="1" ref="I53" ca="1">IFERROR(INDEX(Source!$A$1:$A$250,SMALL(IF(--(Source!$B$1:$B$250=$O53)*--(Source!$E$1:$E$250=$M$3)*--(Source!$D$1:$D$250=Pyramid!$M53),ROW(Source!$B$1:$B$250),FALSE),I$3)),"")</f>
        <v/>
      </c>
      <c r="J53" t="str">
        <f t="array" aca="1" ref="J53" ca="1">IFERROR(INDEX(Source!$A$1:$A$250,SMALL(IF(--(Source!$B$1:$B$250=$O53)*--(Source!$E$1:$E$250=$M$3)*--(Source!$D$1:$D$250=Pyramid!$M53),ROW(Source!$B$1:$B$250),FALSE),J$3)),"")</f>
        <v/>
      </c>
      <c r="K53" t="str">
        <f t="array" aca="1" ref="K53" ca="1">IFERROR(INDEX(Source!$A$1:$A$250,SMALL(IF(--(Source!$B$1:$B$250=$O53)*--(Source!$E$1:$E$250=$M$3)*--(Source!$D$1:$D$250=Pyramid!$M53),ROW(Source!$B$1:$B$250),FALSE),K$3)),"")</f>
        <v/>
      </c>
      <c r="L53" t="str">
        <f t="array" aca="1" ref="L53" ca="1">IFERROR(INDEX(Source!$A$1:$A$250,SMALL(IF(--(Source!$B$1:$B$250=$O53)*--(Source!$E$1:$E$250=$M$3)*--(Source!$D$1:$D$250=Pyramid!$M53),ROW(Source!$B$1:$B$250),FALSE),L$3)),"")</f>
        <v/>
      </c>
      <c r="M53" t="str">
        <f t="shared" si="2"/>
        <v>28/10/2016</v>
      </c>
      <c r="N53">
        <f ca="1">COUNTIFS(Source!B:B,Pyramid!$O53,Source!$D:$D,Pyramid!$M53,Source!$E:$E,Pyramid!$M$3)</f>
        <v>0</v>
      </c>
      <c r="O53">
        <f ca="1">OFFSET(Sheet2!$N$3,INT(C53/5),)</f>
        <v>18308</v>
      </c>
      <c r="P53">
        <f ca="1">COUNTIFS(Source!B:B,Pyramid!$O53,Source!D:D,Pyramid!$Q53,Source!$E:$E,Pyramid!$Q$3)</f>
        <v>0</v>
      </c>
      <c r="Q53" t="str">
        <f t="shared" si="2"/>
        <v>28/10/2016</v>
      </c>
      <c r="R53" t="str">
        <f t="array" aca="1" ref="R53" ca="1">IFERROR(INDEX(Source!$A$1:$A$250,SMALL(IF(--(Source!$B$1:$B$250=$O53)*--(Source!$E$1:$E$250=$Q$3)*--(Source!$D$1:$D$250=Pyramid!$Q53),ROW(Source!$B$1:$B$250),FALSE),R$3)),"")</f>
        <v/>
      </c>
      <c r="S53" t="str">
        <f t="array" aca="1" ref="S53" ca="1">IFERROR(INDEX(Source!$A$1:$A$250,SMALL(IF(--(Source!$B$1:$B$250=$O53)*--(Source!$E$1:$E$250=$Q$3)*--(Source!$D$1:$D$250=Pyramid!$Q53),ROW(Source!$B$1:$B$250),FALSE),S$3)),"")</f>
        <v/>
      </c>
      <c r="T53" t="str">
        <f t="array" aca="1" ref="T53" ca="1">IFERROR(INDEX(Source!$A$1:$A$250,SMALL(IF(--(Source!$B$1:$B$250=$O53)*--(Source!$E$1:$E$250=$Q$3)*--(Source!$D$1:$D$250=Pyramid!$Q53),ROW(Source!$B$1:$B$250),FALSE),T$3)),"")</f>
        <v/>
      </c>
      <c r="U53" t="str">
        <f t="array" aca="1" ref="U53" ca="1">IFERROR(INDEX(Source!$A$1:$A$250,SMALL(IF(--(Source!$B$1:$B$250=$O53)*--(Source!$E$1:$E$250=$Q$3)*--(Source!$D$1:$D$250=Pyramid!$Q53),ROW(Source!$B$1:$B$250),FALSE),U$3)),"")</f>
        <v/>
      </c>
      <c r="V53" t="str">
        <f t="array" aca="1" ref="V53" ca="1">IFERROR(INDEX(Source!$A$1:$A$250,SMALL(IF(--(Source!$B$1:$B$250=$O53)*--(Source!$E$1:$E$250=$Q$3)*--(Source!$D$1:$D$250=Pyramid!$Q53),ROW(Source!$B$1:$B$250),FALSE),V$3)),"")</f>
        <v/>
      </c>
      <c r="W53" t="str">
        <f t="array" aca="1" ref="W53" ca="1">IFERROR(INDEX(Source!$A$1:$A$250,SMALL(IF(--(Source!$B$1:$B$250=$O53)*--(Source!$E$1:$E$250=$Q$3)*--(Source!$D$1:$D$250=Pyramid!$Q53),ROW(Source!$B$1:$B$250),FALSE),W$3)),"")</f>
        <v/>
      </c>
      <c r="X53" t="str">
        <f t="array" aca="1" ref="X53" ca="1">IFERROR(INDEX(Source!$A$1:$A$250,SMALL(IF(--(Source!$B$1:$B$250=$O53)*--(Source!$E$1:$E$250=$Q$3)*--(Source!$D$1:$D$250=Pyramid!$Q53),ROW(Source!$B$1:$B$250),FALSE),X$3)),"")</f>
        <v/>
      </c>
      <c r="Y53" s="5">
        <f t="shared" ca="1" si="3"/>
        <v>0</v>
      </c>
    </row>
    <row r="54" spans="3:25">
      <c r="C54">
        <v>50</v>
      </c>
      <c r="D54" s="5">
        <f t="shared" ca="1" si="1"/>
        <v>0</v>
      </c>
      <c r="E54" t="str">
        <f t="array" aca="1" ref="E54" ca="1">IFERROR(INDEX(Source!$A$1:$A$250,SMALL(IF(--(Source!$B$1:$B$250=$O54)*--(Source!$E$1:$E$250=$M$3)*--(Source!$D$1:$D$250=Pyramid!$M54),ROW(Source!$B$1:$B$250),FALSE),E$3)),"")</f>
        <v/>
      </c>
      <c r="F54" t="str">
        <f t="array" aca="1" ref="F54" ca="1">IFERROR(INDEX(Source!$A$1:$A$250,SMALL(IF(--(Source!$B$1:$B$250=$O54)*--(Source!$E$1:$E$250=$M$3)*--(Source!$D$1:$D$250=Pyramid!$M54),ROW(Source!$B$1:$B$250),FALSE),F$3)),"")</f>
        <v/>
      </c>
      <c r="G54" t="str">
        <f t="array" aca="1" ref="G54" ca="1">IFERROR(INDEX(Source!$A$1:$A$250,SMALL(IF(--(Source!$B$1:$B$250=$O54)*--(Source!$E$1:$E$250=$M$3)*--(Source!$D$1:$D$250=Pyramid!$M54),ROW(Source!$B$1:$B$250),FALSE),G$3)),"")</f>
        <v/>
      </c>
      <c r="H54" t="str">
        <f t="array" aca="1" ref="H54" ca="1">IFERROR(INDEX(Source!$A$1:$A$250,SMALL(IF(--(Source!$B$1:$B$250=$O54)*--(Source!$E$1:$E$250=$M$3)*--(Source!$D$1:$D$250=Pyramid!$M54),ROW(Source!$B$1:$B$250),FALSE),H$3)),"")</f>
        <v/>
      </c>
      <c r="I54" t="str">
        <f t="array" aca="1" ref="I54" ca="1">IFERROR(INDEX(Source!$A$1:$A$250,SMALL(IF(--(Source!$B$1:$B$250=$O54)*--(Source!$E$1:$E$250=$M$3)*--(Source!$D$1:$D$250=Pyramid!$M54),ROW(Source!$B$1:$B$250),FALSE),I$3)),"")</f>
        <v/>
      </c>
      <c r="J54" t="str">
        <f t="array" aca="1" ref="J54" ca="1">IFERROR(INDEX(Source!$A$1:$A$250,SMALL(IF(--(Source!$B$1:$B$250=$O54)*--(Source!$E$1:$E$250=$M$3)*--(Source!$D$1:$D$250=Pyramid!$M54),ROW(Source!$B$1:$B$250),FALSE),J$3)),"")</f>
        <v/>
      </c>
      <c r="K54" t="str">
        <f t="array" aca="1" ref="K54" ca="1">IFERROR(INDEX(Source!$A$1:$A$250,SMALL(IF(--(Source!$B$1:$B$250=$O54)*--(Source!$E$1:$E$250=$M$3)*--(Source!$D$1:$D$250=Pyramid!$M54),ROW(Source!$B$1:$B$250),FALSE),K$3)),"")</f>
        <v/>
      </c>
      <c r="L54" t="str">
        <f t="array" aca="1" ref="L54" ca="1">IFERROR(INDEX(Source!$A$1:$A$250,SMALL(IF(--(Source!$B$1:$B$250=$O54)*--(Source!$E$1:$E$250=$M$3)*--(Source!$D$1:$D$250=Pyramid!$M54),ROW(Source!$B$1:$B$250),FALSE),L$3)),"")</f>
        <v/>
      </c>
      <c r="M54" t="str">
        <f t="shared" si="2"/>
        <v>29/6/2016</v>
      </c>
      <c r="N54">
        <f ca="1">COUNTIFS(Source!B:B,Pyramid!$O54,Source!$D:$D,Pyramid!$M54,Source!$E:$E,Pyramid!$M$3)</f>
        <v>0</v>
      </c>
      <c r="O54">
        <f ca="1">OFFSET(Sheet2!$N$3,INT(C54/5),)</f>
        <v>18400</v>
      </c>
      <c r="P54">
        <f ca="1">COUNTIFS(Source!B:B,Pyramid!$O54,Source!D:D,Pyramid!$Q54,Source!$E:$E,Pyramid!$Q$3)</f>
        <v>0</v>
      </c>
      <c r="Q54" t="str">
        <f t="shared" si="2"/>
        <v>29/6/2016</v>
      </c>
      <c r="R54" t="str">
        <f t="array" aca="1" ref="R54" ca="1">IFERROR(INDEX(Source!$A$1:$A$250,SMALL(IF(--(Source!$B$1:$B$250=$O54)*--(Source!$E$1:$E$250=$Q$3)*--(Source!$D$1:$D$250=Pyramid!$Q54),ROW(Source!$B$1:$B$250),FALSE),R$3)),"")</f>
        <v/>
      </c>
      <c r="S54" t="str">
        <f t="array" aca="1" ref="S54" ca="1">IFERROR(INDEX(Source!$A$1:$A$250,SMALL(IF(--(Source!$B$1:$B$250=$O54)*--(Source!$E$1:$E$250=$Q$3)*--(Source!$D$1:$D$250=Pyramid!$Q54),ROW(Source!$B$1:$B$250),FALSE),S$3)),"")</f>
        <v/>
      </c>
      <c r="T54" t="str">
        <f t="array" aca="1" ref="T54" ca="1">IFERROR(INDEX(Source!$A$1:$A$250,SMALL(IF(--(Source!$B$1:$B$250=$O54)*--(Source!$E$1:$E$250=$Q$3)*--(Source!$D$1:$D$250=Pyramid!$Q54),ROW(Source!$B$1:$B$250),FALSE),T$3)),"")</f>
        <v/>
      </c>
      <c r="U54" t="str">
        <f t="array" aca="1" ref="U54" ca="1">IFERROR(INDEX(Source!$A$1:$A$250,SMALL(IF(--(Source!$B$1:$B$250=$O54)*--(Source!$E$1:$E$250=$Q$3)*--(Source!$D$1:$D$250=Pyramid!$Q54),ROW(Source!$B$1:$B$250),FALSE),U$3)),"")</f>
        <v/>
      </c>
      <c r="V54" t="str">
        <f t="array" aca="1" ref="V54" ca="1">IFERROR(INDEX(Source!$A$1:$A$250,SMALL(IF(--(Source!$B$1:$B$250=$O54)*--(Source!$E$1:$E$250=$Q$3)*--(Source!$D$1:$D$250=Pyramid!$Q54),ROW(Source!$B$1:$B$250),FALSE),V$3)),"")</f>
        <v/>
      </c>
      <c r="W54" t="str">
        <f t="array" aca="1" ref="W54" ca="1">IFERROR(INDEX(Source!$A$1:$A$250,SMALL(IF(--(Source!$B$1:$B$250=$O54)*--(Source!$E$1:$E$250=$Q$3)*--(Source!$D$1:$D$250=Pyramid!$Q54),ROW(Source!$B$1:$B$250),FALSE),W$3)),"")</f>
        <v/>
      </c>
      <c r="X54" t="str">
        <f t="array" aca="1" ref="X54" ca="1">IFERROR(INDEX(Source!$A$1:$A$250,SMALL(IF(--(Source!$B$1:$B$250=$O54)*--(Source!$E$1:$E$250=$Q$3)*--(Source!$D$1:$D$250=Pyramid!$Q54),ROW(Source!$B$1:$B$250),FALSE),X$3)),"")</f>
        <v/>
      </c>
      <c r="Y54" s="5">
        <f t="shared" ca="1" si="3"/>
        <v>0</v>
      </c>
    </row>
    <row r="55" spans="3:25">
      <c r="C55">
        <v>51</v>
      </c>
      <c r="D55" s="5">
        <f t="shared" ca="1" si="1"/>
        <v>0</v>
      </c>
      <c r="E55" t="str">
        <f t="array" aca="1" ref="E55" ca="1">IFERROR(INDEX(Source!$A$1:$A$250,SMALL(IF(--(Source!$B$1:$B$250=$O55)*--(Source!$E$1:$E$250=$M$3)*--(Source!$D$1:$D$250=Pyramid!$M55),ROW(Source!$B$1:$B$250),FALSE),E$3)),"")</f>
        <v/>
      </c>
      <c r="F55" t="str">
        <f t="array" aca="1" ref="F55" ca="1">IFERROR(INDEX(Source!$A$1:$A$250,SMALL(IF(--(Source!$B$1:$B$250=$O55)*--(Source!$E$1:$E$250=$M$3)*--(Source!$D$1:$D$250=Pyramid!$M55),ROW(Source!$B$1:$B$250),FALSE),F$3)),"")</f>
        <v/>
      </c>
      <c r="G55" t="str">
        <f t="array" aca="1" ref="G55" ca="1">IFERROR(INDEX(Source!$A$1:$A$250,SMALL(IF(--(Source!$B$1:$B$250=$O55)*--(Source!$E$1:$E$250=$M$3)*--(Source!$D$1:$D$250=Pyramid!$M55),ROW(Source!$B$1:$B$250),FALSE),G$3)),"")</f>
        <v/>
      </c>
      <c r="H55" t="str">
        <f t="array" aca="1" ref="H55" ca="1">IFERROR(INDEX(Source!$A$1:$A$250,SMALL(IF(--(Source!$B$1:$B$250=$O55)*--(Source!$E$1:$E$250=$M$3)*--(Source!$D$1:$D$250=Pyramid!$M55),ROW(Source!$B$1:$B$250),FALSE),H$3)),"")</f>
        <v/>
      </c>
      <c r="I55" t="str">
        <f t="array" aca="1" ref="I55" ca="1">IFERROR(INDEX(Source!$A$1:$A$250,SMALL(IF(--(Source!$B$1:$B$250=$O55)*--(Source!$E$1:$E$250=$M$3)*--(Source!$D$1:$D$250=Pyramid!$M55),ROW(Source!$B$1:$B$250),FALSE),I$3)),"")</f>
        <v/>
      </c>
      <c r="J55" t="str">
        <f t="array" aca="1" ref="J55" ca="1">IFERROR(INDEX(Source!$A$1:$A$250,SMALL(IF(--(Source!$B$1:$B$250=$O55)*--(Source!$E$1:$E$250=$M$3)*--(Source!$D$1:$D$250=Pyramid!$M55),ROW(Source!$B$1:$B$250),FALSE),J$3)),"")</f>
        <v/>
      </c>
      <c r="K55" t="str">
        <f t="array" aca="1" ref="K55" ca="1">IFERROR(INDEX(Source!$A$1:$A$250,SMALL(IF(--(Source!$B$1:$B$250=$O55)*--(Source!$E$1:$E$250=$M$3)*--(Source!$D$1:$D$250=Pyramid!$M55),ROW(Source!$B$1:$B$250),FALSE),K$3)),"")</f>
        <v/>
      </c>
      <c r="L55" t="str">
        <f t="array" aca="1" ref="L55" ca="1">IFERROR(INDEX(Source!$A$1:$A$250,SMALL(IF(--(Source!$B$1:$B$250=$O55)*--(Source!$E$1:$E$250=$M$3)*--(Source!$D$1:$D$250=Pyramid!$M55),ROW(Source!$B$1:$B$250),FALSE),L$3)),"")</f>
        <v/>
      </c>
      <c r="M55" t="str">
        <f t="shared" si="2"/>
        <v>28/7/2016</v>
      </c>
      <c r="N55">
        <f ca="1">COUNTIFS(Source!B:B,Pyramid!$O55,Source!$D:$D,Pyramid!$M55,Source!$E:$E,Pyramid!$M$3)</f>
        <v>0</v>
      </c>
      <c r="O55">
        <f ca="1">OFFSET(Sheet2!$N$3,INT(C55/5),)</f>
        <v>18400</v>
      </c>
      <c r="P55">
        <f ca="1">COUNTIFS(Source!B:B,Pyramid!$O55,Source!D:D,Pyramid!$Q55,Source!$E:$E,Pyramid!$Q$3)</f>
        <v>0</v>
      </c>
      <c r="Q55" t="str">
        <f t="shared" si="2"/>
        <v>28/7/2016</v>
      </c>
      <c r="R55" t="str">
        <f t="array" aca="1" ref="R55" ca="1">IFERROR(INDEX(Source!$A$1:$A$250,SMALL(IF(--(Source!$B$1:$B$250=$O55)*--(Source!$E$1:$E$250=$Q$3)*--(Source!$D$1:$D$250=Pyramid!$Q55),ROW(Source!$B$1:$B$250),FALSE),R$3)),"")</f>
        <v/>
      </c>
      <c r="S55" t="str">
        <f t="array" aca="1" ref="S55" ca="1">IFERROR(INDEX(Source!$A$1:$A$250,SMALL(IF(--(Source!$B$1:$B$250=$O55)*--(Source!$E$1:$E$250=$Q$3)*--(Source!$D$1:$D$250=Pyramid!$Q55),ROW(Source!$B$1:$B$250),FALSE),S$3)),"")</f>
        <v/>
      </c>
      <c r="T55" t="str">
        <f t="array" aca="1" ref="T55" ca="1">IFERROR(INDEX(Source!$A$1:$A$250,SMALL(IF(--(Source!$B$1:$B$250=$O55)*--(Source!$E$1:$E$250=$Q$3)*--(Source!$D$1:$D$250=Pyramid!$Q55),ROW(Source!$B$1:$B$250),FALSE),T$3)),"")</f>
        <v/>
      </c>
      <c r="U55" t="str">
        <f t="array" aca="1" ref="U55" ca="1">IFERROR(INDEX(Source!$A$1:$A$250,SMALL(IF(--(Source!$B$1:$B$250=$O55)*--(Source!$E$1:$E$250=$Q$3)*--(Source!$D$1:$D$250=Pyramid!$Q55),ROW(Source!$B$1:$B$250),FALSE),U$3)),"")</f>
        <v/>
      </c>
      <c r="V55" t="str">
        <f t="array" aca="1" ref="V55" ca="1">IFERROR(INDEX(Source!$A$1:$A$250,SMALL(IF(--(Source!$B$1:$B$250=$O55)*--(Source!$E$1:$E$250=$Q$3)*--(Source!$D$1:$D$250=Pyramid!$Q55),ROW(Source!$B$1:$B$250),FALSE),V$3)),"")</f>
        <v/>
      </c>
      <c r="W55" t="str">
        <f t="array" aca="1" ref="W55" ca="1">IFERROR(INDEX(Source!$A$1:$A$250,SMALL(IF(--(Source!$B$1:$B$250=$O55)*--(Source!$E$1:$E$250=$Q$3)*--(Source!$D$1:$D$250=Pyramid!$Q55),ROW(Source!$B$1:$B$250),FALSE),W$3)),"")</f>
        <v/>
      </c>
      <c r="X55" t="str">
        <f t="array" aca="1" ref="X55" ca="1">IFERROR(INDEX(Source!$A$1:$A$250,SMALL(IF(--(Source!$B$1:$B$250=$O55)*--(Source!$E$1:$E$250=$Q$3)*--(Source!$D$1:$D$250=Pyramid!$Q55),ROW(Source!$B$1:$B$250),FALSE),X$3)),"")</f>
        <v/>
      </c>
      <c r="Y55" s="5">
        <f t="shared" ca="1" si="3"/>
        <v>0</v>
      </c>
    </row>
    <row r="56" spans="3:25">
      <c r="C56">
        <v>52</v>
      </c>
      <c r="D56" s="5">
        <f t="shared" ca="1" si="1"/>
        <v>0</v>
      </c>
      <c r="E56" t="str">
        <f t="array" aca="1" ref="E56" ca="1">IFERROR(INDEX(Source!$A$1:$A$250,SMALL(IF(--(Source!$B$1:$B$250=$O56)*--(Source!$E$1:$E$250=$M$3)*--(Source!$D$1:$D$250=Pyramid!$M56),ROW(Source!$B$1:$B$250),FALSE),E$3)),"")</f>
        <v/>
      </c>
      <c r="F56" t="str">
        <f t="array" aca="1" ref="F56" ca="1">IFERROR(INDEX(Source!$A$1:$A$250,SMALL(IF(--(Source!$B$1:$B$250=$O56)*--(Source!$E$1:$E$250=$M$3)*--(Source!$D$1:$D$250=Pyramid!$M56),ROW(Source!$B$1:$B$250),FALSE),F$3)),"")</f>
        <v/>
      </c>
      <c r="G56" t="str">
        <f t="array" aca="1" ref="G56" ca="1">IFERROR(INDEX(Source!$A$1:$A$250,SMALL(IF(--(Source!$B$1:$B$250=$O56)*--(Source!$E$1:$E$250=$M$3)*--(Source!$D$1:$D$250=Pyramid!$M56),ROW(Source!$B$1:$B$250),FALSE),G$3)),"")</f>
        <v/>
      </c>
      <c r="H56" t="str">
        <f t="array" aca="1" ref="H56" ca="1">IFERROR(INDEX(Source!$A$1:$A$250,SMALL(IF(--(Source!$B$1:$B$250=$O56)*--(Source!$E$1:$E$250=$M$3)*--(Source!$D$1:$D$250=Pyramid!$M56),ROW(Source!$B$1:$B$250),FALSE),H$3)),"")</f>
        <v/>
      </c>
      <c r="I56" t="str">
        <f t="array" aca="1" ref="I56" ca="1">IFERROR(INDEX(Source!$A$1:$A$250,SMALL(IF(--(Source!$B$1:$B$250=$O56)*--(Source!$E$1:$E$250=$M$3)*--(Source!$D$1:$D$250=Pyramid!$M56),ROW(Source!$B$1:$B$250),FALSE),I$3)),"")</f>
        <v/>
      </c>
      <c r="J56" t="str">
        <f t="array" aca="1" ref="J56" ca="1">IFERROR(INDEX(Source!$A$1:$A$250,SMALL(IF(--(Source!$B$1:$B$250=$O56)*--(Source!$E$1:$E$250=$M$3)*--(Source!$D$1:$D$250=Pyramid!$M56),ROW(Source!$B$1:$B$250),FALSE),J$3)),"")</f>
        <v/>
      </c>
      <c r="K56" t="str">
        <f t="array" aca="1" ref="K56" ca="1">IFERROR(INDEX(Source!$A$1:$A$250,SMALL(IF(--(Source!$B$1:$B$250=$O56)*--(Source!$E$1:$E$250=$M$3)*--(Source!$D$1:$D$250=Pyramid!$M56),ROW(Source!$B$1:$B$250),FALSE),K$3)),"")</f>
        <v/>
      </c>
      <c r="L56" t="str">
        <f t="array" aca="1" ref="L56" ca="1">IFERROR(INDEX(Source!$A$1:$A$250,SMALL(IF(--(Source!$B$1:$B$250=$O56)*--(Source!$E$1:$E$250=$M$3)*--(Source!$D$1:$D$250=Pyramid!$M56),ROW(Source!$B$1:$B$250),FALSE),L$3)),"")</f>
        <v>25948 HK Equity</v>
      </c>
      <c r="M56" t="str">
        <f t="shared" si="2"/>
        <v>30/8/2016</v>
      </c>
      <c r="N56">
        <f ca="1">COUNTIFS(Source!B:B,Pyramid!$O56,Source!$D:$D,Pyramid!$M56,Source!$E:$E,Pyramid!$M$3)</f>
        <v>1</v>
      </c>
      <c r="O56">
        <f ca="1">OFFSET(Sheet2!$N$3,INT(C56/5),)</f>
        <v>18400</v>
      </c>
      <c r="P56">
        <f ca="1">COUNTIFS(Source!B:B,Pyramid!$O56,Source!D:D,Pyramid!$Q56,Source!$E:$E,Pyramid!$Q$3)</f>
        <v>2</v>
      </c>
      <c r="Q56" t="str">
        <f t="shared" si="2"/>
        <v>30/8/2016</v>
      </c>
      <c r="R56" t="str">
        <f t="array" aca="1" ref="R56" ca="1">IFERROR(INDEX(Source!$A$1:$A$250,SMALL(IF(--(Source!$B$1:$B$250=$O56)*--(Source!$E$1:$E$250=$Q$3)*--(Source!$D$1:$D$250=Pyramid!$Q56),ROW(Source!$B$1:$B$250),FALSE),R$3)),"")</f>
        <v>25698 HK Equity</v>
      </c>
      <c r="S56" t="str">
        <f t="array" aca="1" ref="S56" ca="1">IFERROR(INDEX(Source!$A$1:$A$250,SMALL(IF(--(Source!$B$1:$B$250=$O56)*--(Source!$E$1:$E$250=$Q$3)*--(Source!$D$1:$D$250=Pyramid!$Q56),ROW(Source!$B$1:$B$250),FALSE),S$3)),"")</f>
        <v>26362 HK Equity</v>
      </c>
      <c r="T56" t="str">
        <f t="array" aca="1" ref="T56" ca="1">IFERROR(INDEX(Source!$A$1:$A$250,SMALL(IF(--(Source!$B$1:$B$250=$O56)*--(Source!$E$1:$E$250=$Q$3)*--(Source!$D$1:$D$250=Pyramid!$Q56),ROW(Source!$B$1:$B$250),FALSE),T$3)),"")</f>
        <v/>
      </c>
      <c r="U56" t="str">
        <f t="array" aca="1" ref="U56" ca="1">IFERROR(INDEX(Source!$A$1:$A$250,SMALL(IF(--(Source!$B$1:$B$250=$O56)*--(Source!$E$1:$E$250=$Q$3)*--(Source!$D$1:$D$250=Pyramid!$Q56),ROW(Source!$B$1:$B$250),FALSE),U$3)),"")</f>
        <v/>
      </c>
      <c r="V56" t="str">
        <f t="array" aca="1" ref="V56" ca="1">IFERROR(INDEX(Source!$A$1:$A$250,SMALL(IF(--(Source!$B$1:$B$250=$O56)*--(Source!$E$1:$E$250=$Q$3)*--(Source!$D$1:$D$250=Pyramid!$Q56),ROW(Source!$B$1:$B$250),FALSE),V$3)),"")</f>
        <v/>
      </c>
      <c r="W56" t="str">
        <f t="array" aca="1" ref="W56" ca="1">IFERROR(INDEX(Source!$A$1:$A$250,SMALL(IF(--(Source!$B$1:$B$250=$O56)*--(Source!$E$1:$E$250=$Q$3)*--(Source!$D$1:$D$250=Pyramid!$Q56),ROW(Source!$B$1:$B$250),FALSE),W$3)),"")</f>
        <v/>
      </c>
      <c r="X56" t="str">
        <f t="array" aca="1" ref="X56" ca="1">IFERROR(INDEX(Source!$A$1:$A$250,SMALL(IF(--(Source!$B$1:$B$250=$O56)*--(Source!$E$1:$E$250=$Q$3)*--(Source!$D$1:$D$250=Pyramid!$Q56),ROW(Source!$B$1:$B$250),FALSE),X$3)),"")</f>
        <v/>
      </c>
      <c r="Y56" s="5">
        <f t="shared" ca="1" si="3"/>
        <v>0</v>
      </c>
    </row>
    <row r="57" spans="3:25">
      <c r="C57">
        <v>53</v>
      </c>
      <c r="D57" s="5">
        <f t="shared" ca="1" si="1"/>
        <v>0</v>
      </c>
      <c r="E57" t="str">
        <f t="array" aca="1" ref="E57" ca="1">IFERROR(INDEX(Source!$A$1:$A$250,SMALL(IF(--(Source!$B$1:$B$250=$O57)*--(Source!$E$1:$E$250=$M$3)*--(Source!$D$1:$D$250=Pyramid!$M57),ROW(Source!$B$1:$B$250),FALSE),E$3)),"")</f>
        <v/>
      </c>
      <c r="F57" t="str">
        <f t="array" aca="1" ref="F57" ca="1">IFERROR(INDEX(Source!$A$1:$A$250,SMALL(IF(--(Source!$B$1:$B$250=$O57)*--(Source!$E$1:$E$250=$M$3)*--(Source!$D$1:$D$250=Pyramid!$M57),ROW(Source!$B$1:$B$250),FALSE),F$3)),"")</f>
        <v/>
      </c>
      <c r="G57" t="str">
        <f t="array" aca="1" ref="G57" ca="1">IFERROR(INDEX(Source!$A$1:$A$250,SMALL(IF(--(Source!$B$1:$B$250=$O57)*--(Source!$E$1:$E$250=$M$3)*--(Source!$D$1:$D$250=Pyramid!$M57),ROW(Source!$B$1:$B$250),FALSE),G$3)),"")</f>
        <v/>
      </c>
      <c r="H57" t="str">
        <f t="array" aca="1" ref="H57" ca="1">IFERROR(INDEX(Source!$A$1:$A$250,SMALL(IF(--(Source!$B$1:$B$250=$O57)*--(Source!$E$1:$E$250=$M$3)*--(Source!$D$1:$D$250=Pyramid!$M57),ROW(Source!$B$1:$B$250),FALSE),H$3)),"")</f>
        <v/>
      </c>
      <c r="I57" t="str">
        <f t="array" aca="1" ref="I57" ca="1">IFERROR(INDEX(Source!$A$1:$A$250,SMALL(IF(--(Source!$B$1:$B$250=$O57)*--(Source!$E$1:$E$250=$M$3)*--(Source!$D$1:$D$250=Pyramid!$M57),ROW(Source!$B$1:$B$250),FALSE),I$3)),"")</f>
        <v/>
      </c>
      <c r="J57" t="str">
        <f t="array" aca="1" ref="J57" ca="1">IFERROR(INDEX(Source!$A$1:$A$250,SMALL(IF(--(Source!$B$1:$B$250=$O57)*--(Source!$E$1:$E$250=$M$3)*--(Source!$D$1:$D$250=Pyramid!$M57),ROW(Source!$B$1:$B$250),FALSE),J$3)),"")</f>
        <v/>
      </c>
      <c r="K57" t="str">
        <f t="array" aca="1" ref="K57" ca="1">IFERROR(INDEX(Source!$A$1:$A$250,SMALL(IF(--(Source!$B$1:$B$250=$O57)*--(Source!$E$1:$E$250=$M$3)*--(Source!$D$1:$D$250=Pyramid!$M57),ROW(Source!$B$1:$B$250),FALSE),K$3)),"")</f>
        <v/>
      </c>
      <c r="L57" t="str">
        <f t="array" aca="1" ref="L57" ca="1">IFERROR(INDEX(Source!$A$1:$A$250,SMALL(IF(--(Source!$B$1:$B$250=$O57)*--(Source!$E$1:$E$250=$M$3)*--(Source!$D$1:$D$250=Pyramid!$M57),ROW(Source!$B$1:$B$250),FALSE),L$3)),"")</f>
        <v/>
      </c>
      <c r="M57" t="str">
        <f t="shared" si="2"/>
        <v>29/9/2016</v>
      </c>
      <c r="N57">
        <f ca="1">COUNTIFS(Source!B:B,Pyramid!$O57,Source!$D:$D,Pyramid!$M57,Source!$E:$E,Pyramid!$M$3)</f>
        <v>0</v>
      </c>
      <c r="O57">
        <f ca="1">OFFSET(Sheet2!$N$3,INT(C57/5),)</f>
        <v>18400</v>
      </c>
      <c r="P57">
        <f ca="1">COUNTIFS(Source!B:B,Pyramid!$O57,Source!D:D,Pyramid!$Q57,Source!$E:$E,Pyramid!$Q$3)</f>
        <v>3</v>
      </c>
      <c r="Q57" t="str">
        <f t="shared" si="2"/>
        <v>29/9/2016</v>
      </c>
      <c r="R57" t="str">
        <f t="array" aca="1" ref="R57" ca="1">IFERROR(INDEX(Source!$A$1:$A$250,SMALL(IF(--(Source!$B$1:$B$250=$O57)*--(Source!$E$1:$E$250=$Q$3)*--(Source!$D$1:$D$250=Pyramid!$Q57),ROW(Source!$B$1:$B$250),FALSE),R$3)),"")</f>
        <v>25548 HK Equity</v>
      </c>
      <c r="S57" t="str">
        <f t="array" aca="1" ref="S57" ca="1">IFERROR(INDEX(Source!$A$1:$A$250,SMALL(IF(--(Source!$B$1:$B$250=$O57)*--(Source!$E$1:$E$250=$Q$3)*--(Source!$D$1:$D$250=Pyramid!$Q57),ROW(Source!$B$1:$B$250),FALSE),S$3)),"")</f>
        <v>26668 HK Equity</v>
      </c>
      <c r="T57" t="str">
        <f t="array" aca="1" ref="T57" ca="1">IFERROR(INDEX(Source!$A$1:$A$250,SMALL(IF(--(Source!$B$1:$B$250=$O57)*--(Source!$E$1:$E$250=$Q$3)*--(Source!$D$1:$D$250=Pyramid!$Q57),ROW(Source!$B$1:$B$250),FALSE),T$3)),"")</f>
        <v>25579 HK Equity</v>
      </c>
      <c r="U57" t="str">
        <f t="array" aca="1" ref="U57" ca="1">IFERROR(INDEX(Source!$A$1:$A$250,SMALL(IF(--(Source!$B$1:$B$250=$O57)*--(Source!$E$1:$E$250=$Q$3)*--(Source!$D$1:$D$250=Pyramid!$Q57),ROW(Source!$B$1:$B$250),FALSE),U$3)),"")</f>
        <v/>
      </c>
      <c r="V57" t="str">
        <f t="array" aca="1" ref="V57" ca="1">IFERROR(INDEX(Source!$A$1:$A$250,SMALL(IF(--(Source!$B$1:$B$250=$O57)*--(Source!$E$1:$E$250=$Q$3)*--(Source!$D$1:$D$250=Pyramid!$Q57),ROW(Source!$B$1:$B$250),FALSE),V$3)),"")</f>
        <v/>
      </c>
      <c r="W57" t="str">
        <f t="array" aca="1" ref="W57" ca="1">IFERROR(INDEX(Source!$A$1:$A$250,SMALL(IF(--(Source!$B$1:$B$250=$O57)*--(Source!$E$1:$E$250=$Q$3)*--(Source!$D$1:$D$250=Pyramid!$Q57),ROW(Source!$B$1:$B$250),FALSE),W$3)),"")</f>
        <v/>
      </c>
      <c r="X57" t="str">
        <f t="array" aca="1" ref="X57" ca="1">IFERROR(INDEX(Source!$A$1:$A$250,SMALL(IF(--(Source!$B$1:$B$250=$O57)*--(Source!$E$1:$E$250=$Q$3)*--(Source!$D$1:$D$250=Pyramid!$Q57),ROW(Source!$B$1:$B$250),FALSE),X$3)),"")</f>
        <v/>
      </c>
      <c r="Y57" s="5">
        <f t="shared" ca="1" si="3"/>
        <v>0</v>
      </c>
    </row>
    <row r="58" spans="3:25">
      <c r="C58">
        <v>54</v>
      </c>
      <c r="D58" s="5">
        <f t="shared" ca="1" si="1"/>
        <v>0</v>
      </c>
      <c r="E58" t="str">
        <f t="array" aca="1" ref="E58" ca="1">IFERROR(INDEX(Source!$A$1:$A$250,SMALL(IF(--(Source!$B$1:$B$250=$O58)*--(Source!$E$1:$E$250=$M$3)*--(Source!$D$1:$D$250=Pyramid!$M58),ROW(Source!$B$1:$B$250),FALSE),E$3)),"")</f>
        <v/>
      </c>
      <c r="F58" t="str">
        <f t="array" aca="1" ref="F58" ca="1">IFERROR(INDEX(Source!$A$1:$A$250,SMALL(IF(--(Source!$B$1:$B$250=$O58)*--(Source!$E$1:$E$250=$M$3)*--(Source!$D$1:$D$250=Pyramid!$M58),ROW(Source!$B$1:$B$250),FALSE),F$3)),"")</f>
        <v/>
      </c>
      <c r="G58" t="str">
        <f t="array" aca="1" ref="G58" ca="1">IFERROR(INDEX(Source!$A$1:$A$250,SMALL(IF(--(Source!$B$1:$B$250=$O58)*--(Source!$E$1:$E$250=$M$3)*--(Source!$D$1:$D$250=Pyramid!$M58),ROW(Source!$B$1:$B$250),FALSE),G$3)),"")</f>
        <v/>
      </c>
      <c r="H58" t="str">
        <f t="array" aca="1" ref="H58" ca="1">IFERROR(INDEX(Source!$A$1:$A$250,SMALL(IF(--(Source!$B$1:$B$250=$O58)*--(Source!$E$1:$E$250=$M$3)*--(Source!$D$1:$D$250=Pyramid!$M58),ROW(Source!$B$1:$B$250),FALSE),H$3)),"")</f>
        <v/>
      </c>
      <c r="I58" t="str">
        <f t="array" aca="1" ref="I58" ca="1">IFERROR(INDEX(Source!$A$1:$A$250,SMALL(IF(--(Source!$B$1:$B$250=$O58)*--(Source!$E$1:$E$250=$M$3)*--(Source!$D$1:$D$250=Pyramid!$M58),ROW(Source!$B$1:$B$250),FALSE),I$3)),"")</f>
        <v/>
      </c>
      <c r="J58" t="str">
        <f t="array" aca="1" ref="J58" ca="1">IFERROR(INDEX(Source!$A$1:$A$250,SMALL(IF(--(Source!$B$1:$B$250=$O58)*--(Source!$E$1:$E$250=$M$3)*--(Source!$D$1:$D$250=Pyramid!$M58),ROW(Source!$B$1:$B$250),FALSE),J$3)),"")</f>
        <v/>
      </c>
      <c r="K58" t="str">
        <f t="array" aca="1" ref="K58" ca="1">IFERROR(INDEX(Source!$A$1:$A$250,SMALL(IF(--(Source!$B$1:$B$250=$O58)*--(Source!$E$1:$E$250=$M$3)*--(Source!$D$1:$D$250=Pyramid!$M58),ROW(Source!$B$1:$B$250),FALSE),K$3)),"")</f>
        <v/>
      </c>
      <c r="L58" t="str">
        <f t="array" aca="1" ref="L58" ca="1">IFERROR(INDEX(Source!$A$1:$A$250,SMALL(IF(--(Source!$B$1:$B$250=$O58)*--(Source!$E$1:$E$250=$M$3)*--(Source!$D$1:$D$250=Pyramid!$M58),ROW(Source!$B$1:$B$250),FALSE),L$3)),"")</f>
        <v/>
      </c>
      <c r="M58" t="str">
        <f t="shared" si="2"/>
        <v>28/10/2016</v>
      </c>
      <c r="N58">
        <f ca="1">COUNTIFS(Source!B:B,Pyramid!$O58,Source!$D:$D,Pyramid!$M58,Source!$E:$E,Pyramid!$M$3)</f>
        <v>0</v>
      </c>
      <c r="O58">
        <f ca="1">OFFSET(Sheet2!$N$3,INT(C58/5),)</f>
        <v>18400</v>
      </c>
      <c r="P58">
        <f ca="1">COUNTIFS(Source!B:B,Pyramid!$O58,Source!D:D,Pyramid!$Q58,Source!$E:$E,Pyramid!$Q$3)</f>
        <v>0</v>
      </c>
      <c r="Q58" t="str">
        <f t="shared" si="2"/>
        <v>28/10/2016</v>
      </c>
      <c r="R58" t="str">
        <f t="array" aca="1" ref="R58" ca="1">IFERROR(INDEX(Source!$A$1:$A$250,SMALL(IF(--(Source!$B$1:$B$250=$O58)*--(Source!$E$1:$E$250=$Q$3)*--(Source!$D$1:$D$250=Pyramid!$Q58),ROW(Source!$B$1:$B$250),FALSE),R$3)),"")</f>
        <v/>
      </c>
      <c r="S58" t="str">
        <f t="array" aca="1" ref="S58" ca="1">IFERROR(INDEX(Source!$A$1:$A$250,SMALL(IF(--(Source!$B$1:$B$250=$O58)*--(Source!$E$1:$E$250=$Q$3)*--(Source!$D$1:$D$250=Pyramid!$Q58),ROW(Source!$B$1:$B$250),FALSE),S$3)),"")</f>
        <v/>
      </c>
      <c r="T58" t="str">
        <f t="array" aca="1" ref="T58" ca="1">IFERROR(INDEX(Source!$A$1:$A$250,SMALL(IF(--(Source!$B$1:$B$250=$O58)*--(Source!$E$1:$E$250=$Q$3)*--(Source!$D$1:$D$250=Pyramid!$Q58),ROW(Source!$B$1:$B$250),FALSE),T$3)),"")</f>
        <v/>
      </c>
      <c r="U58" t="str">
        <f t="array" aca="1" ref="U58" ca="1">IFERROR(INDEX(Source!$A$1:$A$250,SMALL(IF(--(Source!$B$1:$B$250=$O58)*--(Source!$E$1:$E$250=$Q$3)*--(Source!$D$1:$D$250=Pyramid!$Q58),ROW(Source!$B$1:$B$250),FALSE),U$3)),"")</f>
        <v/>
      </c>
      <c r="V58" t="str">
        <f t="array" aca="1" ref="V58" ca="1">IFERROR(INDEX(Source!$A$1:$A$250,SMALL(IF(--(Source!$B$1:$B$250=$O58)*--(Source!$E$1:$E$250=$Q$3)*--(Source!$D$1:$D$250=Pyramid!$Q58),ROW(Source!$B$1:$B$250),FALSE),V$3)),"")</f>
        <v/>
      </c>
      <c r="W58" t="str">
        <f t="array" aca="1" ref="W58" ca="1">IFERROR(INDEX(Source!$A$1:$A$250,SMALL(IF(--(Source!$B$1:$B$250=$O58)*--(Source!$E$1:$E$250=$Q$3)*--(Source!$D$1:$D$250=Pyramid!$Q58),ROW(Source!$B$1:$B$250),FALSE),W$3)),"")</f>
        <v/>
      </c>
      <c r="X58" t="str">
        <f t="array" aca="1" ref="X58" ca="1">IFERROR(INDEX(Source!$A$1:$A$250,SMALL(IF(--(Source!$B$1:$B$250=$O58)*--(Source!$E$1:$E$250=$Q$3)*--(Source!$D$1:$D$250=Pyramid!$Q58),ROW(Source!$B$1:$B$250),FALSE),X$3)),"")</f>
        <v/>
      </c>
      <c r="Y58" s="5">
        <f t="shared" ca="1" si="3"/>
        <v>0</v>
      </c>
    </row>
    <row r="59" spans="3:25">
      <c r="C59">
        <v>55</v>
      </c>
      <c r="D59" s="5">
        <f t="shared" ca="1" si="1"/>
        <v>0</v>
      </c>
      <c r="E59" t="str">
        <f t="array" aca="1" ref="E59" ca="1">IFERROR(INDEX(Source!$A$1:$A$250,SMALL(IF(--(Source!$B$1:$B$250=$O59)*--(Source!$E$1:$E$250=$M$3)*--(Source!$D$1:$D$250=Pyramid!$M59),ROW(Source!$B$1:$B$250),FALSE),E$3)),"")</f>
        <v/>
      </c>
      <c r="F59" t="str">
        <f t="array" aca="1" ref="F59" ca="1">IFERROR(INDEX(Source!$A$1:$A$250,SMALL(IF(--(Source!$B$1:$B$250=$O59)*--(Source!$E$1:$E$250=$M$3)*--(Source!$D$1:$D$250=Pyramid!$M59),ROW(Source!$B$1:$B$250),FALSE),F$3)),"")</f>
        <v/>
      </c>
      <c r="G59" t="str">
        <f t="array" aca="1" ref="G59" ca="1">IFERROR(INDEX(Source!$A$1:$A$250,SMALL(IF(--(Source!$B$1:$B$250=$O59)*--(Source!$E$1:$E$250=$M$3)*--(Source!$D$1:$D$250=Pyramid!$M59),ROW(Source!$B$1:$B$250),FALSE),G$3)),"")</f>
        <v/>
      </c>
      <c r="H59" t="str">
        <f t="array" aca="1" ref="H59" ca="1">IFERROR(INDEX(Source!$A$1:$A$250,SMALL(IF(--(Source!$B$1:$B$250=$O59)*--(Source!$E$1:$E$250=$M$3)*--(Source!$D$1:$D$250=Pyramid!$M59),ROW(Source!$B$1:$B$250),FALSE),H$3)),"")</f>
        <v/>
      </c>
      <c r="I59" t="str">
        <f t="array" aca="1" ref="I59" ca="1">IFERROR(INDEX(Source!$A$1:$A$250,SMALL(IF(--(Source!$B$1:$B$250=$O59)*--(Source!$E$1:$E$250=$M$3)*--(Source!$D$1:$D$250=Pyramid!$M59),ROW(Source!$B$1:$B$250),FALSE),I$3)),"")</f>
        <v/>
      </c>
      <c r="J59" t="str">
        <f t="array" aca="1" ref="J59" ca="1">IFERROR(INDEX(Source!$A$1:$A$250,SMALL(IF(--(Source!$B$1:$B$250=$O59)*--(Source!$E$1:$E$250=$M$3)*--(Source!$D$1:$D$250=Pyramid!$M59),ROW(Source!$B$1:$B$250),FALSE),J$3)),"")</f>
        <v/>
      </c>
      <c r="K59" t="str">
        <f t="array" aca="1" ref="K59" ca="1">IFERROR(INDEX(Source!$A$1:$A$250,SMALL(IF(--(Source!$B$1:$B$250=$O59)*--(Source!$E$1:$E$250=$M$3)*--(Source!$D$1:$D$250=Pyramid!$M59),ROW(Source!$B$1:$B$250),FALSE),K$3)),"")</f>
        <v/>
      </c>
      <c r="L59" t="str">
        <f t="array" aca="1" ref="L59" ca="1">IFERROR(INDEX(Source!$A$1:$A$250,SMALL(IF(--(Source!$B$1:$B$250=$O59)*--(Source!$E$1:$E$250=$M$3)*--(Source!$D$1:$D$250=Pyramid!$M59),ROW(Source!$B$1:$B$250),FALSE),L$3)),"")</f>
        <v/>
      </c>
      <c r="M59" t="str">
        <f t="shared" si="2"/>
        <v>29/6/2016</v>
      </c>
      <c r="N59">
        <f ca="1">COUNTIFS(Source!B:B,Pyramid!$O59,Source!$D:$D,Pyramid!$M59,Source!$E:$E,Pyramid!$M$3)</f>
        <v>0</v>
      </c>
      <c r="O59">
        <f ca="1">OFFSET(Sheet2!$N$3,INT(C59/5),)</f>
        <v>18500</v>
      </c>
      <c r="P59">
        <f ca="1">COUNTIFS(Source!B:B,Pyramid!$O59,Source!D:D,Pyramid!$Q59,Source!$E:$E,Pyramid!$Q$3)</f>
        <v>0</v>
      </c>
      <c r="Q59" t="str">
        <f t="shared" si="2"/>
        <v>29/6/2016</v>
      </c>
      <c r="R59" t="str">
        <f t="array" aca="1" ref="R59" ca="1">IFERROR(INDEX(Source!$A$1:$A$250,SMALL(IF(--(Source!$B$1:$B$250=$O59)*--(Source!$E$1:$E$250=$Q$3)*--(Source!$D$1:$D$250=Pyramid!$Q59),ROW(Source!$B$1:$B$250),FALSE),R$3)),"")</f>
        <v/>
      </c>
      <c r="S59" t="str">
        <f t="array" aca="1" ref="S59" ca="1">IFERROR(INDEX(Source!$A$1:$A$250,SMALL(IF(--(Source!$B$1:$B$250=$O59)*--(Source!$E$1:$E$250=$Q$3)*--(Source!$D$1:$D$250=Pyramid!$Q59),ROW(Source!$B$1:$B$250),FALSE),S$3)),"")</f>
        <v/>
      </c>
      <c r="T59" t="str">
        <f t="array" aca="1" ref="T59" ca="1">IFERROR(INDEX(Source!$A$1:$A$250,SMALL(IF(--(Source!$B$1:$B$250=$O59)*--(Source!$E$1:$E$250=$Q$3)*--(Source!$D$1:$D$250=Pyramid!$Q59),ROW(Source!$B$1:$B$250),FALSE),T$3)),"")</f>
        <v/>
      </c>
      <c r="U59" t="str">
        <f t="array" aca="1" ref="U59" ca="1">IFERROR(INDEX(Source!$A$1:$A$250,SMALL(IF(--(Source!$B$1:$B$250=$O59)*--(Source!$E$1:$E$250=$Q$3)*--(Source!$D$1:$D$250=Pyramid!$Q59),ROW(Source!$B$1:$B$250),FALSE),U$3)),"")</f>
        <v/>
      </c>
      <c r="V59" t="str">
        <f t="array" aca="1" ref="V59" ca="1">IFERROR(INDEX(Source!$A$1:$A$250,SMALL(IF(--(Source!$B$1:$B$250=$O59)*--(Source!$E$1:$E$250=$Q$3)*--(Source!$D$1:$D$250=Pyramid!$Q59),ROW(Source!$B$1:$B$250),FALSE),V$3)),"")</f>
        <v/>
      </c>
      <c r="W59" t="str">
        <f t="array" aca="1" ref="W59" ca="1">IFERROR(INDEX(Source!$A$1:$A$250,SMALL(IF(--(Source!$B$1:$B$250=$O59)*--(Source!$E$1:$E$250=$Q$3)*--(Source!$D$1:$D$250=Pyramid!$Q59),ROW(Source!$B$1:$B$250),FALSE),W$3)),"")</f>
        <v/>
      </c>
      <c r="X59" t="str">
        <f t="array" aca="1" ref="X59" ca="1">IFERROR(INDEX(Source!$A$1:$A$250,SMALL(IF(--(Source!$B$1:$B$250=$O59)*--(Source!$E$1:$E$250=$Q$3)*--(Source!$D$1:$D$250=Pyramid!$Q59),ROW(Source!$B$1:$B$250),FALSE),X$3)),"")</f>
        <v/>
      </c>
      <c r="Y59" s="5">
        <f t="shared" ca="1" si="3"/>
        <v>0</v>
      </c>
    </row>
    <row r="60" spans="3:25">
      <c r="C60">
        <v>56</v>
      </c>
      <c r="D60" s="5">
        <f t="shared" ca="1" si="1"/>
        <v>0</v>
      </c>
      <c r="E60" t="str">
        <f t="array" aca="1" ref="E60" ca="1">IFERROR(INDEX(Source!$A$1:$A$250,SMALL(IF(--(Source!$B$1:$B$250=$O60)*--(Source!$E$1:$E$250=$M$3)*--(Source!$D$1:$D$250=Pyramid!$M60),ROW(Source!$B$1:$B$250),FALSE),E$3)),"")</f>
        <v/>
      </c>
      <c r="F60" t="str">
        <f t="array" aca="1" ref="F60" ca="1">IFERROR(INDEX(Source!$A$1:$A$250,SMALL(IF(--(Source!$B$1:$B$250=$O60)*--(Source!$E$1:$E$250=$M$3)*--(Source!$D$1:$D$250=Pyramid!$M60),ROW(Source!$B$1:$B$250),FALSE),F$3)),"")</f>
        <v/>
      </c>
      <c r="G60" t="str">
        <f t="array" aca="1" ref="G60" ca="1">IFERROR(INDEX(Source!$A$1:$A$250,SMALL(IF(--(Source!$B$1:$B$250=$O60)*--(Source!$E$1:$E$250=$M$3)*--(Source!$D$1:$D$250=Pyramid!$M60),ROW(Source!$B$1:$B$250),FALSE),G$3)),"")</f>
        <v/>
      </c>
      <c r="H60" t="str">
        <f t="array" aca="1" ref="H60" ca="1">IFERROR(INDEX(Source!$A$1:$A$250,SMALL(IF(--(Source!$B$1:$B$250=$O60)*--(Source!$E$1:$E$250=$M$3)*--(Source!$D$1:$D$250=Pyramid!$M60),ROW(Source!$B$1:$B$250),FALSE),H$3)),"")</f>
        <v/>
      </c>
      <c r="I60" t="str">
        <f t="array" aca="1" ref="I60" ca="1">IFERROR(INDEX(Source!$A$1:$A$250,SMALL(IF(--(Source!$B$1:$B$250=$O60)*--(Source!$E$1:$E$250=$M$3)*--(Source!$D$1:$D$250=Pyramid!$M60),ROW(Source!$B$1:$B$250),FALSE),I$3)),"")</f>
        <v/>
      </c>
      <c r="J60" t="str">
        <f t="array" aca="1" ref="J60" ca="1">IFERROR(INDEX(Source!$A$1:$A$250,SMALL(IF(--(Source!$B$1:$B$250=$O60)*--(Source!$E$1:$E$250=$M$3)*--(Source!$D$1:$D$250=Pyramid!$M60),ROW(Source!$B$1:$B$250),FALSE),J$3)),"")</f>
        <v/>
      </c>
      <c r="K60" t="str">
        <f t="array" aca="1" ref="K60" ca="1">IFERROR(INDEX(Source!$A$1:$A$250,SMALL(IF(--(Source!$B$1:$B$250=$O60)*--(Source!$E$1:$E$250=$M$3)*--(Source!$D$1:$D$250=Pyramid!$M60),ROW(Source!$B$1:$B$250),FALSE),K$3)),"")</f>
        <v/>
      </c>
      <c r="L60" t="str">
        <f t="array" aca="1" ref="L60" ca="1">IFERROR(INDEX(Source!$A$1:$A$250,SMALL(IF(--(Source!$B$1:$B$250=$O60)*--(Source!$E$1:$E$250=$M$3)*--(Source!$D$1:$D$250=Pyramid!$M60),ROW(Source!$B$1:$B$250),FALSE),L$3)),"")</f>
        <v/>
      </c>
      <c r="M60" t="str">
        <f t="shared" si="2"/>
        <v>28/7/2016</v>
      </c>
      <c r="N60">
        <f ca="1">COUNTIFS(Source!B:B,Pyramid!$O60,Source!$D:$D,Pyramid!$M60,Source!$E:$E,Pyramid!$M$3)</f>
        <v>0</v>
      </c>
      <c r="O60">
        <f ca="1">OFFSET(Sheet2!$N$3,INT(C60/5),)</f>
        <v>18500</v>
      </c>
      <c r="P60">
        <f ca="1">COUNTIFS(Source!B:B,Pyramid!$O60,Source!D:D,Pyramid!$Q60,Source!$E:$E,Pyramid!$Q$3)</f>
        <v>0</v>
      </c>
      <c r="Q60" t="str">
        <f t="shared" si="2"/>
        <v>28/7/2016</v>
      </c>
      <c r="R60" t="str">
        <f t="array" aca="1" ref="R60" ca="1">IFERROR(INDEX(Source!$A$1:$A$250,SMALL(IF(--(Source!$B$1:$B$250=$O60)*--(Source!$E$1:$E$250=$Q$3)*--(Source!$D$1:$D$250=Pyramid!$Q60),ROW(Source!$B$1:$B$250),FALSE),R$3)),"")</f>
        <v/>
      </c>
      <c r="S60" t="str">
        <f t="array" aca="1" ref="S60" ca="1">IFERROR(INDEX(Source!$A$1:$A$250,SMALL(IF(--(Source!$B$1:$B$250=$O60)*--(Source!$E$1:$E$250=$Q$3)*--(Source!$D$1:$D$250=Pyramid!$Q60),ROW(Source!$B$1:$B$250),FALSE),S$3)),"")</f>
        <v/>
      </c>
      <c r="T60" t="str">
        <f t="array" aca="1" ref="T60" ca="1">IFERROR(INDEX(Source!$A$1:$A$250,SMALL(IF(--(Source!$B$1:$B$250=$O60)*--(Source!$E$1:$E$250=$Q$3)*--(Source!$D$1:$D$250=Pyramid!$Q60),ROW(Source!$B$1:$B$250),FALSE),T$3)),"")</f>
        <v/>
      </c>
      <c r="U60" t="str">
        <f t="array" aca="1" ref="U60" ca="1">IFERROR(INDEX(Source!$A$1:$A$250,SMALL(IF(--(Source!$B$1:$B$250=$O60)*--(Source!$E$1:$E$250=$Q$3)*--(Source!$D$1:$D$250=Pyramid!$Q60),ROW(Source!$B$1:$B$250),FALSE),U$3)),"")</f>
        <v/>
      </c>
      <c r="V60" t="str">
        <f t="array" aca="1" ref="V60" ca="1">IFERROR(INDEX(Source!$A$1:$A$250,SMALL(IF(--(Source!$B$1:$B$250=$O60)*--(Source!$E$1:$E$250=$Q$3)*--(Source!$D$1:$D$250=Pyramid!$Q60),ROW(Source!$B$1:$B$250),FALSE),V$3)),"")</f>
        <v/>
      </c>
      <c r="W60" t="str">
        <f t="array" aca="1" ref="W60" ca="1">IFERROR(INDEX(Source!$A$1:$A$250,SMALL(IF(--(Source!$B$1:$B$250=$O60)*--(Source!$E$1:$E$250=$Q$3)*--(Source!$D$1:$D$250=Pyramid!$Q60),ROW(Source!$B$1:$B$250),FALSE),W$3)),"")</f>
        <v/>
      </c>
      <c r="X60" t="str">
        <f t="array" aca="1" ref="X60" ca="1">IFERROR(INDEX(Source!$A$1:$A$250,SMALL(IF(--(Source!$B$1:$B$250=$O60)*--(Source!$E$1:$E$250=$Q$3)*--(Source!$D$1:$D$250=Pyramid!$Q60),ROW(Source!$B$1:$B$250),FALSE),X$3)),"")</f>
        <v/>
      </c>
      <c r="Y60" s="5">
        <f t="shared" ca="1" si="3"/>
        <v>0</v>
      </c>
    </row>
    <row r="61" spans="3:25">
      <c r="C61">
        <v>57</v>
      </c>
      <c r="D61" s="5">
        <f t="shared" ca="1" si="1"/>
        <v>0</v>
      </c>
      <c r="E61" t="str">
        <f t="array" aca="1" ref="E61" ca="1">IFERROR(INDEX(Source!$A$1:$A$250,SMALL(IF(--(Source!$B$1:$B$250=$O61)*--(Source!$E$1:$E$250=$M$3)*--(Source!$D$1:$D$250=Pyramid!$M61),ROW(Source!$B$1:$B$250),FALSE),E$3)),"")</f>
        <v/>
      </c>
      <c r="F61" t="str">
        <f t="array" aca="1" ref="F61" ca="1">IFERROR(INDEX(Source!$A$1:$A$250,SMALL(IF(--(Source!$B$1:$B$250=$O61)*--(Source!$E$1:$E$250=$M$3)*--(Source!$D$1:$D$250=Pyramid!$M61),ROW(Source!$B$1:$B$250),FALSE),F$3)),"")</f>
        <v/>
      </c>
      <c r="G61" t="str">
        <f t="array" aca="1" ref="G61" ca="1">IFERROR(INDEX(Source!$A$1:$A$250,SMALL(IF(--(Source!$B$1:$B$250=$O61)*--(Source!$E$1:$E$250=$M$3)*--(Source!$D$1:$D$250=Pyramid!$M61),ROW(Source!$B$1:$B$250),FALSE),G$3)),"")</f>
        <v/>
      </c>
      <c r="H61" t="str">
        <f t="array" aca="1" ref="H61" ca="1">IFERROR(INDEX(Source!$A$1:$A$250,SMALL(IF(--(Source!$B$1:$B$250=$O61)*--(Source!$E$1:$E$250=$M$3)*--(Source!$D$1:$D$250=Pyramid!$M61),ROW(Source!$B$1:$B$250),FALSE),H$3)),"")</f>
        <v/>
      </c>
      <c r="I61" t="str">
        <f t="array" aca="1" ref="I61" ca="1">IFERROR(INDEX(Source!$A$1:$A$250,SMALL(IF(--(Source!$B$1:$B$250=$O61)*--(Source!$E$1:$E$250=$M$3)*--(Source!$D$1:$D$250=Pyramid!$M61),ROW(Source!$B$1:$B$250),FALSE),I$3)),"")</f>
        <v/>
      </c>
      <c r="J61" t="str">
        <f t="array" aca="1" ref="J61" ca="1">IFERROR(INDEX(Source!$A$1:$A$250,SMALL(IF(--(Source!$B$1:$B$250=$O61)*--(Source!$E$1:$E$250=$M$3)*--(Source!$D$1:$D$250=Pyramid!$M61),ROW(Source!$B$1:$B$250),FALSE),J$3)),"")</f>
        <v/>
      </c>
      <c r="K61" t="str">
        <f t="array" aca="1" ref="K61" ca="1">IFERROR(INDEX(Source!$A$1:$A$250,SMALL(IF(--(Source!$B$1:$B$250=$O61)*--(Source!$E$1:$E$250=$M$3)*--(Source!$D$1:$D$250=Pyramid!$M61),ROW(Source!$B$1:$B$250),FALSE),K$3)),"")</f>
        <v/>
      </c>
      <c r="L61" t="str">
        <f t="array" aca="1" ref="L61" ca="1">IFERROR(INDEX(Source!$A$1:$A$250,SMALL(IF(--(Source!$B$1:$B$250=$O61)*--(Source!$E$1:$E$250=$M$3)*--(Source!$D$1:$D$250=Pyramid!$M61),ROW(Source!$B$1:$B$250),FALSE),L$3)),"")</f>
        <v/>
      </c>
      <c r="M61" t="str">
        <f t="shared" si="2"/>
        <v>30/8/2016</v>
      </c>
      <c r="N61">
        <f ca="1">COUNTIFS(Source!B:B,Pyramid!$O61,Source!$D:$D,Pyramid!$M61,Source!$E:$E,Pyramid!$M$3)</f>
        <v>0</v>
      </c>
      <c r="O61">
        <f ca="1">OFFSET(Sheet2!$N$3,INT(C61/5),)</f>
        <v>18500</v>
      </c>
      <c r="P61">
        <f ca="1">COUNTIFS(Source!B:B,Pyramid!$O61,Source!D:D,Pyramid!$Q61,Source!$E:$E,Pyramid!$Q$3)</f>
        <v>1</v>
      </c>
      <c r="Q61" t="str">
        <f t="shared" si="2"/>
        <v>30/8/2016</v>
      </c>
      <c r="R61" t="str">
        <f t="array" aca="1" ref="R61" ca="1">IFERROR(INDEX(Source!$A$1:$A$250,SMALL(IF(--(Source!$B$1:$B$250=$O61)*--(Source!$E$1:$E$250=$Q$3)*--(Source!$D$1:$D$250=Pyramid!$Q61),ROW(Source!$B$1:$B$250),FALSE),R$3)),"")</f>
        <v>25917 HK Equity</v>
      </c>
      <c r="S61" t="str">
        <f t="array" aca="1" ref="S61" ca="1">IFERROR(INDEX(Source!$A$1:$A$250,SMALL(IF(--(Source!$B$1:$B$250=$O61)*--(Source!$E$1:$E$250=$Q$3)*--(Source!$D$1:$D$250=Pyramid!$Q61),ROW(Source!$B$1:$B$250),FALSE),S$3)),"")</f>
        <v/>
      </c>
      <c r="T61" t="str">
        <f t="array" aca="1" ref="T61" ca="1">IFERROR(INDEX(Source!$A$1:$A$250,SMALL(IF(--(Source!$B$1:$B$250=$O61)*--(Source!$E$1:$E$250=$Q$3)*--(Source!$D$1:$D$250=Pyramid!$Q61),ROW(Source!$B$1:$B$250),FALSE),T$3)),"")</f>
        <v/>
      </c>
      <c r="U61" t="str">
        <f t="array" aca="1" ref="U61" ca="1">IFERROR(INDEX(Source!$A$1:$A$250,SMALL(IF(--(Source!$B$1:$B$250=$O61)*--(Source!$E$1:$E$250=$Q$3)*--(Source!$D$1:$D$250=Pyramid!$Q61),ROW(Source!$B$1:$B$250),FALSE),U$3)),"")</f>
        <v/>
      </c>
      <c r="V61" t="str">
        <f t="array" aca="1" ref="V61" ca="1">IFERROR(INDEX(Source!$A$1:$A$250,SMALL(IF(--(Source!$B$1:$B$250=$O61)*--(Source!$E$1:$E$250=$Q$3)*--(Source!$D$1:$D$250=Pyramid!$Q61),ROW(Source!$B$1:$B$250),FALSE),V$3)),"")</f>
        <v/>
      </c>
      <c r="W61" t="str">
        <f t="array" aca="1" ref="W61" ca="1">IFERROR(INDEX(Source!$A$1:$A$250,SMALL(IF(--(Source!$B$1:$B$250=$O61)*--(Source!$E$1:$E$250=$Q$3)*--(Source!$D$1:$D$250=Pyramid!$Q61),ROW(Source!$B$1:$B$250),FALSE),W$3)),"")</f>
        <v/>
      </c>
      <c r="X61" t="str">
        <f t="array" aca="1" ref="X61" ca="1">IFERROR(INDEX(Source!$A$1:$A$250,SMALL(IF(--(Source!$B$1:$B$250=$O61)*--(Source!$E$1:$E$250=$Q$3)*--(Source!$D$1:$D$250=Pyramid!$Q61),ROW(Source!$B$1:$B$250),FALSE),X$3)),"")</f>
        <v/>
      </c>
      <c r="Y61" s="5">
        <f t="shared" ca="1" si="3"/>
        <v>0</v>
      </c>
    </row>
    <row r="62" spans="3:25">
      <c r="C62">
        <v>58</v>
      </c>
      <c r="D62" s="5">
        <f t="shared" ca="1" si="1"/>
        <v>0</v>
      </c>
      <c r="E62" t="str">
        <f t="array" aca="1" ref="E62" ca="1">IFERROR(INDEX(Source!$A$1:$A$250,SMALL(IF(--(Source!$B$1:$B$250=$O62)*--(Source!$E$1:$E$250=$M$3)*--(Source!$D$1:$D$250=Pyramid!$M62),ROW(Source!$B$1:$B$250),FALSE),E$3)),"")</f>
        <v/>
      </c>
      <c r="F62" t="str">
        <f t="array" aca="1" ref="F62" ca="1">IFERROR(INDEX(Source!$A$1:$A$250,SMALL(IF(--(Source!$B$1:$B$250=$O62)*--(Source!$E$1:$E$250=$M$3)*--(Source!$D$1:$D$250=Pyramid!$M62),ROW(Source!$B$1:$B$250),FALSE),F$3)),"")</f>
        <v/>
      </c>
      <c r="G62" t="str">
        <f t="array" aca="1" ref="G62" ca="1">IFERROR(INDEX(Source!$A$1:$A$250,SMALL(IF(--(Source!$B$1:$B$250=$O62)*--(Source!$E$1:$E$250=$M$3)*--(Source!$D$1:$D$250=Pyramid!$M62),ROW(Source!$B$1:$B$250),FALSE),G$3)),"")</f>
        <v/>
      </c>
      <c r="H62" t="str">
        <f t="array" aca="1" ref="H62" ca="1">IFERROR(INDEX(Source!$A$1:$A$250,SMALL(IF(--(Source!$B$1:$B$250=$O62)*--(Source!$E$1:$E$250=$M$3)*--(Source!$D$1:$D$250=Pyramid!$M62),ROW(Source!$B$1:$B$250),FALSE),H$3)),"")</f>
        <v/>
      </c>
      <c r="I62" t="str">
        <f t="array" aca="1" ref="I62" ca="1">IFERROR(INDEX(Source!$A$1:$A$250,SMALL(IF(--(Source!$B$1:$B$250=$O62)*--(Source!$E$1:$E$250=$M$3)*--(Source!$D$1:$D$250=Pyramid!$M62),ROW(Source!$B$1:$B$250),FALSE),I$3)),"")</f>
        <v/>
      </c>
      <c r="J62" t="str">
        <f t="array" aca="1" ref="J62" ca="1">IFERROR(INDEX(Source!$A$1:$A$250,SMALL(IF(--(Source!$B$1:$B$250=$O62)*--(Source!$E$1:$E$250=$M$3)*--(Source!$D$1:$D$250=Pyramid!$M62),ROW(Source!$B$1:$B$250),FALSE),J$3)),"")</f>
        <v/>
      </c>
      <c r="K62" t="str">
        <f t="array" aca="1" ref="K62" ca="1">IFERROR(INDEX(Source!$A$1:$A$250,SMALL(IF(--(Source!$B$1:$B$250=$O62)*--(Source!$E$1:$E$250=$M$3)*--(Source!$D$1:$D$250=Pyramid!$M62),ROW(Source!$B$1:$B$250),FALSE),K$3)),"")</f>
        <v/>
      </c>
      <c r="L62" t="str">
        <f t="array" aca="1" ref="L62" ca="1">IFERROR(INDEX(Source!$A$1:$A$250,SMALL(IF(--(Source!$B$1:$B$250=$O62)*--(Source!$E$1:$E$250=$M$3)*--(Source!$D$1:$D$250=Pyramid!$M62),ROW(Source!$B$1:$B$250),FALSE),L$3)),"")</f>
        <v/>
      </c>
      <c r="M62" t="str">
        <f t="shared" si="2"/>
        <v>29/9/2016</v>
      </c>
      <c r="N62">
        <f ca="1">COUNTIFS(Source!B:B,Pyramid!$O62,Source!$D:$D,Pyramid!$M62,Source!$E:$E,Pyramid!$M$3)</f>
        <v>0</v>
      </c>
      <c r="O62">
        <f ca="1">OFFSET(Sheet2!$N$3,INT(C62/5),)</f>
        <v>18500</v>
      </c>
      <c r="P62">
        <f ca="1">COUNTIFS(Source!B:B,Pyramid!$O62,Source!D:D,Pyramid!$Q62,Source!$E:$E,Pyramid!$Q$3)</f>
        <v>0</v>
      </c>
      <c r="Q62" t="str">
        <f t="shared" si="2"/>
        <v>29/9/2016</v>
      </c>
      <c r="R62" t="str">
        <f t="array" aca="1" ref="R62" ca="1">IFERROR(INDEX(Source!$A$1:$A$250,SMALL(IF(--(Source!$B$1:$B$250=$O62)*--(Source!$E$1:$E$250=$Q$3)*--(Source!$D$1:$D$250=Pyramid!$Q62),ROW(Source!$B$1:$B$250),FALSE),R$3)),"")</f>
        <v/>
      </c>
      <c r="S62" t="str">
        <f t="array" aca="1" ref="S62" ca="1">IFERROR(INDEX(Source!$A$1:$A$250,SMALL(IF(--(Source!$B$1:$B$250=$O62)*--(Source!$E$1:$E$250=$Q$3)*--(Source!$D$1:$D$250=Pyramid!$Q62),ROW(Source!$B$1:$B$250),FALSE),S$3)),"")</f>
        <v/>
      </c>
      <c r="T62" t="str">
        <f t="array" aca="1" ref="T62" ca="1">IFERROR(INDEX(Source!$A$1:$A$250,SMALL(IF(--(Source!$B$1:$B$250=$O62)*--(Source!$E$1:$E$250=$Q$3)*--(Source!$D$1:$D$250=Pyramid!$Q62),ROW(Source!$B$1:$B$250),FALSE),T$3)),"")</f>
        <v/>
      </c>
      <c r="U62" t="str">
        <f t="array" aca="1" ref="U62" ca="1">IFERROR(INDEX(Source!$A$1:$A$250,SMALL(IF(--(Source!$B$1:$B$250=$O62)*--(Source!$E$1:$E$250=$Q$3)*--(Source!$D$1:$D$250=Pyramid!$Q62),ROW(Source!$B$1:$B$250),FALSE),U$3)),"")</f>
        <v/>
      </c>
      <c r="V62" t="str">
        <f t="array" aca="1" ref="V62" ca="1">IFERROR(INDEX(Source!$A$1:$A$250,SMALL(IF(--(Source!$B$1:$B$250=$O62)*--(Source!$E$1:$E$250=$Q$3)*--(Source!$D$1:$D$250=Pyramid!$Q62),ROW(Source!$B$1:$B$250),FALSE),V$3)),"")</f>
        <v/>
      </c>
      <c r="W62" t="str">
        <f t="array" aca="1" ref="W62" ca="1">IFERROR(INDEX(Source!$A$1:$A$250,SMALL(IF(--(Source!$B$1:$B$250=$O62)*--(Source!$E$1:$E$250=$Q$3)*--(Source!$D$1:$D$250=Pyramid!$Q62),ROW(Source!$B$1:$B$250),FALSE),W$3)),"")</f>
        <v/>
      </c>
      <c r="X62" t="str">
        <f t="array" aca="1" ref="X62" ca="1">IFERROR(INDEX(Source!$A$1:$A$250,SMALL(IF(--(Source!$B$1:$B$250=$O62)*--(Source!$E$1:$E$250=$Q$3)*--(Source!$D$1:$D$250=Pyramid!$Q62),ROW(Source!$B$1:$B$250),FALSE),X$3)),"")</f>
        <v/>
      </c>
      <c r="Y62" s="5">
        <f t="shared" ca="1" si="3"/>
        <v>0</v>
      </c>
    </row>
    <row r="63" spans="3:25">
      <c r="C63">
        <v>59</v>
      </c>
      <c r="D63" s="5">
        <f t="shared" ca="1" si="1"/>
        <v>0</v>
      </c>
      <c r="E63" t="str">
        <f t="array" aca="1" ref="E63" ca="1">IFERROR(INDEX(Source!$A$1:$A$250,SMALL(IF(--(Source!$B$1:$B$250=$O63)*--(Source!$E$1:$E$250=$M$3)*--(Source!$D$1:$D$250=Pyramid!$M63),ROW(Source!$B$1:$B$250),FALSE),E$3)),"")</f>
        <v/>
      </c>
      <c r="F63" t="str">
        <f t="array" aca="1" ref="F63" ca="1">IFERROR(INDEX(Source!$A$1:$A$250,SMALL(IF(--(Source!$B$1:$B$250=$O63)*--(Source!$E$1:$E$250=$M$3)*--(Source!$D$1:$D$250=Pyramid!$M63),ROW(Source!$B$1:$B$250),FALSE),F$3)),"")</f>
        <v/>
      </c>
      <c r="G63" t="str">
        <f t="array" aca="1" ref="G63" ca="1">IFERROR(INDEX(Source!$A$1:$A$250,SMALL(IF(--(Source!$B$1:$B$250=$O63)*--(Source!$E$1:$E$250=$M$3)*--(Source!$D$1:$D$250=Pyramid!$M63),ROW(Source!$B$1:$B$250),FALSE),G$3)),"")</f>
        <v/>
      </c>
      <c r="H63" t="str">
        <f t="array" aca="1" ref="H63" ca="1">IFERROR(INDEX(Source!$A$1:$A$250,SMALL(IF(--(Source!$B$1:$B$250=$O63)*--(Source!$E$1:$E$250=$M$3)*--(Source!$D$1:$D$250=Pyramid!$M63),ROW(Source!$B$1:$B$250),FALSE),H$3)),"")</f>
        <v/>
      </c>
      <c r="I63" t="str">
        <f t="array" aca="1" ref="I63" ca="1">IFERROR(INDEX(Source!$A$1:$A$250,SMALL(IF(--(Source!$B$1:$B$250=$O63)*--(Source!$E$1:$E$250=$M$3)*--(Source!$D$1:$D$250=Pyramid!$M63),ROW(Source!$B$1:$B$250),FALSE),I$3)),"")</f>
        <v/>
      </c>
      <c r="J63" t="str">
        <f t="array" aca="1" ref="J63" ca="1">IFERROR(INDEX(Source!$A$1:$A$250,SMALL(IF(--(Source!$B$1:$B$250=$O63)*--(Source!$E$1:$E$250=$M$3)*--(Source!$D$1:$D$250=Pyramid!$M63),ROW(Source!$B$1:$B$250),FALSE),J$3)),"")</f>
        <v/>
      </c>
      <c r="K63" t="str">
        <f t="array" aca="1" ref="K63" ca="1">IFERROR(INDEX(Source!$A$1:$A$250,SMALL(IF(--(Source!$B$1:$B$250=$O63)*--(Source!$E$1:$E$250=$M$3)*--(Source!$D$1:$D$250=Pyramid!$M63),ROW(Source!$B$1:$B$250),FALSE),K$3)),"")</f>
        <v/>
      </c>
      <c r="L63" t="str">
        <f t="array" aca="1" ref="L63" ca="1">IFERROR(INDEX(Source!$A$1:$A$250,SMALL(IF(--(Source!$B$1:$B$250=$O63)*--(Source!$E$1:$E$250=$M$3)*--(Source!$D$1:$D$250=Pyramid!$M63),ROW(Source!$B$1:$B$250),FALSE),L$3)),"")</f>
        <v/>
      </c>
      <c r="M63" t="str">
        <f t="shared" si="2"/>
        <v>28/10/2016</v>
      </c>
      <c r="N63">
        <f ca="1">COUNTIFS(Source!B:B,Pyramid!$O63,Source!$D:$D,Pyramid!$M63,Source!$E:$E,Pyramid!$M$3)</f>
        <v>0</v>
      </c>
      <c r="O63">
        <f ca="1">OFFSET(Sheet2!$N$3,INT(C63/5),)</f>
        <v>18500</v>
      </c>
      <c r="P63">
        <f ca="1">COUNTIFS(Source!B:B,Pyramid!$O63,Source!D:D,Pyramid!$Q63,Source!$E:$E,Pyramid!$Q$3)</f>
        <v>0</v>
      </c>
      <c r="Q63" t="str">
        <f t="shared" si="2"/>
        <v>28/10/2016</v>
      </c>
      <c r="R63" t="str">
        <f t="array" aca="1" ref="R63" ca="1">IFERROR(INDEX(Source!$A$1:$A$250,SMALL(IF(--(Source!$B$1:$B$250=$O63)*--(Source!$E$1:$E$250=$Q$3)*--(Source!$D$1:$D$250=Pyramid!$Q63),ROW(Source!$B$1:$B$250),FALSE),R$3)),"")</f>
        <v/>
      </c>
      <c r="S63" t="str">
        <f t="array" aca="1" ref="S63" ca="1">IFERROR(INDEX(Source!$A$1:$A$250,SMALL(IF(--(Source!$B$1:$B$250=$O63)*--(Source!$E$1:$E$250=$Q$3)*--(Source!$D$1:$D$250=Pyramid!$Q63),ROW(Source!$B$1:$B$250),FALSE),S$3)),"")</f>
        <v/>
      </c>
      <c r="T63" t="str">
        <f t="array" aca="1" ref="T63" ca="1">IFERROR(INDEX(Source!$A$1:$A$250,SMALL(IF(--(Source!$B$1:$B$250=$O63)*--(Source!$E$1:$E$250=$Q$3)*--(Source!$D$1:$D$250=Pyramid!$Q63),ROW(Source!$B$1:$B$250),FALSE),T$3)),"")</f>
        <v/>
      </c>
      <c r="U63" t="str">
        <f t="array" aca="1" ref="U63" ca="1">IFERROR(INDEX(Source!$A$1:$A$250,SMALL(IF(--(Source!$B$1:$B$250=$O63)*--(Source!$E$1:$E$250=$Q$3)*--(Source!$D$1:$D$250=Pyramid!$Q63),ROW(Source!$B$1:$B$250),FALSE),U$3)),"")</f>
        <v/>
      </c>
      <c r="V63" t="str">
        <f t="array" aca="1" ref="V63" ca="1">IFERROR(INDEX(Source!$A$1:$A$250,SMALL(IF(--(Source!$B$1:$B$250=$O63)*--(Source!$E$1:$E$250=$Q$3)*--(Source!$D$1:$D$250=Pyramid!$Q63),ROW(Source!$B$1:$B$250),FALSE),V$3)),"")</f>
        <v/>
      </c>
      <c r="W63" t="str">
        <f t="array" aca="1" ref="W63" ca="1">IFERROR(INDEX(Source!$A$1:$A$250,SMALL(IF(--(Source!$B$1:$B$250=$O63)*--(Source!$E$1:$E$250=$Q$3)*--(Source!$D$1:$D$250=Pyramid!$Q63),ROW(Source!$B$1:$B$250),FALSE),W$3)),"")</f>
        <v/>
      </c>
      <c r="X63" t="str">
        <f t="array" aca="1" ref="X63" ca="1">IFERROR(INDEX(Source!$A$1:$A$250,SMALL(IF(--(Source!$B$1:$B$250=$O63)*--(Source!$E$1:$E$250=$Q$3)*--(Source!$D$1:$D$250=Pyramid!$Q63),ROW(Source!$B$1:$B$250),FALSE),X$3)),"")</f>
        <v/>
      </c>
      <c r="Y63" s="5">
        <f t="shared" ca="1" si="3"/>
        <v>0</v>
      </c>
    </row>
    <row r="64" spans="3:25">
      <c r="C64">
        <v>60</v>
      </c>
      <c r="D64" s="5">
        <f t="shared" ca="1" si="1"/>
        <v>0</v>
      </c>
      <c r="E64" t="str">
        <f t="array" aca="1" ref="E64" ca="1">IFERROR(INDEX(Source!$A$1:$A$250,SMALL(IF(--(Source!$B$1:$B$250=$O64)*--(Source!$E$1:$E$250=$M$3)*--(Source!$D$1:$D$250=Pyramid!$M64),ROW(Source!$B$1:$B$250),FALSE),E$3)),"")</f>
        <v/>
      </c>
      <c r="F64" t="str">
        <f t="array" aca="1" ref="F64" ca="1">IFERROR(INDEX(Source!$A$1:$A$250,SMALL(IF(--(Source!$B$1:$B$250=$O64)*--(Source!$E$1:$E$250=$M$3)*--(Source!$D$1:$D$250=Pyramid!$M64),ROW(Source!$B$1:$B$250),FALSE),F$3)),"")</f>
        <v/>
      </c>
      <c r="G64" t="str">
        <f t="array" aca="1" ref="G64" ca="1">IFERROR(INDEX(Source!$A$1:$A$250,SMALL(IF(--(Source!$B$1:$B$250=$O64)*--(Source!$E$1:$E$250=$M$3)*--(Source!$D$1:$D$250=Pyramid!$M64),ROW(Source!$B$1:$B$250),FALSE),G$3)),"")</f>
        <v/>
      </c>
      <c r="H64" t="str">
        <f t="array" aca="1" ref="H64" ca="1">IFERROR(INDEX(Source!$A$1:$A$250,SMALL(IF(--(Source!$B$1:$B$250=$O64)*--(Source!$E$1:$E$250=$M$3)*--(Source!$D$1:$D$250=Pyramid!$M64),ROW(Source!$B$1:$B$250),FALSE),H$3)),"")</f>
        <v/>
      </c>
      <c r="I64" t="str">
        <f t="array" aca="1" ref="I64" ca="1">IFERROR(INDEX(Source!$A$1:$A$250,SMALL(IF(--(Source!$B$1:$B$250=$O64)*--(Source!$E$1:$E$250=$M$3)*--(Source!$D$1:$D$250=Pyramid!$M64),ROW(Source!$B$1:$B$250),FALSE),I$3)),"")</f>
        <v/>
      </c>
      <c r="J64" t="str">
        <f t="array" aca="1" ref="J64" ca="1">IFERROR(INDEX(Source!$A$1:$A$250,SMALL(IF(--(Source!$B$1:$B$250=$O64)*--(Source!$E$1:$E$250=$M$3)*--(Source!$D$1:$D$250=Pyramid!$M64),ROW(Source!$B$1:$B$250),FALSE),J$3)),"")</f>
        <v/>
      </c>
      <c r="K64" t="str">
        <f t="array" aca="1" ref="K64" ca="1">IFERROR(INDEX(Source!$A$1:$A$250,SMALL(IF(--(Source!$B$1:$B$250=$O64)*--(Source!$E$1:$E$250=$M$3)*--(Source!$D$1:$D$250=Pyramid!$M64),ROW(Source!$B$1:$B$250),FALSE),K$3)),"")</f>
        <v/>
      </c>
      <c r="L64" t="str">
        <f t="array" aca="1" ref="L64" ca="1">IFERROR(INDEX(Source!$A$1:$A$250,SMALL(IF(--(Source!$B$1:$B$250=$O64)*--(Source!$E$1:$E$250=$M$3)*--(Source!$D$1:$D$250=Pyramid!$M64),ROW(Source!$B$1:$B$250),FALSE),L$3)),"")</f>
        <v/>
      </c>
      <c r="M64" t="str">
        <f t="shared" si="2"/>
        <v>29/6/2016</v>
      </c>
      <c r="N64">
        <f ca="1">COUNTIFS(Source!B:B,Pyramid!$O64,Source!$D:$D,Pyramid!$M64,Source!$E:$E,Pyramid!$M$3)</f>
        <v>0</v>
      </c>
      <c r="O64">
        <f ca="1">OFFSET(Sheet2!$N$3,INT(C64/5),)</f>
        <v>18588</v>
      </c>
      <c r="P64">
        <f ca="1">COUNTIFS(Source!B:B,Pyramid!$O64,Source!D:D,Pyramid!$Q64,Source!$E:$E,Pyramid!$Q$3)</f>
        <v>0</v>
      </c>
      <c r="Q64" t="str">
        <f t="shared" si="2"/>
        <v>29/6/2016</v>
      </c>
      <c r="R64" t="str">
        <f t="array" aca="1" ref="R64" ca="1">IFERROR(INDEX(Source!$A$1:$A$250,SMALL(IF(--(Source!$B$1:$B$250=$O64)*--(Source!$E$1:$E$250=$Q$3)*--(Source!$D$1:$D$250=Pyramid!$Q64),ROW(Source!$B$1:$B$250),FALSE),R$3)),"")</f>
        <v/>
      </c>
      <c r="S64" t="str">
        <f t="array" aca="1" ref="S64" ca="1">IFERROR(INDEX(Source!$A$1:$A$250,SMALL(IF(--(Source!$B$1:$B$250=$O64)*--(Source!$E$1:$E$250=$Q$3)*--(Source!$D$1:$D$250=Pyramid!$Q64),ROW(Source!$B$1:$B$250),FALSE),S$3)),"")</f>
        <v/>
      </c>
      <c r="T64" t="str">
        <f t="array" aca="1" ref="T64" ca="1">IFERROR(INDEX(Source!$A$1:$A$250,SMALL(IF(--(Source!$B$1:$B$250=$O64)*--(Source!$E$1:$E$250=$Q$3)*--(Source!$D$1:$D$250=Pyramid!$Q64),ROW(Source!$B$1:$B$250),FALSE),T$3)),"")</f>
        <v/>
      </c>
      <c r="U64" t="str">
        <f t="array" aca="1" ref="U64" ca="1">IFERROR(INDEX(Source!$A$1:$A$250,SMALL(IF(--(Source!$B$1:$B$250=$O64)*--(Source!$E$1:$E$250=$Q$3)*--(Source!$D$1:$D$250=Pyramid!$Q64),ROW(Source!$B$1:$B$250),FALSE),U$3)),"")</f>
        <v/>
      </c>
      <c r="V64" t="str">
        <f t="array" aca="1" ref="V64" ca="1">IFERROR(INDEX(Source!$A$1:$A$250,SMALL(IF(--(Source!$B$1:$B$250=$O64)*--(Source!$E$1:$E$250=$Q$3)*--(Source!$D$1:$D$250=Pyramid!$Q64),ROW(Source!$B$1:$B$250),FALSE),V$3)),"")</f>
        <v/>
      </c>
      <c r="W64" t="str">
        <f t="array" aca="1" ref="W64" ca="1">IFERROR(INDEX(Source!$A$1:$A$250,SMALL(IF(--(Source!$B$1:$B$250=$O64)*--(Source!$E$1:$E$250=$Q$3)*--(Source!$D$1:$D$250=Pyramid!$Q64),ROW(Source!$B$1:$B$250),FALSE),W$3)),"")</f>
        <v/>
      </c>
      <c r="X64" t="str">
        <f t="array" aca="1" ref="X64" ca="1">IFERROR(INDEX(Source!$A$1:$A$250,SMALL(IF(--(Source!$B$1:$B$250=$O64)*--(Source!$E$1:$E$250=$Q$3)*--(Source!$D$1:$D$250=Pyramid!$Q64),ROW(Source!$B$1:$B$250),FALSE),X$3)),"")</f>
        <v/>
      </c>
      <c r="Y64" s="5">
        <f t="shared" ca="1" si="3"/>
        <v>0</v>
      </c>
    </row>
    <row r="65" spans="3:25">
      <c r="C65">
        <v>61</v>
      </c>
      <c r="D65" s="5">
        <f t="shared" ca="1" si="1"/>
        <v>0</v>
      </c>
      <c r="E65" t="str">
        <f t="array" aca="1" ref="E65" ca="1">IFERROR(INDEX(Source!$A$1:$A$250,SMALL(IF(--(Source!$B$1:$B$250=$O65)*--(Source!$E$1:$E$250=$M$3)*--(Source!$D$1:$D$250=Pyramid!$M65),ROW(Source!$B$1:$B$250),FALSE),E$3)),"")</f>
        <v/>
      </c>
      <c r="F65" t="str">
        <f t="array" aca="1" ref="F65" ca="1">IFERROR(INDEX(Source!$A$1:$A$250,SMALL(IF(--(Source!$B$1:$B$250=$O65)*--(Source!$E$1:$E$250=$M$3)*--(Source!$D$1:$D$250=Pyramid!$M65),ROW(Source!$B$1:$B$250),FALSE),F$3)),"")</f>
        <v/>
      </c>
      <c r="G65" t="str">
        <f t="array" aca="1" ref="G65" ca="1">IFERROR(INDEX(Source!$A$1:$A$250,SMALL(IF(--(Source!$B$1:$B$250=$O65)*--(Source!$E$1:$E$250=$M$3)*--(Source!$D$1:$D$250=Pyramid!$M65),ROW(Source!$B$1:$B$250),FALSE),G$3)),"")</f>
        <v/>
      </c>
      <c r="H65" t="str">
        <f t="array" aca="1" ref="H65" ca="1">IFERROR(INDEX(Source!$A$1:$A$250,SMALL(IF(--(Source!$B$1:$B$250=$O65)*--(Source!$E$1:$E$250=$M$3)*--(Source!$D$1:$D$250=Pyramid!$M65),ROW(Source!$B$1:$B$250),FALSE),H$3)),"")</f>
        <v/>
      </c>
      <c r="I65" t="str">
        <f t="array" aca="1" ref="I65" ca="1">IFERROR(INDEX(Source!$A$1:$A$250,SMALL(IF(--(Source!$B$1:$B$250=$O65)*--(Source!$E$1:$E$250=$M$3)*--(Source!$D$1:$D$250=Pyramid!$M65),ROW(Source!$B$1:$B$250),FALSE),I$3)),"")</f>
        <v/>
      </c>
      <c r="J65" t="str">
        <f t="array" aca="1" ref="J65" ca="1">IFERROR(INDEX(Source!$A$1:$A$250,SMALL(IF(--(Source!$B$1:$B$250=$O65)*--(Source!$E$1:$E$250=$M$3)*--(Source!$D$1:$D$250=Pyramid!$M65),ROW(Source!$B$1:$B$250),FALSE),J$3)),"")</f>
        <v/>
      </c>
      <c r="K65" t="str">
        <f t="array" aca="1" ref="K65" ca="1">IFERROR(INDEX(Source!$A$1:$A$250,SMALL(IF(--(Source!$B$1:$B$250=$O65)*--(Source!$E$1:$E$250=$M$3)*--(Source!$D$1:$D$250=Pyramid!$M65),ROW(Source!$B$1:$B$250),FALSE),K$3)),"")</f>
        <v/>
      </c>
      <c r="L65" t="str">
        <f t="array" aca="1" ref="L65" ca="1">IFERROR(INDEX(Source!$A$1:$A$250,SMALL(IF(--(Source!$B$1:$B$250=$O65)*--(Source!$E$1:$E$250=$M$3)*--(Source!$D$1:$D$250=Pyramid!$M65),ROW(Source!$B$1:$B$250),FALSE),L$3)),"")</f>
        <v/>
      </c>
      <c r="M65" t="str">
        <f t="shared" si="2"/>
        <v>28/7/2016</v>
      </c>
      <c r="N65">
        <f ca="1">COUNTIFS(Source!B:B,Pyramid!$O65,Source!$D:$D,Pyramid!$M65,Source!$E:$E,Pyramid!$M$3)</f>
        <v>0</v>
      </c>
      <c r="O65">
        <f ca="1">OFFSET(Sheet2!$N$3,INT(C65/5),)</f>
        <v>18588</v>
      </c>
      <c r="P65">
        <f ca="1">COUNTIFS(Source!B:B,Pyramid!$O65,Source!D:D,Pyramid!$Q65,Source!$E:$E,Pyramid!$Q$3)</f>
        <v>0</v>
      </c>
      <c r="Q65" t="str">
        <f t="shared" si="2"/>
        <v>28/7/2016</v>
      </c>
      <c r="R65" t="str">
        <f t="array" aca="1" ref="R65" ca="1">IFERROR(INDEX(Source!$A$1:$A$250,SMALL(IF(--(Source!$B$1:$B$250=$O65)*--(Source!$E$1:$E$250=$Q$3)*--(Source!$D$1:$D$250=Pyramid!$Q65),ROW(Source!$B$1:$B$250),FALSE),R$3)),"")</f>
        <v/>
      </c>
      <c r="S65" t="str">
        <f t="array" aca="1" ref="S65" ca="1">IFERROR(INDEX(Source!$A$1:$A$250,SMALL(IF(--(Source!$B$1:$B$250=$O65)*--(Source!$E$1:$E$250=$Q$3)*--(Source!$D$1:$D$250=Pyramid!$Q65),ROW(Source!$B$1:$B$250),FALSE),S$3)),"")</f>
        <v/>
      </c>
      <c r="T65" t="str">
        <f t="array" aca="1" ref="T65" ca="1">IFERROR(INDEX(Source!$A$1:$A$250,SMALL(IF(--(Source!$B$1:$B$250=$O65)*--(Source!$E$1:$E$250=$Q$3)*--(Source!$D$1:$D$250=Pyramid!$Q65),ROW(Source!$B$1:$B$250),FALSE),T$3)),"")</f>
        <v/>
      </c>
      <c r="U65" t="str">
        <f t="array" aca="1" ref="U65" ca="1">IFERROR(INDEX(Source!$A$1:$A$250,SMALL(IF(--(Source!$B$1:$B$250=$O65)*--(Source!$E$1:$E$250=$Q$3)*--(Source!$D$1:$D$250=Pyramid!$Q65),ROW(Source!$B$1:$B$250),FALSE),U$3)),"")</f>
        <v/>
      </c>
      <c r="V65" t="str">
        <f t="array" aca="1" ref="V65" ca="1">IFERROR(INDEX(Source!$A$1:$A$250,SMALL(IF(--(Source!$B$1:$B$250=$O65)*--(Source!$E$1:$E$250=$Q$3)*--(Source!$D$1:$D$250=Pyramid!$Q65),ROW(Source!$B$1:$B$250),FALSE),V$3)),"")</f>
        <v/>
      </c>
      <c r="W65" t="str">
        <f t="array" aca="1" ref="W65" ca="1">IFERROR(INDEX(Source!$A$1:$A$250,SMALL(IF(--(Source!$B$1:$B$250=$O65)*--(Source!$E$1:$E$250=$Q$3)*--(Source!$D$1:$D$250=Pyramid!$Q65),ROW(Source!$B$1:$B$250),FALSE),W$3)),"")</f>
        <v/>
      </c>
      <c r="X65" t="str">
        <f t="array" aca="1" ref="X65" ca="1">IFERROR(INDEX(Source!$A$1:$A$250,SMALL(IF(--(Source!$B$1:$B$250=$O65)*--(Source!$E$1:$E$250=$Q$3)*--(Source!$D$1:$D$250=Pyramid!$Q65),ROW(Source!$B$1:$B$250),FALSE),X$3)),"")</f>
        <v/>
      </c>
      <c r="Y65" s="5">
        <f t="shared" ca="1" si="3"/>
        <v>0</v>
      </c>
    </row>
    <row r="66" spans="3:25">
      <c r="C66">
        <v>62</v>
      </c>
      <c r="D66" s="5">
        <f t="shared" ca="1" si="1"/>
        <v>0</v>
      </c>
      <c r="E66" t="str">
        <f t="array" aca="1" ref="E66" ca="1">IFERROR(INDEX(Source!$A$1:$A$250,SMALL(IF(--(Source!$B$1:$B$250=$O66)*--(Source!$E$1:$E$250=$M$3)*--(Source!$D$1:$D$250=Pyramid!$M66),ROW(Source!$B$1:$B$250),FALSE),E$3)),"")</f>
        <v/>
      </c>
      <c r="F66" t="str">
        <f t="array" aca="1" ref="F66" ca="1">IFERROR(INDEX(Source!$A$1:$A$250,SMALL(IF(--(Source!$B$1:$B$250=$O66)*--(Source!$E$1:$E$250=$M$3)*--(Source!$D$1:$D$250=Pyramid!$M66),ROW(Source!$B$1:$B$250),FALSE),F$3)),"")</f>
        <v/>
      </c>
      <c r="G66" t="str">
        <f t="array" aca="1" ref="G66" ca="1">IFERROR(INDEX(Source!$A$1:$A$250,SMALL(IF(--(Source!$B$1:$B$250=$O66)*--(Source!$E$1:$E$250=$M$3)*--(Source!$D$1:$D$250=Pyramid!$M66),ROW(Source!$B$1:$B$250),FALSE),G$3)),"")</f>
        <v/>
      </c>
      <c r="H66" t="str">
        <f t="array" aca="1" ref="H66" ca="1">IFERROR(INDEX(Source!$A$1:$A$250,SMALL(IF(--(Source!$B$1:$B$250=$O66)*--(Source!$E$1:$E$250=$M$3)*--(Source!$D$1:$D$250=Pyramid!$M66),ROW(Source!$B$1:$B$250),FALSE),H$3)),"")</f>
        <v/>
      </c>
      <c r="I66" t="str">
        <f t="array" aca="1" ref="I66" ca="1">IFERROR(INDEX(Source!$A$1:$A$250,SMALL(IF(--(Source!$B$1:$B$250=$O66)*--(Source!$E$1:$E$250=$M$3)*--(Source!$D$1:$D$250=Pyramid!$M66),ROW(Source!$B$1:$B$250),FALSE),I$3)),"")</f>
        <v/>
      </c>
      <c r="J66" t="str">
        <f t="array" aca="1" ref="J66" ca="1">IFERROR(INDEX(Source!$A$1:$A$250,SMALL(IF(--(Source!$B$1:$B$250=$O66)*--(Source!$E$1:$E$250=$M$3)*--(Source!$D$1:$D$250=Pyramid!$M66),ROW(Source!$B$1:$B$250),FALSE),J$3)),"")</f>
        <v/>
      </c>
      <c r="K66" t="str">
        <f t="array" aca="1" ref="K66" ca="1">IFERROR(INDEX(Source!$A$1:$A$250,SMALL(IF(--(Source!$B$1:$B$250=$O66)*--(Source!$E$1:$E$250=$M$3)*--(Source!$D$1:$D$250=Pyramid!$M66),ROW(Source!$B$1:$B$250),FALSE),K$3)),"")</f>
        <v/>
      </c>
      <c r="L66" t="str">
        <f t="array" aca="1" ref="L66" ca="1">IFERROR(INDEX(Source!$A$1:$A$250,SMALL(IF(--(Source!$B$1:$B$250=$O66)*--(Source!$E$1:$E$250=$M$3)*--(Source!$D$1:$D$250=Pyramid!$M66),ROW(Source!$B$1:$B$250),FALSE),L$3)),"")</f>
        <v/>
      </c>
      <c r="M66" t="str">
        <f t="shared" si="2"/>
        <v>30/8/2016</v>
      </c>
      <c r="N66">
        <f ca="1">COUNTIFS(Source!B:B,Pyramid!$O66,Source!$D:$D,Pyramid!$M66,Source!$E:$E,Pyramid!$M$3)</f>
        <v>0</v>
      </c>
      <c r="O66">
        <f ca="1">OFFSET(Sheet2!$N$3,INT(C66/5),)</f>
        <v>18588</v>
      </c>
      <c r="P66">
        <f ca="1">COUNTIFS(Source!B:B,Pyramid!$O66,Source!D:D,Pyramid!$Q66,Source!$E:$E,Pyramid!$Q$3)</f>
        <v>1</v>
      </c>
      <c r="Q66" t="str">
        <f t="shared" si="2"/>
        <v>30/8/2016</v>
      </c>
      <c r="R66" t="str">
        <f t="array" aca="1" ref="R66" ca="1">IFERROR(INDEX(Source!$A$1:$A$250,SMALL(IF(--(Source!$B$1:$B$250=$O66)*--(Source!$E$1:$E$250=$Q$3)*--(Source!$D$1:$D$250=Pyramid!$Q66),ROW(Source!$B$1:$B$250),FALSE),R$3)),"")</f>
        <v>26491 HK Equity</v>
      </c>
      <c r="S66" t="str">
        <f t="array" aca="1" ref="S66" ca="1">IFERROR(INDEX(Source!$A$1:$A$250,SMALL(IF(--(Source!$B$1:$B$250=$O66)*--(Source!$E$1:$E$250=$Q$3)*--(Source!$D$1:$D$250=Pyramid!$Q66),ROW(Source!$B$1:$B$250),FALSE),S$3)),"")</f>
        <v/>
      </c>
      <c r="T66" t="str">
        <f t="array" aca="1" ref="T66" ca="1">IFERROR(INDEX(Source!$A$1:$A$250,SMALL(IF(--(Source!$B$1:$B$250=$O66)*--(Source!$E$1:$E$250=$Q$3)*--(Source!$D$1:$D$250=Pyramid!$Q66),ROW(Source!$B$1:$B$250),FALSE),T$3)),"")</f>
        <v/>
      </c>
      <c r="U66" t="str">
        <f t="array" aca="1" ref="U66" ca="1">IFERROR(INDEX(Source!$A$1:$A$250,SMALL(IF(--(Source!$B$1:$B$250=$O66)*--(Source!$E$1:$E$250=$Q$3)*--(Source!$D$1:$D$250=Pyramid!$Q66),ROW(Source!$B$1:$B$250),FALSE),U$3)),"")</f>
        <v/>
      </c>
      <c r="V66" t="str">
        <f t="array" aca="1" ref="V66" ca="1">IFERROR(INDEX(Source!$A$1:$A$250,SMALL(IF(--(Source!$B$1:$B$250=$O66)*--(Source!$E$1:$E$250=$Q$3)*--(Source!$D$1:$D$250=Pyramid!$Q66),ROW(Source!$B$1:$B$250),FALSE),V$3)),"")</f>
        <v/>
      </c>
      <c r="W66" t="str">
        <f t="array" aca="1" ref="W66" ca="1">IFERROR(INDEX(Source!$A$1:$A$250,SMALL(IF(--(Source!$B$1:$B$250=$O66)*--(Source!$E$1:$E$250=$Q$3)*--(Source!$D$1:$D$250=Pyramid!$Q66),ROW(Source!$B$1:$B$250),FALSE),W$3)),"")</f>
        <v/>
      </c>
      <c r="X66" t="str">
        <f t="array" aca="1" ref="X66" ca="1">IFERROR(INDEX(Source!$A$1:$A$250,SMALL(IF(--(Source!$B$1:$B$250=$O66)*--(Source!$E$1:$E$250=$Q$3)*--(Source!$D$1:$D$250=Pyramid!$Q66),ROW(Source!$B$1:$B$250),FALSE),X$3)),"")</f>
        <v/>
      </c>
      <c r="Y66" s="5">
        <f t="shared" ca="1" si="3"/>
        <v>0</v>
      </c>
    </row>
    <row r="67" spans="3:25">
      <c r="C67">
        <v>63</v>
      </c>
      <c r="D67" s="5">
        <f t="shared" ca="1" si="1"/>
        <v>0</v>
      </c>
      <c r="E67" t="str">
        <f t="array" aca="1" ref="E67" ca="1">IFERROR(INDEX(Source!$A$1:$A$250,SMALL(IF(--(Source!$B$1:$B$250=$O67)*--(Source!$E$1:$E$250=$M$3)*--(Source!$D$1:$D$250=Pyramid!$M67),ROW(Source!$B$1:$B$250),FALSE),E$3)),"")</f>
        <v/>
      </c>
      <c r="F67" t="str">
        <f t="array" aca="1" ref="F67" ca="1">IFERROR(INDEX(Source!$A$1:$A$250,SMALL(IF(--(Source!$B$1:$B$250=$O67)*--(Source!$E$1:$E$250=$M$3)*--(Source!$D$1:$D$250=Pyramid!$M67),ROW(Source!$B$1:$B$250),FALSE),F$3)),"")</f>
        <v/>
      </c>
      <c r="G67" t="str">
        <f t="array" aca="1" ref="G67" ca="1">IFERROR(INDEX(Source!$A$1:$A$250,SMALL(IF(--(Source!$B$1:$B$250=$O67)*--(Source!$E$1:$E$250=$M$3)*--(Source!$D$1:$D$250=Pyramid!$M67),ROW(Source!$B$1:$B$250),FALSE),G$3)),"")</f>
        <v/>
      </c>
      <c r="H67" t="str">
        <f t="array" aca="1" ref="H67" ca="1">IFERROR(INDEX(Source!$A$1:$A$250,SMALL(IF(--(Source!$B$1:$B$250=$O67)*--(Source!$E$1:$E$250=$M$3)*--(Source!$D$1:$D$250=Pyramid!$M67),ROW(Source!$B$1:$B$250),FALSE),H$3)),"")</f>
        <v/>
      </c>
      <c r="I67" t="str">
        <f t="array" aca="1" ref="I67" ca="1">IFERROR(INDEX(Source!$A$1:$A$250,SMALL(IF(--(Source!$B$1:$B$250=$O67)*--(Source!$E$1:$E$250=$M$3)*--(Source!$D$1:$D$250=Pyramid!$M67),ROW(Source!$B$1:$B$250),FALSE),I$3)),"")</f>
        <v/>
      </c>
      <c r="J67" t="str">
        <f t="array" aca="1" ref="J67" ca="1">IFERROR(INDEX(Source!$A$1:$A$250,SMALL(IF(--(Source!$B$1:$B$250=$O67)*--(Source!$E$1:$E$250=$M$3)*--(Source!$D$1:$D$250=Pyramid!$M67),ROW(Source!$B$1:$B$250),FALSE),J$3)),"")</f>
        <v/>
      </c>
      <c r="K67" t="str">
        <f t="array" aca="1" ref="K67" ca="1">IFERROR(INDEX(Source!$A$1:$A$250,SMALL(IF(--(Source!$B$1:$B$250=$O67)*--(Source!$E$1:$E$250=$M$3)*--(Source!$D$1:$D$250=Pyramid!$M67),ROW(Source!$B$1:$B$250),FALSE),K$3)),"")</f>
        <v/>
      </c>
      <c r="L67" t="str">
        <f t="array" aca="1" ref="L67" ca="1">IFERROR(INDEX(Source!$A$1:$A$250,SMALL(IF(--(Source!$B$1:$B$250=$O67)*--(Source!$E$1:$E$250=$M$3)*--(Source!$D$1:$D$250=Pyramid!$M67),ROW(Source!$B$1:$B$250),FALSE),L$3)),"")</f>
        <v/>
      </c>
      <c r="M67" t="str">
        <f t="shared" si="2"/>
        <v>29/9/2016</v>
      </c>
      <c r="N67">
        <f ca="1">COUNTIFS(Source!B:B,Pyramid!$O67,Source!$D:$D,Pyramid!$M67,Source!$E:$E,Pyramid!$M$3)</f>
        <v>0</v>
      </c>
      <c r="O67">
        <f ca="1">OFFSET(Sheet2!$N$3,INT(C67/5),)</f>
        <v>18588</v>
      </c>
      <c r="P67">
        <f ca="1">COUNTIFS(Source!B:B,Pyramid!$O67,Source!D:D,Pyramid!$Q67,Source!$E:$E,Pyramid!$Q$3)</f>
        <v>0</v>
      </c>
      <c r="Q67" t="str">
        <f t="shared" si="2"/>
        <v>29/9/2016</v>
      </c>
      <c r="R67" t="str">
        <f t="array" aca="1" ref="R67" ca="1">IFERROR(INDEX(Source!$A$1:$A$250,SMALL(IF(--(Source!$B$1:$B$250=$O67)*--(Source!$E$1:$E$250=$Q$3)*--(Source!$D$1:$D$250=Pyramid!$Q67),ROW(Source!$B$1:$B$250),FALSE),R$3)),"")</f>
        <v/>
      </c>
      <c r="S67" t="str">
        <f t="array" aca="1" ref="S67" ca="1">IFERROR(INDEX(Source!$A$1:$A$250,SMALL(IF(--(Source!$B$1:$B$250=$O67)*--(Source!$E$1:$E$250=$Q$3)*--(Source!$D$1:$D$250=Pyramid!$Q67),ROW(Source!$B$1:$B$250),FALSE),S$3)),"")</f>
        <v/>
      </c>
      <c r="T67" t="str">
        <f t="array" aca="1" ref="T67" ca="1">IFERROR(INDEX(Source!$A$1:$A$250,SMALL(IF(--(Source!$B$1:$B$250=$O67)*--(Source!$E$1:$E$250=$Q$3)*--(Source!$D$1:$D$250=Pyramid!$Q67),ROW(Source!$B$1:$B$250),FALSE),T$3)),"")</f>
        <v/>
      </c>
      <c r="U67" t="str">
        <f t="array" aca="1" ref="U67" ca="1">IFERROR(INDEX(Source!$A$1:$A$250,SMALL(IF(--(Source!$B$1:$B$250=$O67)*--(Source!$E$1:$E$250=$Q$3)*--(Source!$D$1:$D$250=Pyramid!$Q67),ROW(Source!$B$1:$B$250),FALSE),U$3)),"")</f>
        <v/>
      </c>
      <c r="V67" t="str">
        <f t="array" aca="1" ref="V67" ca="1">IFERROR(INDEX(Source!$A$1:$A$250,SMALL(IF(--(Source!$B$1:$B$250=$O67)*--(Source!$E$1:$E$250=$Q$3)*--(Source!$D$1:$D$250=Pyramid!$Q67),ROW(Source!$B$1:$B$250),FALSE),V$3)),"")</f>
        <v/>
      </c>
      <c r="W67" t="str">
        <f t="array" aca="1" ref="W67" ca="1">IFERROR(INDEX(Source!$A$1:$A$250,SMALL(IF(--(Source!$B$1:$B$250=$O67)*--(Source!$E$1:$E$250=$Q$3)*--(Source!$D$1:$D$250=Pyramid!$Q67),ROW(Source!$B$1:$B$250),FALSE),W$3)),"")</f>
        <v/>
      </c>
      <c r="X67" t="str">
        <f t="array" aca="1" ref="X67" ca="1">IFERROR(INDEX(Source!$A$1:$A$250,SMALL(IF(--(Source!$B$1:$B$250=$O67)*--(Source!$E$1:$E$250=$Q$3)*--(Source!$D$1:$D$250=Pyramid!$Q67),ROW(Source!$B$1:$B$250),FALSE),X$3)),"")</f>
        <v/>
      </c>
      <c r="Y67" s="5">
        <f t="shared" ca="1" si="3"/>
        <v>0</v>
      </c>
    </row>
    <row r="68" spans="3:25">
      <c r="C68">
        <v>64</v>
      </c>
      <c r="D68" s="5">
        <f t="shared" ca="1" si="1"/>
        <v>0</v>
      </c>
      <c r="E68" t="str">
        <f t="array" aca="1" ref="E68" ca="1">IFERROR(INDEX(Source!$A$1:$A$250,SMALL(IF(--(Source!$B$1:$B$250=$O68)*--(Source!$E$1:$E$250=$M$3)*--(Source!$D$1:$D$250=Pyramid!$M68),ROW(Source!$B$1:$B$250),FALSE),E$3)),"")</f>
        <v/>
      </c>
      <c r="F68" t="str">
        <f t="array" aca="1" ref="F68" ca="1">IFERROR(INDEX(Source!$A$1:$A$250,SMALL(IF(--(Source!$B$1:$B$250=$O68)*--(Source!$E$1:$E$250=$M$3)*--(Source!$D$1:$D$250=Pyramid!$M68),ROW(Source!$B$1:$B$250),FALSE),F$3)),"")</f>
        <v/>
      </c>
      <c r="G68" t="str">
        <f t="array" aca="1" ref="G68" ca="1">IFERROR(INDEX(Source!$A$1:$A$250,SMALL(IF(--(Source!$B$1:$B$250=$O68)*--(Source!$E$1:$E$250=$M$3)*--(Source!$D$1:$D$250=Pyramid!$M68),ROW(Source!$B$1:$B$250),FALSE),G$3)),"")</f>
        <v/>
      </c>
      <c r="H68" t="str">
        <f t="array" aca="1" ref="H68" ca="1">IFERROR(INDEX(Source!$A$1:$A$250,SMALL(IF(--(Source!$B$1:$B$250=$O68)*--(Source!$E$1:$E$250=$M$3)*--(Source!$D$1:$D$250=Pyramid!$M68),ROW(Source!$B$1:$B$250),FALSE),H$3)),"")</f>
        <v/>
      </c>
      <c r="I68" t="str">
        <f t="array" aca="1" ref="I68" ca="1">IFERROR(INDEX(Source!$A$1:$A$250,SMALL(IF(--(Source!$B$1:$B$250=$O68)*--(Source!$E$1:$E$250=$M$3)*--(Source!$D$1:$D$250=Pyramid!$M68),ROW(Source!$B$1:$B$250),FALSE),I$3)),"")</f>
        <v/>
      </c>
      <c r="J68" t="str">
        <f t="array" aca="1" ref="J68" ca="1">IFERROR(INDEX(Source!$A$1:$A$250,SMALL(IF(--(Source!$B$1:$B$250=$O68)*--(Source!$E$1:$E$250=$M$3)*--(Source!$D$1:$D$250=Pyramid!$M68),ROW(Source!$B$1:$B$250),FALSE),J$3)),"")</f>
        <v/>
      </c>
      <c r="K68" t="str">
        <f t="array" aca="1" ref="K68" ca="1">IFERROR(INDEX(Source!$A$1:$A$250,SMALL(IF(--(Source!$B$1:$B$250=$O68)*--(Source!$E$1:$E$250=$M$3)*--(Source!$D$1:$D$250=Pyramid!$M68),ROW(Source!$B$1:$B$250),FALSE),K$3)),"")</f>
        <v/>
      </c>
      <c r="L68" t="str">
        <f t="array" aca="1" ref="L68" ca="1">IFERROR(INDEX(Source!$A$1:$A$250,SMALL(IF(--(Source!$B$1:$B$250=$O68)*--(Source!$E$1:$E$250=$M$3)*--(Source!$D$1:$D$250=Pyramid!$M68),ROW(Source!$B$1:$B$250),FALSE),L$3)),"")</f>
        <v/>
      </c>
      <c r="M68" t="str">
        <f t="shared" si="2"/>
        <v>28/10/2016</v>
      </c>
      <c r="N68">
        <f ca="1">COUNTIFS(Source!B:B,Pyramid!$O68,Source!$D:$D,Pyramid!$M68,Source!$E:$E,Pyramid!$M$3)</f>
        <v>0</v>
      </c>
      <c r="O68">
        <f ca="1">OFFSET(Sheet2!$N$3,INT(C68/5),)</f>
        <v>18588</v>
      </c>
      <c r="P68">
        <f ca="1">COUNTIFS(Source!B:B,Pyramid!$O68,Source!D:D,Pyramid!$Q68,Source!$E:$E,Pyramid!$Q$3)</f>
        <v>0</v>
      </c>
      <c r="Q68" t="str">
        <f t="shared" si="2"/>
        <v>28/10/2016</v>
      </c>
      <c r="R68" t="str">
        <f t="array" aca="1" ref="R68" ca="1">IFERROR(INDEX(Source!$A$1:$A$250,SMALL(IF(--(Source!$B$1:$B$250=$O68)*--(Source!$E$1:$E$250=$Q$3)*--(Source!$D$1:$D$250=Pyramid!$Q68),ROW(Source!$B$1:$B$250),FALSE),R$3)),"")</f>
        <v/>
      </c>
      <c r="S68" t="str">
        <f t="array" aca="1" ref="S68" ca="1">IFERROR(INDEX(Source!$A$1:$A$250,SMALL(IF(--(Source!$B$1:$B$250=$O68)*--(Source!$E$1:$E$250=$Q$3)*--(Source!$D$1:$D$250=Pyramid!$Q68),ROW(Source!$B$1:$B$250),FALSE),S$3)),"")</f>
        <v/>
      </c>
      <c r="T68" t="str">
        <f t="array" aca="1" ref="T68" ca="1">IFERROR(INDEX(Source!$A$1:$A$250,SMALL(IF(--(Source!$B$1:$B$250=$O68)*--(Source!$E$1:$E$250=$Q$3)*--(Source!$D$1:$D$250=Pyramid!$Q68),ROW(Source!$B$1:$B$250),FALSE),T$3)),"")</f>
        <v/>
      </c>
      <c r="U68" t="str">
        <f t="array" aca="1" ref="U68" ca="1">IFERROR(INDEX(Source!$A$1:$A$250,SMALL(IF(--(Source!$B$1:$B$250=$O68)*--(Source!$E$1:$E$250=$Q$3)*--(Source!$D$1:$D$250=Pyramid!$Q68),ROW(Source!$B$1:$B$250),FALSE),U$3)),"")</f>
        <v/>
      </c>
      <c r="V68" t="str">
        <f t="array" aca="1" ref="V68" ca="1">IFERROR(INDEX(Source!$A$1:$A$250,SMALL(IF(--(Source!$B$1:$B$250=$O68)*--(Source!$E$1:$E$250=$Q$3)*--(Source!$D$1:$D$250=Pyramid!$Q68),ROW(Source!$B$1:$B$250),FALSE),V$3)),"")</f>
        <v/>
      </c>
      <c r="W68" t="str">
        <f t="array" aca="1" ref="W68" ca="1">IFERROR(INDEX(Source!$A$1:$A$250,SMALL(IF(--(Source!$B$1:$B$250=$O68)*--(Source!$E$1:$E$250=$Q$3)*--(Source!$D$1:$D$250=Pyramid!$Q68),ROW(Source!$B$1:$B$250),FALSE),W$3)),"")</f>
        <v/>
      </c>
      <c r="X68" t="str">
        <f t="array" aca="1" ref="X68" ca="1">IFERROR(INDEX(Source!$A$1:$A$250,SMALL(IF(--(Source!$B$1:$B$250=$O68)*--(Source!$E$1:$E$250=$Q$3)*--(Source!$D$1:$D$250=Pyramid!$Q68),ROW(Source!$B$1:$B$250),FALSE),X$3)),"")</f>
        <v/>
      </c>
      <c r="Y68" s="5">
        <f t="shared" ca="1" si="3"/>
        <v>0</v>
      </c>
    </row>
    <row r="69" spans="3:25">
      <c r="C69">
        <v>65</v>
      </c>
      <c r="D69" s="5">
        <f t="shared" ref="D69:D132" ca="1" si="4">SUMPRODUCT(--(E69:L69&lt;&gt;""))-N69</f>
        <v>0</v>
      </c>
      <c r="E69" t="str">
        <f t="array" aca="1" ref="E69" ca="1">IFERROR(INDEX(Source!$A$1:$A$250,SMALL(IF(--(Source!$B$1:$B$250=$O69)*--(Source!$E$1:$E$250=$M$3)*--(Source!$D$1:$D$250=Pyramid!$M69),ROW(Source!$B$1:$B$250),FALSE),E$3)),"")</f>
        <v/>
      </c>
      <c r="F69" t="str">
        <f t="array" aca="1" ref="F69" ca="1">IFERROR(INDEX(Source!$A$1:$A$250,SMALL(IF(--(Source!$B$1:$B$250=$O69)*--(Source!$E$1:$E$250=$M$3)*--(Source!$D$1:$D$250=Pyramid!$M69),ROW(Source!$B$1:$B$250),FALSE),F$3)),"")</f>
        <v/>
      </c>
      <c r="G69" t="str">
        <f t="array" aca="1" ref="G69" ca="1">IFERROR(INDEX(Source!$A$1:$A$250,SMALL(IF(--(Source!$B$1:$B$250=$O69)*--(Source!$E$1:$E$250=$M$3)*--(Source!$D$1:$D$250=Pyramid!$M69),ROW(Source!$B$1:$B$250),FALSE),G$3)),"")</f>
        <v/>
      </c>
      <c r="H69" t="str">
        <f t="array" aca="1" ref="H69" ca="1">IFERROR(INDEX(Source!$A$1:$A$250,SMALL(IF(--(Source!$B$1:$B$250=$O69)*--(Source!$E$1:$E$250=$M$3)*--(Source!$D$1:$D$250=Pyramid!$M69),ROW(Source!$B$1:$B$250),FALSE),H$3)),"")</f>
        <v/>
      </c>
      <c r="I69" t="str">
        <f t="array" aca="1" ref="I69" ca="1">IFERROR(INDEX(Source!$A$1:$A$250,SMALL(IF(--(Source!$B$1:$B$250=$O69)*--(Source!$E$1:$E$250=$M$3)*--(Source!$D$1:$D$250=Pyramid!$M69),ROW(Source!$B$1:$B$250),FALSE),I$3)),"")</f>
        <v/>
      </c>
      <c r="J69" t="str">
        <f t="array" aca="1" ref="J69" ca="1">IFERROR(INDEX(Source!$A$1:$A$250,SMALL(IF(--(Source!$B$1:$B$250=$O69)*--(Source!$E$1:$E$250=$M$3)*--(Source!$D$1:$D$250=Pyramid!$M69),ROW(Source!$B$1:$B$250),FALSE),J$3)),"")</f>
        <v/>
      </c>
      <c r="K69" t="str">
        <f t="array" aca="1" ref="K69" ca="1">IFERROR(INDEX(Source!$A$1:$A$250,SMALL(IF(--(Source!$B$1:$B$250=$O69)*--(Source!$E$1:$E$250=$M$3)*--(Source!$D$1:$D$250=Pyramid!$M69),ROW(Source!$B$1:$B$250),FALSE),K$3)),"")</f>
        <v/>
      </c>
      <c r="L69" t="str">
        <f t="array" aca="1" ref="L69" ca="1">IFERROR(INDEX(Source!$A$1:$A$250,SMALL(IF(--(Source!$B$1:$B$250=$O69)*--(Source!$E$1:$E$250=$M$3)*--(Source!$D$1:$D$250=Pyramid!$M69),ROW(Source!$B$1:$B$250),FALSE),L$3)),"")</f>
        <v/>
      </c>
      <c r="M69" t="str">
        <f t="shared" ref="M69:Q132" si="5">INDEX($A$4:$A$8,MOD($C69,5)+1)</f>
        <v>29/6/2016</v>
      </c>
      <c r="N69">
        <f ca="1">COUNTIFS(Source!B:B,Pyramid!$O69,Source!$D:$D,Pyramid!$M69,Source!$E:$E,Pyramid!$M$3)</f>
        <v>0</v>
      </c>
      <c r="O69">
        <f ca="1">OFFSET(Sheet2!$N$3,INT(C69/5),)</f>
        <v>18600</v>
      </c>
      <c r="P69">
        <f ca="1">COUNTIFS(Source!B:B,Pyramid!$O69,Source!D:D,Pyramid!$Q69,Source!$E:$E,Pyramid!$Q$3)</f>
        <v>0</v>
      </c>
      <c r="Q69" t="str">
        <f t="shared" si="5"/>
        <v>29/6/2016</v>
      </c>
      <c r="R69" t="str">
        <f t="array" aca="1" ref="R69" ca="1">IFERROR(INDEX(Source!$A$1:$A$250,SMALL(IF(--(Source!$B$1:$B$250=$O69)*--(Source!$E$1:$E$250=$Q$3)*--(Source!$D$1:$D$250=Pyramid!$Q69),ROW(Source!$B$1:$B$250),FALSE),R$3)),"")</f>
        <v/>
      </c>
      <c r="S69" t="str">
        <f t="array" aca="1" ref="S69" ca="1">IFERROR(INDEX(Source!$A$1:$A$250,SMALL(IF(--(Source!$B$1:$B$250=$O69)*--(Source!$E$1:$E$250=$Q$3)*--(Source!$D$1:$D$250=Pyramid!$Q69),ROW(Source!$B$1:$B$250),FALSE),S$3)),"")</f>
        <v/>
      </c>
      <c r="T69" t="str">
        <f t="array" aca="1" ref="T69" ca="1">IFERROR(INDEX(Source!$A$1:$A$250,SMALL(IF(--(Source!$B$1:$B$250=$O69)*--(Source!$E$1:$E$250=$Q$3)*--(Source!$D$1:$D$250=Pyramid!$Q69),ROW(Source!$B$1:$B$250),FALSE),T$3)),"")</f>
        <v/>
      </c>
      <c r="U69" t="str">
        <f t="array" aca="1" ref="U69" ca="1">IFERROR(INDEX(Source!$A$1:$A$250,SMALL(IF(--(Source!$B$1:$B$250=$O69)*--(Source!$E$1:$E$250=$Q$3)*--(Source!$D$1:$D$250=Pyramid!$Q69),ROW(Source!$B$1:$B$250),FALSE),U$3)),"")</f>
        <v/>
      </c>
      <c r="V69" t="str">
        <f t="array" aca="1" ref="V69" ca="1">IFERROR(INDEX(Source!$A$1:$A$250,SMALL(IF(--(Source!$B$1:$B$250=$O69)*--(Source!$E$1:$E$250=$Q$3)*--(Source!$D$1:$D$250=Pyramid!$Q69),ROW(Source!$B$1:$B$250),FALSE),V$3)),"")</f>
        <v/>
      </c>
      <c r="W69" t="str">
        <f t="array" aca="1" ref="W69" ca="1">IFERROR(INDEX(Source!$A$1:$A$250,SMALL(IF(--(Source!$B$1:$B$250=$O69)*--(Source!$E$1:$E$250=$Q$3)*--(Source!$D$1:$D$250=Pyramid!$Q69),ROW(Source!$B$1:$B$250),FALSE),W$3)),"")</f>
        <v/>
      </c>
      <c r="X69" t="str">
        <f t="array" aca="1" ref="X69" ca="1">IFERROR(INDEX(Source!$A$1:$A$250,SMALL(IF(--(Source!$B$1:$B$250=$O69)*--(Source!$E$1:$E$250=$Q$3)*--(Source!$D$1:$D$250=Pyramid!$Q69),ROW(Source!$B$1:$B$250),FALSE),X$3)),"")</f>
        <v/>
      </c>
      <c r="Y69" s="5">
        <f t="shared" ref="Y69:Y132" ca="1" si="6">SUMPRODUCT(--(R69:X69&lt;&gt;""))-P69</f>
        <v>0</v>
      </c>
    </row>
    <row r="70" spans="3:25">
      <c r="C70">
        <v>66</v>
      </c>
      <c r="D70" s="5">
        <f t="shared" ca="1" si="4"/>
        <v>0</v>
      </c>
      <c r="E70" t="str">
        <f t="array" aca="1" ref="E70" ca="1">IFERROR(INDEX(Source!$A$1:$A$250,SMALL(IF(--(Source!$B$1:$B$250=$O70)*--(Source!$E$1:$E$250=$M$3)*--(Source!$D$1:$D$250=Pyramid!$M70),ROW(Source!$B$1:$B$250),FALSE),E$3)),"")</f>
        <v/>
      </c>
      <c r="F70" t="str">
        <f t="array" aca="1" ref="F70" ca="1">IFERROR(INDEX(Source!$A$1:$A$250,SMALL(IF(--(Source!$B$1:$B$250=$O70)*--(Source!$E$1:$E$250=$M$3)*--(Source!$D$1:$D$250=Pyramid!$M70),ROW(Source!$B$1:$B$250),FALSE),F$3)),"")</f>
        <v/>
      </c>
      <c r="G70" t="str">
        <f t="array" aca="1" ref="G70" ca="1">IFERROR(INDEX(Source!$A$1:$A$250,SMALL(IF(--(Source!$B$1:$B$250=$O70)*--(Source!$E$1:$E$250=$M$3)*--(Source!$D$1:$D$250=Pyramid!$M70),ROW(Source!$B$1:$B$250),FALSE),G$3)),"")</f>
        <v/>
      </c>
      <c r="H70" t="str">
        <f t="array" aca="1" ref="H70" ca="1">IFERROR(INDEX(Source!$A$1:$A$250,SMALL(IF(--(Source!$B$1:$B$250=$O70)*--(Source!$E$1:$E$250=$M$3)*--(Source!$D$1:$D$250=Pyramid!$M70),ROW(Source!$B$1:$B$250),FALSE),H$3)),"")</f>
        <v/>
      </c>
      <c r="I70" t="str">
        <f t="array" aca="1" ref="I70" ca="1">IFERROR(INDEX(Source!$A$1:$A$250,SMALL(IF(--(Source!$B$1:$B$250=$O70)*--(Source!$E$1:$E$250=$M$3)*--(Source!$D$1:$D$250=Pyramid!$M70),ROW(Source!$B$1:$B$250),FALSE),I$3)),"")</f>
        <v/>
      </c>
      <c r="J70" t="str">
        <f t="array" aca="1" ref="J70" ca="1">IFERROR(INDEX(Source!$A$1:$A$250,SMALL(IF(--(Source!$B$1:$B$250=$O70)*--(Source!$E$1:$E$250=$M$3)*--(Source!$D$1:$D$250=Pyramid!$M70),ROW(Source!$B$1:$B$250),FALSE),J$3)),"")</f>
        <v/>
      </c>
      <c r="K70" t="str">
        <f t="array" aca="1" ref="K70" ca="1">IFERROR(INDEX(Source!$A$1:$A$250,SMALL(IF(--(Source!$B$1:$B$250=$O70)*--(Source!$E$1:$E$250=$M$3)*--(Source!$D$1:$D$250=Pyramid!$M70),ROW(Source!$B$1:$B$250),FALSE),K$3)),"")</f>
        <v/>
      </c>
      <c r="L70" t="str">
        <f t="array" aca="1" ref="L70" ca="1">IFERROR(INDEX(Source!$A$1:$A$250,SMALL(IF(--(Source!$B$1:$B$250=$O70)*--(Source!$E$1:$E$250=$M$3)*--(Source!$D$1:$D$250=Pyramid!$M70),ROW(Source!$B$1:$B$250),FALSE),L$3)),"")</f>
        <v/>
      </c>
      <c r="M70" t="str">
        <f t="shared" si="5"/>
        <v>28/7/2016</v>
      </c>
      <c r="N70">
        <f ca="1">COUNTIFS(Source!B:B,Pyramid!$O70,Source!$D:$D,Pyramid!$M70,Source!$E:$E,Pyramid!$M$3)</f>
        <v>0</v>
      </c>
      <c r="O70">
        <f ca="1">OFFSET(Sheet2!$N$3,INT(C70/5),)</f>
        <v>18600</v>
      </c>
      <c r="P70">
        <f ca="1">COUNTIFS(Source!B:B,Pyramid!$O70,Source!D:D,Pyramid!$Q70,Source!$E:$E,Pyramid!$Q$3)</f>
        <v>0</v>
      </c>
      <c r="Q70" t="str">
        <f t="shared" si="5"/>
        <v>28/7/2016</v>
      </c>
      <c r="R70" t="str">
        <f t="array" aca="1" ref="R70" ca="1">IFERROR(INDEX(Source!$A$1:$A$250,SMALL(IF(--(Source!$B$1:$B$250=$O70)*--(Source!$E$1:$E$250=$Q$3)*--(Source!$D$1:$D$250=Pyramid!$Q70),ROW(Source!$B$1:$B$250),FALSE),R$3)),"")</f>
        <v/>
      </c>
      <c r="S70" t="str">
        <f t="array" aca="1" ref="S70" ca="1">IFERROR(INDEX(Source!$A$1:$A$250,SMALL(IF(--(Source!$B$1:$B$250=$O70)*--(Source!$E$1:$E$250=$Q$3)*--(Source!$D$1:$D$250=Pyramid!$Q70),ROW(Source!$B$1:$B$250),FALSE),S$3)),"")</f>
        <v/>
      </c>
      <c r="T70" t="str">
        <f t="array" aca="1" ref="T70" ca="1">IFERROR(INDEX(Source!$A$1:$A$250,SMALL(IF(--(Source!$B$1:$B$250=$O70)*--(Source!$E$1:$E$250=$Q$3)*--(Source!$D$1:$D$250=Pyramid!$Q70),ROW(Source!$B$1:$B$250),FALSE),T$3)),"")</f>
        <v/>
      </c>
      <c r="U70" t="str">
        <f t="array" aca="1" ref="U70" ca="1">IFERROR(INDEX(Source!$A$1:$A$250,SMALL(IF(--(Source!$B$1:$B$250=$O70)*--(Source!$E$1:$E$250=$Q$3)*--(Source!$D$1:$D$250=Pyramid!$Q70),ROW(Source!$B$1:$B$250),FALSE),U$3)),"")</f>
        <v/>
      </c>
      <c r="V70" t="str">
        <f t="array" aca="1" ref="V70" ca="1">IFERROR(INDEX(Source!$A$1:$A$250,SMALL(IF(--(Source!$B$1:$B$250=$O70)*--(Source!$E$1:$E$250=$Q$3)*--(Source!$D$1:$D$250=Pyramid!$Q70),ROW(Source!$B$1:$B$250),FALSE),V$3)),"")</f>
        <v/>
      </c>
      <c r="W70" t="str">
        <f t="array" aca="1" ref="W70" ca="1">IFERROR(INDEX(Source!$A$1:$A$250,SMALL(IF(--(Source!$B$1:$B$250=$O70)*--(Source!$E$1:$E$250=$Q$3)*--(Source!$D$1:$D$250=Pyramid!$Q70),ROW(Source!$B$1:$B$250),FALSE),W$3)),"")</f>
        <v/>
      </c>
      <c r="X70" t="str">
        <f t="array" aca="1" ref="X70" ca="1">IFERROR(INDEX(Source!$A$1:$A$250,SMALL(IF(--(Source!$B$1:$B$250=$O70)*--(Source!$E$1:$E$250=$Q$3)*--(Source!$D$1:$D$250=Pyramid!$Q70),ROW(Source!$B$1:$B$250),FALSE),X$3)),"")</f>
        <v/>
      </c>
      <c r="Y70" s="5">
        <f t="shared" ca="1" si="6"/>
        <v>0</v>
      </c>
    </row>
    <row r="71" spans="3:25">
      <c r="C71">
        <v>67</v>
      </c>
      <c r="D71" s="5">
        <f t="shared" ca="1" si="4"/>
        <v>0</v>
      </c>
      <c r="E71" t="str">
        <f t="array" aca="1" ref="E71" ca="1">IFERROR(INDEX(Source!$A$1:$A$250,SMALL(IF(--(Source!$B$1:$B$250=$O71)*--(Source!$E$1:$E$250=$M$3)*--(Source!$D$1:$D$250=Pyramid!$M71),ROW(Source!$B$1:$B$250),FALSE),E$3)),"")</f>
        <v/>
      </c>
      <c r="F71" t="str">
        <f t="array" aca="1" ref="F71" ca="1">IFERROR(INDEX(Source!$A$1:$A$250,SMALL(IF(--(Source!$B$1:$B$250=$O71)*--(Source!$E$1:$E$250=$M$3)*--(Source!$D$1:$D$250=Pyramid!$M71),ROW(Source!$B$1:$B$250),FALSE),F$3)),"")</f>
        <v/>
      </c>
      <c r="G71" t="str">
        <f t="array" aca="1" ref="G71" ca="1">IFERROR(INDEX(Source!$A$1:$A$250,SMALL(IF(--(Source!$B$1:$B$250=$O71)*--(Source!$E$1:$E$250=$M$3)*--(Source!$D$1:$D$250=Pyramid!$M71),ROW(Source!$B$1:$B$250),FALSE),G$3)),"")</f>
        <v/>
      </c>
      <c r="H71" t="str">
        <f t="array" aca="1" ref="H71" ca="1">IFERROR(INDEX(Source!$A$1:$A$250,SMALL(IF(--(Source!$B$1:$B$250=$O71)*--(Source!$E$1:$E$250=$M$3)*--(Source!$D$1:$D$250=Pyramid!$M71),ROW(Source!$B$1:$B$250),FALSE),H$3)),"")</f>
        <v/>
      </c>
      <c r="I71" t="str">
        <f t="array" aca="1" ref="I71" ca="1">IFERROR(INDEX(Source!$A$1:$A$250,SMALL(IF(--(Source!$B$1:$B$250=$O71)*--(Source!$E$1:$E$250=$M$3)*--(Source!$D$1:$D$250=Pyramid!$M71),ROW(Source!$B$1:$B$250),FALSE),I$3)),"")</f>
        <v/>
      </c>
      <c r="J71" t="str">
        <f t="array" aca="1" ref="J71" ca="1">IFERROR(INDEX(Source!$A$1:$A$250,SMALL(IF(--(Source!$B$1:$B$250=$O71)*--(Source!$E$1:$E$250=$M$3)*--(Source!$D$1:$D$250=Pyramid!$M71),ROW(Source!$B$1:$B$250),FALSE),J$3)),"")</f>
        <v/>
      </c>
      <c r="K71" t="str">
        <f t="array" aca="1" ref="K71" ca="1">IFERROR(INDEX(Source!$A$1:$A$250,SMALL(IF(--(Source!$B$1:$B$250=$O71)*--(Source!$E$1:$E$250=$M$3)*--(Source!$D$1:$D$250=Pyramid!$M71),ROW(Source!$B$1:$B$250),FALSE),K$3)),"")</f>
        <v>25902 HK Equity</v>
      </c>
      <c r="L71" t="str">
        <f t="array" aca="1" ref="L71" ca="1">IFERROR(INDEX(Source!$A$1:$A$250,SMALL(IF(--(Source!$B$1:$B$250=$O71)*--(Source!$E$1:$E$250=$M$3)*--(Source!$D$1:$D$250=Pyramid!$M71),ROW(Source!$B$1:$B$250),FALSE),L$3)),"")</f>
        <v>26319 HK Equity</v>
      </c>
      <c r="M71" t="str">
        <f t="shared" si="5"/>
        <v>30/8/2016</v>
      </c>
      <c r="N71">
        <f ca="1">COUNTIFS(Source!B:B,Pyramid!$O71,Source!$D:$D,Pyramid!$M71,Source!$E:$E,Pyramid!$M$3)</f>
        <v>2</v>
      </c>
      <c r="O71">
        <f ca="1">OFFSET(Sheet2!$N$3,INT(C71/5),)</f>
        <v>18600</v>
      </c>
      <c r="P71">
        <f ca="1">COUNTIFS(Source!B:B,Pyramid!$O71,Source!D:D,Pyramid!$Q71,Source!$E:$E,Pyramid!$Q$3)</f>
        <v>0</v>
      </c>
      <c r="Q71" t="str">
        <f t="shared" si="5"/>
        <v>30/8/2016</v>
      </c>
      <c r="R71" t="str">
        <f t="array" aca="1" ref="R71" ca="1">IFERROR(INDEX(Source!$A$1:$A$250,SMALL(IF(--(Source!$B$1:$B$250=$O71)*--(Source!$E$1:$E$250=$Q$3)*--(Source!$D$1:$D$250=Pyramid!$Q71),ROW(Source!$B$1:$B$250),FALSE),R$3)),"")</f>
        <v/>
      </c>
      <c r="S71" t="str">
        <f t="array" aca="1" ref="S71" ca="1">IFERROR(INDEX(Source!$A$1:$A$250,SMALL(IF(--(Source!$B$1:$B$250=$O71)*--(Source!$E$1:$E$250=$Q$3)*--(Source!$D$1:$D$250=Pyramid!$Q71),ROW(Source!$B$1:$B$250),FALSE),S$3)),"")</f>
        <v/>
      </c>
      <c r="T71" t="str">
        <f t="array" aca="1" ref="T71" ca="1">IFERROR(INDEX(Source!$A$1:$A$250,SMALL(IF(--(Source!$B$1:$B$250=$O71)*--(Source!$E$1:$E$250=$Q$3)*--(Source!$D$1:$D$250=Pyramid!$Q71),ROW(Source!$B$1:$B$250),FALSE),T$3)),"")</f>
        <v/>
      </c>
      <c r="U71" t="str">
        <f t="array" aca="1" ref="U71" ca="1">IFERROR(INDEX(Source!$A$1:$A$250,SMALL(IF(--(Source!$B$1:$B$250=$O71)*--(Source!$E$1:$E$250=$Q$3)*--(Source!$D$1:$D$250=Pyramid!$Q71),ROW(Source!$B$1:$B$250),FALSE),U$3)),"")</f>
        <v/>
      </c>
      <c r="V71" t="str">
        <f t="array" aca="1" ref="V71" ca="1">IFERROR(INDEX(Source!$A$1:$A$250,SMALL(IF(--(Source!$B$1:$B$250=$O71)*--(Source!$E$1:$E$250=$Q$3)*--(Source!$D$1:$D$250=Pyramid!$Q71),ROW(Source!$B$1:$B$250),FALSE),V$3)),"")</f>
        <v/>
      </c>
      <c r="W71" t="str">
        <f t="array" aca="1" ref="W71" ca="1">IFERROR(INDEX(Source!$A$1:$A$250,SMALL(IF(--(Source!$B$1:$B$250=$O71)*--(Source!$E$1:$E$250=$Q$3)*--(Source!$D$1:$D$250=Pyramid!$Q71),ROW(Source!$B$1:$B$250),FALSE),W$3)),"")</f>
        <v/>
      </c>
      <c r="X71" t="str">
        <f t="array" aca="1" ref="X71" ca="1">IFERROR(INDEX(Source!$A$1:$A$250,SMALL(IF(--(Source!$B$1:$B$250=$O71)*--(Source!$E$1:$E$250=$Q$3)*--(Source!$D$1:$D$250=Pyramid!$Q71),ROW(Source!$B$1:$B$250),FALSE),X$3)),"")</f>
        <v/>
      </c>
      <c r="Y71" s="5">
        <f t="shared" ca="1" si="6"/>
        <v>0</v>
      </c>
    </row>
    <row r="72" spans="3:25">
      <c r="C72">
        <v>68</v>
      </c>
      <c r="D72" s="5">
        <f t="shared" ca="1" si="4"/>
        <v>0</v>
      </c>
      <c r="E72" t="str">
        <f t="array" aca="1" ref="E72" ca="1">IFERROR(INDEX(Source!$A$1:$A$250,SMALL(IF(--(Source!$B$1:$B$250=$O72)*--(Source!$E$1:$E$250=$M$3)*--(Source!$D$1:$D$250=Pyramid!$M72),ROW(Source!$B$1:$B$250),FALSE),E$3)),"")</f>
        <v/>
      </c>
      <c r="F72" t="str">
        <f t="array" aca="1" ref="F72" ca="1">IFERROR(INDEX(Source!$A$1:$A$250,SMALL(IF(--(Source!$B$1:$B$250=$O72)*--(Source!$E$1:$E$250=$M$3)*--(Source!$D$1:$D$250=Pyramid!$M72),ROW(Source!$B$1:$B$250),FALSE),F$3)),"")</f>
        <v/>
      </c>
      <c r="G72" t="str">
        <f t="array" aca="1" ref="G72" ca="1">IFERROR(INDEX(Source!$A$1:$A$250,SMALL(IF(--(Source!$B$1:$B$250=$O72)*--(Source!$E$1:$E$250=$M$3)*--(Source!$D$1:$D$250=Pyramid!$M72),ROW(Source!$B$1:$B$250),FALSE),G$3)),"")</f>
        <v/>
      </c>
      <c r="H72" t="str">
        <f t="array" aca="1" ref="H72" ca="1">IFERROR(INDEX(Source!$A$1:$A$250,SMALL(IF(--(Source!$B$1:$B$250=$O72)*--(Source!$E$1:$E$250=$M$3)*--(Source!$D$1:$D$250=Pyramid!$M72),ROW(Source!$B$1:$B$250),FALSE),H$3)),"")</f>
        <v/>
      </c>
      <c r="I72" t="str">
        <f t="array" aca="1" ref="I72" ca="1">IFERROR(INDEX(Source!$A$1:$A$250,SMALL(IF(--(Source!$B$1:$B$250=$O72)*--(Source!$E$1:$E$250=$M$3)*--(Source!$D$1:$D$250=Pyramid!$M72),ROW(Source!$B$1:$B$250),FALSE),I$3)),"")</f>
        <v/>
      </c>
      <c r="J72" t="str">
        <f t="array" aca="1" ref="J72" ca="1">IFERROR(INDEX(Source!$A$1:$A$250,SMALL(IF(--(Source!$B$1:$B$250=$O72)*--(Source!$E$1:$E$250=$M$3)*--(Source!$D$1:$D$250=Pyramid!$M72),ROW(Source!$B$1:$B$250),FALSE),J$3)),"")</f>
        <v/>
      </c>
      <c r="K72" t="str">
        <f t="array" aca="1" ref="K72" ca="1">IFERROR(INDEX(Source!$A$1:$A$250,SMALL(IF(--(Source!$B$1:$B$250=$O72)*--(Source!$E$1:$E$250=$M$3)*--(Source!$D$1:$D$250=Pyramid!$M72),ROW(Source!$B$1:$B$250),FALSE),K$3)),"")</f>
        <v/>
      </c>
      <c r="L72" t="str">
        <f t="array" aca="1" ref="L72" ca="1">IFERROR(INDEX(Source!$A$1:$A$250,SMALL(IF(--(Source!$B$1:$B$250=$O72)*--(Source!$E$1:$E$250=$M$3)*--(Source!$D$1:$D$250=Pyramid!$M72),ROW(Source!$B$1:$B$250),FALSE),L$3)),"")</f>
        <v/>
      </c>
      <c r="M72" t="str">
        <f t="shared" si="5"/>
        <v>29/9/2016</v>
      </c>
      <c r="N72">
        <f ca="1">COUNTIFS(Source!B:B,Pyramid!$O72,Source!$D:$D,Pyramid!$M72,Source!$E:$E,Pyramid!$M$3)</f>
        <v>0</v>
      </c>
      <c r="O72">
        <f ca="1">OFFSET(Sheet2!$N$3,INT(C72/5),)</f>
        <v>18600</v>
      </c>
      <c r="P72">
        <f ca="1">COUNTIFS(Source!B:B,Pyramid!$O72,Source!D:D,Pyramid!$Q72,Source!$E:$E,Pyramid!$Q$3)</f>
        <v>0</v>
      </c>
      <c r="Q72" t="str">
        <f t="shared" si="5"/>
        <v>29/9/2016</v>
      </c>
      <c r="R72" t="str">
        <f t="array" aca="1" ref="R72" ca="1">IFERROR(INDEX(Source!$A$1:$A$250,SMALL(IF(--(Source!$B$1:$B$250=$O72)*--(Source!$E$1:$E$250=$Q$3)*--(Source!$D$1:$D$250=Pyramid!$Q72),ROW(Source!$B$1:$B$250),FALSE),R$3)),"")</f>
        <v/>
      </c>
      <c r="S72" t="str">
        <f t="array" aca="1" ref="S72" ca="1">IFERROR(INDEX(Source!$A$1:$A$250,SMALL(IF(--(Source!$B$1:$B$250=$O72)*--(Source!$E$1:$E$250=$Q$3)*--(Source!$D$1:$D$250=Pyramid!$Q72),ROW(Source!$B$1:$B$250),FALSE),S$3)),"")</f>
        <v/>
      </c>
      <c r="T72" t="str">
        <f t="array" aca="1" ref="T72" ca="1">IFERROR(INDEX(Source!$A$1:$A$250,SMALL(IF(--(Source!$B$1:$B$250=$O72)*--(Source!$E$1:$E$250=$Q$3)*--(Source!$D$1:$D$250=Pyramid!$Q72),ROW(Source!$B$1:$B$250),FALSE),T$3)),"")</f>
        <v/>
      </c>
      <c r="U72" t="str">
        <f t="array" aca="1" ref="U72" ca="1">IFERROR(INDEX(Source!$A$1:$A$250,SMALL(IF(--(Source!$B$1:$B$250=$O72)*--(Source!$E$1:$E$250=$Q$3)*--(Source!$D$1:$D$250=Pyramid!$Q72),ROW(Source!$B$1:$B$250),FALSE),U$3)),"")</f>
        <v/>
      </c>
      <c r="V72" t="str">
        <f t="array" aca="1" ref="V72" ca="1">IFERROR(INDEX(Source!$A$1:$A$250,SMALL(IF(--(Source!$B$1:$B$250=$O72)*--(Source!$E$1:$E$250=$Q$3)*--(Source!$D$1:$D$250=Pyramid!$Q72),ROW(Source!$B$1:$B$250),FALSE),V$3)),"")</f>
        <v/>
      </c>
      <c r="W72" t="str">
        <f t="array" aca="1" ref="W72" ca="1">IFERROR(INDEX(Source!$A$1:$A$250,SMALL(IF(--(Source!$B$1:$B$250=$O72)*--(Source!$E$1:$E$250=$Q$3)*--(Source!$D$1:$D$250=Pyramid!$Q72),ROW(Source!$B$1:$B$250),FALSE),W$3)),"")</f>
        <v/>
      </c>
      <c r="X72" t="str">
        <f t="array" aca="1" ref="X72" ca="1">IFERROR(INDEX(Source!$A$1:$A$250,SMALL(IF(--(Source!$B$1:$B$250=$O72)*--(Source!$E$1:$E$250=$Q$3)*--(Source!$D$1:$D$250=Pyramid!$Q72),ROW(Source!$B$1:$B$250),FALSE),X$3)),"")</f>
        <v/>
      </c>
      <c r="Y72" s="5">
        <f t="shared" ca="1" si="6"/>
        <v>0</v>
      </c>
    </row>
    <row r="73" spans="3:25">
      <c r="C73">
        <v>69</v>
      </c>
      <c r="D73" s="5">
        <f t="shared" ca="1" si="4"/>
        <v>0</v>
      </c>
      <c r="E73" t="str">
        <f t="array" aca="1" ref="E73" ca="1">IFERROR(INDEX(Source!$A$1:$A$250,SMALL(IF(--(Source!$B$1:$B$250=$O73)*--(Source!$E$1:$E$250=$M$3)*--(Source!$D$1:$D$250=Pyramid!$M73),ROW(Source!$B$1:$B$250),FALSE),E$3)),"")</f>
        <v/>
      </c>
      <c r="F73" t="str">
        <f t="array" aca="1" ref="F73" ca="1">IFERROR(INDEX(Source!$A$1:$A$250,SMALL(IF(--(Source!$B$1:$B$250=$O73)*--(Source!$E$1:$E$250=$M$3)*--(Source!$D$1:$D$250=Pyramid!$M73),ROW(Source!$B$1:$B$250),FALSE),F$3)),"")</f>
        <v/>
      </c>
      <c r="G73" t="str">
        <f t="array" aca="1" ref="G73" ca="1">IFERROR(INDEX(Source!$A$1:$A$250,SMALL(IF(--(Source!$B$1:$B$250=$O73)*--(Source!$E$1:$E$250=$M$3)*--(Source!$D$1:$D$250=Pyramid!$M73),ROW(Source!$B$1:$B$250),FALSE),G$3)),"")</f>
        <v/>
      </c>
      <c r="H73" t="str">
        <f t="array" aca="1" ref="H73" ca="1">IFERROR(INDEX(Source!$A$1:$A$250,SMALL(IF(--(Source!$B$1:$B$250=$O73)*--(Source!$E$1:$E$250=$M$3)*--(Source!$D$1:$D$250=Pyramid!$M73),ROW(Source!$B$1:$B$250),FALSE),H$3)),"")</f>
        <v/>
      </c>
      <c r="I73" t="str">
        <f t="array" aca="1" ref="I73" ca="1">IFERROR(INDEX(Source!$A$1:$A$250,SMALL(IF(--(Source!$B$1:$B$250=$O73)*--(Source!$E$1:$E$250=$M$3)*--(Source!$D$1:$D$250=Pyramid!$M73),ROW(Source!$B$1:$B$250),FALSE),I$3)),"")</f>
        <v/>
      </c>
      <c r="J73" t="str">
        <f t="array" aca="1" ref="J73" ca="1">IFERROR(INDEX(Source!$A$1:$A$250,SMALL(IF(--(Source!$B$1:$B$250=$O73)*--(Source!$E$1:$E$250=$M$3)*--(Source!$D$1:$D$250=Pyramid!$M73),ROW(Source!$B$1:$B$250),FALSE),J$3)),"")</f>
        <v/>
      </c>
      <c r="K73" t="str">
        <f t="array" aca="1" ref="K73" ca="1">IFERROR(INDEX(Source!$A$1:$A$250,SMALL(IF(--(Source!$B$1:$B$250=$O73)*--(Source!$E$1:$E$250=$M$3)*--(Source!$D$1:$D$250=Pyramid!$M73),ROW(Source!$B$1:$B$250),FALSE),K$3)),"")</f>
        <v/>
      </c>
      <c r="L73" t="str">
        <f t="array" aca="1" ref="L73" ca="1">IFERROR(INDEX(Source!$A$1:$A$250,SMALL(IF(--(Source!$B$1:$B$250=$O73)*--(Source!$E$1:$E$250=$M$3)*--(Source!$D$1:$D$250=Pyramid!$M73),ROW(Source!$B$1:$B$250),FALSE),L$3)),"")</f>
        <v/>
      </c>
      <c r="M73" t="str">
        <f t="shared" si="5"/>
        <v>28/10/2016</v>
      </c>
      <c r="N73">
        <f ca="1">COUNTIFS(Source!B:B,Pyramid!$O73,Source!$D:$D,Pyramid!$M73,Source!$E:$E,Pyramid!$M$3)</f>
        <v>0</v>
      </c>
      <c r="O73">
        <f ca="1">OFFSET(Sheet2!$N$3,INT(C73/5),)</f>
        <v>18600</v>
      </c>
      <c r="P73">
        <f ca="1">COUNTIFS(Source!B:B,Pyramid!$O73,Source!D:D,Pyramid!$Q73,Source!$E:$E,Pyramid!$Q$3)</f>
        <v>0</v>
      </c>
      <c r="Q73" t="str">
        <f t="shared" si="5"/>
        <v>28/10/2016</v>
      </c>
      <c r="R73" t="str">
        <f t="array" aca="1" ref="R73" ca="1">IFERROR(INDEX(Source!$A$1:$A$250,SMALL(IF(--(Source!$B$1:$B$250=$O73)*--(Source!$E$1:$E$250=$Q$3)*--(Source!$D$1:$D$250=Pyramid!$Q73),ROW(Source!$B$1:$B$250),FALSE),R$3)),"")</f>
        <v/>
      </c>
      <c r="S73" t="str">
        <f t="array" aca="1" ref="S73" ca="1">IFERROR(INDEX(Source!$A$1:$A$250,SMALL(IF(--(Source!$B$1:$B$250=$O73)*--(Source!$E$1:$E$250=$Q$3)*--(Source!$D$1:$D$250=Pyramid!$Q73),ROW(Source!$B$1:$B$250),FALSE),S$3)),"")</f>
        <v/>
      </c>
      <c r="T73" t="str">
        <f t="array" aca="1" ref="T73" ca="1">IFERROR(INDEX(Source!$A$1:$A$250,SMALL(IF(--(Source!$B$1:$B$250=$O73)*--(Source!$E$1:$E$250=$Q$3)*--(Source!$D$1:$D$250=Pyramid!$Q73),ROW(Source!$B$1:$B$250),FALSE),T$3)),"")</f>
        <v/>
      </c>
      <c r="U73" t="str">
        <f t="array" aca="1" ref="U73" ca="1">IFERROR(INDEX(Source!$A$1:$A$250,SMALL(IF(--(Source!$B$1:$B$250=$O73)*--(Source!$E$1:$E$250=$Q$3)*--(Source!$D$1:$D$250=Pyramid!$Q73),ROW(Source!$B$1:$B$250),FALSE),U$3)),"")</f>
        <v/>
      </c>
      <c r="V73" t="str">
        <f t="array" aca="1" ref="V73" ca="1">IFERROR(INDEX(Source!$A$1:$A$250,SMALL(IF(--(Source!$B$1:$B$250=$O73)*--(Source!$E$1:$E$250=$Q$3)*--(Source!$D$1:$D$250=Pyramid!$Q73),ROW(Source!$B$1:$B$250),FALSE),V$3)),"")</f>
        <v/>
      </c>
      <c r="W73" t="str">
        <f t="array" aca="1" ref="W73" ca="1">IFERROR(INDEX(Source!$A$1:$A$250,SMALL(IF(--(Source!$B$1:$B$250=$O73)*--(Source!$E$1:$E$250=$Q$3)*--(Source!$D$1:$D$250=Pyramid!$Q73),ROW(Source!$B$1:$B$250),FALSE),W$3)),"")</f>
        <v/>
      </c>
      <c r="X73" t="str">
        <f t="array" aca="1" ref="X73" ca="1">IFERROR(INDEX(Source!$A$1:$A$250,SMALL(IF(--(Source!$B$1:$B$250=$O73)*--(Source!$E$1:$E$250=$Q$3)*--(Source!$D$1:$D$250=Pyramid!$Q73),ROW(Source!$B$1:$B$250),FALSE),X$3)),"")</f>
        <v/>
      </c>
      <c r="Y73" s="5">
        <f t="shared" ca="1" si="6"/>
        <v>0</v>
      </c>
    </row>
    <row r="74" spans="3:25">
      <c r="C74">
        <v>70</v>
      </c>
      <c r="D74" s="5">
        <f t="shared" ca="1" si="4"/>
        <v>0</v>
      </c>
      <c r="E74" t="str">
        <f t="array" aca="1" ref="E74" ca="1">IFERROR(INDEX(Source!$A$1:$A$250,SMALL(IF(--(Source!$B$1:$B$250=$O74)*--(Source!$E$1:$E$250=$M$3)*--(Source!$D$1:$D$250=Pyramid!$M74),ROW(Source!$B$1:$B$250),FALSE),E$3)),"")</f>
        <v/>
      </c>
      <c r="F74" t="str">
        <f t="array" aca="1" ref="F74" ca="1">IFERROR(INDEX(Source!$A$1:$A$250,SMALL(IF(--(Source!$B$1:$B$250=$O74)*--(Source!$E$1:$E$250=$M$3)*--(Source!$D$1:$D$250=Pyramid!$M74),ROW(Source!$B$1:$B$250),FALSE),F$3)),"")</f>
        <v/>
      </c>
      <c r="G74" t="str">
        <f t="array" aca="1" ref="G74" ca="1">IFERROR(INDEX(Source!$A$1:$A$250,SMALL(IF(--(Source!$B$1:$B$250=$O74)*--(Source!$E$1:$E$250=$M$3)*--(Source!$D$1:$D$250=Pyramid!$M74),ROW(Source!$B$1:$B$250),FALSE),G$3)),"")</f>
        <v/>
      </c>
      <c r="H74" t="str">
        <f t="array" aca="1" ref="H74" ca="1">IFERROR(INDEX(Source!$A$1:$A$250,SMALL(IF(--(Source!$B$1:$B$250=$O74)*--(Source!$E$1:$E$250=$M$3)*--(Source!$D$1:$D$250=Pyramid!$M74),ROW(Source!$B$1:$B$250),FALSE),H$3)),"")</f>
        <v/>
      </c>
      <c r="I74" t="str">
        <f t="array" aca="1" ref="I74" ca="1">IFERROR(INDEX(Source!$A$1:$A$250,SMALL(IF(--(Source!$B$1:$B$250=$O74)*--(Source!$E$1:$E$250=$M$3)*--(Source!$D$1:$D$250=Pyramid!$M74),ROW(Source!$B$1:$B$250),FALSE),I$3)),"")</f>
        <v/>
      </c>
      <c r="J74" t="str">
        <f t="array" aca="1" ref="J74" ca="1">IFERROR(INDEX(Source!$A$1:$A$250,SMALL(IF(--(Source!$B$1:$B$250=$O74)*--(Source!$E$1:$E$250=$M$3)*--(Source!$D$1:$D$250=Pyramid!$M74),ROW(Source!$B$1:$B$250),FALSE),J$3)),"")</f>
        <v/>
      </c>
      <c r="K74" t="str">
        <f t="array" aca="1" ref="K74" ca="1">IFERROR(INDEX(Source!$A$1:$A$250,SMALL(IF(--(Source!$B$1:$B$250=$O74)*--(Source!$E$1:$E$250=$M$3)*--(Source!$D$1:$D$250=Pyramid!$M74),ROW(Source!$B$1:$B$250),FALSE),K$3)),"")</f>
        <v/>
      </c>
      <c r="L74" t="str">
        <f t="array" aca="1" ref="L74" ca="1">IFERROR(INDEX(Source!$A$1:$A$250,SMALL(IF(--(Source!$B$1:$B$250=$O74)*--(Source!$E$1:$E$250=$M$3)*--(Source!$D$1:$D$250=Pyramid!$M74),ROW(Source!$B$1:$B$250),FALSE),L$3)),"")</f>
        <v/>
      </c>
      <c r="M74" t="str">
        <f t="shared" si="5"/>
        <v>29/6/2016</v>
      </c>
      <c r="N74">
        <f ca="1">COUNTIFS(Source!B:B,Pyramid!$O74,Source!$D:$D,Pyramid!$M74,Source!$E:$E,Pyramid!$M$3)</f>
        <v>0</v>
      </c>
      <c r="O74">
        <f ca="1">OFFSET(Sheet2!$N$3,INT(C74/5),)</f>
        <v>18708</v>
      </c>
      <c r="P74">
        <f ca="1">COUNTIFS(Source!B:B,Pyramid!$O74,Source!D:D,Pyramid!$Q74,Source!$E:$E,Pyramid!$Q$3)</f>
        <v>0</v>
      </c>
      <c r="Q74" t="str">
        <f t="shared" si="5"/>
        <v>29/6/2016</v>
      </c>
      <c r="R74" t="str">
        <f t="array" aca="1" ref="R74" ca="1">IFERROR(INDEX(Source!$A$1:$A$250,SMALL(IF(--(Source!$B$1:$B$250=$O74)*--(Source!$E$1:$E$250=$Q$3)*--(Source!$D$1:$D$250=Pyramid!$Q74),ROW(Source!$B$1:$B$250),FALSE),R$3)),"")</f>
        <v/>
      </c>
      <c r="S74" t="str">
        <f t="array" aca="1" ref="S74" ca="1">IFERROR(INDEX(Source!$A$1:$A$250,SMALL(IF(--(Source!$B$1:$B$250=$O74)*--(Source!$E$1:$E$250=$Q$3)*--(Source!$D$1:$D$250=Pyramid!$Q74),ROW(Source!$B$1:$B$250),FALSE),S$3)),"")</f>
        <v/>
      </c>
      <c r="T74" t="str">
        <f t="array" aca="1" ref="T74" ca="1">IFERROR(INDEX(Source!$A$1:$A$250,SMALL(IF(--(Source!$B$1:$B$250=$O74)*--(Source!$E$1:$E$250=$Q$3)*--(Source!$D$1:$D$250=Pyramid!$Q74),ROW(Source!$B$1:$B$250),FALSE),T$3)),"")</f>
        <v/>
      </c>
      <c r="U74" t="str">
        <f t="array" aca="1" ref="U74" ca="1">IFERROR(INDEX(Source!$A$1:$A$250,SMALL(IF(--(Source!$B$1:$B$250=$O74)*--(Source!$E$1:$E$250=$Q$3)*--(Source!$D$1:$D$250=Pyramid!$Q74),ROW(Source!$B$1:$B$250),FALSE),U$3)),"")</f>
        <v/>
      </c>
      <c r="V74" t="str">
        <f t="array" aca="1" ref="V74" ca="1">IFERROR(INDEX(Source!$A$1:$A$250,SMALL(IF(--(Source!$B$1:$B$250=$O74)*--(Source!$E$1:$E$250=$Q$3)*--(Source!$D$1:$D$250=Pyramid!$Q74),ROW(Source!$B$1:$B$250),FALSE),V$3)),"")</f>
        <v/>
      </c>
      <c r="W74" t="str">
        <f t="array" aca="1" ref="W74" ca="1">IFERROR(INDEX(Source!$A$1:$A$250,SMALL(IF(--(Source!$B$1:$B$250=$O74)*--(Source!$E$1:$E$250=$Q$3)*--(Source!$D$1:$D$250=Pyramid!$Q74),ROW(Source!$B$1:$B$250),FALSE),W$3)),"")</f>
        <v/>
      </c>
      <c r="X74" t="str">
        <f t="array" aca="1" ref="X74" ca="1">IFERROR(INDEX(Source!$A$1:$A$250,SMALL(IF(--(Source!$B$1:$B$250=$O74)*--(Source!$E$1:$E$250=$Q$3)*--(Source!$D$1:$D$250=Pyramid!$Q74),ROW(Source!$B$1:$B$250),FALSE),X$3)),"")</f>
        <v/>
      </c>
      <c r="Y74" s="5">
        <f t="shared" ca="1" si="6"/>
        <v>0</v>
      </c>
    </row>
    <row r="75" spans="3:25">
      <c r="C75">
        <v>71</v>
      </c>
      <c r="D75" s="5">
        <f t="shared" ca="1" si="4"/>
        <v>0</v>
      </c>
      <c r="E75" t="str">
        <f t="array" aca="1" ref="E75" ca="1">IFERROR(INDEX(Source!$A$1:$A$250,SMALL(IF(--(Source!$B$1:$B$250=$O75)*--(Source!$E$1:$E$250=$M$3)*--(Source!$D$1:$D$250=Pyramid!$M75),ROW(Source!$B$1:$B$250),FALSE),E$3)),"")</f>
        <v/>
      </c>
      <c r="F75" t="str">
        <f t="array" aca="1" ref="F75" ca="1">IFERROR(INDEX(Source!$A$1:$A$250,SMALL(IF(--(Source!$B$1:$B$250=$O75)*--(Source!$E$1:$E$250=$M$3)*--(Source!$D$1:$D$250=Pyramid!$M75),ROW(Source!$B$1:$B$250),FALSE),F$3)),"")</f>
        <v/>
      </c>
      <c r="G75" t="str">
        <f t="array" aca="1" ref="G75" ca="1">IFERROR(INDEX(Source!$A$1:$A$250,SMALL(IF(--(Source!$B$1:$B$250=$O75)*--(Source!$E$1:$E$250=$M$3)*--(Source!$D$1:$D$250=Pyramid!$M75),ROW(Source!$B$1:$B$250),FALSE),G$3)),"")</f>
        <v/>
      </c>
      <c r="H75" t="str">
        <f t="array" aca="1" ref="H75" ca="1">IFERROR(INDEX(Source!$A$1:$A$250,SMALL(IF(--(Source!$B$1:$B$250=$O75)*--(Source!$E$1:$E$250=$M$3)*--(Source!$D$1:$D$250=Pyramid!$M75),ROW(Source!$B$1:$B$250),FALSE),H$3)),"")</f>
        <v/>
      </c>
      <c r="I75" t="str">
        <f t="array" aca="1" ref="I75" ca="1">IFERROR(INDEX(Source!$A$1:$A$250,SMALL(IF(--(Source!$B$1:$B$250=$O75)*--(Source!$E$1:$E$250=$M$3)*--(Source!$D$1:$D$250=Pyramid!$M75),ROW(Source!$B$1:$B$250),FALSE),I$3)),"")</f>
        <v/>
      </c>
      <c r="J75" t="str">
        <f t="array" aca="1" ref="J75" ca="1">IFERROR(INDEX(Source!$A$1:$A$250,SMALL(IF(--(Source!$B$1:$B$250=$O75)*--(Source!$E$1:$E$250=$M$3)*--(Source!$D$1:$D$250=Pyramid!$M75),ROW(Source!$B$1:$B$250),FALSE),J$3)),"")</f>
        <v/>
      </c>
      <c r="K75" t="str">
        <f t="array" aca="1" ref="K75" ca="1">IFERROR(INDEX(Source!$A$1:$A$250,SMALL(IF(--(Source!$B$1:$B$250=$O75)*--(Source!$E$1:$E$250=$M$3)*--(Source!$D$1:$D$250=Pyramid!$M75),ROW(Source!$B$1:$B$250),FALSE),K$3)),"")</f>
        <v/>
      </c>
      <c r="L75" t="str">
        <f t="array" aca="1" ref="L75" ca="1">IFERROR(INDEX(Source!$A$1:$A$250,SMALL(IF(--(Source!$B$1:$B$250=$O75)*--(Source!$E$1:$E$250=$M$3)*--(Source!$D$1:$D$250=Pyramid!$M75),ROW(Source!$B$1:$B$250),FALSE),L$3)),"")</f>
        <v/>
      </c>
      <c r="M75" t="str">
        <f t="shared" si="5"/>
        <v>28/7/2016</v>
      </c>
      <c r="N75">
        <f ca="1">COUNTIFS(Source!B:B,Pyramid!$O75,Source!$D:$D,Pyramid!$M75,Source!$E:$E,Pyramid!$M$3)</f>
        <v>0</v>
      </c>
      <c r="O75">
        <f ca="1">OFFSET(Sheet2!$N$3,INT(C75/5),)</f>
        <v>18708</v>
      </c>
      <c r="P75">
        <f ca="1">COUNTIFS(Source!B:B,Pyramid!$O75,Source!D:D,Pyramid!$Q75,Source!$E:$E,Pyramid!$Q$3)</f>
        <v>0</v>
      </c>
      <c r="Q75" t="str">
        <f t="shared" si="5"/>
        <v>28/7/2016</v>
      </c>
      <c r="R75" t="str">
        <f t="array" aca="1" ref="R75" ca="1">IFERROR(INDEX(Source!$A$1:$A$250,SMALL(IF(--(Source!$B$1:$B$250=$O75)*--(Source!$E$1:$E$250=$Q$3)*--(Source!$D$1:$D$250=Pyramid!$Q75),ROW(Source!$B$1:$B$250),FALSE),R$3)),"")</f>
        <v/>
      </c>
      <c r="S75" t="str">
        <f t="array" aca="1" ref="S75" ca="1">IFERROR(INDEX(Source!$A$1:$A$250,SMALL(IF(--(Source!$B$1:$B$250=$O75)*--(Source!$E$1:$E$250=$Q$3)*--(Source!$D$1:$D$250=Pyramid!$Q75),ROW(Source!$B$1:$B$250),FALSE),S$3)),"")</f>
        <v/>
      </c>
      <c r="T75" t="str">
        <f t="array" aca="1" ref="T75" ca="1">IFERROR(INDEX(Source!$A$1:$A$250,SMALL(IF(--(Source!$B$1:$B$250=$O75)*--(Source!$E$1:$E$250=$Q$3)*--(Source!$D$1:$D$250=Pyramid!$Q75),ROW(Source!$B$1:$B$250),FALSE),T$3)),"")</f>
        <v/>
      </c>
      <c r="U75" t="str">
        <f t="array" aca="1" ref="U75" ca="1">IFERROR(INDEX(Source!$A$1:$A$250,SMALL(IF(--(Source!$B$1:$B$250=$O75)*--(Source!$E$1:$E$250=$Q$3)*--(Source!$D$1:$D$250=Pyramid!$Q75),ROW(Source!$B$1:$B$250),FALSE),U$3)),"")</f>
        <v/>
      </c>
      <c r="V75" t="str">
        <f t="array" aca="1" ref="V75" ca="1">IFERROR(INDEX(Source!$A$1:$A$250,SMALL(IF(--(Source!$B$1:$B$250=$O75)*--(Source!$E$1:$E$250=$Q$3)*--(Source!$D$1:$D$250=Pyramid!$Q75),ROW(Source!$B$1:$B$250),FALSE),V$3)),"")</f>
        <v/>
      </c>
      <c r="W75" t="str">
        <f t="array" aca="1" ref="W75" ca="1">IFERROR(INDEX(Source!$A$1:$A$250,SMALL(IF(--(Source!$B$1:$B$250=$O75)*--(Source!$E$1:$E$250=$Q$3)*--(Source!$D$1:$D$250=Pyramid!$Q75),ROW(Source!$B$1:$B$250),FALSE),W$3)),"")</f>
        <v/>
      </c>
      <c r="X75" t="str">
        <f t="array" aca="1" ref="X75" ca="1">IFERROR(INDEX(Source!$A$1:$A$250,SMALL(IF(--(Source!$B$1:$B$250=$O75)*--(Source!$E$1:$E$250=$Q$3)*--(Source!$D$1:$D$250=Pyramid!$Q75),ROW(Source!$B$1:$B$250),FALSE),X$3)),"")</f>
        <v/>
      </c>
      <c r="Y75" s="5">
        <f t="shared" ca="1" si="6"/>
        <v>0</v>
      </c>
    </row>
    <row r="76" spans="3:25">
      <c r="C76">
        <v>72</v>
      </c>
      <c r="D76" s="5">
        <f t="shared" ca="1" si="4"/>
        <v>0</v>
      </c>
      <c r="E76" t="str">
        <f t="array" aca="1" ref="E76" ca="1">IFERROR(INDEX(Source!$A$1:$A$250,SMALL(IF(--(Source!$B$1:$B$250=$O76)*--(Source!$E$1:$E$250=$M$3)*--(Source!$D$1:$D$250=Pyramid!$M76),ROW(Source!$B$1:$B$250),FALSE),E$3)),"")</f>
        <v/>
      </c>
      <c r="F76" t="str">
        <f t="array" aca="1" ref="F76" ca="1">IFERROR(INDEX(Source!$A$1:$A$250,SMALL(IF(--(Source!$B$1:$B$250=$O76)*--(Source!$E$1:$E$250=$M$3)*--(Source!$D$1:$D$250=Pyramid!$M76),ROW(Source!$B$1:$B$250),FALSE),F$3)),"")</f>
        <v/>
      </c>
      <c r="G76" t="str">
        <f t="array" aca="1" ref="G76" ca="1">IFERROR(INDEX(Source!$A$1:$A$250,SMALL(IF(--(Source!$B$1:$B$250=$O76)*--(Source!$E$1:$E$250=$M$3)*--(Source!$D$1:$D$250=Pyramid!$M76),ROW(Source!$B$1:$B$250),FALSE),G$3)),"")</f>
        <v/>
      </c>
      <c r="H76" t="str">
        <f t="array" aca="1" ref="H76" ca="1">IFERROR(INDEX(Source!$A$1:$A$250,SMALL(IF(--(Source!$B$1:$B$250=$O76)*--(Source!$E$1:$E$250=$M$3)*--(Source!$D$1:$D$250=Pyramid!$M76),ROW(Source!$B$1:$B$250),FALSE),H$3)),"")</f>
        <v/>
      </c>
      <c r="I76" t="str">
        <f t="array" aca="1" ref="I76" ca="1">IFERROR(INDEX(Source!$A$1:$A$250,SMALL(IF(--(Source!$B$1:$B$250=$O76)*--(Source!$E$1:$E$250=$M$3)*--(Source!$D$1:$D$250=Pyramid!$M76),ROW(Source!$B$1:$B$250),FALSE),I$3)),"")</f>
        <v/>
      </c>
      <c r="J76" t="str">
        <f t="array" aca="1" ref="J76" ca="1">IFERROR(INDEX(Source!$A$1:$A$250,SMALL(IF(--(Source!$B$1:$B$250=$O76)*--(Source!$E$1:$E$250=$M$3)*--(Source!$D$1:$D$250=Pyramid!$M76),ROW(Source!$B$1:$B$250),FALSE),J$3)),"")</f>
        <v/>
      </c>
      <c r="K76" t="str">
        <f t="array" aca="1" ref="K76" ca="1">IFERROR(INDEX(Source!$A$1:$A$250,SMALL(IF(--(Source!$B$1:$B$250=$O76)*--(Source!$E$1:$E$250=$M$3)*--(Source!$D$1:$D$250=Pyramid!$M76),ROW(Source!$B$1:$B$250),FALSE),K$3)),"")</f>
        <v/>
      </c>
      <c r="L76" t="str">
        <f t="array" aca="1" ref="L76" ca="1">IFERROR(INDEX(Source!$A$1:$A$250,SMALL(IF(--(Source!$B$1:$B$250=$O76)*--(Source!$E$1:$E$250=$M$3)*--(Source!$D$1:$D$250=Pyramid!$M76),ROW(Source!$B$1:$B$250),FALSE),L$3)),"")</f>
        <v>26201 HK Equity</v>
      </c>
      <c r="M76" t="str">
        <f t="shared" si="5"/>
        <v>30/8/2016</v>
      </c>
      <c r="N76">
        <f ca="1">COUNTIFS(Source!B:B,Pyramid!$O76,Source!$D:$D,Pyramid!$M76,Source!$E:$E,Pyramid!$M$3)</f>
        <v>1</v>
      </c>
      <c r="O76">
        <f ca="1">OFFSET(Sheet2!$N$3,INT(C76/5),)</f>
        <v>18708</v>
      </c>
      <c r="P76">
        <f ca="1">COUNTIFS(Source!B:B,Pyramid!$O76,Source!D:D,Pyramid!$Q76,Source!$E:$E,Pyramid!$Q$3)</f>
        <v>0</v>
      </c>
      <c r="Q76" t="str">
        <f t="shared" si="5"/>
        <v>30/8/2016</v>
      </c>
      <c r="R76" t="str">
        <f t="array" aca="1" ref="R76" ca="1">IFERROR(INDEX(Source!$A$1:$A$250,SMALL(IF(--(Source!$B$1:$B$250=$O76)*--(Source!$E$1:$E$250=$Q$3)*--(Source!$D$1:$D$250=Pyramid!$Q76),ROW(Source!$B$1:$B$250),FALSE),R$3)),"")</f>
        <v/>
      </c>
      <c r="S76" t="str">
        <f t="array" aca="1" ref="S76" ca="1">IFERROR(INDEX(Source!$A$1:$A$250,SMALL(IF(--(Source!$B$1:$B$250=$O76)*--(Source!$E$1:$E$250=$Q$3)*--(Source!$D$1:$D$250=Pyramid!$Q76),ROW(Source!$B$1:$B$250),FALSE),S$3)),"")</f>
        <v/>
      </c>
      <c r="T76" t="str">
        <f t="array" aca="1" ref="T76" ca="1">IFERROR(INDEX(Source!$A$1:$A$250,SMALL(IF(--(Source!$B$1:$B$250=$O76)*--(Source!$E$1:$E$250=$Q$3)*--(Source!$D$1:$D$250=Pyramid!$Q76),ROW(Source!$B$1:$B$250),FALSE),T$3)),"")</f>
        <v/>
      </c>
      <c r="U76" t="str">
        <f t="array" aca="1" ref="U76" ca="1">IFERROR(INDEX(Source!$A$1:$A$250,SMALL(IF(--(Source!$B$1:$B$250=$O76)*--(Source!$E$1:$E$250=$Q$3)*--(Source!$D$1:$D$250=Pyramid!$Q76),ROW(Source!$B$1:$B$250),FALSE),U$3)),"")</f>
        <v/>
      </c>
      <c r="V76" t="str">
        <f t="array" aca="1" ref="V76" ca="1">IFERROR(INDEX(Source!$A$1:$A$250,SMALL(IF(--(Source!$B$1:$B$250=$O76)*--(Source!$E$1:$E$250=$Q$3)*--(Source!$D$1:$D$250=Pyramid!$Q76),ROW(Source!$B$1:$B$250),FALSE),V$3)),"")</f>
        <v/>
      </c>
      <c r="W76" t="str">
        <f t="array" aca="1" ref="W76" ca="1">IFERROR(INDEX(Source!$A$1:$A$250,SMALL(IF(--(Source!$B$1:$B$250=$O76)*--(Source!$E$1:$E$250=$Q$3)*--(Source!$D$1:$D$250=Pyramid!$Q76),ROW(Source!$B$1:$B$250),FALSE),W$3)),"")</f>
        <v/>
      </c>
      <c r="X76" t="str">
        <f t="array" aca="1" ref="X76" ca="1">IFERROR(INDEX(Source!$A$1:$A$250,SMALL(IF(--(Source!$B$1:$B$250=$O76)*--(Source!$E$1:$E$250=$Q$3)*--(Source!$D$1:$D$250=Pyramid!$Q76),ROW(Source!$B$1:$B$250),FALSE),X$3)),"")</f>
        <v/>
      </c>
      <c r="Y76" s="5">
        <f t="shared" ca="1" si="6"/>
        <v>0</v>
      </c>
    </row>
    <row r="77" spans="3:25">
      <c r="C77">
        <v>73</v>
      </c>
      <c r="D77" s="5">
        <f t="shared" ca="1" si="4"/>
        <v>0</v>
      </c>
      <c r="E77" t="str">
        <f t="array" aca="1" ref="E77" ca="1">IFERROR(INDEX(Source!$A$1:$A$250,SMALL(IF(--(Source!$B$1:$B$250=$O77)*--(Source!$E$1:$E$250=$M$3)*--(Source!$D$1:$D$250=Pyramid!$M77),ROW(Source!$B$1:$B$250),FALSE),E$3)),"")</f>
        <v/>
      </c>
      <c r="F77" t="str">
        <f t="array" aca="1" ref="F77" ca="1">IFERROR(INDEX(Source!$A$1:$A$250,SMALL(IF(--(Source!$B$1:$B$250=$O77)*--(Source!$E$1:$E$250=$M$3)*--(Source!$D$1:$D$250=Pyramid!$M77),ROW(Source!$B$1:$B$250),FALSE),F$3)),"")</f>
        <v/>
      </c>
      <c r="G77" t="str">
        <f t="array" aca="1" ref="G77" ca="1">IFERROR(INDEX(Source!$A$1:$A$250,SMALL(IF(--(Source!$B$1:$B$250=$O77)*--(Source!$E$1:$E$250=$M$3)*--(Source!$D$1:$D$250=Pyramid!$M77),ROW(Source!$B$1:$B$250),FALSE),G$3)),"")</f>
        <v/>
      </c>
      <c r="H77" t="str">
        <f t="array" aca="1" ref="H77" ca="1">IFERROR(INDEX(Source!$A$1:$A$250,SMALL(IF(--(Source!$B$1:$B$250=$O77)*--(Source!$E$1:$E$250=$M$3)*--(Source!$D$1:$D$250=Pyramid!$M77),ROW(Source!$B$1:$B$250),FALSE),H$3)),"")</f>
        <v/>
      </c>
      <c r="I77" t="str">
        <f t="array" aca="1" ref="I77" ca="1">IFERROR(INDEX(Source!$A$1:$A$250,SMALL(IF(--(Source!$B$1:$B$250=$O77)*--(Source!$E$1:$E$250=$M$3)*--(Source!$D$1:$D$250=Pyramid!$M77),ROW(Source!$B$1:$B$250),FALSE),I$3)),"")</f>
        <v/>
      </c>
      <c r="J77" t="str">
        <f t="array" aca="1" ref="J77" ca="1">IFERROR(INDEX(Source!$A$1:$A$250,SMALL(IF(--(Source!$B$1:$B$250=$O77)*--(Source!$E$1:$E$250=$M$3)*--(Source!$D$1:$D$250=Pyramid!$M77),ROW(Source!$B$1:$B$250),FALSE),J$3)),"")</f>
        <v/>
      </c>
      <c r="K77" t="str">
        <f t="array" aca="1" ref="K77" ca="1">IFERROR(INDEX(Source!$A$1:$A$250,SMALL(IF(--(Source!$B$1:$B$250=$O77)*--(Source!$E$1:$E$250=$M$3)*--(Source!$D$1:$D$250=Pyramid!$M77),ROW(Source!$B$1:$B$250),FALSE),K$3)),"")</f>
        <v/>
      </c>
      <c r="L77" t="str">
        <f t="array" aca="1" ref="L77" ca="1">IFERROR(INDEX(Source!$A$1:$A$250,SMALL(IF(--(Source!$B$1:$B$250=$O77)*--(Source!$E$1:$E$250=$M$3)*--(Source!$D$1:$D$250=Pyramid!$M77),ROW(Source!$B$1:$B$250),FALSE),L$3)),"")</f>
        <v/>
      </c>
      <c r="M77" t="str">
        <f t="shared" si="5"/>
        <v>29/9/2016</v>
      </c>
      <c r="N77">
        <f ca="1">COUNTIFS(Source!B:B,Pyramid!$O77,Source!$D:$D,Pyramid!$M77,Source!$E:$E,Pyramid!$M$3)</f>
        <v>0</v>
      </c>
      <c r="O77">
        <f ca="1">OFFSET(Sheet2!$N$3,INT(C77/5),)</f>
        <v>18708</v>
      </c>
      <c r="P77">
        <f ca="1">COUNTIFS(Source!B:B,Pyramid!$O77,Source!D:D,Pyramid!$Q77,Source!$E:$E,Pyramid!$Q$3)</f>
        <v>0</v>
      </c>
      <c r="Q77" t="str">
        <f t="shared" si="5"/>
        <v>29/9/2016</v>
      </c>
      <c r="R77" t="str">
        <f t="array" aca="1" ref="R77" ca="1">IFERROR(INDEX(Source!$A$1:$A$250,SMALL(IF(--(Source!$B$1:$B$250=$O77)*--(Source!$E$1:$E$250=$Q$3)*--(Source!$D$1:$D$250=Pyramid!$Q77),ROW(Source!$B$1:$B$250),FALSE),R$3)),"")</f>
        <v/>
      </c>
      <c r="S77" t="str">
        <f t="array" aca="1" ref="S77" ca="1">IFERROR(INDEX(Source!$A$1:$A$250,SMALL(IF(--(Source!$B$1:$B$250=$O77)*--(Source!$E$1:$E$250=$Q$3)*--(Source!$D$1:$D$250=Pyramid!$Q77),ROW(Source!$B$1:$B$250),FALSE),S$3)),"")</f>
        <v/>
      </c>
      <c r="T77" t="str">
        <f t="array" aca="1" ref="T77" ca="1">IFERROR(INDEX(Source!$A$1:$A$250,SMALL(IF(--(Source!$B$1:$B$250=$O77)*--(Source!$E$1:$E$250=$Q$3)*--(Source!$D$1:$D$250=Pyramid!$Q77),ROW(Source!$B$1:$B$250),FALSE),T$3)),"")</f>
        <v/>
      </c>
      <c r="U77" t="str">
        <f t="array" aca="1" ref="U77" ca="1">IFERROR(INDEX(Source!$A$1:$A$250,SMALL(IF(--(Source!$B$1:$B$250=$O77)*--(Source!$E$1:$E$250=$Q$3)*--(Source!$D$1:$D$250=Pyramid!$Q77),ROW(Source!$B$1:$B$250),FALSE),U$3)),"")</f>
        <v/>
      </c>
      <c r="V77" t="str">
        <f t="array" aca="1" ref="V77" ca="1">IFERROR(INDEX(Source!$A$1:$A$250,SMALL(IF(--(Source!$B$1:$B$250=$O77)*--(Source!$E$1:$E$250=$Q$3)*--(Source!$D$1:$D$250=Pyramid!$Q77),ROW(Source!$B$1:$B$250),FALSE),V$3)),"")</f>
        <v/>
      </c>
      <c r="W77" t="str">
        <f t="array" aca="1" ref="W77" ca="1">IFERROR(INDEX(Source!$A$1:$A$250,SMALL(IF(--(Source!$B$1:$B$250=$O77)*--(Source!$E$1:$E$250=$Q$3)*--(Source!$D$1:$D$250=Pyramid!$Q77),ROW(Source!$B$1:$B$250),FALSE),W$3)),"")</f>
        <v/>
      </c>
      <c r="X77" t="str">
        <f t="array" aca="1" ref="X77" ca="1">IFERROR(INDEX(Source!$A$1:$A$250,SMALL(IF(--(Source!$B$1:$B$250=$O77)*--(Source!$E$1:$E$250=$Q$3)*--(Source!$D$1:$D$250=Pyramid!$Q77),ROW(Source!$B$1:$B$250),FALSE),X$3)),"")</f>
        <v/>
      </c>
      <c r="Y77" s="5">
        <f t="shared" ca="1" si="6"/>
        <v>0</v>
      </c>
    </row>
    <row r="78" spans="3:25">
      <c r="C78">
        <v>74</v>
      </c>
      <c r="D78" s="5">
        <f t="shared" ca="1" si="4"/>
        <v>0</v>
      </c>
      <c r="E78" t="str">
        <f t="array" aca="1" ref="E78" ca="1">IFERROR(INDEX(Source!$A$1:$A$250,SMALL(IF(--(Source!$B$1:$B$250=$O78)*--(Source!$E$1:$E$250=$M$3)*--(Source!$D$1:$D$250=Pyramid!$M78),ROW(Source!$B$1:$B$250),FALSE),E$3)),"")</f>
        <v/>
      </c>
      <c r="F78" t="str">
        <f t="array" aca="1" ref="F78" ca="1">IFERROR(INDEX(Source!$A$1:$A$250,SMALL(IF(--(Source!$B$1:$B$250=$O78)*--(Source!$E$1:$E$250=$M$3)*--(Source!$D$1:$D$250=Pyramid!$M78),ROW(Source!$B$1:$B$250),FALSE),F$3)),"")</f>
        <v/>
      </c>
      <c r="G78" t="str">
        <f t="array" aca="1" ref="G78" ca="1">IFERROR(INDEX(Source!$A$1:$A$250,SMALL(IF(--(Source!$B$1:$B$250=$O78)*--(Source!$E$1:$E$250=$M$3)*--(Source!$D$1:$D$250=Pyramid!$M78),ROW(Source!$B$1:$B$250),FALSE),G$3)),"")</f>
        <v/>
      </c>
      <c r="H78" t="str">
        <f t="array" aca="1" ref="H78" ca="1">IFERROR(INDEX(Source!$A$1:$A$250,SMALL(IF(--(Source!$B$1:$B$250=$O78)*--(Source!$E$1:$E$250=$M$3)*--(Source!$D$1:$D$250=Pyramid!$M78),ROW(Source!$B$1:$B$250),FALSE),H$3)),"")</f>
        <v/>
      </c>
      <c r="I78" t="str">
        <f t="array" aca="1" ref="I78" ca="1">IFERROR(INDEX(Source!$A$1:$A$250,SMALL(IF(--(Source!$B$1:$B$250=$O78)*--(Source!$E$1:$E$250=$M$3)*--(Source!$D$1:$D$250=Pyramid!$M78),ROW(Source!$B$1:$B$250),FALSE),I$3)),"")</f>
        <v/>
      </c>
      <c r="J78" t="str">
        <f t="array" aca="1" ref="J78" ca="1">IFERROR(INDEX(Source!$A$1:$A$250,SMALL(IF(--(Source!$B$1:$B$250=$O78)*--(Source!$E$1:$E$250=$M$3)*--(Source!$D$1:$D$250=Pyramid!$M78),ROW(Source!$B$1:$B$250),FALSE),J$3)),"")</f>
        <v/>
      </c>
      <c r="K78" t="str">
        <f t="array" aca="1" ref="K78" ca="1">IFERROR(INDEX(Source!$A$1:$A$250,SMALL(IF(--(Source!$B$1:$B$250=$O78)*--(Source!$E$1:$E$250=$M$3)*--(Source!$D$1:$D$250=Pyramid!$M78),ROW(Source!$B$1:$B$250),FALSE),K$3)),"")</f>
        <v/>
      </c>
      <c r="L78" t="str">
        <f t="array" aca="1" ref="L78" ca="1">IFERROR(INDEX(Source!$A$1:$A$250,SMALL(IF(--(Source!$B$1:$B$250=$O78)*--(Source!$E$1:$E$250=$M$3)*--(Source!$D$1:$D$250=Pyramid!$M78),ROW(Source!$B$1:$B$250),FALSE),L$3)),"")</f>
        <v/>
      </c>
      <c r="M78" t="str">
        <f t="shared" si="5"/>
        <v>28/10/2016</v>
      </c>
      <c r="N78">
        <f ca="1">COUNTIFS(Source!B:B,Pyramid!$O78,Source!$D:$D,Pyramid!$M78,Source!$E:$E,Pyramid!$M$3)</f>
        <v>0</v>
      </c>
      <c r="O78">
        <f ca="1">OFFSET(Sheet2!$N$3,INT(C78/5),)</f>
        <v>18708</v>
      </c>
      <c r="P78">
        <f ca="1">COUNTIFS(Source!B:B,Pyramid!$O78,Source!D:D,Pyramid!$Q78,Source!$E:$E,Pyramid!$Q$3)</f>
        <v>0</v>
      </c>
      <c r="Q78" t="str">
        <f t="shared" si="5"/>
        <v>28/10/2016</v>
      </c>
      <c r="R78" t="str">
        <f t="array" aca="1" ref="R78" ca="1">IFERROR(INDEX(Source!$A$1:$A$250,SMALL(IF(--(Source!$B$1:$B$250=$O78)*--(Source!$E$1:$E$250=$Q$3)*--(Source!$D$1:$D$250=Pyramid!$Q78),ROW(Source!$B$1:$B$250),FALSE),R$3)),"")</f>
        <v/>
      </c>
      <c r="S78" t="str">
        <f t="array" aca="1" ref="S78" ca="1">IFERROR(INDEX(Source!$A$1:$A$250,SMALL(IF(--(Source!$B$1:$B$250=$O78)*--(Source!$E$1:$E$250=$Q$3)*--(Source!$D$1:$D$250=Pyramid!$Q78),ROW(Source!$B$1:$B$250),FALSE),S$3)),"")</f>
        <v/>
      </c>
      <c r="T78" t="str">
        <f t="array" aca="1" ref="T78" ca="1">IFERROR(INDEX(Source!$A$1:$A$250,SMALL(IF(--(Source!$B$1:$B$250=$O78)*--(Source!$E$1:$E$250=$Q$3)*--(Source!$D$1:$D$250=Pyramid!$Q78),ROW(Source!$B$1:$B$250),FALSE),T$3)),"")</f>
        <v/>
      </c>
      <c r="U78" t="str">
        <f t="array" aca="1" ref="U78" ca="1">IFERROR(INDEX(Source!$A$1:$A$250,SMALL(IF(--(Source!$B$1:$B$250=$O78)*--(Source!$E$1:$E$250=$Q$3)*--(Source!$D$1:$D$250=Pyramid!$Q78),ROW(Source!$B$1:$B$250),FALSE),U$3)),"")</f>
        <v/>
      </c>
      <c r="V78" t="str">
        <f t="array" aca="1" ref="V78" ca="1">IFERROR(INDEX(Source!$A$1:$A$250,SMALL(IF(--(Source!$B$1:$B$250=$O78)*--(Source!$E$1:$E$250=$Q$3)*--(Source!$D$1:$D$250=Pyramid!$Q78),ROW(Source!$B$1:$B$250),FALSE),V$3)),"")</f>
        <v/>
      </c>
      <c r="W78" t="str">
        <f t="array" aca="1" ref="W78" ca="1">IFERROR(INDEX(Source!$A$1:$A$250,SMALL(IF(--(Source!$B$1:$B$250=$O78)*--(Source!$E$1:$E$250=$Q$3)*--(Source!$D$1:$D$250=Pyramid!$Q78),ROW(Source!$B$1:$B$250),FALSE),W$3)),"")</f>
        <v/>
      </c>
      <c r="X78" t="str">
        <f t="array" aca="1" ref="X78" ca="1">IFERROR(INDEX(Source!$A$1:$A$250,SMALL(IF(--(Source!$B$1:$B$250=$O78)*--(Source!$E$1:$E$250=$Q$3)*--(Source!$D$1:$D$250=Pyramid!$Q78),ROW(Source!$B$1:$B$250),FALSE),X$3)),"")</f>
        <v/>
      </c>
      <c r="Y78" s="5">
        <f t="shared" ca="1" si="6"/>
        <v>0</v>
      </c>
    </row>
    <row r="79" spans="3:25">
      <c r="C79">
        <v>75</v>
      </c>
      <c r="D79" s="5">
        <f t="shared" ca="1" si="4"/>
        <v>0</v>
      </c>
      <c r="E79" t="str">
        <f t="array" aca="1" ref="E79" ca="1">IFERROR(INDEX(Source!$A$1:$A$250,SMALL(IF(--(Source!$B$1:$B$250=$O79)*--(Source!$E$1:$E$250=$M$3)*--(Source!$D$1:$D$250=Pyramid!$M79),ROW(Source!$B$1:$B$250),FALSE),E$3)),"")</f>
        <v/>
      </c>
      <c r="F79" t="str">
        <f t="array" aca="1" ref="F79" ca="1">IFERROR(INDEX(Source!$A$1:$A$250,SMALL(IF(--(Source!$B$1:$B$250=$O79)*--(Source!$E$1:$E$250=$M$3)*--(Source!$D$1:$D$250=Pyramid!$M79),ROW(Source!$B$1:$B$250),FALSE),F$3)),"")</f>
        <v/>
      </c>
      <c r="G79" t="str">
        <f t="array" aca="1" ref="G79" ca="1">IFERROR(INDEX(Source!$A$1:$A$250,SMALL(IF(--(Source!$B$1:$B$250=$O79)*--(Source!$E$1:$E$250=$M$3)*--(Source!$D$1:$D$250=Pyramid!$M79),ROW(Source!$B$1:$B$250),FALSE),G$3)),"")</f>
        <v/>
      </c>
      <c r="H79" t="str">
        <f t="array" aca="1" ref="H79" ca="1">IFERROR(INDEX(Source!$A$1:$A$250,SMALL(IF(--(Source!$B$1:$B$250=$O79)*--(Source!$E$1:$E$250=$M$3)*--(Source!$D$1:$D$250=Pyramid!$M79),ROW(Source!$B$1:$B$250),FALSE),H$3)),"")</f>
        <v/>
      </c>
      <c r="I79" t="str">
        <f t="array" aca="1" ref="I79" ca="1">IFERROR(INDEX(Source!$A$1:$A$250,SMALL(IF(--(Source!$B$1:$B$250=$O79)*--(Source!$E$1:$E$250=$M$3)*--(Source!$D$1:$D$250=Pyramid!$M79),ROW(Source!$B$1:$B$250),FALSE),I$3)),"")</f>
        <v/>
      </c>
      <c r="J79" t="str">
        <f t="array" aca="1" ref="J79" ca="1">IFERROR(INDEX(Source!$A$1:$A$250,SMALL(IF(--(Source!$B$1:$B$250=$O79)*--(Source!$E$1:$E$250=$M$3)*--(Source!$D$1:$D$250=Pyramid!$M79),ROW(Source!$B$1:$B$250),FALSE),J$3)),"")</f>
        <v/>
      </c>
      <c r="K79" t="str">
        <f t="array" aca="1" ref="K79" ca="1">IFERROR(INDEX(Source!$A$1:$A$250,SMALL(IF(--(Source!$B$1:$B$250=$O79)*--(Source!$E$1:$E$250=$M$3)*--(Source!$D$1:$D$250=Pyramid!$M79),ROW(Source!$B$1:$B$250),FALSE),K$3)),"")</f>
        <v/>
      </c>
      <c r="L79" t="str">
        <f t="array" aca="1" ref="L79" ca="1">IFERROR(INDEX(Source!$A$1:$A$250,SMALL(IF(--(Source!$B$1:$B$250=$O79)*--(Source!$E$1:$E$250=$M$3)*--(Source!$D$1:$D$250=Pyramid!$M79),ROW(Source!$B$1:$B$250),FALSE),L$3)),"")</f>
        <v/>
      </c>
      <c r="M79" t="str">
        <f t="shared" si="5"/>
        <v>29/6/2016</v>
      </c>
      <c r="N79">
        <f ca="1">COUNTIFS(Source!B:B,Pyramid!$O79,Source!$D:$D,Pyramid!$M79,Source!$E:$E,Pyramid!$M$3)</f>
        <v>0</v>
      </c>
      <c r="O79">
        <f ca="1">OFFSET(Sheet2!$N$3,INT(C79/5),)</f>
        <v>18800</v>
      </c>
      <c r="P79">
        <f ca="1">COUNTIFS(Source!B:B,Pyramid!$O79,Source!D:D,Pyramid!$Q79,Source!$E:$E,Pyramid!$Q$3)</f>
        <v>0</v>
      </c>
      <c r="Q79" t="str">
        <f t="shared" si="5"/>
        <v>29/6/2016</v>
      </c>
      <c r="R79" t="str">
        <f t="array" aca="1" ref="R79" ca="1">IFERROR(INDEX(Source!$A$1:$A$250,SMALL(IF(--(Source!$B$1:$B$250=$O79)*--(Source!$E$1:$E$250=$Q$3)*--(Source!$D$1:$D$250=Pyramid!$Q79),ROW(Source!$B$1:$B$250),FALSE),R$3)),"")</f>
        <v/>
      </c>
      <c r="S79" t="str">
        <f t="array" aca="1" ref="S79" ca="1">IFERROR(INDEX(Source!$A$1:$A$250,SMALL(IF(--(Source!$B$1:$B$250=$O79)*--(Source!$E$1:$E$250=$Q$3)*--(Source!$D$1:$D$250=Pyramid!$Q79),ROW(Source!$B$1:$B$250),FALSE),S$3)),"")</f>
        <v/>
      </c>
      <c r="T79" t="str">
        <f t="array" aca="1" ref="T79" ca="1">IFERROR(INDEX(Source!$A$1:$A$250,SMALL(IF(--(Source!$B$1:$B$250=$O79)*--(Source!$E$1:$E$250=$Q$3)*--(Source!$D$1:$D$250=Pyramid!$Q79),ROW(Source!$B$1:$B$250),FALSE),T$3)),"")</f>
        <v/>
      </c>
      <c r="U79" t="str">
        <f t="array" aca="1" ref="U79" ca="1">IFERROR(INDEX(Source!$A$1:$A$250,SMALL(IF(--(Source!$B$1:$B$250=$O79)*--(Source!$E$1:$E$250=$Q$3)*--(Source!$D$1:$D$250=Pyramid!$Q79),ROW(Source!$B$1:$B$250),FALSE),U$3)),"")</f>
        <v/>
      </c>
      <c r="V79" t="str">
        <f t="array" aca="1" ref="V79" ca="1">IFERROR(INDEX(Source!$A$1:$A$250,SMALL(IF(--(Source!$B$1:$B$250=$O79)*--(Source!$E$1:$E$250=$Q$3)*--(Source!$D$1:$D$250=Pyramid!$Q79),ROW(Source!$B$1:$B$250),FALSE),V$3)),"")</f>
        <v/>
      </c>
      <c r="W79" t="str">
        <f t="array" aca="1" ref="W79" ca="1">IFERROR(INDEX(Source!$A$1:$A$250,SMALL(IF(--(Source!$B$1:$B$250=$O79)*--(Source!$E$1:$E$250=$Q$3)*--(Source!$D$1:$D$250=Pyramid!$Q79),ROW(Source!$B$1:$B$250),FALSE),W$3)),"")</f>
        <v/>
      </c>
      <c r="X79" t="str">
        <f t="array" aca="1" ref="X79" ca="1">IFERROR(INDEX(Source!$A$1:$A$250,SMALL(IF(--(Source!$B$1:$B$250=$O79)*--(Source!$E$1:$E$250=$Q$3)*--(Source!$D$1:$D$250=Pyramid!$Q79),ROW(Source!$B$1:$B$250),FALSE),X$3)),"")</f>
        <v/>
      </c>
      <c r="Y79" s="5">
        <f t="shared" ca="1" si="6"/>
        <v>0</v>
      </c>
    </row>
    <row r="80" spans="3:25">
      <c r="C80">
        <v>76</v>
      </c>
      <c r="D80" s="5">
        <f t="shared" ca="1" si="4"/>
        <v>0</v>
      </c>
      <c r="E80" t="str">
        <f t="array" aca="1" ref="E80" ca="1">IFERROR(INDEX(Source!$A$1:$A$250,SMALL(IF(--(Source!$B$1:$B$250=$O80)*--(Source!$E$1:$E$250=$M$3)*--(Source!$D$1:$D$250=Pyramid!$M80),ROW(Source!$B$1:$B$250),FALSE),E$3)),"")</f>
        <v/>
      </c>
      <c r="F80" t="str">
        <f t="array" aca="1" ref="F80" ca="1">IFERROR(INDEX(Source!$A$1:$A$250,SMALL(IF(--(Source!$B$1:$B$250=$O80)*--(Source!$E$1:$E$250=$M$3)*--(Source!$D$1:$D$250=Pyramid!$M80),ROW(Source!$B$1:$B$250),FALSE),F$3)),"")</f>
        <v/>
      </c>
      <c r="G80" t="str">
        <f t="array" aca="1" ref="G80" ca="1">IFERROR(INDEX(Source!$A$1:$A$250,SMALL(IF(--(Source!$B$1:$B$250=$O80)*--(Source!$E$1:$E$250=$M$3)*--(Source!$D$1:$D$250=Pyramid!$M80),ROW(Source!$B$1:$B$250),FALSE),G$3)),"")</f>
        <v/>
      </c>
      <c r="H80" t="str">
        <f t="array" aca="1" ref="H80" ca="1">IFERROR(INDEX(Source!$A$1:$A$250,SMALL(IF(--(Source!$B$1:$B$250=$O80)*--(Source!$E$1:$E$250=$M$3)*--(Source!$D$1:$D$250=Pyramid!$M80),ROW(Source!$B$1:$B$250),FALSE),H$3)),"")</f>
        <v/>
      </c>
      <c r="I80" t="str">
        <f t="array" aca="1" ref="I80" ca="1">IFERROR(INDEX(Source!$A$1:$A$250,SMALL(IF(--(Source!$B$1:$B$250=$O80)*--(Source!$E$1:$E$250=$M$3)*--(Source!$D$1:$D$250=Pyramid!$M80),ROW(Source!$B$1:$B$250),FALSE),I$3)),"")</f>
        <v/>
      </c>
      <c r="J80" t="str">
        <f t="array" aca="1" ref="J80" ca="1">IFERROR(INDEX(Source!$A$1:$A$250,SMALL(IF(--(Source!$B$1:$B$250=$O80)*--(Source!$E$1:$E$250=$M$3)*--(Source!$D$1:$D$250=Pyramid!$M80),ROW(Source!$B$1:$B$250),FALSE),J$3)),"")</f>
        <v/>
      </c>
      <c r="K80" t="str">
        <f t="array" aca="1" ref="K80" ca="1">IFERROR(INDEX(Source!$A$1:$A$250,SMALL(IF(--(Source!$B$1:$B$250=$O80)*--(Source!$E$1:$E$250=$M$3)*--(Source!$D$1:$D$250=Pyramid!$M80),ROW(Source!$B$1:$B$250),FALSE),K$3)),"")</f>
        <v/>
      </c>
      <c r="L80" t="str">
        <f t="array" aca="1" ref="L80" ca="1">IFERROR(INDEX(Source!$A$1:$A$250,SMALL(IF(--(Source!$B$1:$B$250=$O80)*--(Source!$E$1:$E$250=$M$3)*--(Source!$D$1:$D$250=Pyramid!$M80),ROW(Source!$B$1:$B$250),FALSE),L$3)),"")</f>
        <v/>
      </c>
      <c r="M80" t="str">
        <f t="shared" si="5"/>
        <v>28/7/2016</v>
      </c>
      <c r="N80">
        <f ca="1">COUNTIFS(Source!B:B,Pyramid!$O80,Source!$D:$D,Pyramid!$M80,Source!$E:$E,Pyramid!$M$3)</f>
        <v>0</v>
      </c>
      <c r="O80">
        <f ca="1">OFFSET(Sheet2!$N$3,INT(C80/5),)</f>
        <v>18800</v>
      </c>
      <c r="P80">
        <f ca="1">COUNTIFS(Source!B:B,Pyramid!$O80,Source!D:D,Pyramid!$Q80,Source!$E:$E,Pyramid!$Q$3)</f>
        <v>0</v>
      </c>
      <c r="Q80" t="str">
        <f t="shared" si="5"/>
        <v>28/7/2016</v>
      </c>
      <c r="R80" t="str">
        <f t="array" aca="1" ref="R80" ca="1">IFERROR(INDEX(Source!$A$1:$A$250,SMALL(IF(--(Source!$B$1:$B$250=$O80)*--(Source!$E$1:$E$250=$Q$3)*--(Source!$D$1:$D$250=Pyramid!$Q80),ROW(Source!$B$1:$B$250),FALSE),R$3)),"")</f>
        <v/>
      </c>
      <c r="S80" t="str">
        <f t="array" aca="1" ref="S80" ca="1">IFERROR(INDEX(Source!$A$1:$A$250,SMALL(IF(--(Source!$B$1:$B$250=$O80)*--(Source!$E$1:$E$250=$Q$3)*--(Source!$D$1:$D$250=Pyramid!$Q80),ROW(Source!$B$1:$B$250),FALSE),S$3)),"")</f>
        <v/>
      </c>
      <c r="T80" t="str">
        <f t="array" aca="1" ref="T80" ca="1">IFERROR(INDEX(Source!$A$1:$A$250,SMALL(IF(--(Source!$B$1:$B$250=$O80)*--(Source!$E$1:$E$250=$Q$3)*--(Source!$D$1:$D$250=Pyramid!$Q80),ROW(Source!$B$1:$B$250),FALSE),T$3)),"")</f>
        <v/>
      </c>
      <c r="U80" t="str">
        <f t="array" aca="1" ref="U80" ca="1">IFERROR(INDEX(Source!$A$1:$A$250,SMALL(IF(--(Source!$B$1:$B$250=$O80)*--(Source!$E$1:$E$250=$Q$3)*--(Source!$D$1:$D$250=Pyramid!$Q80),ROW(Source!$B$1:$B$250),FALSE),U$3)),"")</f>
        <v/>
      </c>
      <c r="V80" t="str">
        <f t="array" aca="1" ref="V80" ca="1">IFERROR(INDEX(Source!$A$1:$A$250,SMALL(IF(--(Source!$B$1:$B$250=$O80)*--(Source!$E$1:$E$250=$Q$3)*--(Source!$D$1:$D$250=Pyramid!$Q80),ROW(Source!$B$1:$B$250),FALSE),V$3)),"")</f>
        <v/>
      </c>
      <c r="W80" t="str">
        <f t="array" aca="1" ref="W80" ca="1">IFERROR(INDEX(Source!$A$1:$A$250,SMALL(IF(--(Source!$B$1:$B$250=$O80)*--(Source!$E$1:$E$250=$Q$3)*--(Source!$D$1:$D$250=Pyramid!$Q80),ROW(Source!$B$1:$B$250),FALSE),W$3)),"")</f>
        <v/>
      </c>
      <c r="X80" t="str">
        <f t="array" aca="1" ref="X80" ca="1">IFERROR(INDEX(Source!$A$1:$A$250,SMALL(IF(--(Source!$B$1:$B$250=$O80)*--(Source!$E$1:$E$250=$Q$3)*--(Source!$D$1:$D$250=Pyramid!$Q80),ROW(Source!$B$1:$B$250),FALSE),X$3)),"")</f>
        <v/>
      </c>
      <c r="Y80" s="5">
        <f t="shared" ca="1" si="6"/>
        <v>0</v>
      </c>
    </row>
    <row r="81" spans="3:25">
      <c r="C81">
        <v>77</v>
      </c>
      <c r="D81" s="5">
        <f t="shared" ca="1" si="4"/>
        <v>0</v>
      </c>
      <c r="E81" t="str">
        <f t="array" aca="1" ref="E81" ca="1">IFERROR(INDEX(Source!$A$1:$A$250,SMALL(IF(--(Source!$B$1:$B$250=$O81)*--(Source!$E$1:$E$250=$M$3)*--(Source!$D$1:$D$250=Pyramid!$M81),ROW(Source!$B$1:$B$250),FALSE),E$3)),"")</f>
        <v/>
      </c>
      <c r="F81" t="str">
        <f t="array" aca="1" ref="F81" ca="1">IFERROR(INDEX(Source!$A$1:$A$250,SMALL(IF(--(Source!$B$1:$B$250=$O81)*--(Source!$E$1:$E$250=$M$3)*--(Source!$D$1:$D$250=Pyramid!$M81),ROW(Source!$B$1:$B$250),FALSE),F$3)),"")</f>
        <v/>
      </c>
      <c r="G81" t="str">
        <f t="array" aca="1" ref="G81" ca="1">IFERROR(INDEX(Source!$A$1:$A$250,SMALL(IF(--(Source!$B$1:$B$250=$O81)*--(Source!$E$1:$E$250=$M$3)*--(Source!$D$1:$D$250=Pyramid!$M81),ROW(Source!$B$1:$B$250),FALSE),G$3)),"")</f>
        <v/>
      </c>
      <c r="H81" t="str">
        <f t="array" aca="1" ref="H81" ca="1">IFERROR(INDEX(Source!$A$1:$A$250,SMALL(IF(--(Source!$B$1:$B$250=$O81)*--(Source!$E$1:$E$250=$M$3)*--(Source!$D$1:$D$250=Pyramid!$M81),ROW(Source!$B$1:$B$250),FALSE),H$3)),"")</f>
        <v/>
      </c>
      <c r="I81" t="str">
        <f t="array" aca="1" ref="I81" ca="1">IFERROR(INDEX(Source!$A$1:$A$250,SMALL(IF(--(Source!$B$1:$B$250=$O81)*--(Source!$E$1:$E$250=$M$3)*--(Source!$D$1:$D$250=Pyramid!$M81),ROW(Source!$B$1:$B$250),FALSE),I$3)),"")</f>
        <v/>
      </c>
      <c r="J81" t="str">
        <f t="array" aca="1" ref="J81" ca="1">IFERROR(INDEX(Source!$A$1:$A$250,SMALL(IF(--(Source!$B$1:$B$250=$O81)*--(Source!$E$1:$E$250=$M$3)*--(Source!$D$1:$D$250=Pyramid!$M81),ROW(Source!$B$1:$B$250),FALSE),J$3)),"")</f>
        <v/>
      </c>
      <c r="K81" t="str">
        <f t="array" aca="1" ref="K81" ca="1">IFERROR(INDEX(Source!$A$1:$A$250,SMALL(IF(--(Source!$B$1:$B$250=$O81)*--(Source!$E$1:$E$250=$M$3)*--(Source!$D$1:$D$250=Pyramid!$M81),ROW(Source!$B$1:$B$250),FALSE),K$3)),"")</f>
        <v/>
      </c>
      <c r="L81" t="str">
        <f t="array" aca="1" ref="L81" ca="1">IFERROR(INDEX(Source!$A$1:$A$250,SMALL(IF(--(Source!$B$1:$B$250=$O81)*--(Source!$E$1:$E$250=$M$3)*--(Source!$D$1:$D$250=Pyramid!$M81),ROW(Source!$B$1:$B$250),FALSE),L$3)),"")</f>
        <v/>
      </c>
      <c r="M81" t="str">
        <f t="shared" si="5"/>
        <v>30/8/2016</v>
      </c>
      <c r="N81">
        <f ca="1">COUNTIFS(Source!B:B,Pyramid!$O81,Source!$D:$D,Pyramid!$M81,Source!$E:$E,Pyramid!$M$3)</f>
        <v>0</v>
      </c>
      <c r="O81">
        <f ca="1">OFFSET(Sheet2!$N$3,INT(C81/5),)</f>
        <v>18800</v>
      </c>
      <c r="P81">
        <f ca="1">COUNTIFS(Source!B:B,Pyramid!$O81,Source!D:D,Pyramid!$Q81,Source!$E:$E,Pyramid!$Q$3)</f>
        <v>0</v>
      </c>
      <c r="Q81" t="str">
        <f t="shared" si="5"/>
        <v>30/8/2016</v>
      </c>
      <c r="R81" t="str">
        <f t="array" aca="1" ref="R81" ca="1">IFERROR(INDEX(Source!$A$1:$A$250,SMALL(IF(--(Source!$B$1:$B$250=$O81)*--(Source!$E$1:$E$250=$Q$3)*--(Source!$D$1:$D$250=Pyramid!$Q81),ROW(Source!$B$1:$B$250),FALSE),R$3)),"")</f>
        <v/>
      </c>
      <c r="S81" t="str">
        <f t="array" aca="1" ref="S81" ca="1">IFERROR(INDEX(Source!$A$1:$A$250,SMALL(IF(--(Source!$B$1:$B$250=$O81)*--(Source!$E$1:$E$250=$Q$3)*--(Source!$D$1:$D$250=Pyramid!$Q81),ROW(Source!$B$1:$B$250),FALSE),S$3)),"")</f>
        <v/>
      </c>
      <c r="T81" t="str">
        <f t="array" aca="1" ref="T81" ca="1">IFERROR(INDEX(Source!$A$1:$A$250,SMALL(IF(--(Source!$B$1:$B$250=$O81)*--(Source!$E$1:$E$250=$Q$3)*--(Source!$D$1:$D$250=Pyramid!$Q81),ROW(Source!$B$1:$B$250),FALSE),T$3)),"")</f>
        <v/>
      </c>
      <c r="U81" t="str">
        <f t="array" aca="1" ref="U81" ca="1">IFERROR(INDEX(Source!$A$1:$A$250,SMALL(IF(--(Source!$B$1:$B$250=$O81)*--(Source!$E$1:$E$250=$Q$3)*--(Source!$D$1:$D$250=Pyramid!$Q81),ROW(Source!$B$1:$B$250),FALSE),U$3)),"")</f>
        <v/>
      </c>
      <c r="V81" t="str">
        <f t="array" aca="1" ref="V81" ca="1">IFERROR(INDEX(Source!$A$1:$A$250,SMALL(IF(--(Source!$B$1:$B$250=$O81)*--(Source!$E$1:$E$250=$Q$3)*--(Source!$D$1:$D$250=Pyramid!$Q81),ROW(Source!$B$1:$B$250),FALSE),V$3)),"")</f>
        <v/>
      </c>
      <c r="W81" t="str">
        <f t="array" aca="1" ref="W81" ca="1">IFERROR(INDEX(Source!$A$1:$A$250,SMALL(IF(--(Source!$B$1:$B$250=$O81)*--(Source!$E$1:$E$250=$Q$3)*--(Source!$D$1:$D$250=Pyramid!$Q81),ROW(Source!$B$1:$B$250),FALSE),W$3)),"")</f>
        <v/>
      </c>
      <c r="X81" t="str">
        <f t="array" aca="1" ref="X81" ca="1">IFERROR(INDEX(Source!$A$1:$A$250,SMALL(IF(--(Source!$B$1:$B$250=$O81)*--(Source!$E$1:$E$250=$Q$3)*--(Source!$D$1:$D$250=Pyramid!$Q81),ROW(Source!$B$1:$B$250),FALSE),X$3)),"")</f>
        <v/>
      </c>
      <c r="Y81" s="5">
        <f t="shared" ca="1" si="6"/>
        <v>0</v>
      </c>
    </row>
    <row r="82" spans="3:25">
      <c r="C82">
        <v>78</v>
      </c>
      <c r="D82" s="5">
        <f t="shared" ca="1" si="4"/>
        <v>0</v>
      </c>
      <c r="E82" t="str">
        <f t="array" aca="1" ref="E82" ca="1">IFERROR(INDEX(Source!$A$1:$A$250,SMALL(IF(--(Source!$B$1:$B$250=$O82)*--(Source!$E$1:$E$250=$M$3)*--(Source!$D$1:$D$250=Pyramid!$M82),ROW(Source!$B$1:$B$250),FALSE),E$3)),"")</f>
        <v/>
      </c>
      <c r="F82" t="str">
        <f t="array" aca="1" ref="F82" ca="1">IFERROR(INDEX(Source!$A$1:$A$250,SMALL(IF(--(Source!$B$1:$B$250=$O82)*--(Source!$E$1:$E$250=$M$3)*--(Source!$D$1:$D$250=Pyramid!$M82),ROW(Source!$B$1:$B$250),FALSE),F$3)),"")</f>
        <v/>
      </c>
      <c r="G82" t="str">
        <f t="array" aca="1" ref="G82" ca="1">IFERROR(INDEX(Source!$A$1:$A$250,SMALL(IF(--(Source!$B$1:$B$250=$O82)*--(Source!$E$1:$E$250=$M$3)*--(Source!$D$1:$D$250=Pyramid!$M82),ROW(Source!$B$1:$B$250),FALSE),G$3)),"")</f>
        <v/>
      </c>
      <c r="H82" t="str">
        <f t="array" aca="1" ref="H82" ca="1">IFERROR(INDEX(Source!$A$1:$A$250,SMALL(IF(--(Source!$B$1:$B$250=$O82)*--(Source!$E$1:$E$250=$M$3)*--(Source!$D$1:$D$250=Pyramid!$M82),ROW(Source!$B$1:$B$250),FALSE),H$3)),"")</f>
        <v/>
      </c>
      <c r="I82" t="str">
        <f t="array" aca="1" ref="I82" ca="1">IFERROR(INDEX(Source!$A$1:$A$250,SMALL(IF(--(Source!$B$1:$B$250=$O82)*--(Source!$E$1:$E$250=$M$3)*--(Source!$D$1:$D$250=Pyramid!$M82),ROW(Source!$B$1:$B$250),FALSE),I$3)),"")</f>
        <v/>
      </c>
      <c r="J82" t="str">
        <f t="array" aca="1" ref="J82" ca="1">IFERROR(INDEX(Source!$A$1:$A$250,SMALL(IF(--(Source!$B$1:$B$250=$O82)*--(Source!$E$1:$E$250=$M$3)*--(Source!$D$1:$D$250=Pyramid!$M82),ROW(Source!$B$1:$B$250),FALSE),J$3)),"")</f>
        <v/>
      </c>
      <c r="K82" t="str">
        <f t="array" aca="1" ref="K82" ca="1">IFERROR(INDEX(Source!$A$1:$A$250,SMALL(IF(--(Source!$B$1:$B$250=$O82)*--(Source!$E$1:$E$250=$M$3)*--(Source!$D$1:$D$250=Pyramid!$M82),ROW(Source!$B$1:$B$250),FALSE),K$3)),"")</f>
        <v/>
      </c>
      <c r="L82" t="str">
        <f t="array" aca="1" ref="L82" ca="1">IFERROR(INDEX(Source!$A$1:$A$250,SMALL(IF(--(Source!$B$1:$B$250=$O82)*--(Source!$E$1:$E$250=$M$3)*--(Source!$D$1:$D$250=Pyramid!$M82),ROW(Source!$B$1:$B$250),FALSE),L$3)),"")</f>
        <v/>
      </c>
      <c r="M82" t="str">
        <f t="shared" si="5"/>
        <v>29/9/2016</v>
      </c>
      <c r="N82">
        <f ca="1">COUNTIFS(Source!B:B,Pyramid!$O82,Source!$D:$D,Pyramid!$M82,Source!$E:$E,Pyramid!$M$3)</f>
        <v>0</v>
      </c>
      <c r="O82">
        <f ca="1">OFFSET(Sheet2!$N$3,INT(C82/5),)</f>
        <v>18800</v>
      </c>
      <c r="P82">
        <f ca="1">COUNTIFS(Source!B:B,Pyramid!$O82,Source!D:D,Pyramid!$Q82,Source!$E:$E,Pyramid!$Q$3)</f>
        <v>3</v>
      </c>
      <c r="Q82" t="str">
        <f t="shared" si="5"/>
        <v>29/9/2016</v>
      </c>
      <c r="R82" t="str">
        <f t="array" aca="1" ref="R82" ca="1">IFERROR(INDEX(Source!$A$1:$A$250,SMALL(IF(--(Source!$B$1:$B$250=$O82)*--(Source!$E$1:$E$250=$Q$3)*--(Source!$D$1:$D$250=Pyramid!$Q82),ROW(Source!$B$1:$B$250),FALSE),R$3)),"")</f>
        <v>26874 HK Equity</v>
      </c>
      <c r="S82" t="str">
        <f t="array" aca="1" ref="S82" ca="1">IFERROR(INDEX(Source!$A$1:$A$250,SMALL(IF(--(Source!$B$1:$B$250=$O82)*--(Source!$E$1:$E$250=$Q$3)*--(Source!$D$1:$D$250=Pyramid!$Q82),ROW(Source!$B$1:$B$250),FALSE),S$3)),"")</f>
        <v>26703 HK Equity</v>
      </c>
      <c r="T82" t="str">
        <f t="array" aca="1" ref="T82" ca="1">IFERROR(INDEX(Source!$A$1:$A$250,SMALL(IF(--(Source!$B$1:$B$250=$O82)*--(Source!$E$1:$E$250=$Q$3)*--(Source!$D$1:$D$250=Pyramid!$Q82),ROW(Source!$B$1:$B$250),FALSE),T$3)),"")</f>
        <v>28172 HK Equity</v>
      </c>
      <c r="U82" t="str">
        <f t="array" aca="1" ref="U82" ca="1">IFERROR(INDEX(Source!$A$1:$A$250,SMALL(IF(--(Source!$B$1:$B$250=$O82)*--(Source!$E$1:$E$250=$Q$3)*--(Source!$D$1:$D$250=Pyramid!$Q82),ROW(Source!$B$1:$B$250),FALSE),U$3)),"")</f>
        <v/>
      </c>
      <c r="V82" t="str">
        <f t="array" aca="1" ref="V82" ca="1">IFERROR(INDEX(Source!$A$1:$A$250,SMALL(IF(--(Source!$B$1:$B$250=$O82)*--(Source!$E$1:$E$250=$Q$3)*--(Source!$D$1:$D$250=Pyramid!$Q82),ROW(Source!$B$1:$B$250),FALSE),V$3)),"")</f>
        <v/>
      </c>
      <c r="W82" t="str">
        <f t="array" aca="1" ref="W82" ca="1">IFERROR(INDEX(Source!$A$1:$A$250,SMALL(IF(--(Source!$B$1:$B$250=$O82)*--(Source!$E$1:$E$250=$Q$3)*--(Source!$D$1:$D$250=Pyramid!$Q82),ROW(Source!$B$1:$B$250),FALSE),W$3)),"")</f>
        <v/>
      </c>
      <c r="X82" t="str">
        <f t="array" aca="1" ref="X82" ca="1">IFERROR(INDEX(Source!$A$1:$A$250,SMALL(IF(--(Source!$B$1:$B$250=$O82)*--(Source!$E$1:$E$250=$Q$3)*--(Source!$D$1:$D$250=Pyramid!$Q82),ROW(Source!$B$1:$B$250),FALSE),X$3)),"")</f>
        <v/>
      </c>
      <c r="Y82" s="5">
        <f t="shared" ca="1" si="6"/>
        <v>0</v>
      </c>
    </row>
    <row r="83" spans="3:25">
      <c r="C83">
        <v>79</v>
      </c>
      <c r="D83" s="5">
        <f t="shared" ca="1" si="4"/>
        <v>0</v>
      </c>
      <c r="E83" t="str">
        <f t="array" aca="1" ref="E83" ca="1">IFERROR(INDEX(Source!$A$1:$A$250,SMALL(IF(--(Source!$B$1:$B$250=$O83)*--(Source!$E$1:$E$250=$M$3)*--(Source!$D$1:$D$250=Pyramid!$M83),ROW(Source!$B$1:$B$250),FALSE),E$3)),"")</f>
        <v/>
      </c>
      <c r="F83" t="str">
        <f t="array" aca="1" ref="F83" ca="1">IFERROR(INDEX(Source!$A$1:$A$250,SMALL(IF(--(Source!$B$1:$B$250=$O83)*--(Source!$E$1:$E$250=$M$3)*--(Source!$D$1:$D$250=Pyramid!$M83),ROW(Source!$B$1:$B$250),FALSE),F$3)),"")</f>
        <v/>
      </c>
      <c r="G83" t="str">
        <f t="array" aca="1" ref="G83" ca="1">IFERROR(INDEX(Source!$A$1:$A$250,SMALL(IF(--(Source!$B$1:$B$250=$O83)*--(Source!$E$1:$E$250=$M$3)*--(Source!$D$1:$D$250=Pyramid!$M83),ROW(Source!$B$1:$B$250),FALSE),G$3)),"")</f>
        <v/>
      </c>
      <c r="H83" t="str">
        <f t="array" aca="1" ref="H83" ca="1">IFERROR(INDEX(Source!$A$1:$A$250,SMALL(IF(--(Source!$B$1:$B$250=$O83)*--(Source!$E$1:$E$250=$M$3)*--(Source!$D$1:$D$250=Pyramid!$M83),ROW(Source!$B$1:$B$250),FALSE),H$3)),"")</f>
        <v/>
      </c>
      <c r="I83" t="str">
        <f t="array" aca="1" ref="I83" ca="1">IFERROR(INDEX(Source!$A$1:$A$250,SMALL(IF(--(Source!$B$1:$B$250=$O83)*--(Source!$E$1:$E$250=$M$3)*--(Source!$D$1:$D$250=Pyramid!$M83),ROW(Source!$B$1:$B$250),FALSE),I$3)),"")</f>
        <v/>
      </c>
      <c r="J83" t="str">
        <f t="array" aca="1" ref="J83" ca="1">IFERROR(INDEX(Source!$A$1:$A$250,SMALL(IF(--(Source!$B$1:$B$250=$O83)*--(Source!$E$1:$E$250=$M$3)*--(Source!$D$1:$D$250=Pyramid!$M83),ROW(Source!$B$1:$B$250),FALSE),J$3)),"")</f>
        <v/>
      </c>
      <c r="K83" t="str">
        <f t="array" aca="1" ref="K83" ca="1">IFERROR(INDEX(Source!$A$1:$A$250,SMALL(IF(--(Source!$B$1:$B$250=$O83)*--(Source!$E$1:$E$250=$M$3)*--(Source!$D$1:$D$250=Pyramid!$M83),ROW(Source!$B$1:$B$250),FALSE),K$3)),"")</f>
        <v/>
      </c>
      <c r="L83" t="str">
        <f t="array" aca="1" ref="L83" ca="1">IFERROR(INDEX(Source!$A$1:$A$250,SMALL(IF(--(Source!$B$1:$B$250=$O83)*--(Source!$E$1:$E$250=$M$3)*--(Source!$D$1:$D$250=Pyramid!$M83),ROW(Source!$B$1:$B$250),FALSE),L$3)),"")</f>
        <v/>
      </c>
      <c r="M83" t="str">
        <f t="shared" si="5"/>
        <v>28/10/2016</v>
      </c>
      <c r="N83">
        <f ca="1">COUNTIFS(Source!B:B,Pyramid!$O83,Source!$D:$D,Pyramid!$M83,Source!$E:$E,Pyramid!$M$3)</f>
        <v>0</v>
      </c>
      <c r="O83">
        <f ca="1">OFFSET(Sheet2!$N$3,INT(C83/5),)</f>
        <v>18800</v>
      </c>
      <c r="P83">
        <f ca="1">COUNTIFS(Source!B:B,Pyramid!$O83,Source!D:D,Pyramid!$Q83,Source!$E:$E,Pyramid!$Q$3)</f>
        <v>3</v>
      </c>
      <c r="Q83" t="str">
        <f t="shared" si="5"/>
        <v>28/10/2016</v>
      </c>
      <c r="R83" t="str">
        <f t="array" aca="1" ref="R83" ca="1">IFERROR(INDEX(Source!$A$1:$A$250,SMALL(IF(--(Source!$B$1:$B$250=$O83)*--(Source!$E$1:$E$250=$Q$3)*--(Source!$D$1:$D$250=Pyramid!$Q83),ROW(Source!$B$1:$B$250),FALSE),R$3)),"")</f>
        <v>25713 HK Equity</v>
      </c>
      <c r="S83" t="str">
        <f t="array" aca="1" ref="S83" ca="1">IFERROR(INDEX(Source!$A$1:$A$250,SMALL(IF(--(Source!$B$1:$B$250=$O83)*--(Source!$E$1:$E$250=$Q$3)*--(Source!$D$1:$D$250=Pyramid!$Q83),ROW(Source!$B$1:$B$250),FALSE),S$3)),"")</f>
        <v>28131 HK Equity</v>
      </c>
      <c r="T83" t="str">
        <f t="array" aca="1" ref="T83" ca="1">IFERROR(INDEX(Source!$A$1:$A$250,SMALL(IF(--(Source!$B$1:$B$250=$O83)*--(Source!$E$1:$E$250=$Q$3)*--(Source!$D$1:$D$250=Pyramid!$Q83),ROW(Source!$B$1:$B$250),FALSE),T$3)),"")</f>
        <v>27359 HK Equity</v>
      </c>
      <c r="U83" t="str">
        <f t="array" aca="1" ref="U83" ca="1">IFERROR(INDEX(Source!$A$1:$A$250,SMALL(IF(--(Source!$B$1:$B$250=$O83)*--(Source!$E$1:$E$250=$Q$3)*--(Source!$D$1:$D$250=Pyramid!$Q83),ROW(Source!$B$1:$B$250),FALSE),U$3)),"")</f>
        <v/>
      </c>
      <c r="V83" t="str">
        <f t="array" aca="1" ref="V83" ca="1">IFERROR(INDEX(Source!$A$1:$A$250,SMALL(IF(--(Source!$B$1:$B$250=$O83)*--(Source!$E$1:$E$250=$Q$3)*--(Source!$D$1:$D$250=Pyramid!$Q83),ROW(Source!$B$1:$B$250),FALSE),V$3)),"")</f>
        <v/>
      </c>
      <c r="W83" t="str">
        <f t="array" aca="1" ref="W83" ca="1">IFERROR(INDEX(Source!$A$1:$A$250,SMALL(IF(--(Source!$B$1:$B$250=$O83)*--(Source!$E$1:$E$250=$Q$3)*--(Source!$D$1:$D$250=Pyramid!$Q83),ROW(Source!$B$1:$B$250),FALSE),W$3)),"")</f>
        <v/>
      </c>
      <c r="X83" t="str">
        <f t="array" aca="1" ref="X83" ca="1">IFERROR(INDEX(Source!$A$1:$A$250,SMALL(IF(--(Source!$B$1:$B$250=$O83)*--(Source!$E$1:$E$250=$Q$3)*--(Source!$D$1:$D$250=Pyramid!$Q83),ROW(Source!$B$1:$B$250),FALSE),X$3)),"")</f>
        <v/>
      </c>
      <c r="Y83" s="5">
        <f t="shared" ca="1" si="6"/>
        <v>0</v>
      </c>
    </row>
    <row r="84" spans="3:25">
      <c r="C84">
        <v>80</v>
      </c>
      <c r="D84" s="5">
        <f t="shared" ca="1" si="4"/>
        <v>0</v>
      </c>
      <c r="E84" t="str">
        <f t="array" aca="1" ref="E84" ca="1">IFERROR(INDEX(Source!$A$1:$A$250,SMALL(IF(--(Source!$B$1:$B$250=$O84)*--(Source!$E$1:$E$250=$M$3)*--(Source!$D$1:$D$250=Pyramid!$M84),ROW(Source!$B$1:$B$250),FALSE),E$3)),"")</f>
        <v/>
      </c>
      <c r="F84" t="str">
        <f t="array" aca="1" ref="F84" ca="1">IFERROR(INDEX(Source!$A$1:$A$250,SMALL(IF(--(Source!$B$1:$B$250=$O84)*--(Source!$E$1:$E$250=$M$3)*--(Source!$D$1:$D$250=Pyramid!$M84),ROW(Source!$B$1:$B$250),FALSE),F$3)),"")</f>
        <v/>
      </c>
      <c r="G84" t="str">
        <f t="array" aca="1" ref="G84" ca="1">IFERROR(INDEX(Source!$A$1:$A$250,SMALL(IF(--(Source!$B$1:$B$250=$O84)*--(Source!$E$1:$E$250=$M$3)*--(Source!$D$1:$D$250=Pyramid!$M84),ROW(Source!$B$1:$B$250),FALSE),G$3)),"")</f>
        <v/>
      </c>
      <c r="H84" t="str">
        <f t="array" aca="1" ref="H84" ca="1">IFERROR(INDEX(Source!$A$1:$A$250,SMALL(IF(--(Source!$B$1:$B$250=$O84)*--(Source!$E$1:$E$250=$M$3)*--(Source!$D$1:$D$250=Pyramid!$M84),ROW(Source!$B$1:$B$250),FALSE),H$3)),"")</f>
        <v/>
      </c>
      <c r="I84" t="str">
        <f t="array" aca="1" ref="I84" ca="1">IFERROR(INDEX(Source!$A$1:$A$250,SMALL(IF(--(Source!$B$1:$B$250=$O84)*--(Source!$E$1:$E$250=$M$3)*--(Source!$D$1:$D$250=Pyramid!$M84),ROW(Source!$B$1:$B$250),FALSE),I$3)),"")</f>
        <v/>
      </c>
      <c r="J84" t="str">
        <f t="array" aca="1" ref="J84" ca="1">IFERROR(INDEX(Source!$A$1:$A$250,SMALL(IF(--(Source!$B$1:$B$250=$O84)*--(Source!$E$1:$E$250=$M$3)*--(Source!$D$1:$D$250=Pyramid!$M84),ROW(Source!$B$1:$B$250),FALSE),J$3)),"")</f>
        <v/>
      </c>
      <c r="K84" t="str">
        <f t="array" aca="1" ref="K84" ca="1">IFERROR(INDEX(Source!$A$1:$A$250,SMALL(IF(--(Source!$B$1:$B$250=$O84)*--(Source!$E$1:$E$250=$M$3)*--(Source!$D$1:$D$250=Pyramid!$M84),ROW(Source!$B$1:$B$250),FALSE),K$3)),"")</f>
        <v/>
      </c>
      <c r="L84" t="str">
        <f t="array" aca="1" ref="L84" ca="1">IFERROR(INDEX(Source!$A$1:$A$250,SMALL(IF(--(Source!$B$1:$B$250=$O84)*--(Source!$E$1:$E$250=$M$3)*--(Source!$D$1:$D$250=Pyramid!$M84),ROW(Source!$B$1:$B$250),FALSE),L$3)),"")</f>
        <v/>
      </c>
      <c r="M84" t="str">
        <f t="shared" si="5"/>
        <v>29/6/2016</v>
      </c>
      <c r="N84">
        <f ca="1">COUNTIFS(Source!B:B,Pyramid!$O84,Source!$D:$D,Pyramid!$M84,Source!$E:$E,Pyramid!$M$3)</f>
        <v>0</v>
      </c>
      <c r="O84">
        <f ca="1">OFFSET(Sheet2!$N$3,INT(C84/5),)</f>
        <v>18828</v>
      </c>
      <c r="P84">
        <f ca="1">COUNTIFS(Source!B:B,Pyramid!$O84,Source!D:D,Pyramid!$Q84,Source!$E:$E,Pyramid!$Q$3)</f>
        <v>0</v>
      </c>
      <c r="Q84" t="str">
        <f t="shared" si="5"/>
        <v>29/6/2016</v>
      </c>
      <c r="R84" t="str">
        <f t="array" aca="1" ref="R84" ca="1">IFERROR(INDEX(Source!$A$1:$A$250,SMALL(IF(--(Source!$B$1:$B$250=$O84)*--(Source!$E$1:$E$250=$Q$3)*--(Source!$D$1:$D$250=Pyramid!$Q84),ROW(Source!$B$1:$B$250),FALSE),R$3)),"")</f>
        <v/>
      </c>
      <c r="S84" t="str">
        <f t="array" aca="1" ref="S84" ca="1">IFERROR(INDEX(Source!$A$1:$A$250,SMALL(IF(--(Source!$B$1:$B$250=$O84)*--(Source!$E$1:$E$250=$Q$3)*--(Source!$D$1:$D$250=Pyramid!$Q84),ROW(Source!$B$1:$B$250),FALSE),S$3)),"")</f>
        <v/>
      </c>
      <c r="T84" t="str">
        <f t="array" aca="1" ref="T84" ca="1">IFERROR(INDEX(Source!$A$1:$A$250,SMALL(IF(--(Source!$B$1:$B$250=$O84)*--(Source!$E$1:$E$250=$Q$3)*--(Source!$D$1:$D$250=Pyramid!$Q84),ROW(Source!$B$1:$B$250),FALSE),T$3)),"")</f>
        <v/>
      </c>
      <c r="U84" t="str">
        <f t="array" aca="1" ref="U84" ca="1">IFERROR(INDEX(Source!$A$1:$A$250,SMALL(IF(--(Source!$B$1:$B$250=$O84)*--(Source!$E$1:$E$250=$Q$3)*--(Source!$D$1:$D$250=Pyramid!$Q84),ROW(Source!$B$1:$B$250),FALSE),U$3)),"")</f>
        <v/>
      </c>
      <c r="V84" t="str">
        <f t="array" aca="1" ref="V84" ca="1">IFERROR(INDEX(Source!$A$1:$A$250,SMALL(IF(--(Source!$B$1:$B$250=$O84)*--(Source!$E$1:$E$250=$Q$3)*--(Source!$D$1:$D$250=Pyramid!$Q84),ROW(Source!$B$1:$B$250),FALSE),V$3)),"")</f>
        <v/>
      </c>
      <c r="W84" t="str">
        <f t="array" aca="1" ref="W84" ca="1">IFERROR(INDEX(Source!$A$1:$A$250,SMALL(IF(--(Source!$B$1:$B$250=$O84)*--(Source!$E$1:$E$250=$Q$3)*--(Source!$D$1:$D$250=Pyramid!$Q84),ROW(Source!$B$1:$B$250),FALSE),W$3)),"")</f>
        <v/>
      </c>
      <c r="X84" t="str">
        <f t="array" aca="1" ref="X84" ca="1">IFERROR(INDEX(Source!$A$1:$A$250,SMALL(IF(--(Source!$B$1:$B$250=$O84)*--(Source!$E$1:$E$250=$Q$3)*--(Source!$D$1:$D$250=Pyramid!$Q84),ROW(Source!$B$1:$B$250),FALSE),X$3)),"")</f>
        <v/>
      </c>
      <c r="Y84" s="5">
        <f t="shared" ca="1" si="6"/>
        <v>0</v>
      </c>
    </row>
    <row r="85" spans="3:25">
      <c r="C85">
        <v>81</v>
      </c>
      <c r="D85" s="5">
        <f t="shared" ca="1" si="4"/>
        <v>0</v>
      </c>
      <c r="E85" t="str">
        <f t="array" aca="1" ref="E85" ca="1">IFERROR(INDEX(Source!$A$1:$A$250,SMALL(IF(--(Source!$B$1:$B$250=$O85)*--(Source!$E$1:$E$250=$M$3)*--(Source!$D$1:$D$250=Pyramid!$M85),ROW(Source!$B$1:$B$250),FALSE),E$3)),"")</f>
        <v/>
      </c>
      <c r="F85" t="str">
        <f t="array" aca="1" ref="F85" ca="1">IFERROR(INDEX(Source!$A$1:$A$250,SMALL(IF(--(Source!$B$1:$B$250=$O85)*--(Source!$E$1:$E$250=$M$3)*--(Source!$D$1:$D$250=Pyramid!$M85),ROW(Source!$B$1:$B$250),FALSE),F$3)),"")</f>
        <v/>
      </c>
      <c r="G85" t="str">
        <f t="array" aca="1" ref="G85" ca="1">IFERROR(INDEX(Source!$A$1:$A$250,SMALL(IF(--(Source!$B$1:$B$250=$O85)*--(Source!$E$1:$E$250=$M$3)*--(Source!$D$1:$D$250=Pyramid!$M85),ROW(Source!$B$1:$B$250),FALSE),G$3)),"")</f>
        <v/>
      </c>
      <c r="H85" t="str">
        <f t="array" aca="1" ref="H85" ca="1">IFERROR(INDEX(Source!$A$1:$A$250,SMALL(IF(--(Source!$B$1:$B$250=$O85)*--(Source!$E$1:$E$250=$M$3)*--(Source!$D$1:$D$250=Pyramid!$M85),ROW(Source!$B$1:$B$250),FALSE),H$3)),"")</f>
        <v/>
      </c>
      <c r="I85" t="str">
        <f t="array" aca="1" ref="I85" ca="1">IFERROR(INDEX(Source!$A$1:$A$250,SMALL(IF(--(Source!$B$1:$B$250=$O85)*--(Source!$E$1:$E$250=$M$3)*--(Source!$D$1:$D$250=Pyramid!$M85),ROW(Source!$B$1:$B$250),FALSE),I$3)),"")</f>
        <v/>
      </c>
      <c r="J85" t="str">
        <f t="array" aca="1" ref="J85" ca="1">IFERROR(INDEX(Source!$A$1:$A$250,SMALL(IF(--(Source!$B$1:$B$250=$O85)*--(Source!$E$1:$E$250=$M$3)*--(Source!$D$1:$D$250=Pyramid!$M85),ROW(Source!$B$1:$B$250),FALSE),J$3)),"")</f>
        <v/>
      </c>
      <c r="K85" t="str">
        <f t="array" aca="1" ref="K85" ca="1">IFERROR(INDEX(Source!$A$1:$A$250,SMALL(IF(--(Source!$B$1:$B$250=$O85)*--(Source!$E$1:$E$250=$M$3)*--(Source!$D$1:$D$250=Pyramid!$M85),ROW(Source!$B$1:$B$250),FALSE),K$3)),"")</f>
        <v/>
      </c>
      <c r="L85" t="str">
        <f t="array" aca="1" ref="L85" ca="1">IFERROR(INDEX(Source!$A$1:$A$250,SMALL(IF(--(Source!$B$1:$B$250=$O85)*--(Source!$E$1:$E$250=$M$3)*--(Source!$D$1:$D$250=Pyramid!$M85),ROW(Source!$B$1:$B$250),FALSE),L$3)),"")</f>
        <v/>
      </c>
      <c r="M85" t="str">
        <f t="shared" si="5"/>
        <v>28/7/2016</v>
      </c>
      <c r="N85">
        <f ca="1">COUNTIFS(Source!B:B,Pyramid!$O85,Source!$D:$D,Pyramid!$M85,Source!$E:$E,Pyramid!$M$3)</f>
        <v>0</v>
      </c>
      <c r="O85">
        <f ca="1">OFFSET(Sheet2!$N$3,INT(C85/5),)</f>
        <v>18828</v>
      </c>
      <c r="P85">
        <f ca="1">COUNTIFS(Source!B:B,Pyramid!$O85,Source!D:D,Pyramid!$Q85,Source!$E:$E,Pyramid!$Q$3)</f>
        <v>0</v>
      </c>
      <c r="Q85" t="str">
        <f t="shared" si="5"/>
        <v>28/7/2016</v>
      </c>
      <c r="R85" t="str">
        <f t="array" aca="1" ref="R85" ca="1">IFERROR(INDEX(Source!$A$1:$A$250,SMALL(IF(--(Source!$B$1:$B$250=$O85)*--(Source!$E$1:$E$250=$Q$3)*--(Source!$D$1:$D$250=Pyramid!$Q85),ROW(Source!$B$1:$B$250),FALSE),R$3)),"")</f>
        <v/>
      </c>
      <c r="S85" t="str">
        <f t="array" aca="1" ref="S85" ca="1">IFERROR(INDEX(Source!$A$1:$A$250,SMALL(IF(--(Source!$B$1:$B$250=$O85)*--(Source!$E$1:$E$250=$Q$3)*--(Source!$D$1:$D$250=Pyramid!$Q85),ROW(Source!$B$1:$B$250),FALSE),S$3)),"")</f>
        <v/>
      </c>
      <c r="T85" t="str">
        <f t="array" aca="1" ref="T85" ca="1">IFERROR(INDEX(Source!$A$1:$A$250,SMALL(IF(--(Source!$B$1:$B$250=$O85)*--(Source!$E$1:$E$250=$Q$3)*--(Source!$D$1:$D$250=Pyramid!$Q85),ROW(Source!$B$1:$B$250),FALSE),T$3)),"")</f>
        <v/>
      </c>
      <c r="U85" t="str">
        <f t="array" aca="1" ref="U85" ca="1">IFERROR(INDEX(Source!$A$1:$A$250,SMALL(IF(--(Source!$B$1:$B$250=$O85)*--(Source!$E$1:$E$250=$Q$3)*--(Source!$D$1:$D$250=Pyramid!$Q85),ROW(Source!$B$1:$B$250),FALSE),U$3)),"")</f>
        <v/>
      </c>
      <c r="V85" t="str">
        <f t="array" aca="1" ref="V85" ca="1">IFERROR(INDEX(Source!$A$1:$A$250,SMALL(IF(--(Source!$B$1:$B$250=$O85)*--(Source!$E$1:$E$250=$Q$3)*--(Source!$D$1:$D$250=Pyramid!$Q85),ROW(Source!$B$1:$B$250),FALSE),V$3)),"")</f>
        <v/>
      </c>
      <c r="W85" t="str">
        <f t="array" aca="1" ref="W85" ca="1">IFERROR(INDEX(Source!$A$1:$A$250,SMALL(IF(--(Source!$B$1:$B$250=$O85)*--(Source!$E$1:$E$250=$Q$3)*--(Source!$D$1:$D$250=Pyramid!$Q85),ROW(Source!$B$1:$B$250),FALSE),W$3)),"")</f>
        <v/>
      </c>
      <c r="X85" t="str">
        <f t="array" aca="1" ref="X85" ca="1">IFERROR(INDEX(Source!$A$1:$A$250,SMALL(IF(--(Source!$B$1:$B$250=$O85)*--(Source!$E$1:$E$250=$Q$3)*--(Source!$D$1:$D$250=Pyramid!$Q85),ROW(Source!$B$1:$B$250),FALSE),X$3)),"")</f>
        <v/>
      </c>
      <c r="Y85" s="5">
        <f t="shared" ca="1" si="6"/>
        <v>0</v>
      </c>
    </row>
    <row r="86" spans="3:25">
      <c r="C86">
        <v>82</v>
      </c>
      <c r="D86" s="5">
        <f t="shared" ca="1" si="4"/>
        <v>0</v>
      </c>
      <c r="E86" t="str">
        <f t="array" aca="1" ref="E86" ca="1">IFERROR(INDEX(Source!$A$1:$A$250,SMALL(IF(--(Source!$B$1:$B$250=$O86)*--(Source!$E$1:$E$250=$M$3)*--(Source!$D$1:$D$250=Pyramid!$M86),ROW(Source!$B$1:$B$250),FALSE),E$3)),"")</f>
        <v/>
      </c>
      <c r="F86" t="str">
        <f t="array" aca="1" ref="F86" ca="1">IFERROR(INDEX(Source!$A$1:$A$250,SMALL(IF(--(Source!$B$1:$B$250=$O86)*--(Source!$E$1:$E$250=$M$3)*--(Source!$D$1:$D$250=Pyramid!$M86),ROW(Source!$B$1:$B$250),FALSE),F$3)),"")</f>
        <v/>
      </c>
      <c r="G86" t="str">
        <f t="array" aca="1" ref="G86" ca="1">IFERROR(INDEX(Source!$A$1:$A$250,SMALL(IF(--(Source!$B$1:$B$250=$O86)*--(Source!$E$1:$E$250=$M$3)*--(Source!$D$1:$D$250=Pyramid!$M86),ROW(Source!$B$1:$B$250),FALSE),G$3)),"")</f>
        <v/>
      </c>
      <c r="H86" t="str">
        <f t="array" aca="1" ref="H86" ca="1">IFERROR(INDEX(Source!$A$1:$A$250,SMALL(IF(--(Source!$B$1:$B$250=$O86)*--(Source!$E$1:$E$250=$M$3)*--(Source!$D$1:$D$250=Pyramid!$M86),ROW(Source!$B$1:$B$250),FALSE),H$3)),"")</f>
        <v/>
      </c>
      <c r="I86" t="str">
        <f t="array" aca="1" ref="I86" ca="1">IFERROR(INDEX(Source!$A$1:$A$250,SMALL(IF(--(Source!$B$1:$B$250=$O86)*--(Source!$E$1:$E$250=$M$3)*--(Source!$D$1:$D$250=Pyramid!$M86),ROW(Source!$B$1:$B$250),FALSE),I$3)),"")</f>
        <v/>
      </c>
      <c r="J86" t="str">
        <f t="array" aca="1" ref="J86" ca="1">IFERROR(INDEX(Source!$A$1:$A$250,SMALL(IF(--(Source!$B$1:$B$250=$O86)*--(Source!$E$1:$E$250=$M$3)*--(Source!$D$1:$D$250=Pyramid!$M86),ROW(Source!$B$1:$B$250),FALSE),J$3)),"")</f>
        <v/>
      </c>
      <c r="K86" t="str">
        <f t="array" aca="1" ref="K86" ca="1">IFERROR(INDEX(Source!$A$1:$A$250,SMALL(IF(--(Source!$B$1:$B$250=$O86)*--(Source!$E$1:$E$250=$M$3)*--(Source!$D$1:$D$250=Pyramid!$M86),ROW(Source!$B$1:$B$250),FALSE),K$3)),"")</f>
        <v/>
      </c>
      <c r="L86" t="str">
        <f t="array" aca="1" ref="L86" ca="1">IFERROR(INDEX(Source!$A$1:$A$250,SMALL(IF(--(Source!$B$1:$B$250=$O86)*--(Source!$E$1:$E$250=$M$3)*--(Source!$D$1:$D$250=Pyramid!$M86),ROW(Source!$B$1:$B$250),FALSE),L$3)),"")</f>
        <v/>
      </c>
      <c r="M86" t="str">
        <f t="shared" si="5"/>
        <v>30/8/2016</v>
      </c>
      <c r="N86">
        <f ca="1">COUNTIFS(Source!B:B,Pyramid!$O86,Source!$D:$D,Pyramid!$M86,Source!$E:$E,Pyramid!$M$3)</f>
        <v>0</v>
      </c>
      <c r="O86">
        <f ca="1">OFFSET(Sheet2!$N$3,INT(C86/5),)</f>
        <v>18828</v>
      </c>
      <c r="P86">
        <f ca="1">COUNTIFS(Source!B:B,Pyramid!$O86,Source!D:D,Pyramid!$Q86,Source!$E:$E,Pyramid!$Q$3)</f>
        <v>0</v>
      </c>
      <c r="Q86" t="str">
        <f t="shared" si="5"/>
        <v>30/8/2016</v>
      </c>
      <c r="R86" t="str">
        <f t="array" aca="1" ref="R86" ca="1">IFERROR(INDEX(Source!$A$1:$A$250,SMALL(IF(--(Source!$B$1:$B$250=$O86)*--(Source!$E$1:$E$250=$Q$3)*--(Source!$D$1:$D$250=Pyramid!$Q86),ROW(Source!$B$1:$B$250),FALSE),R$3)),"")</f>
        <v/>
      </c>
      <c r="S86" t="str">
        <f t="array" aca="1" ref="S86" ca="1">IFERROR(INDEX(Source!$A$1:$A$250,SMALL(IF(--(Source!$B$1:$B$250=$O86)*--(Source!$E$1:$E$250=$Q$3)*--(Source!$D$1:$D$250=Pyramid!$Q86),ROW(Source!$B$1:$B$250),FALSE),S$3)),"")</f>
        <v/>
      </c>
      <c r="T86" t="str">
        <f t="array" aca="1" ref="T86" ca="1">IFERROR(INDEX(Source!$A$1:$A$250,SMALL(IF(--(Source!$B$1:$B$250=$O86)*--(Source!$E$1:$E$250=$Q$3)*--(Source!$D$1:$D$250=Pyramid!$Q86),ROW(Source!$B$1:$B$250),FALSE),T$3)),"")</f>
        <v/>
      </c>
      <c r="U86" t="str">
        <f t="array" aca="1" ref="U86" ca="1">IFERROR(INDEX(Source!$A$1:$A$250,SMALL(IF(--(Source!$B$1:$B$250=$O86)*--(Source!$E$1:$E$250=$Q$3)*--(Source!$D$1:$D$250=Pyramid!$Q86),ROW(Source!$B$1:$B$250),FALSE),U$3)),"")</f>
        <v/>
      </c>
      <c r="V86" t="str">
        <f t="array" aca="1" ref="V86" ca="1">IFERROR(INDEX(Source!$A$1:$A$250,SMALL(IF(--(Source!$B$1:$B$250=$O86)*--(Source!$E$1:$E$250=$Q$3)*--(Source!$D$1:$D$250=Pyramid!$Q86),ROW(Source!$B$1:$B$250),FALSE),V$3)),"")</f>
        <v/>
      </c>
      <c r="W86" t="str">
        <f t="array" aca="1" ref="W86" ca="1">IFERROR(INDEX(Source!$A$1:$A$250,SMALL(IF(--(Source!$B$1:$B$250=$O86)*--(Source!$E$1:$E$250=$Q$3)*--(Source!$D$1:$D$250=Pyramid!$Q86),ROW(Source!$B$1:$B$250),FALSE),W$3)),"")</f>
        <v/>
      </c>
      <c r="X86" t="str">
        <f t="array" aca="1" ref="X86" ca="1">IFERROR(INDEX(Source!$A$1:$A$250,SMALL(IF(--(Source!$B$1:$B$250=$O86)*--(Source!$E$1:$E$250=$Q$3)*--(Source!$D$1:$D$250=Pyramid!$Q86),ROW(Source!$B$1:$B$250),FALSE),X$3)),"")</f>
        <v/>
      </c>
      <c r="Y86" s="5">
        <f t="shared" ca="1" si="6"/>
        <v>0</v>
      </c>
    </row>
    <row r="87" spans="3:25">
      <c r="C87">
        <v>83</v>
      </c>
      <c r="D87" s="5">
        <f t="shared" ca="1" si="4"/>
        <v>0</v>
      </c>
      <c r="E87" t="str">
        <f t="array" aca="1" ref="E87" ca="1">IFERROR(INDEX(Source!$A$1:$A$250,SMALL(IF(--(Source!$B$1:$B$250=$O87)*--(Source!$E$1:$E$250=$M$3)*--(Source!$D$1:$D$250=Pyramid!$M87),ROW(Source!$B$1:$B$250),FALSE),E$3)),"")</f>
        <v/>
      </c>
      <c r="F87" t="str">
        <f t="array" aca="1" ref="F87" ca="1">IFERROR(INDEX(Source!$A$1:$A$250,SMALL(IF(--(Source!$B$1:$B$250=$O87)*--(Source!$E$1:$E$250=$M$3)*--(Source!$D$1:$D$250=Pyramid!$M87),ROW(Source!$B$1:$B$250),FALSE),F$3)),"")</f>
        <v/>
      </c>
      <c r="G87" t="str">
        <f t="array" aca="1" ref="G87" ca="1">IFERROR(INDEX(Source!$A$1:$A$250,SMALL(IF(--(Source!$B$1:$B$250=$O87)*--(Source!$E$1:$E$250=$M$3)*--(Source!$D$1:$D$250=Pyramid!$M87),ROW(Source!$B$1:$B$250),FALSE),G$3)),"")</f>
        <v/>
      </c>
      <c r="H87" t="str">
        <f t="array" aca="1" ref="H87" ca="1">IFERROR(INDEX(Source!$A$1:$A$250,SMALL(IF(--(Source!$B$1:$B$250=$O87)*--(Source!$E$1:$E$250=$M$3)*--(Source!$D$1:$D$250=Pyramid!$M87),ROW(Source!$B$1:$B$250),FALSE),H$3)),"")</f>
        <v/>
      </c>
      <c r="I87" t="str">
        <f t="array" aca="1" ref="I87" ca="1">IFERROR(INDEX(Source!$A$1:$A$250,SMALL(IF(--(Source!$B$1:$B$250=$O87)*--(Source!$E$1:$E$250=$M$3)*--(Source!$D$1:$D$250=Pyramid!$M87),ROW(Source!$B$1:$B$250),FALSE),I$3)),"")</f>
        <v/>
      </c>
      <c r="J87" t="str">
        <f t="array" aca="1" ref="J87" ca="1">IFERROR(INDEX(Source!$A$1:$A$250,SMALL(IF(--(Source!$B$1:$B$250=$O87)*--(Source!$E$1:$E$250=$M$3)*--(Source!$D$1:$D$250=Pyramid!$M87),ROW(Source!$B$1:$B$250),FALSE),J$3)),"")</f>
        <v/>
      </c>
      <c r="K87" t="str">
        <f t="array" aca="1" ref="K87" ca="1">IFERROR(INDEX(Source!$A$1:$A$250,SMALL(IF(--(Source!$B$1:$B$250=$O87)*--(Source!$E$1:$E$250=$M$3)*--(Source!$D$1:$D$250=Pyramid!$M87),ROW(Source!$B$1:$B$250),FALSE),K$3)),"")</f>
        <v/>
      </c>
      <c r="L87" t="str">
        <f t="array" aca="1" ref="L87" ca="1">IFERROR(INDEX(Source!$A$1:$A$250,SMALL(IF(--(Source!$B$1:$B$250=$O87)*--(Source!$E$1:$E$250=$M$3)*--(Source!$D$1:$D$250=Pyramid!$M87),ROW(Source!$B$1:$B$250),FALSE),L$3)),"")</f>
        <v/>
      </c>
      <c r="M87" t="str">
        <f t="shared" si="5"/>
        <v>29/9/2016</v>
      </c>
      <c r="N87">
        <f ca="1">COUNTIFS(Source!B:B,Pyramid!$O87,Source!$D:$D,Pyramid!$M87,Source!$E:$E,Pyramid!$M$3)</f>
        <v>0</v>
      </c>
      <c r="O87">
        <f ca="1">OFFSET(Sheet2!$N$3,INT(C87/5),)</f>
        <v>18828</v>
      </c>
      <c r="P87">
        <f ca="1">COUNTIFS(Source!B:B,Pyramid!$O87,Source!D:D,Pyramid!$Q87,Source!$E:$E,Pyramid!$Q$3)</f>
        <v>0</v>
      </c>
      <c r="Q87" t="str">
        <f t="shared" si="5"/>
        <v>29/9/2016</v>
      </c>
      <c r="R87" t="str">
        <f t="array" aca="1" ref="R87" ca="1">IFERROR(INDEX(Source!$A$1:$A$250,SMALL(IF(--(Source!$B$1:$B$250=$O87)*--(Source!$E$1:$E$250=$Q$3)*--(Source!$D$1:$D$250=Pyramid!$Q87),ROW(Source!$B$1:$B$250),FALSE),R$3)),"")</f>
        <v/>
      </c>
      <c r="S87" t="str">
        <f t="array" aca="1" ref="S87" ca="1">IFERROR(INDEX(Source!$A$1:$A$250,SMALL(IF(--(Source!$B$1:$B$250=$O87)*--(Source!$E$1:$E$250=$Q$3)*--(Source!$D$1:$D$250=Pyramid!$Q87),ROW(Source!$B$1:$B$250),FALSE),S$3)),"")</f>
        <v/>
      </c>
      <c r="T87" t="str">
        <f t="array" aca="1" ref="T87" ca="1">IFERROR(INDEX(Source!$A$1:$A$250,SMALL(IF(--(Source!$B$1:$B$250=$O87)*--(Source!$E$1:$E$250=$Q$3)*--(Source!$D$1:$D$250=Pyramid!$Q87),ROW(Source!$B$1:$B$250),FALSE),T$3)),"")</f>
        <v/>
      </c>
      <c r="U87" t="str">
        <f t="array" aca="1" ref="U87" ca="1">IFERROR(INDEX(Source!$A$1:$A$250,SMALL(IF(--(Source!$B$1:$B$250=$O87)*--(Source!$E$1:$E$250=$Q$3)*--(Source!$D$1:$D$250=Pyramid!$Q87),ROW(Source!$B$1:$B$250),FALSE),U$3)),"")</f>
        <v/>
      </c>
      <c r="V87" t="str">
        <f t="array" aca="1" ref="V87" ca="1">IFERROR(INDEX(Source!$A$1:$A$250,SMALL(IF(--(Source!$B$1:$B$250=$O87)*--(Source!$E$1:$E$250=$Q$3)*--(Source!$D$1:$D$250=Pyramid!$Q87),ROW(Source!$B$1:$B$250),FALSE),V$3)),"")</f>
        <v/>
      </c>
      <c r="W87" t="str">
        <f t="array" aca="1" ref="W87" ca="1">IFERROR(INDEX(Source!$A$1:$A$250,SMALL(IF(--(Source!$B$1:$B$250=$O87)*--(Source!$E$1:$E$250=$Q$3)*--(Source!$D$1:$D$250=Pyramid!$Q87),ROW(Source!$B$1:$B$250),FALSE),W$3)),"")</f>
        <v/>
      </c>
      <c r="X87" t="str">
        <f t="array" aca="1" ref="X87" ca="1">IFERROR(INDEX(Source!$A$1:$A$250,SMALL(IF(--(Source!$B$1:$B$250=$O87)*--(Source!$E$1:$E$250=$Q$3)*--(Source!$D$1:$D$250=Pyramid!$Q87),ROW(Source!$B$1:$B$250),FALSE),X$3)),"")</f>
        <v/>
      </c>
      <c r="Y87" s="5">
        <f t="shared" ca="1" si="6"/>
        <v>0</v>
      </c>
    </row>
    <row r="88" spans="3:25">
      <c r="C88">
        <v>84</v>
      </c>
      <c r="D88" s="5">
        <f t="shared" ca="1" si="4"/>
        <v>0</v>
      </c>
      <c r="E88" t="str">
        <f t="array" aca="1" ref="E88" ca="1">IFERROR(INDEX(Source!$A$1:$A$250,SMALL(IF(--(Source!$B$1:$B$250=$O88)*--(Source!$E$1:$E$250=$M$3)*--(Source!$D$1:$D$250=Pyramid!$M88),ROW(Source!$B$1:$B$250),FALSE),E$3)),"")</f>
        <v/>
      </c>
      <c r="F88" t="str">
        <f t="array" aca="1" ref="F88" ca="1">IFERROR(INDEX(Source!$A$1:$A$250,SMALL(IF(--(Source!$B$1:$B$250=$O88)*--(Source!$E$1:$E$250=$M$3)*--(Source!$D$1:$D$250=Pyramid!$M88),ROW(Source!$B$1:$B$250),FALSE),F$3)),"")</f>
        <v/>
      </c>
      <c r="G88" t="str">
        <f t="array" aca="1" ref="G88" ca="1">IFERROR(INDEX(Source!$A$1:$A$250,SMALL(IF(--(Source!$B$1:$B$250=$O88)*--(Source!$E$1:$E$250=$M$3)*--(Source!$D$1:$D$250=Pyramid!$M88),ROW(Source!$B$1:$B$250),FALSE),G$3)),"")</f>
        <v/>
      </c>
      <c r="H88" t="str">
        <f t="array" aca="1" ref="H88" ca="1">IFERROR(INDEX(Source!$A$1:$A$250,SMALL(IF(--(Source!$B$1:$B$250=$O88)*--(Source!$E$1:$E$250=$M$3)*--(Source!$D$1:$D$250=Pyramid!$M88),ROW(Source!$B$1:$B$250),FALSE),H$3)),"")</f>
        <v/>
      </c>
      <c r="I88" t="str">
        <f t="array" aca="1" ref="I88" ca="1">IFERROR(INDEX(Source!$A$1:$A$250,SMALL(IF(--(Source!$B$1:$B$250=$O88)*--(Source!$E$1:$E$250=$M$3)*--(Source!$D$1:$D$250=Pyramid!$M88),ROW(Source!$B$1:$B$250),FALSE),I$3)),"")</f>
        <v/>
      </c>
      <c r="J88" t="str">
        <f t="array" aca="1" ref="J88" ca="1">IFERROR(INDEX(Source!$A$1:$A$250,SMALL(IF(--(Source!$B$1:$B$250=$O88)*--(Source!$E$1:$E$250=$M$3)*--(Source!$D$1:$D$250=Pyramid!$M88),ROW(Source!$B$1:$B$250),FALSE),J$3)),"")</f>
        <v/>
      </c>
      <c r="K88" t="str">
        <f t="array" aca="1" ref="K88" ca="1">IFERROR(INDEX(Source!$A$1:$A$250,SMALL(IF(--(Source!$B$1:$B$250=$O88)*--(Source!$E$1:$E$250=$M$3)*--(Source!$D$1:$D$250=Pyramid!$M88),ROW(Source!$B$1:$B$250),FALSE),K$3)),"")</f>
        <v/>
      </c>
      <c r="L88" t="str">
        <f t="array" aca="1" ref="L88" ca="1">IFERROR(INDEX(Source!$A$1:$A$250,SMALL(IF(--(Source!$B$1:$B$250=$O88)*--(Source!$E$1:$E$250=$M$3)*--(Source!$D$1:$D$250=Pyramid!$M88),ROW(Source!$B$1:$B$250),FALSE),L$3)),"")</f>
        <v/>
      </c>
      <c r="M88" t="str">
        <f t="shared" si="5"/>
        <v>28/10/2016</v>
      </c>
      <c r="N88">
        <f ca="1">COUNTIFS(Source!B:B,Pyramid!$O88,Source!$D:$D,Pyramid!$M88,Source!$E:$E,Pyramid!$M$3)</f>
        <v>0</v>
      </c>
      <c r="O88">
        <f ca="1">OFFSET(Sheet2!$N$3,INT(C88/5),)</f>
        <v>18828</v>
      </c>
      <c r="P88">
        <f ca="1">COUNTIFS(Source!B:B,Pyramid!$O88,Source!D:D,Pyramid!$Q88,Source!$E:$E,Pyramid!$Q$3)</f>
        <v>1</v>
      </c>
      <c r="Q88" t="str">
        <f t="shared" si="5"/>
        <v>28/10/2016</v>
      </c>
      <c r="R88" t="str">
        <f t="array" aca="1" ref="R88" ca="1">IFERROR(INDEX(Source!$A$1:$A$250,SMALL(IF(--(Source!$B$1:$B$250=$O88)*--(Source!$E$1:$E$250=$Q$3)*--(Source!$D$1:$D$250=Pyramid!$Q88),ROW(Source!$B$1:$B$250),FALSE),R$3)),"")</f>
        <v>28393 HK Equity</v>
      </c>
      <c r="S88" t="str">
        <f t="array" aca="1" ref="S88" ca="1">IFERROR(INDEX(Source!$A$1:$A$250,SMALL(IF(--(Source!$B$1:$B$250=$O88)*--(Source!$E$1:$E$250=$Q$3)*--(Source!$D$1:$D$250=Pyramid!$Q88),ROW(Source!$B$1:$B$250),FALSE),S$3)),"")</f>
        <v/>
      </c>
      <c r="T88" t="str">
        <f t="array" aca="1" ref="T88" ca="1">IFERROR(INDEX(Source!$A$1:$A$250,SMALL(IF(--(Source!$B$1:$B$250=$O88)*--(Source!$E$1:$E$250=$Q$3)*--(Source!$D$1:$D$250=Pyramid!$Q88),ROW(Source!$B$1:$B$250),FALSE),T$3)),"")</f>
        <v/>
      </c>
      <c r="U88" t="str">
        <f t="array" aca="1" ref="U88" ca="1">IFERROR(INDEX(Source!$A$1:$A$250,SMALL(IF(--(Source!$B$1:$B$250=$O88)*--(Source!$E$1:$E$250=$Q$3)*--(Source!$D$1:$D$250=Pyramid!$Q88),ROW(Source!$B$1:$B$250),FALSE),U$3)),"")</f>
        <v/>
      </c>
      <c r="V88" t="str">
        <f t="array" aca="1" ref="V88" ca="1">IFERROR(INDEX(Source!$A$1:$A$250,SMALL(IF(--(Source!$B$1:$B$250=$O88)*--(Source!$E$1:$E$250=$Q$3)*--(Source!$D$1:$D$250=Pyramid!$Q88),ROW(Source!$B$1:$B$250),FALSE),V$3)),"")</f>
        <v/>
      </c>
      <c r="W88" t="str">
        <f t="array" aca="1" ref="W88" ca="1">IFERROR(INDEX(Source!$A$1:$A$250,SMALL(IF(--(Source!$B$1:$B$250=$O88)*--(Source!$E$1:$E$250=$Q$3)*--(Source!$D$1:$D$250=Pyramid!$Q88),ROW(Source!$B$1:$B$250),FALSE),W$3)),"")</f>
        <v/>
      </c>
      <c r="X88" t="str">
        <f t="array" aca="1" ref="X88" ca="1">IFERROR(INDEX(Source!$A$1:$A$250,SMALL(IF(--(Source!$B$1:$B$250=$O88)*--(Source!$E$1:$E$250=$Q$3)*--(Source!$D$1:$D$250=Pyramid!$Q88),ROW(Source!$B$1:$B$250),FALSE),X$3)),"")</f>
        <v/>
      </c>
      <c r="Y88" s="5">
        <f t="shared" ca="1" si="6"/>
        <v>0</v>
      </c>
    </row>
    <row r="89" spans="3:25">
      <c r="C89">
        <v>85</v>
      </c>
      <c r="D89" s="5">
        <f t="shared" ca="1" si="4"/>
        <v>0</v>
      </c>
      <c r="E89" t="str">
        <f t="array" aca="1" ref="E89" ca="1">IFERROR(INDEX(Source!$A$1:$A$250,SMALL(IF(--(Source!$B$1:$B$250=$O89)*--(Source!$E$1:$E$250=$M$3)*--(Source!$D$1:$D$250=Pyramid!$M89),ROW(Source!$B$1:$B$250),FALSE),E$3)),"")</f>
        <v/>
      </c>
      <c r="F89" t="str">
        <f t="array" aca="1" ref="F89" ca="1">IFERROR(INDEX(Source!$A$1:$A$250,SMALL(IF(--(Source!$B$1:$B$250=$O89)*--(Source!$E$1:$E$250=$M$3)*--(Source!$D$1:$D$250=Pyramid!$M89),ROW(Source!$B$1:$B$250),FALSE),F$3)),"")</f>
        <v/>
      </c>
      <c r="G89" t="str">
        <f t="array" aca="1" ref="G89" ca="1">IFERROR(INDEX(Source!$A$1:$A$250,SMALL(IF(--(Source!$B$1:$B$250=$O89)*--(Source!$E$1:$E$250=$M$3)*--(Source!$D$1:$D$250=Pyramid!$M89),ROW(Source!$B$1:$B$250),FALSE),G$3)),"")</f>
        <v/>
      </c>
      <c r="H89" t="str">
        <f t="array" aca="1" ref="H89" ca="1">IFERROR(INDEX(Source!$A$1:$A$250,SMALL(IF(--(Source!$B$1:$B$250=$O89)*--(Source!$E$1:$E$250=$M$3)*--(Source!$D$1:$D$250=Pyramid!$M89),ROW(Source!$B$1:$B$250),FALSE),H$3)),"")</f>
        <v/>
      </c>
      <c r="I89" t="str">
        <f t="array" aca="1" ref="I89" ca="1">IFERROR(INDEX(Source!$A$1:$A$250,SMALL(IF(--(Source!$B$1:$B$250=$O89)*--(Source!$E$1:$E$250=$M$3)*--(Source!$D$1:$D$250=Pyramid!$M89),ROW(Source!$B$1:$B$250),FALSE),I$3)),"")</f>
        <v/>
      </c>
      <c r="J89" t="str">
        <f t="array" aca="1" ref="J89" ca="1">IFERROR(INDEX(Source!$A$1:$A$250,SMALL(IF(--(Source!$B$1:$B$250=$O89)*--(Source!$E$1:$E$250=$M$3)*--(Source!$D$1:$D$250=Pyramid!$M89),ROW(Source!$B$1:$B$250),FALSE),J$3)),"")</f>
        <v/>
      </c>
      <c r="K89" t="str">
        <f t="array" aca="1" ref="K89" ca="1">IFERROR(INDEX(Source!$A$1:$A$250,SMALL(IF(--(Source!$B$1:$B$250=$O89)*--(Source!$E$1:$E$250=$M$3)*--(Source!$D$1:$D$250=Pyramid!$M89),ROW(Source!$B$1:$B$250),FALSE),K$3)),"")</f>
        <v/>
      </c>
      <c r="L89" t="str">
        <f t="array" aca="1" ref="L89" ca="1">IFERROR(INDEX(Source!$A$1:$A$250,SMALL(IF(--(Source!$B$1:$B$250=$O89)*--(Source!$E$1:$E$250=$M$3)*--(Source!$D$1:$D$250=Pyramid!$M89),ROW(Source!$B$1:$B$250),FALSE),L$3)),"")</f>
        <v/>
      </c>
      <c r="M89" t="str">
        <f t="shared" si="5"/>
        <v>29/6/2016</v>
      </c>
      <c r="N89">
        <f ca="1">COUNTIFS(Source!B:B,Pyramid!$O89,Source!$D:$D,Pyramid!$M89,Source!$E:$E,Pyramid!$M$3)</f>
        <v>0</v>
      </c>
      <c r="O89">
        <f ca="1">OFFSET(Sheet2!$N$3,INT(C89/5),)</f>
        <v>18888</v>
      </c>
      <c r="P89">
        <f ca="1">COUNTIFS(Source!B:B,Pyramid!$O89,Source!D:D,Pyramid!$Q89,Source!$E:$E,Pyramid!$Q$3)</f>
        <v>0</v>
      </c>
      <c r="Q89" t="str">
        <f t="shared" si="5"/>
        <v>29/6/2016</v>
      </c>
      <c r="R89" t="str">
        <f t="array" aca="1" ref="R89" ca="1">IFERROR(INDEX(Source!$A$1:$A$250,SMALL(IF(--(Source!$B$1:$B$250=$O89)*--(Source!$E$1:$E$250=$Q$3)*--(Source!$D$1:$D$250=Pyramid!$Q89),ROW(Source!$B$1:$B$250),FALSE),R$3)),"")</f>
        <v/>
      </c>
      <c r="S89" t="str">
        <f t="array" aca="1" ref="S89" ca="1">IFERROR(INDEX(Source!$A$1:$A$250,SMALL(IF(--(Source!$B$1:$B$250=$O89)*--(Source!$E$1:$E$250=$Q$3)*--(Source!$D$1:$D$250=Pyramid!$Q89),ROW(Source!$B$1:$B$250),FALSE),S$3)),"")</f>
        <v/>
      </c>
      <c r="T89" t="str">
        <f t="array" aca="1" ref="T89" ca="1">IFERROR(INDEX(Source!$A$1:$A$250,SMALL(IF(--(Source!$B$1:$B$250=$O89)*--(Source!$E$1:$E$250=$Q$3)*--(Source!$D$1:$D$250=Pyramid!$Q89),ROW(Source!$B$1:$B$250),FALSE),T$3)),"")</f>
        <v/>
      </c>
      <c r="U89" t="str">
        <f t="array" aca="1" ref="U89" ca="1">IFERROR(INDEX(Source!$A$1:$A$250,SMALL(IF(--(Source!$B$1:$B$250=$O89)*--(Source!$E$1:$E$250=$Q$3)*--(Source!$D$1:$D$250=Pyramid!$Q89),ROW(Source!$B$1:$B$250),FALSE),U$3)),"")</f>
        <v/>
      </c>
      <c r="V89" t="str">
        <f t="array" aca="1" ref="V89" ca="1">IFERROR(INDEX(Source!$A$1:$A$250,SMALL(IF(--(Source!$B$1:$B$250=$O89)*--(Source!$E$1:$E$250=$Q$3)*--(Source!$D$1:$D$250=Pyramid!$Q89),ROW(Source!$B$1:$B$250),FALSE),V$3)),"")</f>
        <v/>
      </c>
      <c r="W89" t="str">
        <f t="array" aca="1" ref="W89" ca="1">IFERROR(INDEX(Source!$A$1:$A$250,SMALL(IF(--(Source!$B$1:$B$250=$O89)*--(Source!$E$1:$E$250=$Q$3)*--(Source!$D$1:$D$250=Pyramid!$Q89),ROW(Source!$B$1:$B$250),FALSE),W$3)),"")</f>
        <v/>
      </c>
      <c r="X89" t="str">
        <f t="array" aca="1" ref="X89" ca="1">IFERROR(INDEX(Source!$A$1:$A$250,SMALL(IF(--(Source!$B$1:$B$250=$O89)*--(Source!$E$1:$E$250=$Q$3)*--(Source!$D$1:$D$250=Pyramid!$Q89),ROW(Source!$B$1:$B$250),FALSE),X$3)),"")</f>
        <v/>
      </c>
      <c r="Y89" s="5">
        <f t="shared" ca="1" si="6"/>
        <v>0</v>
      </c>
    </row>
    <row r="90" spans="3:25">
      <c r="C90">
        <v>86</v>
      </c>
      <c r="D90" s="5">
        <f t="shared" ca="1" si="4"/>
        <v>0</v>
      </c>
      <c r="E90" t="str">
        <f t="array" aca="1" ref="E90" ca="1">IFERROR(INDEX(Source!$A$1:$A$250,SMALL(IF(--(Source!$B$1:$B$250=$O90)*--(Source!$E$1:$E$250=$M$3)*--(Source!$D$1:$D$250=Pyramid!$M90),ROW(Source!$B$1:$B$250),FALSE),E$3)),"")</f>
        <v/>
      </c>
      <c r="F90" t="str">
        <f t="array" aca="1" ref="F90" ca="1">IFERROR(INDEX(Source!$A$1:$A$250,SMALL(IF(--(Source!$B$1:$B$250=$O90)*--(Source!$E$1:$E$250=$M$3)*--(Source!$D$1:$D$250=Pyramid!$M90),ROW(Source!$B$1:$B$250),FALSE),F$3)),"")</f>
        <v/>
      </c>
      <c r="G90" t="str">
        <f t="array" aca="1" ref="G90" ca="1">IFERROR(INDEX(Source!$A$1:$A$250,SMALL(IF(--(Source!$B$1:$B$250=$O90)*--(Source!$E$1:$E$250=$M$3)*--(Source!$D$1:$D$250=Pyramid!$M90),ROW(Source!$B$1:$B$250),FALSE),G$3)),"")</f>
        <v/>
      </c>
      <c r="H90" t="str">
        <f t="array" aca="1" ref="H90" ca="1">IFERROR(INDEX(Source!$A$1:$A$250,SMALL(IF(--(Source!$B$1:$B$250=$O90)*--(Source!$E$1:$E$250=$M$3)*--(Source!$D$1:$D$250=Pyramid!$M90),ROW(Source!$B$1:$B$250),FALSE),H$3)),"")</f>
        <v/>
      </c>
      <c r="I90" t="str">
        <f t="array" aca="1" ref="I90" ca="1">IFERROR(INDEX(Source!$A$1:$A$250,SMALL(IF(--(Source!$B$1:$B$250=$O90)*--(Source!$E$1:$E$250=$M$3)*--(Source!$D$1:$D$250=Pyramid!$M90),ROW(Source!$B$1:$B$250),FALSE),I$3)),"")</f>
        <v/>
      </c>
      <c r="J90" t="str">
        <f t="array" aca="1" ref="J90" ca="1">IFERROR(INDEX(Source!$A$1:$A$250,SMALL(IF(--(Source!$B$1:$B$250=$O90)*--(Source!$E$1:$E$250=$M$3)*--(Source!$D$1:$D$250=Pyramid!$M90),ROW(Source!$B$1:$B$250),FALSE),J$3)),"")</f>
        <v/>
      </c>
      <c r="K90" t="str">
        <f t="array" aca="1" ref="K90" ca="1">IFERROR(INDEX(Source!$A$1:$A$250,SMALL(IF(--(Source!$B$1:$B$250=$O90)*--(Source!$E$1:$E$250=$M$3)*--(Source!$D$1:$D$250=Pyramid!$M90),ROW(Source!$B$1:$B$250),FALSE),K$3)),"")</f>
        <v/>
      </c>
      <c r="L90" t="str">
        <f t="array" aca="1" ref="L90" ca="1">IFERROR(INDEX(Source!$A$1:$A$250,SMALL(IF(--(Source!$B$1:$B$250=$O90)*--(Source!$E$1:$E$250=$M$3)*--(Source!$D$1:$D$250=Pyramid!$M90),ROW(Source!$B$1:$B$250),FALSE),L$3)),"")</f>
        <v/>
      </c>
      <c r="M90" t="str">
        <f t="shared" si="5"/>
        <v>28/7/2016</v>
      </c>
      <c r="N90">
        <f ca="1">COUNTIFS(Source!B:B,Pyramid!$O90,Source!$D:$D,Pyramid!$M90,Source!$E:$E,Pyramid!$M$3)</f>
        <v>0</v>
      </c>
      <c r="O90">
        <f ca="1">OFFSET(Sheet2!$N$3,INT(C90/5),)</f>
        <v>18888</v>
      </c>
      <c r="P90">
        <f ca="1">COUNTIFS(Source!B:B,Pyramid!$O90,Source!D:D,Pyramid!$Q90,Source!$E:$E,Pyramid!$Q$3)</f>
        <v>0</v>
      </c>
      <c r="Q90" t="str">
        <f t="shared" si="5"/>
        <v>28/7/2016</v>
      </c>
      <c r="R90" t="str">
        <f t="array" aca="1" ref="R90" ca="1">IFERROR(INDEX(Source!$A$1:$A$250,SMALL(IF(--(Source!$B$1:$B$250=$O90)*--(Source!$E$1:$E$250=$Q$3)*--(Source!$D$1:$D$250=Pyramid!$Q90),ROW(Source!$B$1:$B$250),FALSE),R$3)),"")</f>
        <v/>
      </c>
      <c r="S90" t="str">
        <f t="array" aca="1" ref="S90" ca="1">IFERROR(INDEX(Source!$A$1:$A$250,SMALL(IF(--(Source!$B$1:$B$250=$O90)*--(Source!$E$1:$E$250=$Q$3)*--(Source!$D$1:$D$250=Pyramid!$Q90),ROW(Source!$B$1:$B$250),FALSE),S$3)),"")</f>
        <v/>
      </c>
      <c r="T90" t="str">
        <f t="array" aca="1" ref="T90" ca="1">IFERROR(INDEX(Source!$A$1:$A$250,SMALL(IF(--(Source!$B$1:$B$250=$O90)*--(Source!$E$1:$E$250=$Q$3)*--(Source!$D$1:$D$250=Pyramid!$Q90),ROW(Source!$B$1:$B$250),FALSE),T$3)),"")</f>
        <v/>
      </c>
      <c r="U90" t="str">
        <f t="array" aca="1" ref="U90" ca="1">IFERROR(INDEX(Source!$A$1:$A$250,SMALL(IF(--(Source!$B$1:$B$250=$O90)*--(Source!$E$1:$E$250=$Q$3)*--(Source!$D$1:$D$250=Pyramid!$Q90),ROW(Source!$B$1:$B$250),FALSE),U$3)),"")</f>
        <v/>
      </c>
      <c r="V90" t="str">
        <f t="array" aca="1" ref="V90" ca="1">IFERROR(INDEX(Source!$A$1:$A$250,SMALL(IF(--(Source!$B$1:$B$250=$O90)*--(Source!$E$1:$E$250=$Q$3)*--(Source!$D$1:$D$250=Pyramid!$Q90),ROW(Source!$B$1:$B$250),FALSE),V$3)),"")</f>
        <v/>
      </c>
      <c r="W90" t="str">
        <f t="array" aca="1" ref="W90" ca="1">IFERROR(INDEX(Source!$A$1:$A$250,SMALL(IF(--(Source!$B$1:$B$250=$O90)*--(Source!$E$1:$E$250=$Q$3)*--(Source!$D$1:$D$250=Pyramid!$Q90),ROW(Source!$B$1:$B$250),FALSE),W$3)),"")</f>
        <v/>
      </c>
      <c r="X90" t="str">
        <f t="array" aca="1" ref="X90" ca="1">IFERROR(INDEX(Source!$A$1:$A$250,SMALL(IF(--(Source!$B$1:$B$250=$O90)*--(Source!$E$1:$E$250=$Q$3)*--(Source!$D$1:$D$250=Pyramid!$Q90),ROW(Source!$B$1:$B$250),FALSE),X$3)),"")</f>
        <v/>
      </c>
      <c r="Y90" s="5">
        <f t="shared" ca="1" si="6"/>
        <v>0</v>
      </c>
    </row>
    <row r="91" spans="3:25">
      <c r="C91">
        <v>87</v>
      </c>
      <c r="D91" s="5">
        <f t="shared" ca="1" si="4"/>
        <v>0</v>
      </c>
      <c r="E91" t="str">
        <f t="array" aca="1" ref="E91" ca="1">IFERROR(INDEX(Source!$A$1:$A$250,SMALL(IF(--(Source!$B$1:$B$250=$O91)*--(Source!$E$1:$E$250=$M$3)*--(Source!$D$1:$D$250=Pyramid!$M91),ROW(Source!$B$1:$B$250),FALSE),E$3)),"")</f>
        <v/>
      </c>
      <c r="F91" t="str">
        <f t="array" aca="1" ref="F91" ca="1">IFERROR(INDEX(Source!$A$1:$A$250,SMALL(IF(--(Source!$B$1:$B$250=$O91)*--(Source!$E$1:$E$250=$M$3)*--(Source!$D$1:$D$250=Pyramid!$M91),ROW(Source!$B$1:$B$250),FALSE),F$3)),"")</f>
        <v/>
      </c>
      <c r="G91" t="str">
        <f t="array" aca="1" ref="G91" ca="1">IFERROR(INDEX(Source!$A$1:$A$250,SMALL(IF(--(Source!$B$1:$B$250=$O91)*--(Source!$E$1:$E$250=$M$3)*--(Source!$D$1:$D$250=Pyramid!$M91),ROW(Source!$B$1:$B$250),FALSE),G$3)),"")</f>
        <v/>
      </c>
      <c r="H91" t="str">
        <f t="array" aca="1" ref="H91" ca="1">IFERROR(INDEX(Source!$A$1:$A$250,SMALL(IF(--(Source!$B$1:$B$250=$O91)*--(Source!$E$1:$E$250=$M$3)*--(Source!$D$1:$D$250=Pyramid!$M91),ROW(Source!$B$1:$B$250),FALSE),H$3)),"")</f>
        <v/>
      </c>
      <c r="I91" t="str">
        <f t="array" aca="1" ref="I91" ca="1">IFERROR(INDEX(Source!$A$1:$A$250,SMALL(IF(--(Source!$B$1:$B$250=$O91)*--(Source!$E$1:$E$250=$M$3)*--(Source!$D$1:$D$250=Pyramid!$M91),ROW(Source!$B$1:$B$250),FALSE),I$3)),"")</f>
        <v/>
      </c>
      <c r="J91" t="str">
        <f t="array" aca="1" ref="J91" ca="1">IFERROR(INDEX(Source!$A$1:$A$250,SMALL(IF(--(Source!$B$1:$B$250=$O91)*--(Source!$E$1:$E$250=$M$3)*--(Source!$D$1:$D$250=Pyramid!$M91),ROW(Source!$B$1:$B$250),FALSE),J$3)),"")</f>
        <v/>
      </c>
      <c r="K91" t="str">
        <f t="array" aca="1" ref="K91" ca="1">IFERROR(INDEX(Source!$A$1:$A$250,SMALL(IF(--(Source!$B$1:$B$250=$O91)*--(Source!$E$1:$E$250=$M$3)*--(Source!$D$1:$D$250=Pyramid!$M91),ROW(Source!$B$1:$B$250),FALSE),K$3)),"")</f>
        <v/>
      </c>
      <c r="L91" t="str">
        <f t="array" aca="1" ref="L91" ca="1">IFERROR(INDEX(Source!$A$1:$A$250,SMALL(IF(--(Source!$B$1:$B$250=$O91)*--(Source!$E$1:$E$250=$M$3)*--(Source!$D$1:$D$250=Pyramid!$M91),ROW(Source!$B$1:$B$250),FALSE),L$3)),"")</f>
        <v/>
      </c>
      <c r="M91" t="str">
        <f t="shared" si="5"/>
        <v>30/8/2016</v>
      </c>
      <c r="N91">
        <f ca="1">COUNTIFS(Source!B:B,Pyramid!$O91,Source!$D:$D,Pyramid!$M91,Source!$E:$E,Pyramid!$M$3)</f>
        <v>0</v>
      </c>
      <c r="O91">
        <f ca="1">OFFSET(Sheet2!$N$3,INT(C91/5),)</f>
        <v>18888</v>
      </c>
      <c r="P91">
        <f ca="1">COUNTIFS(Source!B:B,Pyramid!$O91,Source!D:D,Pyramid!$Q91,Source!$E:$E,Pyramid!$Q$3)</f>
        <v>0</v>
      </c>
      <c r="Q91" t="str">
        <f t="shared" si="5"/>
        <v>30/8/2016</v>
      </c>
      <c r="R91" t="str">
        <f t="array" aca="1" ref="R91" ca="1">IFERROR(INDEX(Source!$A$1:$A$250,SMALL(IF(--(Source!$B$1:$B$250=$O91)*--(Source!$E$1:$E$250=$Q$3)*--(Source!$D$1:$D$250=Pyramid!$Q91),ROW(Source!$B$1:$B$250),FALSE),R$3)),"")</f>
        <v/>
      </c>
      <c r="S91" t="str">
        <f t="array" aca="1" ref="S91" ca="1">IFERROR(INDEX(Source!$A$1:$A$250,SMALL(IF(--(Source!$B$1:$B$250=$O91)*--(Source!$E$1:$E$250=$Q$3)*--(Source!$D$1:$D$250=Pyramid!$Q91),ROW(Source!$B$1:$B$250),FALSE),S$3)),"")</f>
        <v/>
      </c>
      <c r="T91" t="str">
        <f t="array" aca="1" ref="T91" ca="1">IFERROR(INDEX(Source!$A$1:$A$250,SMALL(IF(--(Source!$B$1:$B$250=$O91)*--(Source!$E$1:$E$250=$Q$3)*--(Source!$D$1:$D$250=Pyramid!$Q91),ROW(Source!$B$1:$B$250),FALSE),T$3)),"")</f>
        <v/>
      </c>
      <c r="U91" t="str">
        <f t="array" aca="1" ref="U91" ca="1">IFERROR(INDEX(Source!$A$1:$A$250,SMALL(IF(--(Source!$B$1:$B$250=$O91)*--(Source!$E$1:$E$250=$Q$3)*--(Source!$D$1:$D$250=Pyramid!$Q91),ROW(Source!$B$1:$B$250),FALSE),U$3)),"")</f>
        <v/>
      </c>
      <c r="V91" t="str">
        <f t="array" aca="1" ref="V91" ca="1">IFERROR(INDEX(Source!$A$1:$A$250,SMALL(IF(--(Source!$B$1:$B$250=$O91)*--(Source!$E$1:$E$250=$Q$3)*--(Source!$D$1:$D$250=Pyramid!$Q91),ROW(Source!$B$1:$B$250),FALSE),V$3)),"")</f>
        <v/>
      </c>
      <c r="W91" t="str">
        <f t="array" aca="1" ref="W91" ca="1">IFERROR(INDEX(Source!$A$1:$A$250,SMALL(IF(--(Source!$B$1:$B$250=$O91)*--(Source!$E$1:$E$250=$Q$3)*--(Source!$D$1:$D$250=Pyramid!$Q91),ROW(Source!$B$1:$B$250),FALSE),W$3)),"")</f>
        <v/>
      </c>
      <c r="X91" t="str">
        <f t="array" aca="1" ref="X91" ca="1">IFERROR(INDEX(Source!$A$1:$A$250,SMALL(IF(--(Source!$B$1:$B$250=$O91)*--(Source!$E$1:$E$250=$Q$3)*--(Source!$D$1:$D$250=Pyramid!$Q91),ROW(Source!$B$1:$B$250),FALSE),X$3)),"")</f>
        <v/>
      </c>
      <c r="Y91" s="5">
        <f t="shared" ca="1" si="6"/>
        <v>0</v>
      </c>
    </row>
    <row r="92" spans="3:25">
      <c r="C92">
        <v>88</v>
      </c>
      <c r="D92" s="5">
        <f t="shared" ca="1" si="4"/>
        <v>0</v>
      </c>
      <c r="E92" t="str">
        <f t="array" aca="1" ref="E92" ca="1">IFERROR(INDEX(Source!$A$1:$A$250,SMALL(IF(--(Source!$B$1:$B$250=$O92)*--(Source!$E$1:$E$250=$M$3)*--(Source!$D$1:$D$250=Pyramid!$M92),ROW(Source!$B$1:$B$250),FALSE),E$3)),"")</f>
        <v/>
      </c>
      <c r="F92" t="str">
        <f t="array" aca="1" ref="F92" ca="1">IFERROR(INDEX(Source!$A$1:$A$250,SMALL(IF(--(Source!$B$1:$B$250=$O92)*--(Source!$E$1:$E$250=$M$3)*--(Source!$D$1:$D$250=Pyramid!$M92),ROW(Source!$B$1:$B$250),FALSE),F$3)),"")</f>
        <v/>
      </c>
      <c r="G92" t="str">
        <f t="array" aca="1" ref="G92" ca="1">IFERROR(INDEX(Source!$A$1:$A$250,SMALL(IF(--(Source!$B$1:$B$250=$O92)*--(Source!$E$1:$E$250=$M$3)*--(Source!$D$1:$D$250=Pyramid!$M92),ROW(Source!$B$1:$B$250),FALSE),G$3)),"")</f>
        <v/>
      </c>
      <c r="H92" t="str">
        <f t="array" aca="1" ref="H92" ca="1">IFERROR(INDEX(Source!$A$1:$A$250,SMALL(IF(--(Source!$B$1:$B$250=$O92)*--(Source!$E$1:$E$250=$M$3)*--(Source!$D$1:$D$250=Pyramid!$M92),ROW(Source!$B$1:$B$250),FALSE),H$3)),"")</f>
        <v/>
      </c>
      <c r="I92" t="str">
        <f t="array" aca="1" ref="I92" ca="1">IFERROR(INDEX(Source!$A$1:$A$250,SMALL(IF(--(Source!$B$1:$B$250=$O92)*--(Source!$E$1:$E$250=$M$3)*--(Source!$D$1:$D$250=Pyramid!$M92),ROW(Source!$B$1:$B$250),FALSE),I$3)),"")</f>
        <v/>
      </c>
      <c r="J92" t="str">
        <f t="array" aca="1" ref="J92" ca="1">IFERROR(INDEX(Source!$A$1:$A$250,SMALL(IF(--(Source!$B$1:$B$250=$O92)*--(Source!$E$1:$E$250=$M$3)*--(Source!$D$1:$D$250=Pyramid!$M92),ROW(Source!$B$1:$B$250),FALSE),J$3)),"")</f>
        <v/>
      </c>
      <c r="K92" t="str">
        <f t="array" aca="1" ref="K92" ca="1">IFERROR(INDEX(Source!$A$1:$A$250,SMALL(IF(--(Source!$B$1:$B$250=$O92)*--(Source!$E$1:$E$250=$M$3)*--(Source!$D$1:$D$250=Pyramid!$M92),ROW(Source!$B$1:$B$250),FALSE),K$3)),"")</f>
        <v/>
      </c>
      <c r="L92" t="str">
        <f t="array" aca="1" ref="L92" ca="1">IFERROR(INDEX(Source!$A$1:$A$250,SMALL(IF(--(Source!$B$1:$B$250=$O92)*--(Source!$E$1:$E$250=$M$3)*--(Source!$D$1:$D$250=Pyramid!$M92),ROW(Source!$B$1:$B$250),FALSE),L$3)),"")</f>
        <v/>
      </c>
      <c r="M92" t="str">
        <f t="shared" si="5"/>
        <v>29/9/2016</v>
      </c>
      <c r="N92">
        <f ca="1">COUNTIFS(Source!B:B,Pyramid!$O92,Source!$D:$D,Pyramid!$M92,Source!$E:$E,Pyramid!$M$3)</f>
        <v>0</v>
      </c>
      <c r="O92">
        <f ca="1">OFFSET(Sheet2!$N$3,INT(C92/5),)</f>
        <v>18888</v>
      </c>
      <c r="P92">
        <f ca="1">COUNTIFS(Source!B:B,Pyramid!$O92,Source!D:D,Pyramid!$Q92,Source!$E:$E,Pyramid!$Q$3)</f>
        <v>1</v>
      </c>
      <c r="Q92" t="str">
        <f t="shared" si="5"/>
        <v>29/9/2016</v>
      </c>
      <c r="R92" t="str">
        <f t="array" aca="1" ref="R92" ca="1">IFERROR(INDEX(Source!$A$1:$A$250,SMALL(IF(--(Source!$B$1:$B$250=$O92)*--(Source!$E$1:$E$250=$Q$3)*--(Source!$D$1:$D$250=Pyramid!$Q92),ROW(Source!$B$1:$B$250),FALSE),R$3)),"")</f>
        <v>27111 HK Equity</v>
      </c>
      <c r="S92" t="str">
        <f t="array" aca="1" ref="S92" ca="1">IFERROR(INDEX(Source!$A$1:$A$250,SMALL(IF(--(Source!$B$1:$B$250=$O92)*--(Source!$E$1:$E$250=$Q$3)*--(Source!$D$1:$D$250=Pyramid!$Q92),ROW(Source!$B$1:$B$250),FALSE),S$3)),"")</f>
        <v/>
      </c>
      <c r="T92" t="str">
        <f t="array" aca="1" ref="T92" ca="1">IFERROR(INDEX(Source!$A$1:$A$250,SMALL(IF(--(Source!$B$1:$B$250=$O92)*--(Source!$E$1:$E$250=$Q$3)*--(Source!$D$1:$D$250=Pyramid!$Q92),ROW(Source!$B$1:$B$250),FALSE),T$3)),"")</f>
        <v/>
      </c>
      <c r="U92" t="str">
        <f t="array" aca="1" ref="U92" ca="1">IFERROR(INDEX(Source!$A$1:$A$250,SMALL(IF(--(Source!$B$1:$B$250=$O92)*--(Source!$E$1:$E$250=$Q$3)*--(Source!$D$1:$D$250=Pyramid!$Q92),ROW(Source!$B$1:$B$250),FALSE),U$3)),"")</f>
        <v/>
      </c>
      <c r="V92" t="str">
        <f t="array" aca="1" ref="V92" ca="1">IFERROR(INDEX(Source!$A$1:$A$250,SMALL(IF(--(Source!$B$1:$B$250=$O92)*--(Source!$E$1:$E$250=$Q$3)*--(Source!$D$1:$D$250=Pyramid!$Q92),ROW(Source!$B$1:$B$250),FALSE),V$3)),"")</f>
        <v/>
      </c>
      <c r="W92" t="str">
        <f t="array" aca="1" ref="W92" ca="1">IFERROR(INDEX(Source!$A$1:$A$250,SMALL(IF(--(Source!$B$1:$B$250=$O92)*--(Source!$E$1:$E$250=$Q$3)*--(Source!$D$1:$D$250=Pyramid!$Q92),ROW(Source!$B$1:$B$250),FALSE),W$3)),"")</f>
        <v/>
      </c>
      <c r="X92" t="str">
        <f t="array" aca="1" ref="X92" ca="1">IFERROR(INDEX(Source!$A$1:$A$250,SMALL(IF(--(Source!$B$1:$B$250=$O92)*--(Source!$E$1:$E$250=$Q$3)*--(Source!$D$1:$D$250=Pyramid!$Q92),ROW(Source!$B$1:$B$250),FALSE),X$3)),"")</f>
        <v/>
      </c>
      <c r="Y92" s="5">
        <f t="shared" ca="1" si="6"/>
        <v>0</v>
      </c>
    </row>
    <row r="93" spans="3:25">
      <c r="C93">
        <v>89</v>
      </c>
      <c r="D93" s="5">
        <f t="shared" ca="1" si="4"/>
        <v>0</v>
      </c>
      <c r="E93" t="str">
        <f t="array" aca="1" ref="E93" ca="1">IFERROR(INDEX(Source!$A$1:$A$250,SMALL(IF(--(Source!$B$1:$B$250=$O93)*--(Source!$E$1:$E$250=$M$3)*--(Source!$D$1:$D$250=Pyramid!$M93),ROW(Source!$B$1:$B$250),FALSE),E$3)),"")</f>
        <v/>
      </c>
      <c r="F93" t="str">
        <f t="array" aca="1" ref="F93" ca="1">IFERROR(INDEX(Source!$A$1:$A$250,SMALL(IF(--(Source!$B$1:$B$250=$O93)*--(Source!$E$1:$E$250=$M$3)*--(Source!$D$1:$D$250=Pyramid!$M93),ROW(Source!$B$1:$B$250),FALSE),F$3)),"")</f>
        <v/>
      </c>
      <c r="G93" t="str">
        <f t="array" aca="1" ref="G93" ca="1">IFERROR(INDEX(Source!$A$1:$A$250,SMALL(IF(--(Source!$B$1:$B$250=$O93)*--(Source!$E$1:$E$250=$M$3)*--(Source!$D$1:$D$250=Pyramid!$M93),ROW(Source!$B$1:$B$250),FALSE),G$3)),"")</f>
        <v/>
      </c>
      <c r="H93" t="str">
        <f t="array" aca="1" ref="H93" ca="1">IFERROR(INDEX(Source!$A$1:$A$250,SMALL(IF(--(Source!$B$1:$B$250=$O93)*--(Source!$E$1:$E$250=$M$3)*--(Source!$D$1:$D$250=Pyramid!$M93),ROW(Source!$B$1:$B$250),FALSE),H$3)),"")</f>
        <v/>
      </c>
      <c r="I93" t="str">
        <f t="array" aca="1" ref="I93" ca="1">IFERROR(INDEX(Source!$A$1:$A$250,SMALL(IF(--(Source!$B$1:$B$250=$O93)*--(Source!$E$1:$E$250=$M$3)*--(Source!$D$1:$D$250=Pyramid!$M93),ROW(Source!$B$1:$B$250),FALSE),I$3)),"")</f>
        <v/>
      </c>
      <c r="J93" t="str">
        <f t="array" aca="1" ref="J93" ca="1">IFERROR(INDEX(Source!$A$1:$A$250,SMALL(IF(--(Source!$B$1:$B$250=$O93)*--(Source!$E$1:$E$250=$M$3)*--(Source!$D$1:$D$250=Pyramid!$M93),ROW(Source!$B$1:$B$250),FALSE),J$3)),"")</f>
        <v/>
      </c>
      <c r="K93" t="str">
        <f t="array" aca="1" ref="K93" ca="1">IFERROR(INDEX(Source!$A$1:$A$250,SMALL(IF(--(Source!$B$1:$B$250=$O93)*--(Source!$E$1:$E$250=$M$3)*--(Source!$D$1:$D$250=Pyramid!$M93),ROW(Source!$B$1:$B$250),FALSE),K$3)),"")</f>
        <v/>
      </c>
      <c r="L93" t="str">
        <f t="array" aca="1" ref="L93" ca="1">IFERROR(INDEX(Source!$A$1:$A$250,SMALL(IF(--(Source!$B$1:$B$250=$O93)*--(Source!$E$1:$E$250=$M$3)*--(Source!$D$1:$D$250=Pyramid!$M93),ROW(Source!$B$1:$B$250),FALSE),L$3)),"")</f>
        <v/>
      </c>
      <c r="M93" t="str">
        <f t="shared" si="5"/>
        <v>28/10/2016</v>
      </c>
      <c r="N93">
        <f ca="1">COUNTIFS(Source!B:B,Pyramid!$O93,Source!$D:$D,Pyramid!$M93,Source!$E:$E,Pyramid!$M$3)</f>
        <v>0</v>
      </c>
      <c r="O93">
        <f ca="1">OFFSET(Sheet2!$N$3,INT(C93/5),)</f>
        <v>18888</v>
      </c>
      <c r="P93">
        <f ca="1">COUNTIFS(Source!B:B,Pyramid!$O93,Source!D:D,Pyramid!$Q93,Source!$E:$E,Pyramid!$Q$3)</f>
        <v>0</v>
      </c>
      <c r="Q93" t="str">
        <f t="shared" si="5"/>
        <v>28/10/2016</v>
      </c>
      <c r="R93" t="str">
        <f t="array" aca="1" ref="R93" ca="1">IFERROR(INDEX(Source!$A$1:$A$250,SMALL(IF(--(Source!$B$1:$B$250=$O93)*--(Source!$E$1:$E$250=$Q$3)*--(Source!$D$1:$D$250=Pyramid!$Q93),ROW(Source!$B$1:$B$250),FALSE),R$3)),"")</f>
        <v/>
      </c>
      <c r="S93" t="str">
        <f t="array" aca="1" ref="S93" ca="1">IFERROR(INDEX(Source!$A$1:$A$250,SMALL(IF(--(Source!$B$1:$B$250=$O93)*--(Source!$E$1:$E$250=$Q$3)*--(Source!$D$1:$D$250=Pyramid!$Q93),ROW(Source!$B$1:$B$250),FALSE),S$3)),"")</f>
        <v/>
      </c>
      <c r="T93" t="str">
        <f t="array" aca="1" ref="T93" ca="1">IFERROR(INDEX(Source!$A$1:$A$250,SMALL(IF(--(Source!$B$1:$B$250=$O93)*--(Source!$E$1:$E$250=$Q$3)*--(Source!$D$1:$D$250=Pyramid!$Q93),ROW(Source!$B$1:$B$250),FALSE),T$3)),"")</f>
        <v/>
      </c>
      <c r="U93" t="str">
        <f t="array" aca="1" ref="U93" ca="1">IFERROR(INDEX(Source!$A$1:$A$250,SMALL(IF(--(Source!$B$1:$B$250=$O93)*--(Source!$E$1:$E$250=$Q$3)*--(Source!$D$1:$D$250=Pyramid!$Q93),ROW(Source!$B$1:$B$250),FALSE),U$3)),"")</f>
        <v/>
      </c>
      <c r="V93" t="str">
        <f t="array" aca="1" ref="V93" ca="1">IFERROR(INDEX(Source!$A$1:$A$250,SMALL(IF(--(Source!$B$1:$B$250=$O93)*--(Source!$E$1:$E$250=$Q$3)*--(Source!$D$1:$D$250=Pyramid!$Q93),ROW(Source!$B$1:$B$250),FALSE),V$3)),"")</f>
        <v/>
      </c>
      <c r="W93" t="str">
        <f t="array" aca="1" ref="W93" ca="1">IFERROR(INDEX(Source!$A$1:$A$250,SMALL(IF(--(Source!$B$1:$B$250=$O93)*--(Source!$E$1:$E$250=$Q$3)*--(Source!$D$1:$D$250=Pyramid!$Q93),ROW(Source!$B$1:$B$250),FALSE),W$3)),"")</f>
        <v/>
      </c>
      <c r="X93" t="str">
        <f t="array" aca="1" ref="X93" ca="1">IFERROR(INDEX(Source!$A$1:$A$250,SMALL(IF(--(Source!$B$1:$B$250=$O93)*--(Source!$E$1:$E$250=$Q$3)*--(Source!$D$1:$D$250=Pyramid!$Q93),ROW(Source!$B$1:$B$250),FALSE),X$3)),"")</f>
        <v/>
      </c>
      <c r="Y93" s="5">
        <f t="shared" ca="1" si="6"/>
        <v>0</v>
      </c>
    </row>
    <row r="94" spans="3:25">
      <c r="C94">
        <v>90</v>
      </c>
      <c r="D94" s="5">
        <f t="shared" ca="1" si="4"/>
        <v>0</v>
      </c>
      <c r="E94" t="str">
        <f t="array" aca="1" ref="E94" ca="1">IFERROR(INDEX(Source!$A$1:$A$250,SMALL(IF(--(Source!$B$1:$B$250=$O94)*--(Source!$E$1:$E$250=$M$3)*--(Source!$D$1:$D$250=Pyramid!$M94),ROW(Source!$B$1:$B$250),FALSE),E$3)),"")</f>
        <v/>
      </c>
      <c r="F94" t="str">
        <f t="array" aca="1" ref="F94" ca="1">IFERROR(INDEX(Source!$A$1:$A$250,SMALL(IF(--(Source!$B$1:$B$250=$O94)*--(Source!$E$1:$E$250=$M$3)*--(Source!$D$1:$D$250=Pyramid!$M94),ROW(Source!$B$1:$B$250),FALSE),F$3)),"")</f>
        <v/>
      </c>
      <c r="G94" t="str">
        <f t="array" aca="1" ref="G94" ca="1">IFERROR(INDEX(Source!$A$1:$A$250,SMALL(IF(--(Source!$B$1:$B$250=$O94)*--(Source!$E$1:$E$250=$M$3)*--(Source!$D$1:$D$250=Pyramid!$M94),ROW(Source!$B$1:$B$250),FALSE),G$3)),"")</f>
        <v/>
      </c>
      <c r="H94" t="str">
        <f t="array" aca="1" ref="H94" ca="1">IFERROR(INDEX(Source!$A$1:$A$250,SMALL(IF(--(Source!$B$1:$B$250=$O94)*--(Source!$E$1:$E$250=$M$3)*--(Source!$D$1:$D$250=Pyramid!$M94),ROW(Source!$B$1:$B$250),FALSE),H$3)),"")</f>
        <v/>
      </c>
      <c r="I94" t="str">
        <f t="array" aca="1" ref="I94" ca="1">IFERROR(INDEX(Source!$A$1:$A$250,SMALL(IF(--(Source!$B$1:$B$250=$O94)*--(Source!$E$1:$E$250=$M$3)*--(Source!$D$1:$D$250=Pyramid!$M94),ROW(Source!$B$1:$B$250),FALSE),I$3)),"")</f>
        <v/>
      </c>
      <c r="J94" t="str">
        <f t="array" aca="1" ref="J94" ca="1">IFERROR(INDEX(Source!$A$1:$A$250,SMALL(IF(--(Source!$B$1:$B$250=$O94)*--(Source!$E$1:$E$250=$M$3)*--(Source!$D$1:$D$250=Pyramid!$M94),ROW(Source!$B$1:$B$250),FALSE),J$3)),"")</f>
        <v/>
      </c>
      <c r="K94" t="str">
        <f t="array" aca="1" ref="K94" ca="1">IFERROR(INDEX(Source!$A$1:$A$250,SMALL(IF(--(Source!$B$1:$B$250=$O94)*--(Source!$E$1:$E$250=$M$3)*--(Source!$D$1:$D$250=Pyramid!$M94),ROW(Source!$B$1:$B$250),FALSE),K$3)),"")</f>
        <v/>
      </c>
      <c r="L94" t="str">
        <f t="array" aca="1" ref="L94" ca="1">IFERROR(INDEX(Source!$A$1:$A$250,SMALL(IF(--(Source!$B$1:$B$250=$O94)*--(Source!$E$1:$E$250=$M$3)*--(Source!$D$1:$D$250=Pyramid!$M94),ROW(Source!$B$1:$B$250),FALSE),L$3)),"")</f>
        <v/>
      </c>
      <c r="M94" t="str">
        <f t="shared" si="5"/>
        <v>29/6/2016</v>
      </c>
      <c r="N94">
        <f ca="1">COUNTIFS(Source!B:B,Pyramid!$O94,Source!$D:$D,Pyramid!$M94,Source!$E:$E,Pyramid!$M$3)</f>
        <v>0</v>
      </c>
      <c r="O94">
        <f ca="1">OFFSET(Sheet2!$N$3,INT(C94/5),)</f>
        <v>18908</v>
      </c>
      <c r="P94">
        <f ca="1">COUNTIFS(Source!B:B,Pyramid!$O94,Source!D:D,Pyramid!$Q94,Source!$E:$E,Pyramid!$Q$3)</f>
        <v>1</v>
      </c>
      <c r="Q94" t="str">
        <f t="shared" si="5"/>
        <v>29/6/2016</v>
      </c>
      <c r="R94" t="str">
        <f t="array" aca="1" ref="R94" ca="1">IFERROR(INDEX(Source!$A$1:$A$250,SMALL(IF(--(Source!$B$1:$B$250=$O94)*--(Source!$E$1:$E$250=$Q$3)*--(Source!$D$1:$D$250=Pyramid!$Q94),ROW(Source!$B$1:$B$250),FALSE),R$3)),"")</f>
        <v>25195 HK Equity</v>
      </c>
      <c r="S94" t="str">
        <f t="array" aca="1" ref="S94" ca="1">IFERROR(INDEX(Source!$A$1:$A$250,SMALL(IF(--(Source!$B$1:$B$250=$O94)*--(Source!$E$1:$E$250=$Q$3)*--(Source!$D$1:$D$250=Pyramid!$Q94),ROW(Source!$B$1:$B$250),FALSE),S$3)),"")</f>
        <v/>
      </c>
      <c r="T94" t="str">
        <f t="array" aca="1" ref="T94" ca="1">IFERROR(INDEX(Source!$A$1:$A$250,SMALL(IF(--(Source!$B$1:$B$250=$O94)*--(Source!$E$1:$E$250=$Q$3)*--(Source!$D$1:$D$250=Pyramid!$Q94),ROW(Source!$B$1:$B$250),FALSE),T$3)),"")</f>
        <v/>
      </c>
      <c r="U94" t="str">
        <f t="array" aca="1" ref="U94" ca="1">IFERROR(INDEX(Source!$A$1:$A$250,SMALL(IF(--(Source!$B$1:$B$250=$O94)*--(Source!$E$1:$E$250=$Q$3)*--(Source!$D$1:$D$250=Pyramid!$Q94),ROW(Source!$B$1:$B$250),FALSE),U$3)),"")</f>
        <v/>
      </c>
      <c r="V94" t="str">
        <f t="array" aca="1" ref="V94" ca="1">IFERROR(INDEX(Source!$A$1:$A$250,SMALL(IF(--(Source!$B$1:$B$250=$O94)*--(Source!$E$1:$E$250=$Q$3)*--(Source!$D$1:$D$250=Pyramid!$Q94),ROW(Source!$B$1:$B$250),FALSE),V$3)),"")</f>
        <v/>
      </c>
      <c r="W94" t="str">
        <f t="array" aca="1" ref="W94" ca="1">IFERROR(INDEX(Source!$A$1:$A$250,SMALL(IF(--(Source!$B$1:$B$250=$O94)*--(Source!$E$1:$E$250=$Q$3)*--(Source!$D$1:$D$250=Pyramid!$Q94),ROW(Source!$B$1:$B$250),FALSE),W$3)),"")</f>
        <v/>
      </c>
      <c r="X94" t="str">
        <f t="array" aca="1" ref="X94" ca="1">IFERROR(INDEX(Source!$A$1:$A$250,SMALL(IF(--(Source!$B$1:$B$250=$O94)*--(Source!$E$1:$E$250=$Q$3)*--(Source!$D$1:$D$250=Pyramid!$Q94),ROW(Source!$B$1:$B$250),FALSE),X$3)),"")</f>
        <v/>
      </c>
      <c r="Y94" s="5">
        <f t="shared" ca="1" si="6"/>
        <v>0</v>
      </c>
    </row>
    <row r="95" spans="3:25">
      <c r="C95">
        <v>91</v>
      </c>
      <c r="D95" s="5">
        <f t="shared" ca="1" si="4"/>
        <v>0</v>
      </c>
      <c r="E95" t="str">
        <f t="array" aca="1" ref="E95" ca="1">IFERROR(INDEX(Source!$A$1:$A$250,SMALL(IF(--(Source!$B$1:$B$250=$O95)*--(Source!$E$1:$E$250=$M$3)*--(Source!$D$1:$D$250=Pyramid!$M95),ROW(Source!$B$1:$B$250),FALSE),E$3)),"")</f>
        <v/>
      </c>
      <c r="F95" t="str">
        <f t="array" aca="1" ref="F95" ca="1">IFERROR(INDEX(Source!$A$1:$A$250,SMALL(IF(--(Source!$B$1:$B$250=$O95)*--(Source!$E$1:$E$250=$M$3)*--(Source!$D$1:$D$250=Pyramid!$M95),ROW(Source!$B$1:$B$250),FALSE),F$3)),"")</f>
        <v/>
      </c>
      <c r="G95" t="str">
        <f t="array" aca="1" ref="G95" ca="1">IFERROR(INDEX(Source!$A$1:$A$250,SMALL(IF(--(Source!$B$1:$B$250=$O95)*--(Source!$E$1:$E$250=$M$3)*--(Source!$D$1:$D$250=Pyramid!$M95),ROW(Source!$B$1:$B$250),FALSE),G$3)),"")</f>
        <v/>
      </c>
      <c r="H95" t="str">
        <f t="array" aca="1" ref="H95" ca="1">IFERROR(INDEX(Source!$A$1:$A$250,SMALL(IF(--(Source!$B$1:$B$250=$O95)*--(Source!$E$1:$E$250=$M$3)*--(Source!$D$1:$D$250=Pyramid!$M95),ROW(Source!$B$1:$B$250),FALSE),H$3)),"")</f>
        <v/>
      </c>
      <c r="I95" t="str">
        <f t="array" aca="1" ref="I95" ca="1">IFERROR(INDEX(Source!$A$1:$A$250,SMALL(IF(--(Source!$B$1:$B$250=$O95)*--(Source!$E$1:$E$250=$M$3)*--(Source!$D$1:$D$250=Pyramid!$M95),ROW(Source!$B$1:$B$250),FALSE),I$3)),"")</f>
        <v/>
      </c>
      <c r="J95" t="str">
        <f t="array" aca="1" ref="J95" ca="1">IFERROR(INDEX(Source!$A$1:$A$250,SMALL(IF(--(Source!$B$1:$B$250=$O95)*--(Source!$E$1:$E$250=$M$3)*--(Source!$D$1:$D$250=Pyramid!$M95),ROW(Source!$B$1:$B$250),FALSE),J$3)),"")</f>
        <v/>
      </c>
      <c r="K95" t="str">
        <f t="array" aca="1" ref="K95" ca="1">IFERROR(INDEX(Source!$A$1:$A$250,SMALL(IF(--(Source!$B$1:$B$250=$O95)*--(Source!$E$1:$E$250=$M$3)*--(Source!$D$1:$D$250=Pyramid!$M95),ROW(Source!$B$1:$B$250),FALSE),K$3)),"")</f>
        <v/>
      </c>
      <c r="L95" t="str">
        <f t="array" aca="1" ref="L95" ca="1">IFERROR(INDEX(Source!$A$1:$A$250,SMALL(IF(--(Source!$B$1:$B$250=$O95)*--(Source!$E$1:$E$250=$M$3)*--(Source!$D$1:$D$250=Pyramid!$M95),ROW(Source!$B$1:$B$250),FALSE),L$3)),"")</f>
        <v/>
      </c>
      <c r="M95" t="str">
        <f t="shared" si="5"/>
        <v>28/7/2016</v>
      </c>
      <c r="N95">
        <f ca="1">COUNTIFS(Source!B:B,Pyramid!$O95,Source!$D:$D,Pyramid!$M95,Source!$E:$E,Pyramid!$M$3)</f>
        <v>0</v>
      </c>
      <c r="O95">
        <f ca="1">OFFSET(Sheet2!$N$3,INT(C95/5),)</f>
        <v>18908</v>
      </c>
      <c r="P95">
        <f ca="1">COUNTIFS(Source!B:B,Pyramid!$O95,Source!D:D,Pyramid!$Q95,Source!$E:$E,Pyramid!$Q$3)</f>
        <v>0</v>
      </c>
      <c r="Q95" t="str">
        <f t="shared" si="5"/>
        <v>28/7/2016</v>
      </c>
      <c r="R95" t="str">
        <f t="array" aca="1" ref="R95" ca="1">IFERROR(INDEX(Source!$A$1:$A$250,SMALL(IF(--(Source!$B$1:$B$250=$O95)*--(Source!$E$1:$E$250=$Q$3)*--(Source!$D$1:$D$250=Pyramid!$Q95),ROW(Source!$B$1:$B$250),FALSE),R$3)),"")</f>
        <v/>
      </c>
      <c r="S95" t="str">
        <f t="array" aca="1" ref="S95" ca="1">IFERROR(INDEX(Source!$A$1:$A$250,SMALL(IF(--(Source!$B$1:$B$250=$O95)*--(Source!$E$1:$E$250=$Q$3)*--(Source!$D$1:$D$250=Pyramid!$Q95),ROW(Source!$B$1:$B$250),FALSE),S$3)),"")</f>
        <v/>
      </c>
      <c r="T95" t="str">
        <f t="array" aca="1" ref="T95" ca="1">IFERROR(INDEX(Source!$A$1:$A$250,SMALL(IF(--(Source!$B$1:$B$250=$O95)*--(Source!$E$1:$E$250=$Q$3)*--(Source!$D$1:$D$250=Pyramid!$Q95),ROW(Source!$B$1:$B$250),FALSE),T$3)),"")</f>
        <v/>
      </c>
      <c r="U95" t="str">
        <f t="array" aca="1" ref="U95" ca="1">IFERROR(INDEX(Source!$A$1:$A$250,SMALL(IF(--(Source!$B$1:$B$250=$O95)*--(Source!$E$1:$E$250=$Q$3)*--(Source!$D$1:$D$250=Pyramid!$Q95),ROW(Source!$B$1:$B$250),FALSE),U$3)),"")</f>
        <v/>
      </c>
      <c r="V95" t="str">
        <f t="array" aca="1" ref="V95" ca="1">IFERROR(INDEX(Source!$A$1:$A$250,SMALL(IF(--(Source!$B$1:$B$250=$O95)*--(Source!$E$1:$E$250=$Q$3)*--(Source!$D$1:$D$250=Pyramid!$Q95),ROW(Source!$B$1:$B$250),FALSE),V$3)),"")</f>
        <v/>
      </c>
      <c r="W95" t="str">
        <f t="array" aca="1" ref="W95" ca="1">IFERROR(INDEX(Source!$A$1:$A$250,SMALL(IF(--(Source!$B$1:$B$250=$O95)*--(Source!$E$1:$E$250=$Q$3)*--(Source!$D$1:$D$250=Pyramid!$Q95),ROW(Source!$B$1:$B$250),FALSE),W$3)),"")</f>
        <v/>
      </c>
      <c r="X95" t="str">
        <f t="array" aca="1" ref="X95" ca="1">IFERROR(INDEX(Source!$A$1:$A$250,SMALL(IF(--(Source!$B$1:$B$250=$O95)*--(Source!$E$1:$E$250=$Q$3)*--(Source!$D$1:$D$250=Pyramid!$Q95),ROW(Source!$B$1:$B$250),FALSE),X$3)),"")</f>
        <v/>
      </c>
      <c r="Y95" s="5">
        <f t="shared" ca="1" si="6"/>
        <v>0</v>
      </c>
    </row>
    <row r="96" spans="3:25">
      <c r="C96">
        <v>92</v>
      </c>
      <c r="D96" s="5">
        <f t="shared" ca="1" si="4"/>
        <v>0</v>
      </c>
      <c r="E96" t="str">
        <f t="array" aca="1" ref="E96" ca="1">IFERROR(INDEX(Source!$A$1:$A$250,SMALL(IF(--(Source!$B$1:$B$250=$O96)*--(Source!$E$1:$E$250=$M$3)*--(Source!$D$1:$D$250=Pyramid!$M96),ROW(Source!$B$1:$B$250),FALSE),E$3)),"")</f>
        <v/>
      </c>
      <c r="F96" t="str">
        <f t="array" aca="1" ref="F96" ca="1">IFERROR(INDEX(Source!$A$1:$A$250,SMALL(IF(--(Source!$B$1:$B$250=$O96)*--(Source!$E$1:$E$250=$M$3)*--(Source!$D$1:$D$250=Pyramid!$M96),ROW(Source!$B$1:$B$250),FALSE),F$3)),"")</f>
        <v/>
      </c>
      <c r="G96" t="str">
        <f t="array" aca="1" ref="G96" ca="1">IFERROR(INDEX(Source!$A$1:$A$250,SMALL(IF(--(Source!$B$1:$B$250=$O96)*--(Source!$E$1:$E$250=$M$3)*--(Source!$D$1:$D$250=Pyramid!$M96),ROW(Source!$B$1:$B$250),FALSE),G$3)),"")</f>
        <v/>
      </c>
      <c r="H96" t="str">
        <f t="array" aca="1" ref="H96" ca="1">IFERROR(INDEX(Source!$A$1:$A$250,SMALL(IF(--(Source!$B$1:$B$250=$O96)*--(Source!$E$1:$E$250=$M$3)*--(Source!$D$1:$D$250=Pyramid!$M96),ROW(Source!$B$1:$B$250),FALSE),H$3)),"")</f>
        <v/>
      </c>
      <c r="I96" t="str">
        <f t="array" aca="1" ref="I96" ca="1">IFERROR(INDEX(Source!$A$1:$A$250,SMALL(IF(--(Source!$B$1:$B$250=$O96)*--(Source!$E$1:$E$250=$M$3)*--(Source!$D$1:$D$250=Pyramid!$M96),ROW(Source!$B$1:$B$250),FALSE),I$3)),"")</f>
        <v/>
      </c>
      <c r="J96" t="str">
        <f t="array" aca="1" ref="J96" ca="1">IFERROR(INDEX(Source!$A$1:$A$250,SMALL(IF(--(Source!$B$1:$B$250=$O96)*--(Source!$E$1:$E$250=$M$3)*--(Source!$D$1:$D$250=Pyramid!$M96),ROW(Source!$B$1:$B$250),FALSE),J$3)),"")</f>
        <v/>
      </c>
      <c r="K96" t="str">
        <f t="array" aca="1" ref="K96" ca="1">IFERROR(INDEX(Source!$A$1:$A$250,SMALL(IF(--(Source!$B$1:$B$250=$O96)*--(Source!$E$1:$E$250=$M$3)*--(Source!$D$1:$D$250=Pyramid!$M96),ROW(Source!$B$1:$B$250),FALSE),K$3)),"")</f>
        <v/>
      </c>
      <c r="L96" t="str">
        <f t="array" aca="1" ref="L96" ca="1">IFERROR(INDEX(Source!$A$1:$A$250,SMALL(IF(--(Source!$B$1:$B$250=$O96)*--(Source!$E$1:$E$250=$M$3)*--(Source!$D$1:$D$250=Pyramid!$M96),ROW(Source!$B$1:$B$250),FALSE),L$3)),"")</f>
        <v/>
      </c>
      <c r="M96" t="str">
        <f t="shared" si="5"/>
        <v>30/8/2016</v>
      </c>
      <c r="N96">
        <f ca="1">COUNTIFS(Source!B:B,Pyramid!$O96,Source!$D:$D,Pyramid!$M96,Source!$E:$E,Pyramid!$M$3)</f>
        <v>0</v>
      </c>
      <c r="O96">
        <f ca="1">OFFSET(Sheet2!$N$3,INT(C96/5),)</f>
        <v>18908</v>
      </c>
      <c r="P96">
        <f ca="1">COUNTIFS(Source!B:B,Pyramid!$O96,Source!D:D,Pyramid!$Q96,Source!$E:$E,Pyramid!$Q$3)</f>
        <v>0</v>
      </c>
      <c r="Q96" t="str">
        <f t="shared" si="5"/>
        <v>30/8/2016</v>
      </c>
      <c r="R96" t="str">
        <f t="array" aca="1" ref="R96" ca="1">IFERROR(INDEX(Source!$A$1:$A$250,SMALL(IF(--(Source!$B$1:$B$250=$O96)*--(Source!$E$1:$E$250=$Q$3)*--(Source!$D$1:$D$250=Pyramid!$Q96),ROW(Source!$B$1:$B$250),FALSE),R$3)),"")</f>
        <v/>
      </c>
      <c r="S96" t="str">
        <f t="array" aca="1" ref="S96" ca="1">IFERROR(INDEX(Source!$A$1:$A$250,SMALL(IF(--(Source!$B$1:$B$250=$O96)*--(Source!$E$1:$E$250=$Q$3)*--(Source!$D$1:$D$250=Pyramid!$Q96),ROW(Source!$B$1:$B$250),FALSE),S$3)),"")</f>
        <v/>
      </c>
      <c r="T96" t="str">
        <f t="array" aca="1" ref="T96" ca="1">IFERROR(INDEX(Source!$A$1:$A$250,SMALL(IF(--(Source!$B$1:$B$250=$O96)*--(Source!$E$1:$E$250=$Q$3)*--(Source!$D$1:$D$250=Pyramid!$Q96),ROW(Source!$B$1:$B$250),FALSE),T$3)),"")</f>
        <v/>
      </c>
      <c r="U96" t="str">
        <f t="array" aca="1" ref="U96" ca="1">IFERROR(INDEX(Source!$A$1:$A$250,SMALL(IF(--(Source!$B$1:$B$250=$O96)*--(Source!$E$1:$E$250=$Q$3)*--(Source!$D$1:$D$250=Pyramid!$Q96),ROW(Source!$B$1:$B$250),FALSE),U$3)),"")</f>
        <v/>
      </c>
      <c r="V96" t="str">
        <f t="array" aca="1" ref="V96" ca="1">IFERROR(INDEX(Source!$A$1:$A$250,SMALL(IF(--(Source!$B$1:$B$250=$O96)*--(Source!$E$1:$E$250=$Q$3)*--(Source!$D$1:$D$250=Pyramid!$Q96),ROW(Source!$B$1:$B$250),FALSE),V$3)),"")</f>
        <v/>
      </c>
      <c r="W96" t="str">
        <f t="array" aca="1" ref="W96" ca="1">IFERROR(INDEX(Source!$A$1:$A$250,SMALL(IF(--(Source!$B$1:$B$250=$O96)*--(Source!$E$1:$E$250=$Q$3)*--(Source!$D$1:$D$250=Pyramid!$Q96),ROW(Source!$B$1:$B$250),FALSE),W$3)),"")</f>
        <v/>
      </c>
      <c r="X96" t="str">
        <f t="array" aca="1" ref="X96" ca="1">IFERROR(INDEX(Source!$A$1:$A$250,SMALL(IF(--(Source!$B$1:$B$250=$O96)*--(Source!$E$1:$E$250=$Q$3)*--(Source!$D$1:$D$250=Pyramid!$Q96),ROW(Source!$B$1:$B$250),FALSE),X$3)),"")</f>
        <v/>
      </c>
      <c r="Y96" s="5">
        <f t="shared" ca="1" si="6"/>
        <v>0</v>
      </c>
    </row>
    <row r="97" spans="3:25">
      <c r="C97">
        <v>93</v>
      </c>
      <c r="D97" s="5">
        <f t="shared" ca="1" si="4"/>
        <v>0</v>
      </c>
      <c r="E97" t="str">
        <f t="array" aca="1" ref="E97" ca="1">IFERROR(INDEX(Source!$A$1:$A$250,SMALL(IF(--(Source!$B$1:$B$250=$O97)*--(Source!$E$1:$E$250=$M$3)*--(Source!$D$1:$D$250=Pyramid!$M97),ROW(Source!$B$1:$B$250),FALSE),E$3)),"")</f>
        <v/>
      </c>
      <c r="F97" t="str">
        <f t="array" aca="1" ref="F97" ca="1">IFERROR(INDEX(Source!$A$1:$A$250,SMALL(IF(--(Source!$B$1:$B$250=$O97)*--(Source!$E$1:$E$250=$M$3)*--(Source!$D$1:$D$250=Pyramid!$M97),ROW(Source!$B$1:$B$250),FALSE),F$3)),"")</f>
        <v/>
      </c>
      <c r="G97" t="str">
        <f t="array" aca="1" ref="G97" ca="1">IFERROR(INDEX(Source!$A$1:$A$250,SMALL(IF(--(Source!$B$1:$B$250=$O97)*--(Source!$E$1:$E$250=$M$3)*--(Source!$D$1:$D$250=Pyramid!$M97),ROW(Source!$B$1:$B$250),FALSE),G$3)),"")</f>
        <v/>
      </c>
      <c r="H97" t="str">
        <f t="array" aca="1" ref="H97" ca="1">IFERROR(INDEX(Source!$A$1:$A$250,SMALL(IF(--(Source!$B$1:$B$250=$O97)*--(Source!$E$1:$E$250=$M$3)*--(Source!$D$1:$D$250=Pyramid!$M97),ROW(Source!$B$1:$B$250),FALSE),H$3)),"")</f>
        <v/>
      </c>
      <c r="I97" t="str">
        <f t="array" aca="1" ref="I97" ca="1">IFERROR(INDEX(Source!$A$1:$A$250,SMALL(IF(--(Source!$B$1:$B$250=$O97)*--(Source!$E$1:$E$250=$M$3)*--(Source!$D$1:$D$250=Pyramid!$M97),ROW(Source!$B$1:$B$250),FALSE),I$3)),"")</f>
        <v/>
      </c>
      <c r="J97" t="str">
        <f t="array" aca="1" ref="J97" ca="1">IFERROR(INDEX(Source!$A$1:$A$250,SMALL(IF(--(Source!$B$1:$B$250=$O97)*--(Source!$E$1:$E$250=$M$3)*--(Source!$D$1:$D$250=Pyramid!$M97),ROW(Source!$B$1:$B$250),FALSE),J$3)),"")</f>
        <v/>
      </c>
      <c r="K97" t="str">
        <f t="array" aca="1" ref="K97" ca="1">IFERROR(INDEX(Source!$A$1:$A$250,SMALL(IF(--(Source!$B$1:$B$250=$O97)*--(Source!$E$1:$E$250=$M$3)*--(Source!$D$1:$D$250=Pyramid!$M97),ROW(Source!$B$1:$B$250),FALSE),K$3)),"")</f>
        <v/>
      </c>
      <c r="L97" t="str">
        <f t="array" aca="1" ref="L97" ca="1">IFERROR(INDEX(Source!$A$1:$A$250,SMALL(IF(--(Source!$B$1:$B$250=$O97)*--(Source!$E$1:$E$250=$M$3)*--(Source!$D$1:$D$250=Pyramid!$M97),ROW(Source!$B$1:$B$250),FALSE),L$3)),"")</f>
        <v/>
      </c>
      <c r="M97" t="str">
        <f t="shared" si="5"/>
        <v>29/9/2016</v>
      </c>
      <c r="N97">
        <f ca="1">COUNTIFS(Source!B:B,Pyramid!$O97,Source!$D:$D,Pyramid!$M97,Source!$E:$E,Pyramid!$M$3)</f>
        <v>0</v>
      </c>
      <c r="O97">
        <f ca="1">OFFSET(Sheet2!$N$3,INT(C97/5),)</f>
        <v>18908</v>
      </c>
      <c r="P97">
        <f ca="1">COUNTIFS(Source!B:B,Pyramid!$O97,Source!D:D,Pyramid!$Q97,Source!$E:$E,Pyramid!$Q$3)</f>
        <v>0</v>
      </c>
      <c r="Q97" t="str">
        <f t="shared" si="5"/>
        <v>29/9/2016</v>
      </c>
      <c r="R97" t="str">
        <f t="array" aca="1" ref="R97" ca="1">IFERROR(INDEX(Source!$A$1:$A$250,SMALL(IF(--(Source!$B$1:$B$250=$O97)*--(Source!$E$1:$E$250=$Q$3)*--(Source!$D$1:$D$250=Pyramid!$Q97),ROW(Source!$B$1:$B$250),FALSE),R$3)),"")</f>
        <v/>
      </c>
      <c r="S97" t="str">
        <f t="array" aca="1" ref="S97" ca="1">IFERROR(INDEX(Source!$A$1:$A$250,SMALL(IF(--(Source!$B$1:$B$250=$O97)*--(Source!$E$1:$E$250=$Q$3)*--(Source!$D$1:$D$250=Pyramid!$Q97),ROW(Source!$B$1:$B$250),FALSE),S$3)),"")</f>
        <v/>
      </c>
      <c r="T97" t="str">
        <f t="array" aca="1" ref="T97" ca="1">IFERROR(INDEX(Source!$A$1:$A$250,SMALL(IF(--(Source!$B$1:$B$250=$O97)*--(Source!$E$1:$E$250=$Q$3)*--(Source!$D$1:$D$250=Pyramid!$Q97),ROW(Source!$B$1:$B$250),FALSE),T$3)),"")</f>
        <v/>
      </c>
      <c r="U97" t="str">
        <f t="array" aca="1" ref="U97" ca="1">IFERROR(INDEX(Source!$A$1:$A$250,SMALL(IF(--(Source!$B$1:$B$250=$O97)*--(Source!$E$1:$E$250=$Q$3)*--(Source!$D$1:$D$250=Pyramid!$Q97),ROW(Source!$B$1:$B$250),FALSE),U$3)),"")</f>
        <v/>
      </c>
      <c r="V97" t="str">
        <f t="array" aca="1" ref="V97" ca="1">IFERROR(INDEX(Source!$A$1:$A$250,SMALL(IF(--(Source!$B$1:$B$250=$O97)*--(Source!$E$1:$E$250=$Q$3)*--(Source!$D$1:$D$250=Pyramid!$Q97),ROW(Source!$B$1:$B$250),FALSE),V$3)),"")</f>
        <v/>
      </c>
      <c r="W97" t="str">
        <f t="array" aca="1" ref="W97" ca="1">IFERROR(INDEX(Source!$A$1:$A$250,SMALL(IF(--(Source!$B$1:$B$250=$O97)*--(Source!$E$1:$E$250=$Q$3)*--(Source!$D$1:$D$250=Pyramid!$Q97),ROW(Source!$B$1:$B$250),FALSE),W$3)),"")</f>
        <v/>
      </c>
      <c r="X97" t="str">
        <f t="array" aca="1" ref="X97" ca="1">IFERROR(INDEX(Source!$A$1:$A$250,SMALL(IF(--(Source!$B$1:$B$250=$O97)*--(Source!$E$1:$E$250=$Q$3)*--(Source!$D$1:$D$250=Pyramid!$Q97),ROW(Source!$B$1:$B$250),FALSE),X$3)),"")</f>
        <v/>
      </c>
      <c r="Y97" s="5">
        <f t="shared" ca="1" si="6"/>
        <v>0</v>
      </c>
    </row>
    <row r="98" spans="3:25">
      <c r="C98">
        <v>94</v>
      </c>
      <c r="D98" s="5">
        <f t="shared" ca="1" si="4"/>
        <v>0</v>
      </c>
      <c r="E98" t="str">
        <f t="array" aca="1" ref="E98" ca="1">IFERROR(INDEX(Source!$A$1:$A$250,SMALL(IF(--(Source!$B$1:$B$250=$O98)*--(Source!$E$1:$E$250=$M$3)*--(Source!$D$1:$D$250=Pyramid!$M98),ROW(Source!$B$1:$B$250),FALSE),E$3)),"")</f>
        <v/>
      </c>
      <c r="F98" t="str">
        <f t="array" aca="1" ref="F98" ca="1">IFERROR(INDEX(Source!$A$1:$A$250,SMALL(IF(--(Source!$B$1:$B$250=$O98)*--(Source!$E$1:$E$250=$M$3)*--(Source!$D$1:$D$250=Pyramid!$M98),ROW(Source!$B$1:$B$250),FALSE),F$3)),"")</f>
        <v/>
      </c>
      <c r="G98" t="str">
        <f t="array" aca="1" ref="G98" ca="1">IFERROR(INDEX(Source!$A$1:$A$250,SMALL(IF(--(Source!$B$1:$B$250=$O98)*--(Source!$E$1:$E$250=$M$3)*--(Source!$D$1:$D$250=Pyramid!$M98),ROW(Source!$B$1:$B$250),FALSE),G$3)),"")</f>
        <v/>
      </c>
      <c r="H98" t="str">
        <f t="array" aca="1" ref="H98" ca="1">IFERROR(INDEX(Source!$A$1:$A$250,SMALL(IF(--(Source!$B$1:$B$250=$O98)*--(Source!$E$1:$E$250=$M$3)*--(Source!$D$1:$D$250=Pyramid!$M98),ROW(Source!$B$1:$B$250),FALSE),H$3)),"")</f>
        <v/>
      </c>
      <c r="I98" t="str">
        <f t="array" aca="1" ref="I98" ca="1">IFERROR(INDEX(Source!$A$1:$A$250,SMALL(IF(--(Source!$B$1:$B$250=$O98)*--(Source!$E$1:$E$250=$M$3)*--(Source!$D$1:$D$250=Pyramid!$M98),ROW(Source!$B$1:$B$250),FALSE),I$3)),"")</f>
        <v/>
      </c>
      <c r="J98" t="str">
        <f t="array" aca="1" ref="J98" ca="1">IFERROR(INDEX(Source!$A$1:$A$250,SMALL(IF(--(Source!$B$1:$B$250=$O98)*--(Source!$E$1:$E$250=$M$3)*--(Source!$D$1:$D$250=Pyramid!$M98),ROW(Source!$B$1:$B$250),FALSE),J$3)),"")</f>
        <v/>
      </c>
      <c r="K98" t="str">
        <f t="array" aca="1" ref="K98" ca="1">IFERROR(INDEX(Source!$A$1:$A$250,SMALL(IF(--(Source!$B$1:$B$250=$O98)*--(Source!$E$1:$E$250=$M$3)*--(Source!$D$1:$D$250=Pyramid!$M98),ROW(Source!$B$1:$B$250),FALSE),K$3)),"")</f>
        <v/>
      </c>
      <c r="L98" t="str">
        <f t="array" aca="1" ref="L98" ca="1">IFERROR(INDEX(Source!$A$1:$A$250,SMALL(IF(--(Source!$B$1:$B$250=$O98)*--(Source!$E$1:$E$250=$M$3)*--(Source!$D$1:$D$250=Pyramid!$M98),ROW(Source!$B$1:$B$250),FALSE),L$3)),"")</f>
        <v/>
      </c>
      <c r="M98" t="str">
        <f t="shared" si="5"/>
        <v>28/10/2016</v>
      </c>
      <c r="N98">
        <f ca="1">COUNTIFS(Source!B:B,Pyramid!$O98,Source!$D:$D,Pyramid!$M98,Source!$E:$E,Pyramid!$M$3)</f>
        <v>0</v>
      </c>
      <c r="O98">
        <f ca="1">OFFSET(Sheet2!$N$3,INT(C98/5),)</f>
        <v>18908</v>
      </c>
      <c r="P98">
        <f ca="1">COUNTIFS(Source!B:B,Pyramid!$O98,Source!D:D,Pyramid!$Q98,Source!$E:$E,Pyramid!$Q$3)</f>
        <v>0</v>
      </c>
      <c r="Q98" t="str">
        <f t="shared" si="5"/>
        <v>28/10/2016</v>
      </c>
      <c r="R98" t="str">
        <f t="array" aca="1" ref="R98" ca="1">IFERROR(INDEX(Source!$A$1:$A$250,SMALL(IF(--(Source!$B$1:$B$250=$O98)*--(Source!$E$1:$E$250=$Q$3)*--(Source!$D$1:$D$250=Pyramid!$Q98),ROW(Source!$B$1:$B$250),FALSE),R$3)),"")</f>
        <v/>
      </c>
      <c r="S98" t="str">
        <f t="array" aca="1" ref="S98" ca="1">IFERROR(INDEX(Source!$A$1:$A$250,SMALL(IF(--(Source!$B$1:$B$250=$O98)*--(Source!$E$1:$E$250=$Q$3)*--(Source!$D$1:$D$250=Pyramid!$Q98),ROW(Source!$B$1:$B$250),FALSE),S$3)),"")</f>
        <v/>
      </c>
      <c r="T98" t="str">
        <f t="array" aca="1" ref="T98" ca="1">IFERROR(INDEX(Source!$A$1:$A$250,SMALL(IF(--(Source!$B$1:$B$250=$O98)*--(Source!$E$1:$E$250=$Q$3)*--(Source!$D$1:$D$250=Pyramid!$Q98),ROW(Source!$B$1:$B$250),FALSE),T$3)),"")</f>
        <v/>
      </c>
      <c r="U98" t="str">
        <f t="array" aca="1" ref="U98" ca="1">IFERROR(INDEX(Source!$A$1:$A$250,SMALL(IF(--(Source!$B$1:$B$250=$O98)*--(Source!$E$1:$E$250=$Q$3)*--(Source!$D$1:$D$250=Pyramid!$Q98),ROW(Source!$B$1:$B$250),FALSE),U$3)),"")</f>
        <v/>
      </c>
      <c r="V98" t="str">
        <f t="array" aca="1" ref="V98" ca="1">IFERROR(INDEX(Source!$A$1:$A$250,SMALL(IF(--(Source!$B$1:$B$250=$O98)*--(Source!$E$1:$E$250=$Q$3)*--(Source!$D$1:$D$250=Pyramid!$Q98),ROW(Source!$B$1:$B$250),FALSE),V$3)),"")</f>
        <v/>
      </c>
      <c r="W98" t="str">
        <f t="array" aca="1" ref="W98" ca="1">IFERROR(INDEX(Source!$A$1:$A$250,SMALL(IF(--(Source!$B$1:$B$250=$O98)*--(Source!$E$1:$E$250=$Q$3)*--(Source!$D$1:$D$250=Pyramid!$Q98),ROW(Source!$B$1:$B$250),FALSE),W$3)),"")</f>
        <v/>
      </c>
      <c r="X98" t="str">
        <f t="array" aca="1" ref="X98" ca="1">IFERROR(INDEX(Source!$A$1:$A$250,SMALL(IF(--(Source!$B$1:$B$250=$O98)*--(Source!$E$1:$E$250=$Q$3)*--(Source!$D$1:$D$250=Pyramid!$Q98),ROW(Source!$B$1:$B$250),FALSE),X$3)),"")</f>
        <v/>
      </c>
      <c r="Y98" s="5">
        <f t="shared" ca="1" si="6"/>
        <v>0</v>
      </c>
    </row>
    <row r="99" spans="3:25">
      <c r="C99">
        <v>95</v>
      </c>
      <c r="D99" s="5">
        <f t="shared" ca="1" si="4"/>
        <v>0</v>
      </c>
      <c r="E99" t="str">
        <f t="array" aca="1" ref="E99" ca="1">IFERROR(INDEX(Source!$A$1:$A$250,SMALL(IF(--(Source!$B$1:$B$250=$O99)*--(Source!$E$1:$E$250=$M$3)*--(Source!$D$1:$D$250=Pyramid!$M99),ROW(Source!$B$1:$B$250),FALSE),E$3)),"")</f>
        <v/>
      </c>
      <c r="F99" t="str">
        <f t="array" aca="1" ref="F99" ca="1">IFERROR(INDEX(Source!$A$1:$A$250,SMALL(IF(--(Source!$B$1:$B$250=$O99)*--(Source!$E$1:$E$250=$M$3)*--(Source!$D$1:$D$250=Pyramid!$M99),ROW(Source!$B$1:$B$250),FALSE),F$3)),"")</f>
        <v/>
      </c>
      <c r="G99" t="str">
        <f t="array" aca="1" ref="G99" ca="1">IFERROR(INDEX(Source!$A$1:$A$250,SMALL(IF(--(Source!$B$1:$B$250=$O99)*--(Source!$E$1:$E$250=$M$3)*--(Source!$D$1:$D$250=Pyramid!$M99),ROW(Source!$B$1:$B$250),FALSE),G$3)),"")</f>
        <v/>
      </c>
      <c r="H99" t="str">
        <f t="array" aca="1" ref="H99" ca="1">IFERROR(INDEX(Source!$A$1:$A$250,SMALL(IF(--(Source!$B$1:$B$250=$O99)*--(Source!$E$1:$E$250=$M$3)*--(Source!$D$1:$D$250=Pyramid!$M99),ROW(Source!$B$1:$B$250),FALSE),H$3)),"")</f>
        <v/>
      </c>
      <c r="I99" t="str">
        <f t="array" aca="1" ref="I99" ca="1">IFERROR(INDEX(Source!$A$1:$A$250,SMALL(IF(--(Source!$B$1:$B$250=$O99)*--(Source!$E$1:$E$250=$M$3)*--(Source!$D$1:$D$250=Pyramid!$M99),ROW(Source!$B$1:$B$250),FALSE),I$3)),"")</f>
        <v/>
      </c>
      <c r="J99" t="str">
        <f t="array" aca="1" ref="J99" ca="1">IFERROR(INDEX(Source!$A$1:$A$250,SMALL(IF(--(Source!$B$1:$B$250=$O99)*--(Source!$E$1:$E$250=$M$3)*--(Source!$D$1:$D$250=Pyramid!$M99),ROW(Source!$B$1:$B$250),FALSE),J$3)),"")</f>
        <v/>
      </c>
      <c r="K99" t="str">
        <f t="array" aca="1" ref="K99" ca="1">IFERROR(INDEX(Source!$A$1:$A$250,SMALL(IF(--(Source!$B$1:$B$250=$O99)*--(Source!$E$1:$E$250=$M$3)*--(Source!$D$1:$D$250=Pyramid!$M99),ROW(Source!$B$1:$B$250),FALSE),K$3)),"")</f>
        <v/>
      </c>
      <c r="L99" t="str">
        <f t="array" aca="1" ref="L99" ca="1">IFERROR(INDEX(Source!$A$1:$A$250,SMALL(IF(--(Source!$B$1:$B$250=$O99)*--(Source!$E$1:$E$250=$M$3)*--(Source!$D$1:$D$250=Pyramid!$M99),ROW(Source!$B$1:$B$250),FALSE),L$3)),"")</f>
        <v/>
      </c>
      <c r="M99" t="str">
        <f t="shared" si="5"/>
        <v>29/6/2016</v>
      </c>
      <c r="N99">
        <f ca="1">COUNTIFS(Source!B:B,Pyramid!$O99,Source!$D:$D,Pyramid!$M99,Source!$E:$E,Pyramid!$M$3)</f>
        <v>0</v>
      </c>
      <c r="O99">
        <f ca="1">OFFSET(Sheet2!$N$3,INT(C99/5),)</f>
        <v>18968</v>
      </c>
      <c r="P99">
        <f ca="1">COUNTIFS(Source!B:B,Pyramid!$O99,Source!D:D,Pyramid!$Q99,Source!$E:$E,Pyramid!$Q$3)</f>
        <v>0</v>
      </c>
      <c r="Q99" t="str">
        <f t="shared" si="5"/>
        <v>29/6/2016</v>
      </c>
      <c r="R99" t="str">
        <f t="array" aca="1" ref="R99" ca="1">IFERROR(INDEX(Source!$A$1:$A$250,SMALL(IF(--(Source!$B$1:$B$250=$O99)*--(Source!$E$1:$E$250=$Q$3)*--(Source!$D$1:$D$250=Pyramid!$Q99),ROW(Source!$B$1:$B$250),FALSE),R$3)),"")</f>
        <v/>
      </c>
      <c r="S99" t="str">
        <f t="array" aca="1" ref="S99" ca="1">IFERROR(INDEX(Source!$A$1:$A$250,SMALL(IF(--(Source!$B$1:$B$250=$O99)*--(Source!$E$1:$E$250=$Q$3)*--(Source!$D$1:$D$250=Pyramid!$Q99),ROW(Source!$B$1:$B$250),FALSE),S$3)),"")</f>
        <v/>
      </c>
      <c r="T99" t="str">
        <f t="array" aca="1" ref="T99" ca="1">IFERROR(INDEX(Source!$A$1:$A$250,SMALL(IF(--(Source!$B$1:$B$250=$O99)*--(Source!$E$1:$E$250=$Q$3)*--(Source!$D$1:$D$250=Pyramid!$Q99),ROW(Source!$B$1:$B$250),FALSE),T$3)),"")</f>
        <v/>
      </c>
      <c r="U99" t="str">
        <f t="array" aca="1" ref="U99" ca="1">IFERROR(INDEX(Source!$A$1:$A$250,SMALL(IF(--(Source!$B$1:$B$250=$O99)*--(Source!$E$1:$E$250=$Q$3)*--(Source!$D$1:$D$250=Pyramid!$Q99),ROW(Source!$B$1:$B$250),FALSE),U$3)),"")</f>
        <v/>
      </c>
      <c r="V99" t="str">
        <f t="array" aca="1" ref="V99" ca="1">IFERROR(INDEX(Source!$A$1:$A$250,SMALL(IF(--(Source!$B$1:$B$250=$O99)*--(Source!$E$1:$E$250=$Q$3)*--(Source!$D$1:$D$250=Pyramid!$Q99),ROW(Source!$B$1:$B$250),FALSE),V$3)),"")</f>
        <v/>
      </c>
      <c r="W99" t="str">
        <f t="array" aca="1" ref="W99" ca="1">IFERROR(INDEX(Source!$A$1:$A$250,SMALL(IF(--(Source!$B$1:$B$250=$O99)*--(Source!$E$1:$E$250=$Q$3)*--(Source!$D$1:$D$250=Pyramid!$Q99),ROW(Source!$B$1:$B$250),FALSE),W$3)),"")</f>
        <v/>
      </c>
      <c r="X99" t="str">
        <f t="array" aca="1" ref="X99" ca="1">IFERROR(INDEX(Source!$A$1:$A$250,SMALL(IF(--(Source!$B$1:$B$250=$O99)*--(Source!$E$1:$E$250=$Q$3)*--(Source!$D$1:$D$250=Pyramid!$Q99),ROW(Source!$B$1:$B$250),FALSE),X$3)),"")</f>
        <v/>
      </c>
      <c r="Y99" s="5">
        <f t="shared" ca="1" si="6"/>
        <v>0</v>
      </c>
    </row>
    <row r="100" spans="3:25">
      <c r="C100">
        <v>96</v>
      </c>
      <c r="D100" s="5">
        <f t="shared" ca="1" si="4"/>
        <v>0</v>
      </c>
      <c r="E100" t="str">
        <f t="array" aca="1" ref="E100" ca="1">IFERROR(INDEX(Source!$A$1:$A$250,SMALL(IF(--(Source!$B$1:$B$250=$O100)*--(Source!$E$1:$E$250=$M$3)*--(Source!$D$1:$D$250=Pyramid!$M100),ROW(Source!$B$1:$B$250),FALSE),E$3)),"")</f>
        <v/>
      </c>
      <c r="F100" t="str">
        <f t="array" aca="1" ref="F100" ca="1">IFERROR(INDEX(Source!$A$1:$A$250,SMALL(IF(--(Source!$B$1:$B$250=$O100)*--(Source!$E$1:$E$250=$M$3)*--(Source!$D$1:$D$250=Pyramid!$M100),ROW(Source!$B$1:$B$250),FALSE),F$3)),"")</f>
        <v/>
      </c>
      <c r="G100" t="str">
        <f t="array" aca="1" ref="G100" ca="1">IFERROR(INDEX(Source!$A$1:$A$250,SMALL(IF(--(Source!$B$1:$B$250=$O100)*--(Source!$E$1:$E$250=$M$3)*--(Source!$D$1:$D$250=Pyramid!$M100),ROW(Source!$B$1:$B$250),FALSE),G$3)),"")</f>
        <v/>
      </c>
      <c r="H100" t="str">
        <f t="array" aca="1" ref="H100" ca="1">IFERROR(INDEX(Source!$A$1:$A$250,SMALL(IF(--(Source!$B$1:$B$250=$O100)*--(Source!$E$1:$E$250=$M$3)*--(Source!$D$1:$D$250=Pyramid!$M100),ROW(Source!$B$1:$B$250),FALSE),H$3)),"")</f>
        <v/>
      </c>
      <c r="I100" t="str">
        <f t="array" aca="1" ref="I100" ca="1">IFERROR(INDEX(Source!$A$1:$A$250,SMALL(IF(--(Source!$B$1:$B$250=$O100)*--(Source!$E$1:$E$250=$M$3)*--(Source!$D$1:$D$250=Pyramid!$M100),ROW(Source!$B$1:$B$250),FALSE),I$3)),"")</f>
        <v/>
      </c>
      <c r="J100" t="str">
        <f t="array" aca="1" ref="J100" ca="1">IFERROR(INDEX(Source!$A$1:$A$250,SMALL(IF(--(Source!$B$1:$B$250=$O100)*--(Source!$E$1:$E$250=$M$3)*--(Source!$D$1:$D$250=Pyramid!$M100),ROW(Source!$B$1:$B$250),FALSE),J$3)),"")</f>
        <v/>
      </c>
      <c r="K100" t="str">
        <f t="array" aca="1" ref="K100" ca="1">IFERROR(INDEX(Source!$A$1:$A$250,SMALL(IF(--(Source!$B$1:$B$250=$O100)*--(Source!$E$1:$E$250=$M$3)*--(Source!$D$1:$D$250=Pyramid!$M100),ROW(Source!$B$1:$B$250),FALSE),K$3)),"")</f>
        <v/>
      </c>
      <c r="L100" t="str">
        <f t="array" aca="1" ref="L100" ca="1">IFERROR(INDEX(Source!$A$1:$A$250,SMALL(IF(--(Source!$B$1:$B$250=$O100)*--(Source!$E$1:$E$250=$M$3)*--(Source!$D$1:$D$250=Pyramid!$M100),ROW(Source!$B$1:$B$250),FALSE),L$3)),"")</f>
        <v/>
      </c>
      <c r="M100" t="str">
        <f t="shared" si="5"/>
        <v>28/7/2016</v>
      </c>
      <c r="N100">
        <f ca="1">COUNTIFS(Source!B:B,Pyramid!$O100,Source!$D:$D,Pyramid!$M100,Source!$E:$E,Pyramid!$M$3)</f>
        <v>0</v>
      </c>
      <c r="O100">
        <f ca="1">OFFSET(Sheet2!$N$3,INT(C100/5),)</f>
        <v>18968</v>
      </c>
      <c r="P100">
        <f ca="1">COUNTIFS(Source!B:B,Pyramid!$O100,Source!D:D,Pyramid!$Q100,Source!$E:$E,Pyramid!$Q$3)</f>
        <v>0</v>
      </c>
      <c r="Q100" t="str">
        <f t="shared" si="5"/>
        <v>28/7/2016</v>
      </c>
      <c r="R100" t="str">
        <f t="array" aca="1" ref="R100" ca="1">IFERROR(INDEX(Source!$A$1:$A$250,SMALL(IF(--(Source!$B$1:$B$250=$O100)*--(Source!$E$1:$E$250=$Q$3)*--(Source!$D$1:$D$250=Pyramid!$Q100),ROW(Source!$B$1:$B$250),FALSE),R$3)),"")</f>
        <v/>
      </c>
      <c r="S100" t="str">
        <f t="array" aca="1" ref="S100" ca="1">IFERROR(INDEX(Source!$A$1:$A$250,SMALL(IF(--(Source!$B$1:$B$250=$O100)*--(Source!$E$1:$E$250=$Q$3)*--(Source!$D$1:$D$250=Pyramid!$Q100),ROW(Source!$B$1:$B$250),FALSE),S$3)),"")</f>
        <v/>
      </c>
      <c r="T100" t="str">
        <f t="array" aca="1" ref="T100" ca="1">IFERROR(INDEX(Source!$A$1:$A$250,SMALL(IF(--(Source!$B$1:$B$250=$O100)*--(Source!$E$1:$E$250=$Q$3)*--(Source!$D$1:$D$250=Pyramid!$Q100),ROW(Source!$B$1:$B$250),FALSE),T$3)),"")</f>
        <v/>
      </c>
      <c r="U100" t="str">
        <f t="array" aca="1" ref="U100" ca="1">IFERROR(INDEX(Source!$A$1:$A$250,SMALL(IF(--(Source!$B$1:$B$250=$O100)*--(Source!$E$1:$E$250=$Q$3)*--(Source!$D$1:$D$250=Pyramid!$Q100),ROW(Source!$B$1:$B$250),FALSE),U$3)),"")</f>
        <v/>
      </c>
      <c r="V100" t="str">
        <f t="array" aca="1" ref="V100" ca="1">IFERROR(INDEX(Source!$A$1:$A$250,SMALL(IF(--(Source!$B$1:$B$250=$O100)*--(Source!$E$1:$E$250=$Q$3)*--(Source!$D$1:$D$250=Pyramid!$Q100),ROW(Source!$B$1:$B$250),FALSE),V$3)),"")</f>
        <v/>
      </c>
      <c r="W100" t="str">
        <f t="array" aca="1" ref="W100" ca="1">IFERROR(INDEX(Source!$A$1:$A$250,SMALL(IF(--(Source!$B$1:$B$250=$O100)*--(Source!$E$1:$E$250=$Q$3)*--(Source!$D$1:$D$250=Pyramid!$Q100),ROW(Source!$B$1:$B$250),FALSE),W$3)),"")</f>
        <v/>
      </c>
      <c r="X100" t="str">
        <f t="array" aca="1" ref="X100" ca="1">IFERROR(INDEX(Source!$A$1:$A$250,SMALL(IF(--(Source!$B$1:$B$250=$O100)*--(Source!$E$1:$E$250=$Q$3)*--(Source!$D$1:$D$250=Pyramid!$Q100),ROW(Source!$B$1:$B$250),FALSE),X$3)),"")</f>
        <v/>
      </c>
      <c r="Y100" s="5">
        <f t="shared" ca="1" si="6"/>
        <v>0</v>
      </c>
    </row>
    <row r="101" spans="3:25">
      <c r="C101">
        <v>97</v>
      </c>
      <c r="D101" s="5">
        <f t="shared" ca="1" si="4"/>
        <v>0</v>
      </c>
      <c r="E101" t="str">
        <f t="array" aca="1" ref="E101" ca="1">IFERROR(INDEX(Source!$A$1:$A$250,SMALL(IF(--(Source!$B$1:$B$250=$O101)*--(Source!$E$1:$E$250=$M$3)*--(Source!$D$1:$D$250=Pyramid!$M101),ROW(Source!$B$1:$B$250),FALSE),E$3)),"")</f>
        <v/>
      </c>
      <c r="F101" t="str">
        <f t="array" aca="1" ref="F101" ca="1">IFERROR(INDEX(Source!$A$1:$A$250,SMALL(IF(--(Source!$B$1:$B$250=$O101)*--(Source!$E$1:$E$250=$M$3)*--(Source!$D$1:$D$250=Pyramid!$M101),ROW(Source!$B$1:$B$250),FALSE),F$3)),"")</f>
        <v/>
      </c>
      <c r="G101" t="str">
        <f t="array" aca="1" ref="G101" ca="1">IFERROR(INDEX(Source!$A$1:$A$250,SMALL(IF(--(Source!$B$1:$B$250=$O101)*--(Source!$E$1:$E$250=$M$3)*--(Source!$D$1:$D$250=Pyramid!$M101),ROW(Source!$B$1:$B$250),FALSE),G$3)),"")</f>
        <v/>
      </c>
      <c r="H101" t="str">
        <f t="array" aca="1" ref="H101" ca="1">IFERROR(INDEX(Source!$A$1:$A$250,SMALL(IF(--(Source!$B$1:$B$250=$O101)*--(Source!$E$1:$E$250=$M$3)*--(Source!$D$1:$D$250=Pyramid!$M101),ROW(Source!$B$1:$B$250),FALSE),H$3)),"")</f>
        <v/>
      </c>
      <c r="I101" t="str">
        <f t="array" aca="1" ref="I101" ca="1">IFERROR(INDEX(Source!$A$1:$A$250,SMALL(IF(--(Source!$B$1:$B$250=$O101)*--(Source!$E$1:$E$250=$M$3)*--(Source!$D$1:$D$250=Pyramid!$M101),ROW(Source!$B$1:$B$250),FALSE),I$3)),"")</f>
        <v/>
      </c>
      <c r="J101" t="str">
        <f t="array" aca="1" ref="J101" ca="1">IFERROR(INDEX(Source!$A$1:$A$250,SMALL(IF(--(Source!$B$1:$B$250=$O101)*--(Source!$E$1:$E$250=$M$3)*--(Source!$D$1:$D$250=Pyramid!$M101),ROW(Source!$B$1:$B$250),FALSE),J$3)),"")</f>
        <v/>
      </c>
      <c r="K101" t="str">
        <f t="array" aca="1" ref="K101" ca="1">IFERROR(INDEX(Source!$A$1:$A$250,SMALL(IF(--(Source!$B$1:$B$250=$O101)*--(Source!$E$1:$E$250=$M$3)*--(Source!$D$1:$D$250=Pyramid!$M101),ROW(Source!$B$1:$B$250),FALSE),K$3)),"")</f>
        <v/>
      </c>
      <c r="L101" t="str">
        <f t="array" aca="1" ref="L101" ca="1">IFERROR(INDEX(Source!$A$1:$A$250,SMALL(IF(--(Source!$B$1:$B$250=$O101)*--(Source!$E$1:$E$250=$M$3)*--(Source!$D$1:$D$250=Pyramid!$M101),ROW(Source!$B$1:$B$250),FALSE),L$3)),"")</f>
        <v/>
      </c>
      <c r="M101" t="str">
        <f t="shared" si="5"/>
        <v>30/8/2016</v>
      </c>
      <c r="N101">
        <f ca="1">COUNTIFS(Source!B:B,Pyramid!$O101,Source!$D:$D,Pyramid!$M101,Source!$E:$E,Pyramid!$M$3)</f>
        <v>0</v>
      </c>
      <c r="O101">
        <f ca="1">OFFSET(Sheet2!$N$3,INT(C101/5),)</f>
        <v>18968</v>
      </c>
      <c r="P101">
        <f ca="1">COUNTIFS(Source!B:B,Pyramid!$O101,Source!D:D,Pyramid!$Q101,Source!$E:$E,Pyramid!$Q$3)</f>
        <v>0</v>
      </c>
      <c r="Q101" t="str">
        <f t="shared" si="5"/>
        <v>30/8/2016</v>
      </c>
      <c r="R101" t="str">
        <f t="array" aca="1" ref="R101" ca="1">IFERROR(INDEX(Source!$A$1:$A$250,SMALL(IF(--(Source!$B$1:$B$250=$O101)*--(Source!$E$1:$E$250=$Q$3)*--(Source!$D$1:$D$250=Pyramid!$Q101),ROW(Source!$B$1:$B$250),FALSE),R$3)),"")</f>
        <v/>
      </c>
      <c r="S101" t="str">
        <f t="array" aca="1" ref="S101" ca="1">IFERROR(INDEX(Source!$A$1:$A$250,SMALL(IF(--(Source!$B$1:$B$250=$O101)*--(Source!$E$1:$E$250=$Q$3)*--(Source!$D$1:$D$250=Pyramid!$Q101),ROW(Source!$B$1:$B$250),FALSE),S$3)),"")</f>
        <v/>
      </c>
      <c r="T101" t="str">
        <f t="array" aca="1" ref="T101" ca="1">IFERROR(INDEX(Source!$A$1:$A$250,SMALL(IF(--(Source!$B$1:$B$250=$O101)*--(Source!$E$1:$E$250=$Q$3)*--(Source!$D$1:$D$250=Pyramid!$Q101),ROW(Source!$B$1:$B$250),FALSE),T$3)),"")</f>
        <v/>
      </c>
      <c r="U101" t="str">
        <f t="array" aca="1" ref="U101" ca="1">IFERROR(INDEX(Source!$A$1:$A$250,SMALL(IF(--(Source!$B$1:$B$250=$O101)*--(Source!$E$1:$E$250=$Q$3)*--(Source!$D$1:$D$250=Pyramid!$Q101),ROW(Source!$B$1:$B$250),FALSE),U$3)),"")</f>
        <v/>
      </c>
      <c r="V101" t="str">
        <f t="array" aca="1" ref="V101" ca="1">IFERROR(INDEX(Source!$A$1:$A$250,SMALL(IF(--(Source!$B$1:$B$250=$O101)*--(Source!$E$1:$E$250=$Q$3)*--(Source!$D$1:$D$250=Pyramid!$Q101),ROW(Source!$B$1:$B$250),FALSE),V$3)),"")</f>
        <v/>
      </c>
      <c r="W101" t="str">
        <f t="array" aca="1" ref="W101" ca="1">IFERROR(INDEX(Source!$A$1:$A$250,SMALL(IF(--(Source!$B$1:$B$250=$O101)*--(Source!$E$1:$E$250=$Q$3)*--(Source!$D$1:$D$250=Pyramid!$Q101),ROW(Source!$B$1:$B$250),FALSE),W$3)),"")</f>
        <v/>
      </c>
      <c r="X101" t="str">
        <f t="array" aca="1" ref="X101" ca="1">IFERROR(INDEX(Source!$A$1:$A$250,SMALL(IF(--(Source!$B$1:$B$250=$O101)*--(Source!$E$1:$E$250=$Q$3)*--(Source!$D$1:$D$250=Pyramid!$Q101),ROW(Source!$B$1:$B$250),FALSE),X$3)),"")</f>
        <v/>
      </c>
      <c r="Y101" s="5">
        <f t="shared" ca="1" si="6"/>
        <v>0</v>
      </c>
    </row>
    <row r="102" spans="3:25">
      <c r="C102">
        <v>98</v>
      </c>
      <c r="D102" s="5">
        <f t="shared" ca="1" si="4"/>
        <v>0</v>
      </c>
      <c r="E102" t="str">
        <f t="array" aca="1" ref="E102" ca="1">IFERROR(INDEX(Source!$A$1:$A$250,SMALL(IF(--(Source!$B$1:$B$250=$O102)*--(Source!$E$1:$E$250=$M$3)*--(Source!$D$1:$D$250=Pyramid!$M102),ROW(Source!$B$1:$B$250),FALSE),E$3)),"")</f>
        <v/>
      </c>
      <c r="F102" t="str">
        <f t="array" aca="1" ref="F102" ca="1">IFERROR(INDEX(Source!$A$1:$A$250,SMALL(IF(--(Source!$B$1:$B$250=$O102)*--(Source!$E$1:$E$250=$M$3)*--(Source!$D$1:$D$250=Pyramid!$M102),ROW(Source!$B$1:$B$250),FALSE),F$3)),"")</f>
        <v/>
      </c>
      <c r="G102" t="str">
        <f t="array" aca="1" ref="G102" ca="1">IFERROR(INDEX(Source!$A$1:$A$250,SMALL(IF(--(Source!$B$1:$B$250=$O102)*--(Source!$E$1:$E$250=$M$3)*--(Source!$D$1:$D$250=Pyramid!$M102),ROW(Source!$B$1:$B$250),FALSE),G$3)),"")</f>
        <v/>
      </c>
      <c r="H102" t="str">
        <f t="array" aca="1" ref="H102" ca="1">IFERROR(INDEX(Source!$A$1:$A$250,SMALL(IF(--(Source!$B$1:$B$250=$O102)*--(Source!$E$1:$E$250=$M$3)*--(Source!$D$1:$D$250=Pyramid!$M102),ROW(Source!$B$1:$B$250),FALSE),H$3)),"")</f>
        <v/>
      </c>
      <c r="I102" t="str">
        <f t="array" aca="1" ref="I102" ca="1">IFERROR(INDEX(Source!$A$1:$A$250,SMALL(IF(--(Source!$B$1:$B$250=$O102)*--(Source!$E$1:$E$250=$M$3)*--(Source!$D$1:$D$250=Pyramid!$M102),ROW(Source!$B$1:$B$250),FALSE),I$3)),"")</f>
        <v/>
      </c>
      <c r="J102" t="str">
        <f t="array" aca="1" ref="J102" ca="1">IFERROR(INDEX(Source!$A$1:$A$250,SMALL(IF(--(Source!$B$1:$B$250=$O102)*--(Source!$E$1:$E$250=$M$3)*--(Source!$D$1:$D$250=Pyramid!$M102),ROW(Source!$B$1:$B$250),FALSE),J$3)),"")</f>
        <v/>
      </c>
      <c r="K102" t="str">
        <f t="array" aca="1" ref="K102" ca="1">IFERROR(INDEX(Source!$A$1:$A$250,SMALL(IF(--(Source!$B$1:$B$250=$O102)*--(Source!$E$1:$E$250=$M$3)*--(Source!$D$1:$D$250=Pyramid!$M102),ROW(Source!$B$1:$B$250),FALSE),K$3)),"")</f>
        <v/>
      </c>
      <c r="L102" t="str">
        <f t="array" aca="1" ref="L102" ca="1">IFERROR(INDEX(Source!$A$1:$A$250,SMALL(IF(--(Source!$B$1:$B$250=$O102)*--(Source!$E$1:$E$250=$M$3)*--(Source!$D$1:$D$250=Pyramid!$M102),ROW(Source!$B$1:$B$250),FALSE),L$3)),"")</f>
        <v/>
      </c>
      <c r="M102" t="str">
        <f t="shared" si="5"/>
        <v>29/9/2016</v>
      </c>
      <c r="N102">
        <f ca="1">COUNTIFS(Source!B:B,Pyramid!$O102,Source!$D:$D,Pyramid!$M102,Source!$E:$E,Pyramid!$M$3)</f>
        <v>0</v>
      </c>
      <c r="O102">
        <f ca="1">OFFSET(Sheet2!$N$3,INT(C102/5),)</f>
        <v>18968</v>
      </c>
      <c r="P102">
        <f ca="1">COUNTIFS(Source!B:B,Pyramid!$O102,Source!D:D,Pyramid!$Q102,Source!$E:$E,Pyramid!$Q$3)</f>
        <v>0</v>
      </c>
      <c r="Q102" t="str">
        <f t="shared" si="5"/>
        <v>29/9/2016</v>
      </c>
      <c r="R102" t="str">
        <f t="array" aca="1" ref="R102" ca="1">IFERROR(INDEX(Source!$A$1:$A$250,SMALL(IF(--(Source!$B$1:$B$250=$O102)*--(Source!$E$1:$E$250=$Q$3)*--(Source!$D$1:$D$250=Pyramid!$Q102),ROW(Source!$B$1:$B$250),FALSE),R$3)),"")</f>
        <v/>
      </c>
      <c r="S102" t="str">
        <f t="array" aca="1" ref="S102" ca="1">IFERROR(INDEX(Source!$A$1:$A$250,SMALL(IF(--(Source!$B$1:$B$250=$O102)*--(Source!$E$1:$E$250=$Q$3)*--(Source!$D$1:$D$250=Pyramid!$Q102),ROW(Source!$B$1:$B$250),FALSE),S$3)),"")</f>
        <v/>
      </c>
      <c r="T102" t="str">
        <f t="array" aca="1" ref="T102" ca="1">IFERROR(INDEX(Source!$A$1:$A$250,SMALL(IF(--(Source!$B$1:$B$250=$O102)*--(Source!$E$1:$E$250=$Q$3)*--(Source!$D$1:$D$250=Pyramid!$Q102),ROW(Source!$B$1:$B$250),FALSE),T$3)),"")</f>
        <v/>
      </c>
      <c r="U102" t="str">
        <f t="array" aca="1" ref="U102" ca="1">IFERROR(INDEX(Source!$A$1:$A$250,SMALL(IF(--(Source!$B$1:$B$250=$O102)*--(Source!$E$1:$E$250=$Q$3)*--(Source!$D$1:$D$250=Pyramid!$Q102),ROW(Source!$B$1:$B$250),FALSE),U$3)),"")</f>
        <v/>
      </c>
      <c r="V102" t="str">
        <f t="array" aca="1" ref="V102" ca="1">IFERROR(INDEX(Source!$A$1:$A$250,SMALL(IF(--(Source!$B$1:$B$250=$O102)*--(Source!$E$1:$E$250=$Q$3)*--(Source!$D$1:$D$250=Pyramid!$Q102),ROW(Source!$B$1:$B$250),FALSE),V$3)),"")</f>
        <v/>
      </c>
      <c r="W102" t="str">
        <f t="array" aca="1" ref="W102" ca="1">IFERROR(INDEX(Source!$A$1:$A$250,SMALL(IF(--(Source!$B$1:$B$250=$O102)*--(Source!$E$1:$E$250=$Q$3)*--(Source!$D$1:$D$250=Pyramid!$Q102),ROW(Source!$B$1:$B$250),FALSE),W$3)),"")</f>
        <v/>
      </c>
      <c r="X102" t="str">
        <f t="array" aca="1" ref="X102" ca="1">IFERROR(INDEX(Source!$A$1:$A$250,SMALL(IF(--(Source!$B$1:$B$250=$O102)*--(Source!$E$1:$E$250=$Q$3)*--(Source!$D$1:$D$250=Pyramid!$Q102),ROW(Source!$B$1:$B$250),FALSE),X$3)),"")</f>
        <v/>
      </c>
      <c r="Y102" s="5">
        <f t="shared" ca="1" si="6"/>
        <v>0</v>
      </c>
    </row>
    <row r="103" spans="3:25">
      <c r="C103">
        <v>99</v>
      </c>
      <c r="D103" s="5">
        <f t="shared" ca="1" si="4"/>
        <v>0</v>
      </c>
      <c r="E103" t="str">
        <f t="array" aca="1" ref="E103" ca="1">IFERROR(INDEX(Source!$A$1:$A$250,SMALL(IF(--(Source!$B$1:$B$250=$O103)*--(Source!$E$1:$E$250=$M$3)*--(Source!$D$1:$D$250=Pyramid!$M103),ROW(Source!$B$1:$B$250),FALSE),E$3)),"")</f>
        <v/>
      </c>
      <c r="F103" t="str">
        <f t="array" aca="1" ref="F103" ca="1">IFERROR(INDEX(Source!$A$1:$A$250,SMALL(IF(--(Source!$B$1:$B$250=$O103)*--(Source!$E$1:$E$250=$M$3)*--(Source!$D$1:$D$250=Pyramid!$M103),ROW(Source!$B$1:$B$250),FALSE),F$3)),"")</f>
        <v/>
      </c>
      <c r="G103" t="str">
        <f t="array" aca="1" ref="G103" ca="1">IFERROR(INDEX(Source!$A$1:$A$250,SMALL(IF(--(Source!$B$1:$B$250=$O103)*--(Source!$E$1:$E$250=$M$3)*--(Source!$D$1:$D$250=Pyramid!$M103),ROW(Source!$B$1:$B$250),FALSE),G$3)),"")</f>
        <v/>
      </c>
      <c r="H103" t="str">
        <f t="array" aca="1" ref="H103" ca="1">IFERROR(INDEX(Source!$A$1:$A$250,SMALL(IF(--(Source!$B$1:$B$250=$O103)*--(Source!$E$1:$E$250=$M$3)*--(Source!$D$1:$D$250=Pyramid!$M103),ROW(Source!$B$1:$B$250),FALSE),H$3)),"")</f>
        <v/>
      </c>
      <c r="I103" t="str">
        <f t="array" aca="1" ref="I103" ca="1">IFERROR(INDEX(Source!$A$1:$A$250,SMALL(IF(--(Source!$B$1:$B$250=$O103)*--(Source!$E$1:$E$250=$M$3)*--(Source!$D$1:$D$250=Pyramid!$M103),ROW(Source!$B$1:$B$250),FALSE),I$3)),"")</f>
        <v/>
      </c>
      <c r="J103" t="str">
        <f t="array" aca="1" ref="J103" ca="1">IFERROR(INDEX(Source!$A$1:$A$250,SMALL(IF(--(Source!$B$1:$B$250=$O103)*--(Source!$E$1:$E$250=$M$3)*--(Source!$D$1:$D$250=Pyramid!$M103),ROW(Source!$B$1:$B$250),FALSE),J$3)),"")</f>
        <v/>
      </c>
      <c r="K103" t="str">
        <f t="array" aca="1" ref="K103" ca="1">IFERROR(INDEX(Source!$A$1:$A$250,SMALL(IF(--(Source!$B$1:$B$250=$O103)*--(Source!$E$1:$E$250=$M$3)*--(Source!$D$1:$D$250=Pyramid!$M103),ROW(Source!$B$1:$B$250),FALSE),K$3)),"")</f>
        <v/>
      </c>
      <c r="L103" t="str">
        <f t="array" aca="1" ref="L103" ca="1">IFERROR(INDEX(Source!$A$1:$A$250,SMALL(IF(--(Source!$B$1:$B$250=$O103)*--(Source!$E$1:$E$250=$M$3)*--(Source!$D$1:$D$250=Pyramid!$M103),ROW(Source!$B$1:$B$250),FALSE),L$3)),"")</f>
        <v/>
      </c>
      <c r="M103" t="str">
        <f t="shared" si="5"/>
        <v>28/10/2016</v>
      </c>
      <c r="N103">
        <f ca="1">COUNTIFS(Source!B:B,Pyramid!$O103,Source!$D:$D,Pyramid!$M103,Source!$E:$E,Pyramid!$M$3)</f>
        <v>0</v>
      </c>
      <c r="O103">
        <f ca="1">OFFSET(Sheet2!$N$3,INT(C103/5),)</f>
        <v>18968</v>
      </c>
      <c r="P103">
        <f ca="1">COUNTIFS(Source!B:B,Pyramid!$O103,Source!D:D,Pyramid!$Q103,Source!$E:$E,Pyramid!$Q$3)</f>
        <v>0</v>
      </c>
      <c r="Q103" t="str">
        <f t="shared" si="5"/>
        <v>28/10/2016</v>
      </c>
      <c r="R103" t="str">
        <f t="array" aca="1" ref="R103" ca="1">IFERROR(INDEX(Source!$A$1:$A$250,SMALL(IF(--(Source!$B$1:$B$250=$O103)*--(Source!$E$1:$E$250=$Q$3)*--(Source!$D$1:$D$250=Pyramid!$Q103),ROW(Source!$B$1:$B$250),FALSE),R$3)),"")</f>
        <v/>
      </c>
      <c r="S103" t="str">
        <f t="array" aca="1" ref="S103" ca="1">IFERROR(INDEX(Source!$A$1:$A$250,SMALL(IF(--(Source!$B$1:$B$250=$O103)*--(Source!$E$1:$E$250=$Q$3)*--(Source!$D$1:$D$250=Pyramid!$Q103),ROW(Source!$B$1:$B$250),FALSE),S$3)),"")</f>
        <v/>
      </c>
      <c r="T103" t="str">
        <f t="array" aca="1" ref="T103" ca="1">IFERROR(INDEX(Source!$A$1:$A$250,SMALL(IF(--(Source!$B$1:$B$250=$O103)*--(Source!$E$1:$E$250=$Q$3)*--(Source!$D$1:$D$250=Pyramid!$Q103),ROW(Source!$B$1:$B$250),FALSE),T$3)),"")</f>
        <v/>
      </c>
      <c r="U103" t="str">
        <f t="array" aca="1" ref="U103" ca="1">IFERROR(INDEX(Source!$A$1:$A$250,SMALL(IF(--(Source!$B$1:$B$250=$O103)*--(Source!$E$1:$E$250=$Q$3)*--(Source!$D$1:$D$250=Pyramid!$Q103),ROW(Source!$B$1:$B$250),FALSE),U$3)),"")</f>
        <v/>
      </c>
      <c r="V103" t="str">
        <f t="array" aca="1" ref="V103" ca="1">IFERROR(INDEX(Source!$A$1:$A$250,SMALL(IF(--(Source!$B$1:$B$250=$O103)*--(Source!$E$1:$E$250=$Q$3)*--(Source!$D$1:$D$250=Pyramid!$Q103),ROW(Source!$B$1:$B$250),FALSE),V$3)),"")</f>
        <v/>
      </c>
      <c r="W103" t="str">
        <f t="array" aca="1" ref="W103" ca="1">IFERROR(INDEX(Source!$A$1:$A$250,SMALL(IF(--(Source!$B$1:$B$250=$O103)*--(Source!$E$1:$E$250=$Q$3)*--(Source!$D$1:$D$250=Pyramid!$Q103),ROW(Source!$B$1:$B$250),FALSE),W$3)),"")</f>
        <v/>
      </c>
      <c r="X103" t="str">
        <f t="array" aca="1" ref="X103" ca="1">IFERROR(INDEX(Source!$A$1:$A$250,SMALL(IF(--(Source!$B$1:$B$250=$O103)*--(Source!$E$1:$E$250=$Q$3)*--(Source!$D$1:$D$250=Pyramid!$Q103),ROW(Source!$B$1:$B$250),FALSE),X$3)),"")</f>
        <v/>
      </c>
      <c r="Y103" s="5">
        <f t="shared" ca="1" si="6"/>
        <v>0</v>
      </c>
    </row>
    <row r="104" spans="3:25">
      <c r="C104">
        <v>100</v>
      </c>
      <c r="D104" s="5">
        <f t="shared" ca="1" si="4"/>
        <v>0</v>
      </c>
      <c r="E104" t="str">
        <f t="array" aca="1" ref="E104" ca="1">IFERROR(INDEX(Source!$A$1:$A$250,SMALL(IF(--(Source!$B$1:$B$250=$O104)*--(Source!$E$1:$E$250=$M$3)*--(Source!$D$1:$D$250=Pyramid!$M104),ROW(Source!$B$1:$B$250),FALSE),E$3)),"")</f>
        <v/>
      </c>
      <c r="F104" t="str">
        <f t="array" aca="1" ref="F104" ca="1">IFERROR(INDEX(Source!$A$1:$A$250,SMALL(IF(--(Source!$B$1:$B$250=$O104)*--(Source!$E$1:$E$250=$M$3)*--(Source!$D$1:$D$250=Pyramid!$M104),ROW(Source!$B$1:$B$250),FALSE),F$3)),"")</f>
        <v/>
      </c>
      <c r="G104" t="str">
        <f t="array" aca="1" ref="G104" ca="1">IFERROR(INDEX(Source!$A$1:$A$250,SMALL(IF(--(Source!$B$1:$B$250=$O104)*--(Source!$E$1:$E$250=$M$3)*--(Source!$D$1:$D$250=Pyramid!$M104),ROW(Source!$B$1:$B$250),FALSE),G$3)),"")</f>
        <v/>
      </c>
      <c r="H104" t="str">
        <f t="array" aca="1" ref="H104" ca="1">IFERROR(INDEX(Source!$A$1:$A$250,SMALL(IF(--(Source!$B$1:$B$250=$O104)*--(Source!$E$1:$E$250=$M$3)*--(Source!$D$1:$D$250=Pyramid!$M104),ROW(Source!$B$1:$B$250),FALSE),H$3)),"")</f>
        <v/>
      </c>
      <c r="I104" t="str">
        <f t="array" aca="1" ref="I104" ca="1">IFERROR(INDEX(Source!$A$1:$A$250,SMALL(IF(--(Source!$B$1:$B$250=$O104)*--(Source!$E$1:$E$250=$M$3)*--(Source!$D$1:$D$250=Pyramid!$M104),ROW(Source!$B$1:$B$250),FALSE),I$3)),"")</f>
        <v/>
      </c>
      <c r="J104" t="str">
        <f t="array" aca="1" ref="J104" ca="1">IFERROR(INDEX(Source!$A$1:$A$250,SMALL(IF(--(Source!$B$1:$B$250=$O104)*--(Source!$E$1:$E$250=$M$3)*--(Source!$D$1:$D$250=Pyramid!$M104),ROW(Source!$B$1:$B$250),FALSE),J$3)),"")</f>
        <v/>
      </c>
      <c r="K104" t="str">
        <f t="array" aca="1" ref="K104" ca="1">IFERROR(INDEX(Source!$A$1:$A$250,SMALL(IF(--(Source!$B$1:$B$250=$O104)*--(Source!$E$1:$E$250=$M$3)*--(Source!$D$1:$D$250=Pyramid!$M104),ROW(Source!$B$1:$B$250),FALSE),K$3)),"")</f>
        <v/>
      </c>
      <c r="L104" t="str">
        <f t="array" aca="1" ref="L104" ca="1">IFERROR(INDEX(Source!$A$1:$A$250,SMALL(IF(--(Source!$B$1:$B$250=$O104)*--(Source!$E$1:$E$250=$M$3)*--(Source!$D$1:$D$250=Pyramid!$M104),ROW(Source!$B$1:$B$250),FALSE),L$3)),"")</f>
        <v/>
      </c>
      <c r="M104" t="str">
        <f t="shared" si="5"/>
        <v>29/6/2016</v>
      </c>
      <c r="N104" s="8">
        <f ca="1">COUNTIFS(Source!B:B,Pyramid!$O104,Source!$D:$D,Pyramid!$M104,Source!$E:$E,Pyramid!$M$3)</f>
        <v>0</v>
      </c>
      <c r="O104">
        <f ca="1">OFFSET(Sheet2!$N$3,INT(C104/5),)</f>
        <v>19000</v>
      </c>
      <c r="P104" s="7">
        <f ca="1">COUNTIFS(Source!B:B,Pyramid!$O104,Source!D:D,Pyramid!$Q104,Source!$E:$E,Pyramid!$Q$3)</f>
        <v>4</v>
      </c>
      <c r="Q104" t="str">
        <f t="shared" si="5"/>
        <v>29/6/2016</v>
      </c>
      <c r="R104" t="str">
        <f t="array" aca="1" ref="R104" ca="1">IFERROR(INDEX(Source!$A$1:$A$250,SMALL(IF(--(Source!$B$1:$B$250=$O104)*--(Source!$E$1:$E$250=$Q$3)*--(Source!$D$1:$D$250=Pyramid!$Q104),ROW(Source!$B$1:$B$250),FALSE),R$3)),"")</f>
        <v>26764 HK Equity</v>
      </c>
      <c r="S104" t="str">
        <f t="array" aca="1" ref="S104" ca="1">IFERROR(INDEX(Source!$A$1:$A$250,SMALL(IF(--(Source!$B$1:$B$250=$O104)*--(Source!$E$1:$E$250=$Q$3)*--(Source!$D$1:$D$250=Pyramid!$Q104),ROW(Source!$B$1:$B$250),FALSE),S$3)),"")</f>
        <v>24691 HK Equity</v>
      </c>
      <c r="T104" t="str">
        <f t="array" aca="1" ref="T104" ca="1">IFERROR(INDEX(Source!$A$1:$A$250,SMALL(IF(--(Source!$B$1:$B$250=$O104)*--(Source!$E$1:$E$250=$Q$3)*--(Source!$D$1:$D$250=Pyramid!$Q104),ROW(Source!$B$1:$B$250),FALSE),T$3)),"")</f>
        <v>11158 HK Equity</v>
      </c>
      <c r="U104" t="str">
        <f t="array" aca="1" ref="U104" ca="1">IFERROR(INDEX(Source!$A$1:$A$250,SMALL(IF(--(Source!$B$1:$B$250=$O104)*--(Source!$E$1:$E$250=$Q$3)*--(Source!$D$1:$D$250=Pyramid!$Q104),ROW(Source!$B$1:$B$250),FALSE),U$3)),"")</f>
        <v>25808 HK Equity</v>
      </c>
      <c r="V104" t="str">
        <f t="array" aca="1" ref="V104" ca="1">IFERROR(INDEX(Source!$A$1:$A$250,SMALL(IF(--(Source!$B$1:$B$250=$O104)*--(Source!$E$1:$E$250=$Q$3)*--(Source!$D$1:$D$250=Pyramid!$Q104),ROW(Source!$B$1:$B$250),FALSE),V$3)),"")</f>
        <v/>
      </c>
      <c r="W104" t="str">
        <f t="array" aca="1" ref="W104" ca="1">IFERROR(INDEX(Source!$A$1:$A$250,SMALL(IF(--(Source!$B$1:$B$250=$O104)*--(Source!$E$1:$E$250=$Q$3)*--(Source!$D$1:$D$250=Pyramid!$Q104),ROW(Source!$B$1:$B$250),FALSE),W$3)),"")</f>
        <v/>
      </c>
      <c r="X104" t="str">
        <f t="array" aca="1" ref="X104" ca="1">IFERROR(INDEX(Source!$A$1:$A$250,SMALL(IF(--(Source!$B$1:$B$250=$O104)*--(Source!$E$1:$E$250=$Q$3)*--(Source!$D$1:$D$250=Pyramid!$Q104),ROW(Source!$B$1:$B$250),FALSE),X$3)),"")</f>
        <v/>
      </c>
      <c r="Y104" s="5">
        <f t="shared" ca="1" si="6"/>
        <v>0</v>
      </c>
    </row>
    <row r="105" spans="3:25">
      <c r="C105">
        <v>101</v>
      </c>
      <c r="D105" s="5">
        <f t="shared" ca="1" si="4"/>
        <v>0</v>
      </c>
      <c r="E105" t="str">
        <f t="array" aca="1" ref="E105" ca="1">IFERROR(INDEX(Source!$A$1:$A$250,SMALL(IF(--(Source!$B$1:$B$250=$O105)*--(Source!$E$1:$E$250=$M$3)*--(Source!$D$1:$D$250=Pyramid!$M105),ROW(Source!$B$1:$B$250),FALSE),E$3)),"")</f>
        <v/>
      </c>
      <c r="F105" t="str">
        <f t="array" aca="1" ref="F105" ca="1">IFERROR(INDEX(Source!$A$1:$A$250,SMALL(IF(--(Source!$B$1:$B$250=$O105)*--(Source!$E$1:$E$250=$M$3)*--(Source!$D$1:$D$250=Pyramid!$M105),ROW(Source!$B$1:$B$250),FALSE),F$3)),"")</f>
        <v/>
      </c>
      <c r="G105" t="str">
        <f t="array" aca="1" ref="G105" ca="1">IFERROR(INDEX(Source!$A$1:$A$250,SMALL(IF(--(Source!$B$1:$B$250=$O105)*--(Source!$E$1:$E$250=$M$3)*--(Source!$D$1:$D$250=Pyramid!$M105),ROW(Source!$B$1:$B$250),FALSE),G$3)),"")</f>
        <v/>
      </c>
      <c r="H105" t="str">
        <f t="array" aca="1" ref="H105" ca="1">IFERROR(INDEX(Source!$A$1:$A$250,SMALL(IF(--(Source!$B$1:$B$250=$O105)*--(Source!$E$1:$E$250=$M$3)*--(Source!$D$1:$D$250=Pyramid!$M105),ROW(Source!$B$1:$B$250),FALSE),H$3)),"")</f>
        <v/>
      </c>
      <c r="I105" t="str">
        <f t="array" aca="1" ref="I105" ca="1">IFERROR(INDEX(Source!$A$1:$A$250,SMALL(IF(--(Source!$B$1:$B$250=$O105)*--(Source!$E$1:$E$250=$M$3)*--(Source!$D$1:$D$250=Pyramid!$M105),ROW(Source!$B$1:$B$250),FALSE),I$3)),"")</f>
        <v>25561 HK Equity</v>
      </c>
      <c r="J105" t="str">
        <f t="array" aca="1" ref="J105" ca="1">IFERROR(INDEX(Source!$A$1:$A$250,SMALL(IF(--(Source!$B$1:$B$250=$O105)*--(Source!$E$1:$E$250=$M$3)*--(Source!$D$1:$D$250=Pyramid!$M105),ROW(Source!$B$1:$B$250),FALSE),J$3)),"")</f>
        <v>25915 HK Equity</v>
      </c>
      <c r="K105" t="str">
        <f t="array" aca="1" ref="K105" ca="1">IFERROR(INDEX(Source!$A$1:$A$250,SMALL(IF(--(Source!$B$1:$B$250=$O105)*--(Source!$E$1:$E$250=$M$3)*--(Source!$D$1:$D$250=Pyramid!$M105),ROW(Source!$B$1:$B$250),FALSE),K$3)),"")</f>
        <v>25919 HK Equity</v>
      </c>
      <c r="L105" t="str">
        <f t="array" aca="1" ref="L105" ca="1">IFERROR(INDEX(Source!$A$1:$A$250,SMALL(IF(--(Source!$B$1:$B$250=$O105)*--(Source!$E$1:$E$250=$M$3)*--(Source!$D$1:$D$250=Pyramid!$M105),ROW(Source!$B$1:$B$250),FALSE),L$3)),"")</f>
        <v>25660 HK Equity</v>
      </c>
      <c r="M105" t="str">
        <f t="shared" si="5"/>
        <v>28/7/2016</v>
      </c>
      <c r="N105" s="8">
        <f ca="1">COUNTIFS(Source!B:B,Pyramid!$O105,Source!$D:$D,Pyramid!$M105,Source!$E:$E,Pyramid!$M$3)</f>
        <v>4</v>
      </c>
      <c r="O105">
        <f ca="1">OFFSET(Sheet2!$N$3,INT(C105/5),)</f>
        <v>19000</v>
      </c>
      <c r="P105" s="7">
        <f ca="1">COUNTIFS(Source!B:B,Pyramid!$O105,Source!D:D,Pyramid!$Q105,Source!$E:$E,Pyramid!$Q$3)</f>
        <v>0</v>
      </c>
      <c r="Q105" t="str">
        <f t="shared" si="5"/>
        <v>28/7/2016</v>
      </c>
      <c r="R105" t="str">
        <f t="array" aca="1" ref="R105" ca="1">IFERROR(INDEX(Source!$A$1:$A$250,SMALL(IF(--(Source!$B$1:$B$250=$O105)*--(Source!$E$1:$E$250=$Q$3)*--(Source!$D$1:$D$250=Pyramid!$Q105),ROW(Source!$B$1:$B$250),FALSE),R$3)),"")</f>
        <v/>
      </c>
      <c r="S105" t="str">
        <f t="array" aca="1" ref="S105" ca="1">IFERROR(INDEX(Source!$A$1:$A$250,SMALL(IF(--(Source!$B$1:$B$250=$O105)*--(Source!$E$1:$E$250=$Q$3)*--(Source!$D$1:$D$250=Pyramid!$Q105),ROW(Source!$B$1:$B$250),FALSE),S$3)),"")</f>
        <v/>
      </c>
      <c r="T105" t="str">
        <f t="array" aca="1" ref="T105" ca="1">IFERROR(INDEX(Source!$A$1:$A$250,SMALL(IF(--(Source!$B$1:$B$250=$O105)*--(Source!$E$1:$E$250=$Q$3)*--(Source!$D$1:$D$250=Pyramid!$Q105),ROW(Source!$B$1:$B$250),FALSE),T$3)),"")</f>
        <v/>
      </c>
      <c r="U105" t="str">
        <f t="array" aca="1" ref="U105" ca="1">IFERROR(INDEX(Source!$A$1:$A$250,SMALL(IF(--(Source!$B$1:$B$250=$O105)*--(Source!$E$1:$E$250=$Q$3)*--(Source!$D$1:$D$250=Pyramid!$Q105),ROW(Source!$B$1:$B$250),FALSE),U$3)),"")</f>
        <v/>
      </c>
      <c r="V105" t="str">
        <f t="array" aca="1" ref="V105" ca="1">IFERROR(INDEX(Source!$A$1:$A$250,SMALL(IF(--(Source!$B$1:$B$250=$O105)*--(Source!$E$1:$E$250=$Q$3)*--(Source!$D$1:$D$250=Pyramid!$Q105),ROW(Source!$B$1:$B$250),FALSE),V$3)),"")</f>
        <v/>
      </c>
      <c r="W105" t="str">
        <f t="array" aca="1" ref="W105" ca="1">IFERROR(INDEX(Source!$A$1:$A$250,SMALL(IF(--(Source!$B$1:$B$250=$O105)*--(Source!$E$1:$E$250=$Q$3)*--(Source!$D$1:$D$250=Pyramid!$Q105),ROW(Source!$B$1:$B$250),FALSE),W$3)),"")</f>
        <v/>
      </c>
      <c r="X105" t="str">
        <f t="array" aca="1" ref="X105" ca="1">IFERROR(INDEX(Source!$A$1:$A$250,SMALL(IF(--(Source!$B$1:$B$250=$O105)*--(Source!$E$1:$E$250=$Q$3)*--(Source!$D$1:$D$250=Pyramid!$Q105),ROW(Source!$B$1:$B$250),FALSE),X$3)),"")</f>
        <v/>
      </c>
      <c r="Y105" s="5">
        <f t="shared" ca="1" si="6"/>
        <v>0</v>
      </c>
    </row>
    <row r="106" spans="3:25">
      <c r="C106">
        <v>102</v>
      </c>
      <c r="D106" s="5">
        <f t="shared" ca="1" si="4"/>
        <v>0</v>
      </c>
      <c r="E106" t="str">
        <f t="array" aca="1" ref="E106" ca="1">IFERROR(INDEX(Source!$A$1:$A$250,SMALL(IF(--(Source!$B$1:$B$250=$O106)*--(Source!$E$1:$E$250=$M$3)*--(Source!$D$1:$D$250=Pyramid!$M106),ROW(Source!$B$1:$B$250),FALSE),E$3)),"")</f>
        <v/>
      </c>
      <c r="F106" t="str">
        <f t="array" aca="1" ref="F106" ca="1">IFERROR(INDEX(Source!$A$1:$A$250,SMALL(IF(--(Source!$B$1:$B$250=$O106)*--(Source!$E$1:$E$250=$M$3)*--(Source!$D$1:$D$250=Pyramid!$M106),ROW(Source!$B$1:$B$250),FALSE),F$3)),"")</f>
        <v/>
      </c>
      <c r="G106" t="str">
        <f t="array" aca="1" ref="G106" ca="1">IFERROR(INDEX(Source!$A$1:$A$250,SMALL(IF(--(Source!$B$1:$B$250=$O106)*--(Source!$E$1:$E$250=$M$3)*--(Source!$D$1:$D$250=Pyramid!$M106),ROW(Source!$B$1:$B$250),FALSE),G$3)),"")</f>
        <v/>
      </c>
      <c r="H106" t="str">
        <f t="array" aca="1" ref="H106" ca="1">IFERROR(INDEX(Source!$A$1:$A$250,SMALL(IF(--(Source!$B$1:$B$250=$O106)*--(Source!$E$1:$E$250=$M$3)*--(Source!$D$1:$D$250=Pyramid!$M106),ROW(Source!$B$1:$B$250),FALSE),H$3)),"")</f>
        <v/>
      </c>
      <c r="I106" t="str">
        <f t="array" aca="1" ref="I106" ca="1">IFERROR(INDEX(Source!$A$1:$A$250,SMALL(IF(--(Source!$B$1:$B$250=$O106)*--(Source!$E$1:$E$250=$M$3)*--(Source!$D$1:$D$250=Pyramid!$M106),ROW(Source!$B$1:$B$250),FALSE),I$3)),"")</f>
        <v/>
      </c>
      <c r="J106" t="str">
        <f t="array" aca="1" ref="J106" ca="1">IFERROR(INDEX(Source!$A$1:$A$250,SMALL(IF(--(Source!$B$1:$B$250=$O106)*--(Source!$E$1:$E$250=$M$3)*--(Source!$D$1:$D$250=Pyramid!$M106),ROW(Source!$B$1:$B$250),FALSE),J$3)),"")</f>
        <v/>
      </c>
      <c r="K106" t="str">
        <f t="array" aca="1" ref="K106" ca="1">IFERROR(INDEX(Source!$A$1:$A$250,SMALL(IF(--(Source!$B$1:$B$250=$O106)*--(Source!$E$1:$E$250=$M$3)*--(Source!$D$1:$D$250=Pyramid!$M106),ROW(Source!$B$1:$B$250),FALSE),K$3)),"")</f>
        <v/>
      </c>
      <c r="L106" t="str">
        <f t="array" aca="1" ref="L106" ca="1">IFERROR(INDEX(Source!$A$1:$A$250,SMALL(IF(--(Source!$B$1:$B$250=$O106)*--(Source!$E$1:$E$250=$M$3)*--(Source!$D$1:$D$250=Pyramid!$M106),ROW(Source!$B$1:$B$250),FALSE),L$3)),"")</f>
        <v/>
      </c>
      <c r="M106" t="str">
        <f t="shared" si="5"/>
        <v>30/8/2016</v>
      </c>
      <c r="N106" s="8">
        <f ca="1">COUNTIFS(Source!B:B,Pyramid!$O106,Source!$D:$D,Pyramid!$M106,Source!$E:$E,Pyramid!$M$3)</f>
        <v>0</v>
      </c>
      <c r="O106">
        <f ca="1">OFFSET(Sheet2!$N$3,INT(C106/5),)</f>
        <v>19000</v>
      </c>
      <c r="P106" s="7">
        <f ca="1">COUNTIFS(Source!B:B,Pyramid!$O106,Source!D:D,Pyramid!$Q106,Source!$E:$E,Pyramid!$Q$3)</f>
        <v>0</v>
      </c>
      <c r="Q106" t="str">
        <f t="shared" si="5"/>
        <v>30/8/2016</v>
      </c>
      <c r="R106" t="str">
        <f t="array" aca="1" ref="R106" ca="1">IFERROR(INDEX(Source!$A$1:$A$250,SMALL(IF(--(Source!$B$1:$B$250=$O106)*--(Source!$E$1:$E$250=$Q$3)*--(Source!$D$1:$D$250=Pyramid!$Q106),ROW(Source!$B$1:$B$250),FALSE),R$3)),"")</f>
        <v/>
      </c>
      <c r="S106" t="str">
        <f t="array" aca="1" ref="S106" ca="1">IFERROR(INDEX(Source!$A$1:$A$250,SMALL(IF(--(Source!$B$1:$B$250=$O106)*--(Source!$E$1:$E$250=$Q$3)*--(Source!$D$1:$D$250=Pyramid!$Q106),ROW(Source!$B$1:$B$250),FALSE),S$3)),"")</f>
        <v/>
      </c>
      <c r="T106" t="str">
        <f t="array" aca="1" ref="T106" ca="1">IFERROR(INDEX(Source!$A$1:$A$250,SMALL(IF(--(Source!$B$1:$B$250=$O106)*--(Source!$E$1:$E$250=$Q$3)*--(Source!$D$1:$D$250=Pyramid!$Q106),ROW(Source!$B$1:$B$250),FALSE),T$3)),"")</f>
        <v/>
      </c>
      <c r="U106" t="str">
        <f t="array" aca="1" ref="U106" ca="1">IFERROR(INDEX(Source!$A$1:$A$250,SMALL(IF(--(Source!$B$1:$B$250=$O106)*--(Source!$E$1:$E$250=$Q$3)*--(Source!$D$1:$D$250=Pyramid!$Q106),ROW(Source!$B$1:$B$250),FALSE),U$3)),"")</f>
        <v/>
      </c>
      <c r="V106" t="str">
        <f t="array" aca="1" ref="V106" ca="1">IFERROR(INDEX(Source!$A$1:$A$250,SMALL(IF(--(Source!$B$1:$B$250=$O106)*--(Source!$E$1:$E$250=$Q$3)*--(Source!$D$1:$D$250=Pyramid!$Q106),ROW(Source!$B$1:$B$250),FALSE),V$3)),"")</f>
        <v/>
      </c>
      <c r="W106" t="str">
        <f t="array" aca="1" ref="W106" ca="1">IFERROR(INDEX(Source!$A$1:$A$250,SMALL(IF(--(Source!$B$1:$B$250=$O106)*--(Source!$E$1:$E$250=$Q$3)*--(Source!$D$1:$D$250=Pyramid!$Q106),ROW(Source!$B$1:$B$250),FALSE),W$3)),"")</f>
        <v/>
      </c>
      <c r="X106" t="str">
        <f t="array" aca="1" ref="X106" ca="1">IFERROR(INDEX(Source!$A$1:$A$250,SMALL(IF(--(Source!$B$1:$B$250=$O106)*--(Source!$E$1:$E$250=$Q$3)*--(Source!$D$1:$D$250=Pyramid!$Q106),ROW(Source!$B$1:$B$250),FALSE),X$3)),"")</f>
        <v/>
      </c>
      <c r="Y106" s="5">
        <f t="shared" ca="1" si="6"/>
        <v>0</v>
      </c>
    </row>
    <row r="107" spans="3:25">
      <c r="C107">
        <v>103</v>
      </c>
      <c r="D107" s="5">
        <f t="shared" ca="1" si="4"/>
        <v>0</v>
      </c>
      <c r="E107" t="str">
        <f t="array" aca="1" ref="E107" ca="1">IFERROR(INDEX(Source!$A$1:$A$250,SMALL(IF(--(Source!$B$1:$B$250=$O107)*--(Source!$E$1:$E$250=$M$3)*--(Source!$D$1:$D$250=Pyramid!$M107),ROW(Source!$B$1:$B$250),FALSE),E$3)),"")</f>
        <v/>
      </c>
      <c r="F107" t="str">
        <f t="array" aca="1" ref="F107" ca="1">IFERROR(INDEX(Source!$A$1:$A$250,SMALL(IF(--(Source!$B$1:$B$250=$O107)*--(Source!$E$1:$E$250=$M$3)*--(Source!$D$1:$D$250=Pyramid!$M107),ROW(Source!$B$1:$B$250),FALSE),F$3)),"")</f>
        <v/>
      </c>
      <c r="G107" t="str">
        <f t="array" aca="1" ref="G107" ca="1">IFERROR(INDEX(Source!$A$1:$A$250,SMALL(IF(--(Source!$B$1:$B$250=$O107)*--(Source!$E$1:$E$250=$M$3)*--(Source!$D$1:$D$250=Pyramid!$M107),ROW(Source!$B$1:$B$250),FALSE),G$3)),"")</f>
        <v/>
      </c>
      <c r="H107" t="str">
        <f t="array" aca="1" ref="H107" ca="1">IFERROR(INDEX(Source!$A$1:$A$250,SMALL(IF(--(Source!$B$1:$B$250=$O107)*--(Source!$E$1:$E$250=$M$3)*--(Source!$D$1:$D$250=Pyramid!$M107),ROW(Source!$B$1:$B$250),FALSE),H$3)),"")</f>
        <v/>
      </c>
      <c r="I107" t="str">
        <f t="array" aca="1" ref="I107" ca="1">IFERROR(INDEX(Source!$A$1:$A$250,SMALL(IF(--(Source!$B$1:$B$250=$O107)*--(Source!$E$1:$E$250=$M$3)*--(Source!$D$1:$D$250=Pyramid!$M107),ROW(Source!$B$1:$B$250),FALSE),I$3)),"")</f>
        <v/>
      </c>
      <c r="J107" t="str">
        <f t="array" aca="1" ref="J107" ca="1">IFERROR(INDEX(Source!$A$1:$A$250,SMALL(IF(--(Source!$B$1:$B$250=$O107)*--(Source!$E$1:$E$250=$M$3)*--(Source!$D$1:$D$250=Pyramid!$M107),ROW(Source!$B$1:$B$250),FALSE),J$3)),"")</f>
        <v/>
      </c>
      <c r="K107" t="str">
        <f t="array" aca="1" ref="K107" ca="1">IFERROR(INDEX(Source!$A$1:$A$250,SMALL(IF(--(Source!$B$1:$B$250=$O107)*--(Source!$E$1:$E$250=$M$3)*--(Source!$D$1:$D$250=Pyramid!$M107),ROW(Source!$B$1:$B$250),FALSE),K$3)),"")</f>
        <v/>
      </c>
      <c r="L107" t="str">
        <f t="array" aca="1" ref="L107" ca="1">IFERROR(INDEX(Source!$A$1:$A$250,SMALL(IF(--(Source!$B$1:$B$250=$O107)*--(Source!$E$1:$E$250=$M$3)*--(Source!$D$1:$D$250=Pyramid!$M107),ROW(Source!$B$1:$B$250),FALSE),L$3)),"")</f>
        <v>25984 HK Equity</v>
      </c>
      <c r="M107" t="str">
        <f t="shared" si="5"/>
        <v>29/9/2016</v>
      </c>
      <c r="N107" s="8">
        <f ca="1">COUNTIFS(Source!B:B,Pyramid!$O107,Source!$D:$D,Pyramid!$M107,Source!$E:$E,Pyramid!$M$3)</f>
        <v>1</v>
      </c>
      <c r="O107">
        <f ca="1">OFFSET(Sheet2!$N$3,INT(C107/5),)</f>
        <v>19000</v>
      </c>
      <c r="P107" s="7">
        <f ca="1">COUNTIFS(Source!B:B,Pyramid!$O107,Source!D:D,Pyramid!$Q107,Source!$E:$E,Pyramid!$Q$3)</f>
        <v>0</v>
      </c>
      <c r="Q107" t="str">
        <f t="shared" si="5"/>
        <v>29/9/2016</v>
      </c>
      <c r="R107" t="str">
        <f t="array" aca="1" ref="R107" ca="1">IFERROR(INDEX(Source!$A$1:$A$250,SMALL(IF(--(Source!$B$1:$B$250=$O107)*--(Source!$E$1:$E$250=$Q$3)*--(Source!$D$1:$D$250=Pyramid!$Q107),ROW(Source!$B$1:$B$250),FALSE),R$3)),"")</f>
        <v/>
      </c>
      <c r="S107" t="str">
        <f t="array" aca="1" ref="S107" ca="1">IFERROR(INDEX(Source!$A$1:$A$250,SMALL(IF(--(Source!$B$1:$B$250=$O107)*--(Source!$E$1:$E$250=$Q$3)*--(Source!$D$1:$D$250=Pyramid!$Q107),ROW(Source!$B$1:$B$250),FALSE),S$3)),"")</f>
        <v/>
      </c>
      <c r="T107" t="str">
        <f t="array" aca="1" ref="T107" ca="1">IFERROR(INDEX(Source!$A$1:$A$250,SMALL(IF(--(Source!$B$1:$B$250=$O107)*--(Source!$E$1:$E$250=$Q$3)*--(Source!$D$1:$D$250=Pyramid!$Q107),ROW(Source!$B$1:$B$250),FALSE),T$3)),"")</f>
        <v/>
      </c>
      <c r="U107" t="str">
        <f t="array" aca="1" ref="U107" ca="1">IFERROR(INDEX(Source!$A$1:$A$250,SMALL(IF(--(Source!$B$1:$B$250=$O107)*--(Source!$E$1:$E$250=$Q$3)*--(Source!$D$1:$D$250=Pyramid!$Q107),ROW(Source!$B$1:$B$250),FALSE),U$3)),"")</f>
        <v/>
      </c>
      <c r="V107" t="str">
        <f t="array" aca="1" ref="V107" ca="1">IFERROR(INDEX(Source!$A$1:$A$250,SMALL(IF(--(Source!$B$1:$B$250=$O107)*--(Source!$E$1:$E$250=$Q$3)*--(Source!$D$1:$D$250=Pyramid!$Q107),ROW(Source!$B$1:$B$250),FALSE),V$3)),"")</f>
        <v/>
      </c>
      <c r="W107" t="str">
        <f t="array" aca="1" ref="W107" ca="1">IFERROR(INDEX(Source!$A$1:$A$250,SMALL(IF(--(Source!$B$1:$B$250=$O107)*--(Source!$E$1:$E$250=$Q$3)*--(Source!$D$1:$D$250=Pyramid!$Q107),ROW(Source!$B$1:$B$250),FALSE),W$3)),"")</f>
        <v/>
      </c>
      <c r="X107" t="str">
        <f t="array" aca="1" ref="X107" ca="1">IFERROR(INDEX(Source!$A$1:$A$250,SMALL(IF(--(Source!$B$1:$B$250=$O107)*--(Source!$E$1:$E$250=$Q$3)*--(Source!$D$1:$D$250=Pyramid!$Q107),ROW(Source!$B$1:$B$250),FALSE),X$3)),"")</f>
        <v/>
      </c>
      <c r="Y107" s="5">
        <f t="shared" ca="1" si="6"/>
        <v>0</v>
      </c>
    </row>
    <row r="108" spans="3:25">
      <c r="C108">
        <v>104</v>
      </c>
      <c r="D108" s="5">
        <f t="shared" ca="1" si="4"/>
        <v>0</v>
      </c>
      <c r="E108" t="str">
        <f t="array" aca="1" ref="E108" ca="1">IFERROR(INDEX(Source!$A$1:$A$250,SMALL(IF(--(Source!$B$1:$B$250=$O108)*--(Source!$E$1:$E$250=$M$3)*--(Source!$D$1:$D$250=Pyramid!$M108),ROW(Source!$B$1:$B$250),FALSE),E$3)),"")</f>
        <v/>
      </c>
      <c r="F108" t="str">
        <f t="array" aca="1" ref="F108" ca="1">IFERROR(INDEX(Source!$A$1:$A$250,SMALL(IF(--(Source!$B$1:$B$250=$O108)*--(Source!$E$1:$E$250=$M$3)*--(Source!$D$1:$D$250=Pyramid!$M108),ROW(Source!$B$1:$B$250),FALSE),F$3)),"")</f>
        <v/>
      </c>
      <c r="G108" t="str">
        <f t="array" aca="1" ref="G108" ca="1">IFERROR(INDEX(Source!$A$1:$A$250,SMALL(IF(--(Source!$B$1:$B$250=$O108)*--(Source!$E$1:$E$250=$M$3)*--(Source!$D$1:$D$250=Pyramid!$M108),ROW(Source!$B$1:$B$250),FALSE),G$3)),"")</f>
        <v/>
      </c>
      <c r="H108" t="str">
        <f t="array" aca="1" ref="H108" ca="1">IFERROR(INDEX(Source!$A$1:$A$250,SMALL(IF(--(Source!$B$1:$B$250=$O108)*--(Source!$E$1:$E$250=$M$3)*--(Source!$D$1:$D$250=Pyramid!$M108),ROW(Source!$B$1:$B$250),FALSE),H$3)),"")</f>
        <v/>
      </c>
      <c r="I108" t="str">
        <f t="array" aca="1" ref="I108" ca="1">IFERROR(INDEX(Source!$A$1:$A$250,SMALL(IF(--(Source!$B$1:$B$250=$O108)*--(Source!$E$1:$E$250=$M$3)*--(Source!$D$1:$D$250=Pyramid!$M108),ROW(Source!$B$1:$B$250),FALSE),I$3)),"")</f>
        <v/>
      </c>
      <c r="J108" t="str">
        <f t="array" aca="1" ref="J108" ca="1">IFERROR(INDEX(Source!$A$1:$A$250,SMALL(IF(--(Source!$B$1:$B$250=$O108)*--(Source!$E$1:$E$250=$M$3)*--(Source!$D$1:$D$250=Pyramid!$M108),ROW(Source!$B$1:$B$250),FALSE),J$3)),"")</f>
        <v/>
      </c>
      <c r="K108" t="str">
        <f t="array" aca="1" ref="K108" ca="1">IFERROR(INDEX(Source!$A$1:$A$250,SMALL(IF(--(Source!$B$1:$B$250=$O108)*--(Source!$E$1:$E$250=$M$3)*--(Source!$D$1:$D$250=Pyramid!$M108),ROW(Source!$B$1:$B$250),FALSE),K$3)),"")</f>
        <v/>
      </c>
      <c r="L108" t="str">
        <f t="array" aca="1" ref="L108" ca="1">IFERROR(INDEX(Source!$A$1:$A$250,SMALL(IF(--(Source!$B$1:$B$250=$O108)*--(Source!$E$1:$E$250=$M$3)*--(Source!$D$1:$D$250=Pyramid!$M108),ROW(Source!$B$1:$B$250),FALSE),L$3)),"")</f>
        <v/>
      </c>
      <c r="M108" t="str">
        <f t="shared" si="5"/>
        <v>28/10/2016</v>
      </c>
      <c r="N108" s="8">
        <f ca="1">COUNTIFS(Source!B:B,Pyramid!$O108,Source!$D:$D,Pyramid!$M108,Source!$E:$E,Pyramid!$M$3)</f>
        <v>0</v>
      </c>
      <c r="O108">
        <f ca="1">OFFSET(Sheet2!$N$3,INT(C108/5),)</f>
        <v>19000</v>
      </c>
      <c r="P108" s="7">
        <f ca="1">COUNTIFS(Source!B:B,Pyramid!$O108,Source!D:D,Pyramid!$Q108,Source!$E:$E,Pyramid!$Q$3)</f>
        <v>0</v>
      </c>
      <c r="Q108" t="str">
        <f t="shared" si="5"/>
        <v>28/10/2016</v>
      </c>
      <c r="R108" t="str">
        <f t="array" aca="1" ref="R108" ca="1">IFERROR(INDEX(Source!$A$1:$A$250,SMALL(IF(--(Source!$B$1:$B$250=$O108)*--(Source!$E$1:$E$250=$Q$3)*--(Source!$D$1:$D$250=Pyramid!$Q108),ROW(Source!$B$1:$B$250),FALSE),R$3)),"")</f>
        <v/>
      </c>
      <c r="S108" t="str">
        <f t="array" aca="1" ref="S108" ca="1">IFERROR(INDEX(Source!$A$1:$A$250,SMALL(IF(--(Source!$B$1:$B$250=$O108)*--(Source!$E$1:$E$250=$Q$3)*--(Source!$D$1:$D$250=Pyramid!$Q108),ROW(Source!$B$1:$B$250),FALSE),S$3)),"")</f>
        <v/>
      </c>
      <c r="T108" t="str">
        <f t="array" aca="1" ref="T108" ca="1">IFERROR(INDEX(Source!$A$1:$A$250,SMALL(IF(--(Source!$B$1:$B$250=$O108)*--(Source!$E$1:$E$250=$Q$3)*--(Source!$D$1:$D$250=Pyramid!$Q108),ROW(Source!$B$1:$B$250),FALSE),T$3)),"")</f>
        <v/>
      </c>
      <c r="U108" t="str">
        <f t="array" aca="1" ref="U108" ca="1">IFERROR(INDEX(Source!$A$1:$A$250,SMALL(IF(--(Source!$B$1:$B$250=$O108)*--(Source!$E$1:$E$250=$Q$3)*--(Source!$D$1:$D$250=Pyramid!$Q108),ROW(Source!$B$1:$B$250),FALSE),U$3)),"")</f>
        <v/>
      </c>
      <c r="V108" t="str">
        <f t="array" aca="1" ref="V108" ca="1">IFERROR(INDEX(Source!$A$1:$A$250,SMALL(IF(--(Source!$B$1:$B$250=$O108)*--(Source!$E$1:$E$250=$Q$3)*--(Source!$D$1:$D$250=Pyramid!$Q108),ROW(Source!$B$1:$B$250),FALSE),V$3)),"")</f>
        <v/>
      </c>
      <c r="W108" t="str">
        <f t="array" aca="1" ref="W108" ca="1">IFERROR(INDEX(Source!$A$1:$A$250,SMALL(IF(--(Source!$B$1:$B$250=$O108)*--(Source!$E$1:$E$250=$Q$3)*--(Source!$D$1:$D$250=Pyramid!$Q108),ROW(Source!$B$1:$B$250),FALSE),W$3)),"")</f>
        <v/>
      </c>
      <c r="X108" t="str">
        <f t="array" aca="1" ref="X108" ca="1">IFERROR(INDEX(Source!$A$1:$A$250,SMALL(IF(--(Source!$B$1:$B$250=$O108)*--(Source!$E$1:$E$250=$Q$3)*--(Source!$D$1:$D$250=Pyramid!$Q108),ROW(Source!$B$1:$B$250),FALSE),X$3)),"")</f>
        <v/>
      </c>
      <c r="Y108" s="5">
        <f t="shared" ca="1" si="6"/>
        <v>0</v>
      </c>
    </row>
    <row r="109" spans="3:25">
      <c r="C109">
        <v>105</v>
      </c>
      <c r="D109" s="5">
        <f t="shared" ca="1" si="4"/>
        <v>0</v>
      </c>
      <c r="E109" t="str">
        <f t="array" aca="1" ref="E109" ca="1">IFERROR(INDEX(Source!$A$1:$A$250,SMALL(IF(--(Source!$B$1:$B$250=$O109)*--(Source!$E$1:$E$250=$M$3)*--(Source!$D$1:$D$250=Pyramid!$M109),ROW(Source!$B$1:$B$250),FALSE),E$3)),"")</f>
        <v/>
      </c>
      <c r="F109" t="str">
        <f t="array" aca="1" ref="F109" ca="1">IFERROR(INDEX(Source!$A$1:$A$250,SMALL(IF(--(Source!$B$1:$B$250=$O109)*--(Source!$E$1:$E$250=$M$3)*--(Source!$D$1:$D$250=Pyramid!$M109),ROW(Source!$B$1:$B$250),FALSE),F$3)),"")</f>
        <v/>
      </c>
      <c r="G109" t="str">
        <f t="array" aca="1" ref="G109" ca="1">IFERROR(INDEX(Source!$A$1:$A$250,SMALL(IF(--(Source!$B$1:$B$250=$O109)*--(Source!$E$1:$E$250=$M$3)*--(Source!$D$1:$D$250=Pyramid!$M109),ROW(Source!$B$1:$B$250),FALSE),G$3)),"")</f>
        <v/>
      </c>
      <c r="H109" t="str">
        <f t="array" aca="1" ref="H109" ca="1">IFERROR(INDEX(Source!$A$1:$A$250,SMALL(IF(--(Source!$B$1:$B$250=$O109)*--(Source!$E$1:$E$250=$M$3)*--(Source!$D$1:$D$250=Pyramid!$M109),ROW(Source!$B$1:$B$250),FALSE),H$3)),"")</f>
        <v/>
      </c>
      <c r="I109" t="str">
        <f t="array" aca="1" ref="I109" ca="1">IFERROR(INDEX(Source!$A$1:$A$250,SMALL(IF(--(Source!$B$1:$B$250=$O109)*--(Source!$E$1:$E$250=$M$3)*--(Source!$D$1:$D$250=Pyramid!$M109),ROW(Source!$B$1:$B$250),FALSE),I$3)),"")</f>
        <v/>
      </c>
      <c r="J109" t="str">
        <f t="array" aca="1" ref="J109" ca="1">IFERROR(INDEX(Source!$A$1:$A$250,SMALL(IF(--(Source!$B$1:$B$250=$O109)*--(Source!$E$1:$E$250=$M$3)*--(Source!$D$1:$D$250=Pyramid!$M109),ROW(Source!$B$1:$B$250),FALSE),J$3)),"")</f>
        <v/>
      </c>
      <c r="K109" t="str">
        <f t="array" aca="1" ref="K109" ca="1">IFERROR(INDEX(Source!$A$1:$A$250,SMALL(IF(--(Source!$B$1:$B$250=$O109)*--(Source!$E$1:$E$250=$M$3)*--(Source!$D$1:$D$250=Pyramid!$M109),ROW(Source!$B$1:$B$250),FALSE),K$3)),"")</f>
        <v/>
      </c>
      <c r="L109" t="str">
        <f t="array" aca="1" ref="L109" ca="1">IFERROR(INDEX(Source!$A$1:$A$250,SMALL(IF(--(Source!$B$1:$B$250=$O109)*--(Source!$E$1:$E$250=$M$3)*--(Source!$D$1:$D$250=Pyramid!$M109),ROW(Source!$B$1:$B$250),FALSE),L$3)),"")</f>
        <v/>
      </c>
      <c r="M109" t="str">
        <f t="shared" si="5"/>
        <v>29/6/2016</v>
      </c>
      <c r="N109">
        <f ca="1">COUNTIFS(Source!B:B,Pyramid!$O109,Source!$D:$D,Pyramid!$M109,Source!$E:$E,Pyramid!$M$3)</f>
        <v>0</v>
      </c>
      <c r="O109">
        <f ca="1">OFFSET(Sheet2!$N$3,INT(C109/5),)</f>
        <v>19088</v>
      </c>
      <c r="P109">
        <f ca="1">COUNTIFS(Source!B:B,Pyramid!$O109,Source!D:D,Pyramid!$Q109,Source!$E:$E,Pyramid!$Q$3)</f>
        <v>0</v>
      </c>
      <c r="Q109" t="str">
        <f t="shared" si="5"/>
        <v>29/6/2016</v>
      </c>
      <c r="R109" t="str">
        <f t="array" aca="1" ref="R109" ca="1">IFERROR(INDEX(Source!$A$1:$A$250,SMALL(IF(--(Source!$B$1:$B$250=$O109)*--(Source!$E$1:$E$250=$Q$3)*--(Source!$D$1:$D$250=Pyramid!$Q109),ROW(Source!$B$1:$B$250),FALSE),R$3)),"")</f>
        <v/>
      </c>
      <c r="S109" t="str">
        <f t="array" aca="1" ref="S109" ca="1">IFERROR(INDEX(Source!$A$1:$A$250,SMALL(IF(--(Source!$B$1:$B$250=$O109)*--(Source!$E$1:$E$250=$Q$3)*--(Source!$D$1:$D$250=Pyramid!$Q109),ROW(Source!$B$1:$B$250),FALSE),S$3)),"")</f>
        <v/>
      </c>
      <c r="T109" t="str">
        <f t="array" aca="1" ref="T109" ca="1">IFERROR(INDEX(Source!$A$1:$A$250,SMALL(IF(--(Source!$B$1:$B$250=$O109)*--(Source!$E$1:$E$250=$Q$3)*--(Source!$D$1:$D$250=Pyramid!$Q109),ROW(Source!$B$1:$B$250),FALSE),T$3)),"")</f>
        <v/>
      </c>
      <c r="U109" t="str">
        <f t="array" aca="1" ref="U109" ca="1">IFERROR(INDEX(Source!$A$1:$A$250,SMALL(IF(--(Source!$B$1:$B$250=$O109)*--(Source!$E$1:$E$250=$Q$3)*--(Source!$D$1:$D$250=Pyramid!$Q109),ROW(Source!$B$1:$B$250),FALSE),U$3)),"")</f>
        <v/>
      </c>
      <c r="V109" t="str">
        <f t="array" aca="1" ref="V109" ca="1">IFERROR(INDEX(Source!$A$1:$A$250,SMALL(IF(--(Source!$B$1:$B$250=$O109)*--(Source!$E$1:$E$250=$Q$3)*--(Source!$D$1:$D$250=Pyramid!$Q109),ROW(Source!$B$1:$B$250),FALSE),V$3)),"")</f>
        <v/>
      </c>
      <c r="W109" t="str">
        <f t="array" aca="1" ref="W109" ca="1">IFERROR(INDEX(Source!$A$1:$A$250,SMALL(IF(--(Source!$B$1:$B$250=$O109)*--(Source!$E$1:$E$250=$Q$3)*--(Source!$D$1:$D$250=Pyramid!$Q109),ROW(Source!$B$1:$B$250),FALSE),W$3)),"")</f>
        <v/>
      </c>
      <c r="X109" t="str">
        <f t="array" aca="1" ref="X109" ca="1">IFERROR(INDEX(Source!$A$1:$A$250,SMALL(IF(--(Source!$B$1:$B$250=$O109)*--(Source!$E$1:$E$250=$Q$3)*--(Source!$D$1:$D$250=Pyramid!$Q109),ROW(Source!$B$1:$B$250),FALSE),X$3)),"")</f>
        <v/>
      </c>
      <c r="Y109" s="5">
        <f t="shared" ca="1" si="6"/>
        <v>0</v>
      </c>
    </row>
    <row r="110" spans="3:25">
      <c r="C110">
        <v>106</v>
      </c>
      <c r="D110" s="5">
        <f t="shared" ca="1" si="4"/>
        <v>0</v>
      </c>
      <c r="E110" t="str">
        <f t="array" aca="1" ref="E110" ca="1">IFERROR(INDEX(Source!$A$1:$A$250,SMALL(IF(--(Source!$B$1:$B$250=$O110)*--(Source!$E$1:$E$250=$M$3)*--(Source!$D$1:$D$250=Pyramid!$M110),ROW(Source!$B$1:$B$250),FALSE),E$3)),"")</f>
        <v/>
      </c>
      <c r="F110" t="str">
        <f t="array" aca="1" ref="F110" ca="1">IFERROR(INDEX(Source!$A$1:$A$250,SMALL(IF(--(Source!$B$1:$B$250=$O110)*--(Source!$E$1:$E$250=$M$3)*--(Source!$D$1:$D$250=Pyramid!$M110),ROW(Source!$B$1:$B$250),FALSE),F$3)),"")</f>
        <v/>
      </c>
      <c r="G110" t="str">
        <f t="array" aca="1" ref="G110" ca="1">IFERROR(INDEX(Source!$A$1:$A$250,SMALL(IF(--(Source!$B$1:$B$250=$O110)*--(Source!$E$1:$E$250=$M$3)*--(Source!$D$1:$D$250=Pyramid!$M110),ROW(Source!$B$1:$B$250),FALSE),G$3)),"")</f>
        <v/>
      </c>
      <c r="H110" t="str">
        <f t="array" aca="1" ref="H110" ca="1">IFERROR(INDEX(Source!$A$1:$A$250,SMALL(IF(--(Source!$B$1:$B$250=$O110)*--(Source!$E$1:$E$250=$M$3)*--(Source!$D$1:$D$250=Pyramid!$M110),ROW(Source!$B$1:$B$250),FALSE),H$3)),"")</f>
        <v/>
      </c>
      <c r="I110" t="str">
        <f t="array" aca="1" ref="I110" ca="1">IFERROR(INDEX(Source!$A$1:$A$250,SMALL(IF(--(Source!$B$1:$B$250=$O110)*--(Source!$E$1:$E$250=$M$3)*--(Source!$D$1:$D$250=Pyramid!$M110),ROW(Source!$B$1:$B$250),FALSE),I$3)),"")</f>
        <v/>
      </c>
      <c r="J110" t="str">
        <f t="array" aca="1" ref="J110" ca="1">IFERROR(INDEX(Source!$A$1:$A$250,SMALL(IF(--(Source!$B$1:$B$250=$O110)*--(Source!$E$1:$E$250=$M$3)*--(Source!$D$1:$D$250=Pyramid!$M110),ROW(Source!$B$1:$B$250),FALSE),J$3)),"")</f>
        <v/>
      </c>
      <c r="K110" t="str">
        <f t="array" aca="1" ref="K110" ca="1">IFERROR(INDEX(Source!$A$1:$A$250,SMALL(IF(--(Source!$B$1:$B$250=$O110)*--(Source!$E$1:$E$250=$M$3)*--(Source!$D$1:$D$250=Pyramid!$M110),ROW(Source!$B$1:$B$250),FALSE),K$3)),"")</f>
        <v/>
      </c>
      <c r="L110" t="str">
        <f t="array" aca="1" ref="L110" ca="1">IFERROR(INDEX(Source!$A$1:$A$250,SMALL(IF(--(Source!$B$1:$B$250=$O110)*--(Source!$E$1:$E$250=$M$3)*--(Source!$D$1:$D$250=Pyramid!$M110),ROW(Source!$B$1:$B$250),FALSE),L$3)),"")</f>
        <v>25898 HK Equity</v>
      </c>
      <c r="M110" t="str">
        <f t="shared" si="5"/>
        <v>28/7/2016</v>
      </c>
      <c r="N110">
        <f ca="1">COUNTIFS(Source!B:B,Pyramid!$O110,Source!$D:$D,Pyramid!$M110,Source!$E:$E,Pyramid!$M$3)</f>
        <v>1</v>
      </c>
      <c r="O110">
        <f ca="1">OFFSET(Sheet2!$N$3,INT(C110/5),)</f>
        <v>19088</v>
      </c>
      <c r="P110">
        <f ca="1">COUNTIFS(Source!B:B,Pyramid!$O110,Source!D:D,Pyramid!$Q110,Source!$E:$E,Pyramid!$Q$3)</f>
        <v>0</v>
      </c>
      <c r="Q110" t="str">
        <f t="shared" si="5"/>
        <v>28/7/2016</v>
      </c>
      <c r="R110" t="str">
        <f t="array" aca="1" ref="R110" ca="1">IFERROR(INDEX(Source!$A$1:$A$250,SMALL(IF(--(Source!$B$1:$B$250=$O110)*--(Source!$E$1:$E$250=$Q$3)*--(Source!$D$1:$D$250=Pyramid!$Q110),ROW(Source!$B$1:$B$250),FALSE),R$3)),"")</f>
        <v/>
      </c>
      <c r="S110" t="str">
        <f t="array" aca="1" ref="S110" ca="1">IFERROR(INDEX(Source!$A$1:$A$250,SMALL(IF(--(Source!$B$1:$B$250=$O110)*--(Source!$E$1:$E$250=$Q$3)*--(Source!$D$1:$D$250=Pyramid!$Q110),ROW(Source!$B$1:$B$250),FALSE),S$3)),"")</f>
        <v/>
      </c>
      <c r="T110" t="str">
        <f t="array" aca="1" ref="T110" ca="1">IFERROR(INDEX(Source!$A$1:$A$250,SMALL(IF(--(Source!$B$1:$B$250=$O110)*--(Source!$E$1:$E$250=$Q$3)*--(Source!$D$1:$D$250=Pyramid!$Q110),ROW(Source!$B$1:$B$250),FALSE),T$3)),"")</f>
        <v/>
      </c>
      <c r="U110" t="str">
        <f t="array" aca="1" ref="U110" ca="1">IFERROR(INDEX(Source!$A$1:$A$250,SMALL(IF(--(Source!$B$1:$B$250=$O110)*--(Source!$E$1:$E$250=$Q$3)*--(Source!$D$1:$D$250=Pyramid!$Q110),ROW(Source!$B$1:$B$250),FALSE),U$3)),"")</f>
        <v/>
      </c>
      <c r="V110" t="str">
        <f t="array" aca="1" ref="V110" ca="1">IFERROR(INDEX(Source!$A$1:$A$250,SMALL(IF(--(Source!$B$1:$B$250=$O110)*--(Source!$E$1:$E$250=$Q$3)*--(Source!$D$1:$D$250=Pyramid!$Q110),ROW(Source!$B$1:$B$250),FALSE),V$3)),"")</f>
        <v/>
      </c>
      <c r="W110" t="str">
        <f t="array" aca="1" ref="W110" ca="1">IFERROR(INDEX(Source!$A$1:$A$250,SMALL(IF(--(Source!$B$1:$B$250=$O110)*--(Source!$E$1:$E$250=$Q$3)*--(Source!$D$1:$D$250=Pyramid!$Q110),ROW(Source!$B$1:$B$250),FALSE),W$3)),"")</f>
        <v/>
      </c>
      <c r="X110" t="str">
        <f t="array" aca="1" ref="X110" ca="1">IFERROR(INDEX(Source!$A$1:$A$250,SMALL(IF(--(Source!$B$1:$B$250=$O110)*--(Source!$E$1:$E$250=$Q$3)*--(Source!$D$1:$D$250=Pyramid!$Q110),ROW(Source!$B$1:$B$250),FALSE),X$3)),"")</f>
        <v/>
      </c>
      <c r="Y110" s="5">
        <f t="shared" ca="1" si="6"/>
        <v>0</v>
      </c>
    </row>
    <row r="111" spans="3:25">
      <c r="C111">
        <v>107</v>
      </c>
      <c r="D111" s="5">
        <f t="shared" ca="1" si="4"/>
        <v>0</v>
      </c>
      <c r="E111" t="str">
        <f t="array" aca="1" ref="E111" ca="1">IFERROR(INDEX(Source!$A$1:$A$250,SMALL(IF(--(Source!$B$1:$B$250=$O111)*--(Source!$E$1:$E$250=$M$3)*--(Source!$D$1:$D$250=Pyramid!$M111),ROW(Source!$B$1:$B$250),FALSE),E$3)),"")</f>
        <v/>
      </c>
      <c r="F111" t="str">
        <f t="array" aca="1" ref="F111" ca="1">IFERROR(INDEX(Source!$A$1:$A$250,SMALL(IF(--(Source!$B$1:$B$250=$O111)*--(Source!$E$1:$E$250=$M$3)*--(Source!$D$1:$D$250=Pyramid!$M111),ROW(Source!$B$1:$B$250),FALSE),F$3)),"")</f>
        <v/>
      </c>
      <c r="G111" t="str">
        <f t="array" aca="1" ref="G111" ca="1">IFERROR(INDEX(Source!$A$1:$A$250,SMALL(IF(--(Source!$B$1:$B$250=$O111)*--(Source!$E$1:$E$250=$M$3)*--(Source!$D$1:$D$250=Pyramid!$M111),ROW(Source!$B$1:$B$250),FALSE),G$3)),"")</f>
        <v/>
      </c>
      <c r="H111" t="str">
        <f t="array" aca="1" ref="H111" ca="1">IFERROR(INDEX(Source!$A$1:$A$250,SMALL(IF(--(Source!$B$1:$B$250=$O111)*--(Source!$E$1:$E$250=$M$3)*--(Source!$D$1:$D$250=Pyramid!$M111),ROW(Source!$B$1:$B$250),FALSE),H$3)),"")</f>
        <v/>
      </c>
      <c r="I111" t="str">
        <f t="array" aca="1" ref="I111" ca="1">IFERROR(INDEX(Source!$A$1:$A$250,SMALL(IF(--(Source!$B$1:$B$250=$O111)*--(Source!$E$1:$E$250=$M$3)*--(Source!$D$1:$D$250=Pyramid!$M111),ROW(Source!$B$1:$B$250),FALSE),I$3)),"")</f>
        <v/>
      </c>
      <c r="J111" t="str">
        <f t="array" aca="1" ref="J111" ca="1">IFERROR(INDEX(Source!$A$1:$A$250,SMALL(IF(--(Source!$B$1:$B$250=$O111)*--(Source!$E$1:$E$250=$M$3)*--(Source!$D$1:$D$250=Pyramid!$M111),ROW(Source!$B$1:$B$250),FALSE),J$3)),"")</f>
        <v/>
      </c>
      <c r="K111" t="str">
        <f t="array" aca="1" ref="K111" ca="1">IFERROR(INDEX(Source!$A$1:$A$250,SMALL(IF(--(Source!$B$1:$B$250=$O111)*--(Source!$E$1:$E$250=$M$3)*--(Source!$D$1:$D$250=Pyramid!$M111),ROW(Source!$B$1:$B$250),FALSE),K$3)),"")</f>
        <v/>
      </c>
      <c r="L111" t="str">
        <f t="array" aca="1" ref="L111" ca="1">IFERROR(INDEX(Source!$A$1:$A$250,SMALL(IF(--(Source!$B$1:$B$250=$O111)*--(Source!$E$1:$E$250=$M$3)*--(Source!$D$1:$D$250=Pyramid!$M111),ROW(Source!$B$1:$B$250),FALSE),L$3)),"")</f>
        <v/>
      </c>
      <c r="M111" t="str">
        <f t="shared" si="5"/>
        <v>30/8/2016</v>
      </c>
      <c r="N111">
        <f ca="1">COUNTIFS(Source!B:B,Pyramid!$O111,Source!$D:$D,Pyramid!$M111,Source!$E:$E,Pyramid!$M$3)</f>
        <v>0</v>
      </c>
      <c r="O111">
        <f ca="1">OFFSET(Sheet2!$N$3,INT(C111/5),)</f>
        <v>19088</v>
      </c>
      <c r="P111">
        <f ca="1">COUNTIFS(Source!B:B,Pyramid!$O111,Source!D:D,Pyramid!$Q111,Source!$E:$E,Pyramid!$Q$3)</f>
        <v>0</v>
      </c>
      <c r="Q111" t="str">
        <f t="shared" si="5"/>
        <v>30/8/2016</v>
      </c>
      <c r="R111" t="str">
        <f t="array" aca="1" ref="R111" ca="1">IFERROR(INDEX(Source!$A$1:$A$250,SMALL(IF(--(Source!$B$1:$B$250=$O111)*--(Source!$E$1:$E$250=$Q$3)*--(Source!$D$1:$D$250=Pyramid!$Q111),ROW(Source!$B$1:$B$250),FALSE),R$3)),"")</f>
        <v/>
      </c>
      <c r="S111" t="str">
        <f t="array" aca="1" ref="S111" ca="1">IFERROR(INDEX(Source!$A$1:$A$250,SMALL(IF(--(Source!$B$1:$B$250=$O111)*--(Source!$E$1:$E$250=$Q$3)*--(Source!$D$1:$D$250=Pyramid!$Q111),ROW(Source!$B$1:$B$250),FALSE),S$3)),"")</f>
        <v/>
      </c>
      <c r="T111" t="str">
        <f t="array" aca="1" ref="T111" ca="1">IFERROR(INDEX(Source!$A$1:$A$250,SMALL(IF(--(Source!$B$1:$B$250=$O111)*--(Source!$E$1:$E$250=$Q$3)*--(Source!$D$1:$D$250=Pyramid!$Q111),ROW(Source!$B$1:$B$250),FALSE),T$3)),"")</f>
        <v/>
      </c>
      <c r="U111" t="str">
        <f t="array" aca="1" ref="U111" ca="1">IFERROR(INDEX(Source!$A$1:$A$250,SMALL(IF(--(Source!$B$1:$B$250=$O111)*--(Source!$E$1:$E$250=$Q$3)*--(Source!$D$1:$D$250=Pyramid!$Q111),ROW(Source!$B$1:$B$250),FALSE),U$3)),"")</f>
        <v/>
      </c>
      <c r="V111" t="str">
        <f t="array" aca="1" ref="V111" ca="1">IFERROR(INDEX(Source!$A$1:$A$250,SMALL(IF(--(Source!$B$1:$B$250=$O111)*--(Source!$E$1:$E$250=$Q$3)*--(Source!$D$1:$D$250=Pyramid!$Q111),ROW(Source!$B$1:$B$250),FALSE),V$3)),"")</f>
        <v/>
      </c>
      <c r="W111" t="str">
        <f t="array" aca="1" ref="W111" ca="1">IFERROR(INDEX(Source!$A$1:$A$250,SMALL(IF(--(Source!$B$1:$B$250=$O111)*--(Source!$E$1:$E$250=$Q$3)*--(Source!$D$1:$D$250=Pyramid!$Q111),ROW(Source!$B$1:$B$250),FALSE),W$3)),"")</f>
        <v/>
      </c>
      <c r="X111" t="str">
        <f t="array" aca="1" ref="X111" ca="1">IFERROR(INDEX(Source!$A$1:$A$250,SMALL(IF(--(Source!$B$1:$B$250=$O111)*--(Source!$E$1:$E$250=$Q$3)*--(Source!$D$1:$D$250=Pyramid!$Q111),ROW(Source!$B$1:$B$250),FALSE),X$3)),"")</f>
        <v/>
      </c>
      <c r="Y111" s="5">
        <f t="shared" ca="1" si="6"/>
        <v>0</v>
      </c>
    </row>
    <row r="112" spans="3:25">
      <c r="C112">
        <v>108</v>
      </c>
      <c r="D112" s="5">
        <f t="shared" ca="1" si="4"/>
        <v>0</v>
      </c>
      <c r="E112" t="str">
        <f t="array" aca="1" ref="E112" ca="1">IFERROR(INDEX(Source!$A$1:$A$250,SMALL(IF(--(Source!$B$1:$B$250=$O112)*--(Source!$E$1:$E$250=$M$3)*--(Source!$D$1:$D$250=Pyramid!$M112),ROW(Source!$B$1:$B$250),FALSE),E$3)),"")</f>
        <v/>
      </c>
      <c r="F112" t="str">
        <f t="array" aca="1" ref="F112" ca="1">IFERROR(INDEX(Source!$A$1:$A$250,SMALL(IF(--(Source!$B$1:$B$250=$O112)*--(Source!$E$1:$E$250=$M$3)*--(Source!$D$1:$D$250=Pyramid!$M112),ROW(Source!$B$1:$B$250),FALSE),F$3)),"")</f>
        <v/>
      </c>
      <c r="G112" t="str">
        <f t="array" aca="1" ref="G112" ca="1">IFERROR(INDEX(Source!$A$1:$A$250,SMALL(IF(--(Source!$B$1:$B$250=$O112)*--(Source!$E$1:$E$250=$M$3)*--(Source!$D$1:$D$250=Pyramid!$M112),ROW(Source!$B$1:$B$250),FALSE),G$3)),"")</f>
        <v/>
      </c>
      <c r="H112" t="str">
        <f t="array" aca="1" ref="H112" ca="1">IFERROR(INDEX(Source!$A$1:$A$250,SMALL(IF(--(Source!$B$1:$B$250=$O112)*--(Source!$E$1:$E$250=$M$3)*--(Source!$D$1:$D$250=Pyramid!$M112),ROW(Source!$B$1:$B$250),FALSE),H$3)),"")</f>
        <v/>
      </c>
      <c r="I112" t="str">
        <f t="array" aca="1" ref="I112" ca="1">IFERROR(INDEX(Source!$A$1:$A$250,SMALL(IF(--(Source!$B$1:$B$250=$O112)*--(Source!$E$1:$E$250=$M$3)*--(Source!$D$1:$D$250=Pyramid!$M112),ROW(Source!$B$1:$B$250),FALSE),I$3)),"")</f>
        <v/>
      </c>
      <c r="J112" t="str">
        <f t="array" aca="1" ref="J112" ca="1">IFERROR(INDEX(Source!$A$1:$A$250,SMALL(IF(--(Source!$B$1:$B$250=$O112)*--(Source!$E$1:$E$250=$M$3)*--(Source!$D$1:$D$250=Pyramid!$M112),ROW(Source!$B$1:$B$250),FALSE),J$3)),"")</f>
        <v/>
      </c>
      <c r="K112" t="str">
        <f t="array" aca="1" ref="K112" ca="1">IFERROR(INDEX(Source!$A$1:$A$250,SMALL(IF(--(Source!$B$1:$B$250=$O112)*--(Source!$E$1:$E$250=$M$3)*--(Source!$D$1:$D$250=Pyramid!$M112),ROW(Source!$B$1:$B$250),FALSE),K$3)),"")</f>
        <v/>
      </c>
      <c r="L112" t="str">
        <f t="array" aca="1" ref="L112" ca="1">IFERROR(INDEX(Source!$A$1:$A$250,SMALL(IF(--(Source!$B$1:$B$250=$O112)*--(Source!$E$1:$E$250=$M$3)*--(Source!$D$1:$D$250=Pyramid!$M112),ROW(Source!$B$1:$B$250),FALSE),L$3)),"")</f>
        <v/>
      </c>
      <c r="M112" t="str">
        <f t="shared" si="5"/>
        <v>29/9/2016</v>
      </c>
      <c r="N112">
        <f ca="1">COUNTIFS(Source!B:B,Pyramid!$O112,Source!$D:$D,Pyramid!$M112,Source!$E:$E,Pyramid!$M$3)</f>
        <v>0</v>
      </c>
      <c r="O112">
        <f ca="1">OFFSET(Sheet2!$N$3,INT(C112/5),)</f>
        <v>19088</v>
      </c>
      <c r="P112">
        <f ca="1">COUNTIFS(Source!B:B,Pyramid!$O112,Source!D:D,Pyramid!$Q112,Source!$E:$E,Pyramid!$Q$3)</f>
        <v>0</v>
      </c>
      <c r="Q112" t="str">
        <f t="shared" si="5"/>
        <v>29/9/2016</v>
      </c>
      <c r="R112" t="str">
        <f t="array" aca="1" ref="R112" ca="1">IFERROR(INDEX(Source!$A$1:$A$250,SMALL(IF(--(Source!$B$1:$B$250=$O112)*--(Source!$E$1:$E$250=$Q$3)*--(Source!$D$1:$D$250=Pyramid!$Q112),ROW(Source!$B$1:$B$250),FALSE),R$3)),"")</f>
        <v/>
      </c>
      <c r="S112" t="str">
        <f t="array" aca="1" ref="S112" ca="1">IFERROR(INDEX(Source!$A$1:$A$250,SMALL(IF(--(Source!$B$1:$B$250=$O112)*--(Source!$E$1:$E$250=$Q$3)*--(Source!$D$1:$D$250=Pyramid!$Q112),ROW(Source!$B$1:$B$250),FALSE),S$3)),"")</f>
        <v/>
      </c>
      <c r="T112" t="str">
        <f t="array" aca="1" ref="T112" ca="1">IFERROR(INDEX(Source!$A$1:$A$250,SMALL(IF(--(Source!$B$1:$B$250=$O112)*--(Source!$E$1:$E$250=$Q$3)*--(Source!$D$1:$D$250=Pyramid!$Q112),ROW(Source!$B$1:$B$250),FALSE),T$3)),"")</f>
        <v/>
      </c>
      <c r="U112" t="str">
        <f t="array" aca="1" ref="U112" ca="1">IFERROR(INDEX(Source!$A$1:$A$250,SMALL(IF(--(Source!$B$1:$B$250=$O112)*--(Source!$E$1:$E$250=$Q$3)*--(Source!$D$1:$D$250=Pyramid!$Q112),ROW(Source!$B$1:$B$250),FALSE),U$3)),"")</f>
        <v/>
      </c>
      <c r="V112" t="str">
        <f t="array" aca="1" ref="V112" ca="1">IFERROR(INDEX(Source!$A$1:$A$250,SMALL(IF(--(Source!$B$1:$B$250=$O112)*--(Source!$E$1:$E$250=$Q$3)*--(Source!$D$1:$D$250=Pyramid!$Q112),ROW(Source!$B$1:$B$250),FALSE),V$3)),"")</f>
        <v/>
      </c>
      <c r="W112" t="str">
        <f t="array" aca="1" ref="W112" ca="1">IFERROR(INDEX(Source!$A$1:$A$250,SMALL(IF(--(Source!$B$1:$B$250=$O112)*--(Source!$E$1:$E$250=$Q$3)*--(Source!$D$1:$D$250=Pyramid!$Q112),ROW(Source!$B$1:$B$250),FALSE),W$3)),"")</f>
        <v/>
      </c>
      <c r="X112" t="str">
        <f t="array" aca="1" ref="X112" ca="1">IFERROR(INDEX(Source!$A$1:$A$250,SMALL(IF(--(Source!$B$1:$B$250=$O112)*--(Source!$E$1:$E$250=$Q$3)*--(Source!$D$1:$D$250=Pyramid!$Q112),ROW(Source!$B$1:$B$250),FALSE),X$3)),"")</f>
        <v/>
      </c>
      <c r="Y112" s="5">
        <f t="shared" ca="1" si="6"/>
        <v>0</v>
      </c>
    </row>
    <row r="113" spans="3:25">
      <c r="C113">
        <v>109</v>
      </c>
      <c r="D113" s="5">
        <f t="shared" ca="1" si="4"/>
        <v>0</v>
      </c>
      <c r="E113" t="str">
        <f t="array" aca="1" ref="E113" ca="1">IFERROR(INDEX(Source!$A$1:$A$250,SMALL(IF(--(Source!$B$1:$B$250=$O113)*--(Source!$E$1:$E$250=$M$3)*--(Source!$D$1:$D$250=Pyramid!$M113),ROW(Source!$B$1:$B$250),FALSE),E$3)),"")</f>
        <v/>
      </c>
      <c r="F113" t="str">
        <f t="array" aca="1" ref="F113" ca="1">IFERROR(INDEX(Source!$A$1:$A$250,SMALL(IF(--(Source!$B$1:$B$250=$O113)*--(Source!$E$1:$E$250=$M$3)*--(Source!$D$1:$D$250=Pyramid!$M113),ROW(Source!$B$1:$B$250),FALSE),F$3)),"")</f>
        <v/>
      </c>
      <c r="G113" t="str">
        <f t="array" aca="1" ref="G113" ca="1">IFERROR(INDEX(Source!$A$1:$A$250,SMALL(IF(--(Source!$B$1:$B$250=$O113)*--(Source!$E$1:$E$250=$M$3)*--(Source!$D$1:$D$250=Pyramid!$M113),ROW(Source!$B$1:$B$250),FALSE),G$3)),"")</f>
        <v/>
      </c>
      <c r="H113" t="str">
        <f t="array" aca="1" ref="H113" ca="1">IFERROR(INDEX(Source!$A$1:$A$250,SMALL(IF(--(Source!$B$1:$B$250=$O113)*--(Source!$E$1:$E$250=$M$3)*--(Source!$D$1:$D$250=Pyramid!$M113),ROW(Source!$B$1:$B$250),FALSE),H$3)),"")</f>
        <v/>
      </c>
      <c r="I113" t="str">
        <f t="array" aca="1" ref="I113" ca="1">IFERROR(INDEX(Source!$A$1:$A$250,SMALL(IF(--(Source!$B$1:$B$250=$O113)*--(Source!$E$1:$E$250=$M$3)*--(Source!$D$1:$D$250=Pyramid!$M113),ROW(Source!$B$1:$B$250),FALSE),I$3)),"")</f>
        <v/>
      </c>
      <c r="J113" t="str">
        <f t="array" aca="1" ref="J113" ca="1">IFERROR(INDEX(Source!$A$1:$A$250,SMALL(IF(--(Source!$B$1:$B$250=$O113)*--(Source!$E$1:$E$250=$M$3)*--(Source!$D$1:$D$250=Pyramid!$M113),ROW(Source!$B$1:$B$250),FALSE),J$3)),"")</f>
        <v/>
      </c>
      <c r="K113" t="str">
        <f t="array" aca="1" ref="K113" ca="1">IFERROR(INDEX(Source!$A$1:$A$250,SMALL(IF(--(Source!$B$1:$B$250=$O113)*--(Source!$E$1:$E$250=$M$3)*--(Source!$D$1:$D$250=Pyramid!$M113),ROW(Source!$B$1:$B$250),FALSE),K$3)),"")</f>
        <v/>
      </c>
      <c r="L113" t="str">
        <f t="array" aca="1" ref="L113" ca="1">IFERROR(INDEX(Source!$A$1:$A$250,SMALL(IF(--(Source!$B$1:$B$250=$O113)*--(Source!$E$1:$E$250=$M$3)*--(Source!$D$1:$D$250=Pyramid!$M113),ROW(Source!$B$1:$B$250),FALSE),L$3)),"")</f>
        <v/>
      </c>
      <c r="M113" t="str">
        <f t="shared" si="5"/>
        <v>28/10/2016</v>
      </c>
      <c r="N113">
        <f ca="1">COUNTIFS(Source!B:B,Pyramid!$O113,Source!$D:$D,Pyramid!$M113,Source!$E:$E,Pyramid!$M$3)</f>
        <v>0</v>
      </c>
      <c r="O113">
        <f ca="1">OFFSET(Sheet2!$N$3,INT(C113/5),)</f>
        <v>19088</v>
      </c>
      <c r="P113">
        <f ca="1">COUNTIFS(Source!B:B,Pyramid!$O113,Source!D:D,Pyramid!$Q113,Source!$E:$E,Pyramid!$Q$3)</f>
        <v>0</v>
      </c>
      <c r="Q113" t="str">
        <f t="shared" si="5"/>
        <v>28/10/2016</v>
      </c>
      <c r="R113" t="str">
        <f t="array" aca="1" ref="R113" ca="1">IFERROR(INDEX(Source!$A$1:$A$250,SMALL(IF(--(Source!$B$1:$B$250=$O113)*--(Source!$E$1:$E$250=$Q$3)*--(Source!$D$1:$D$250=Pyramid!$Q113),ROW(Source!$B$1:$B$250),FALSE),R$3)),"")</f>
        <v/>
      </c>
      <c r="S113" t="str">
        <f t="array" aca="1" ref="S113" ca="1">IFERROR(INDEX(Source!$A$1:$A$250,SMALL(IF(--(Source!$B$1:$B$250=$O113)*--(Source!$E$1:$E$250=$Q$3)*--(Source!$D$1:$D$250=Pyramid!$Q113),ROW(Source!$B$1:$B$250),FALSE),S$3)),"")</f>
        <v/>
      </c>
      <c r="T113" t="str">
        <f t="array" aca="1" ref="T113" ca="1">IFERROR(INDEX(Source!$A$1:$A$250,SMALL(IF(--(Source!$B$1:$B$250=$O113)*--(Source!$E$1:$E$250=$Q$3)*--(Source!$D$1:$D$250=Pyramid!$Q113),ROW(Source!$B$1:$B$250),FALSE),T$3)),"")</f>
        <v/>
      </c>
      <c r="U113" t="str">
        <f t="array" aca="1" ref="U113" ca="1">IFERROR(INDEX(Source!$A$1:$A$250,SMALL(IF(--(Source!$B$1:$B$250=$O113)*--(Source!$E$1:$E$250=$Q$3)*--(Source!$D$1:$D$250=Pyramid!$Q113),ROW(Source!$B$1:$B$250),FALSE),U$3)),"")</f>
        <v/>
      </c>
      <c r="V113" t="str">
        <f t="array" aca="1" ref="V113" ca="1">IFERROR(INDEX(Source!$A$1:$A$250,SMALL(IF(--(Source!$B$1:$B$250=$O113)*--(Source!$E$1:$E$250=$Q$3)*--(Source!$D$1:$D$250=Pyramid!$Q113),ROW(Source!$B$1:$B$250),FALSE),V$3)),"")</f>
        <v/>
      </c>
      <c r="W113" t="str">
        <f t="array" aca="1" ref="W113" ca="1">IFERROR(INDEX(Source!$A$1:$A$250,SMALL(IF(--(Source!$B$1:$B$250=$O113)*--(Source!$E$1:$E$250=$Q$3)*--(Source!$D$1:$D$250=Pyramid!$Q113),ROW(Source!$B$1:$B$250),FALSE),W$3)),"")</f>
        <v/>
      </c>
      <c r="X113" t="str">
        <f t="array" aca="1" ref="X113" ca="1">IFERROR(INDEX(Source!$A$1:$A$250,SMALL(IF(--(Source!$B$1:$B$250=$O113)*--(Source!$E$1:$E$250=$Q$3)*--(Source!$D$1:$D$250=Pyramid!$Q113),ROW(Source!$B$1:$B$250),FALSE),X$3)),"")</f>
        <v/>
      </c>
      <c r="Y113" s="5">
        <f t="shared" ca="1" si="6"/>
        <v>0</v>
      </c>
    </row>
    <row r="114" spans="3:25">
      <c r="C114">
        <v>110</v>
      </c>
      <c r="D114" s="5">
        <f t="shared" ca="1" si="4"/>
        <v>0</v>
      </c>
      <c r="E114" t="str">
        <f t="array" aca="1" ref="E114" ca="1">IFERROR(INDEX(Source!$A$1:$A$250,SMALL(IF(--(Source!$B$1:$B$250=$O114)*--(Source!$E$1:$E$250=$M$3)*--(Source!$D$1:$D$250=Pyramid!$M114),ROW(Source!$B$1:$B$250),FALSE),E$3)),"")</f>
        <v/>
      </c>
      <c r="F114" t="str">
        <f t="array" aca="1" ref="F114" ca="1">IFERROR(INDEX(Source!$A$1:$A$250,SMALL(IF(--(Source!$B$1:$B$250=$O114)*--(Source!$E$1:$E$250=$M$3)*--(Source!$D$1:$D$250=Pyramid!$M114),ROW(Source!$B$1:$B$250),FALSE),F$3)),"")</f>
        <v/>
      </c>
      <c r="G114" t="str">
        <f t="array" aca="1" ref="G114" ca="1">IFERROR(INDEX(Source!$A$1:$A$250,SMALL(IF(--(Source!$B$1:$B$250=$O114)*--(Source!$E$1:$E$250=$M$3)*--(Source!$D$1:$D$250=Pyramid!$M114),ROW(Source!$B$1:$B$250),FALSE),G$3)),"")</f>
        <v/>
      </c>
      <c r="H114" t="str">
        <f t="array" aca="1" ref="H114" ca="1">IFERROR(INDEX(Source!$A$1:$A$250,SMALL(IF(--(Source!$B$1:$B$250=$O114)*--(Source!$E$1:$E$250=$M$3)*--(Source!$D$1:$D$250=Pyramid!$M114),ROW(Source!$B$1:$B$250),FALSE),H$3)),"")</f>
        <v/>
      </c>
      <c r="I114" t="str">
        <f t="array" aca="1" ref="I114" ca="1">IFERROR(INDEX(Source!$A$1:$A$250,SMALL(IF(--(Source!$B$1:$B$250=$O114)*--(Source!$E$1:$E$250=$M$3)*--(Source!$D$1:$D$250=Pyramid!$M114),ROW(Source!$B$1:$B$250),FALSE),I$3)),"")</f>
        <v/>
      </c>
      <c r="J114" t="str">
        <f t="array" aca="1" ref="J114" ca="1">IFERROR(INDEX(Source!$A$1:$A$250,SMALL(IF(--(Source!$B$1:$B$250=$O114)*--(Source!$E$1:$E$250=$M$3)*--(Source!$D$1:$D$250=Pyramid!$M114),ROW(Source!$B$1:$B$250),FALSE),J$3)),"")</f>
        <v/>
      </c>
      <c r="K114" t="str">
        <f t="array" aca="1" ref="K114" ca="1">IFERROR(INDEX(Source!$A$1:$A$250,SMALL(IF(--(Source!$B$1:$B$250=$O114)*--(Source!$E$1:$E$250=$M$3)*--(Source!$D$1:$D$250=Pyramid!$M114),ROW(Source!$B$1:$B$250),FALSE),K$3)),"")</f>
        <v/>
      </c>
      <c r="L114" t="str">
        <f t="array" aca="1" ref="L114" ca="1">IFERROR(INDEX(Source!$A$1:$A$250,SMALL(IF(--(Source!$B$1:$B$250=$O114)*--(Source!$E$1:$E$250=$M$3)*--(Source!$D$1:$D$250=Pyramid!$M114),ROW(Source!$B$1:$B$250),FALSE),L$3)),"")</f>
        <v/>
      </c>
      <c r="M114" t="str">
        <f t="shared" si="5"/>
        <v>29/6/2016</v>
      </c>
      <c r="N114">
        <f ca="1">COUNTIFS(Source!B:B,Pyramid!$O114,Source!$D:$D,Pyramid!$M114,Source!$E:$E,Pyramid!$M$3)</f>
        <v>0</v>
      </c>
      <c r="O114">
        <f ca="1">OFFSET(Sheet2!$N$3,INT(C114/5),)</f>
        <v>19108</v>
      </c>
      <c r="P114">
        <f ca="1">COUNTIFS(Source!B:B,Pyramid!$O114,Source!D:D,Pyramid!$Q114,Source!$E:$E,Pyramid!$Q$3)</f>
        <v>0</v>
      </c>
      <c r="Q114" t="str">
        <f t="shared" si="5"/>
        <v>29/6/2016</v>
      </c>
      <c r="R114" t="str">
        <f t="array" aca="1" ref="R114" ca="1">IFERROR(INDEX(Source!$A$1:$A$250,SMALL(IF(--(Source!$B$1:$B$250=$O114)*--(Source!$E$1:$E$250=$Q$3)*--(Source!$D$1:$D$250=Pyramid!$Q114),ROW(Source!$B$1:$B$250),FALSE),R$3)),"")</f>
        <v/>
      </c>
      <c r="S114" t="str">
        <f t="array" aca="1" ref="S114" ca="1">IFERROR(INDEX(Source!$A$1:$A$250,SMALL(IF(--(Source!$B$1:$B$250=$O114)*--(Source!$E$1:$E$250=$Q$3)*--(Source!$D$1:$D$250=Pyramid!$Q114),ROW(Source!$B$1:$B$250),FALSE),S$3)),"")</f>
        <v/>
      </c>
      <c r="T114" t="str">
        <f t="array" aca="1" ref="T114" ca="1">IFERROR(INDEX(Source!$A$1:$A$250,SMALL(IF(--(Source!$B$1:$B$250=$O114)*--(Source!$E$1:$E$250=$Q$3)*--(Source!$D$1:$D$250=Pyramid!$Q114),ROW(Source!$B$1:$B$250),FALSE),T$3)),"")</f>
        <v/>
      </c>
      <c r="U114" t="str">
        <f t="array" aca="1" ref="U114" ca="1">IFERROR(INDEX(Source!$A$1:$A$250,SMALL(IF(--(Source!$B$1:$B$250=$O114)*--(Source!$E$1:$E$250=$Q$3)*--(Source!$D$1:$D$250=Pyramid!$Q114),ROW(Source!$B$1:$B$250),FALSE),U$3)),"")</f>
        <v/>
      </c>
      <c r="V114" t="str">
        <f t="array" aca="1" ref="V114" ca="1">IFERROR(INDEX(Source!$A$1:$A$250,SMALL(IF(--(Source!$B$1:$B$250=$O114)*--(Source!$E$1:$E$250=$Q$3)*--(Source!$D$1:$D$250=Pyramid!$Q114),ROW(Source!$B$1:$B$250),FALSE),V$3)),"")</f>
        <v/>
      </c>
      <c r="W114" t="str">
        <f t="array" aca="1" ref="W114" ca="1">IFERROR(INDEX(Source!$A$1:$A$250,SMALL(IF(--(Source!$B$1:$B$250=$O114)*--(Source!$E$1:$E$250=$Q$3)*--(Source!$D$1:$D$250=Pyramid!$Q114),ROW(Source!$B$1:$B$250),FALSE),W$3)),"")</f>
        <v/>
      </c>
      <c r="X114" t="str">
        <f t="array" aca="1" ref="X114" ca="1">IFERROR(INDEX(Source!$A$1:$A$250,SMALL(IF(--(Source!$B$1:$B$250=$O114)*--(Source!$E$1:$E$250=$Q$3)*--(Source!$D$1:$D$250=Pyramid!$Q114),ROW(Source!$B$1:$B$250),FALSE),X$3)),"")</f>
        <v/>
      </c>
      <c r="Y114" s="5">
        <f t="shared" ca="1" si="6"/>
        <v>0</v>
      </c>
    </row>
    <row r="115" spans="3:25">
      <c r="C115">
        <v>111</v>
      </c>
      <c r="D115" s="5">
        <f t="shared" ca="1" si="4"/>
        <v>0</v>
      </c>
      <c r="E115" t="str">
        <f t="array" aca="1" ref="E115" ca="1">IFERROR(INDEX(Source!$A$1:$A$250,SMALL(IF(--(Source!$B$1:$B$250=$O115)*--(Source!$E$1:$E$250=$M$3)*--(Source!$D$1:$D$250=Pyramid!$M115),ROW(Source!$B$1:$B$250),FALSE),E$3)),"")</f>
        <v/>
      </c>
      <c r="F115" t="str">
        <f t="array" aca="1" ref="F115" ca="1">IFERROR(INDEX(Source!$A$1:$A$250,SMALL(IF(--(Source!$B$1:$B$250=$O115)*--(Source!$E$1:$E$250=$M$3)*--(Source!$D$1:$D$250=Pyramid!$M115),ROW(Source!$B$1:$B$250),FALSE),F$3)),"")</f>
        <v/>
      </c>
      <c r="G115" t="str">
        <f t="array" aca="1" ref="G115" ca="1">IFERROR(INDEX(Source!$A$1:$A$250,SMALL(IF(--(Source!$B$1:$B$250=$O115)*--(Source!$E$1:$E$250=$M$3)*--(Source!$D$1:$D$250=Pyramid!$M115),ROW(Source!$B$1:$B$250),FALSE),G$3)),"")</f>
        <v/>
      </c>
      <c r="H115" t="str">
        <f t="array" aca="1" ref="H115" ca="1">IFERROR(INDEX(Source!$A$1:$A$250,SMALL(IF(--(Source!$B$1:$B$250=$O115)*--(Source!$E$1:$E$250=$M$3)*--(Source!$D$1:$D$250=Pyramid!$M115),ROW(Source!$B$1:$B$250),FALSE),H$3)),"")</f>
        <v/>
      </c>
      <c r="I115" t="str">
        <f t="array" aca="1" ref="I115" ca="1">IFERROR(INDEX(Source!$A$1:$A$250,SMALL(IF(--(Source!$B$1:$B$250=$O115)*--(Source!$E$1:$E$250=$M$3)*--(Source!$D$1:$D$250=Pyramid!$M115),ROW(Source!$B$1:$B$250),FALSE),I$3)),"")</f>
        <v/>
      </c>
      <c r="J115" t="str">
        <f t="array" aca="1" ref="J115" ca="1">IFERROR(INDEX(Source!$A$1:$A$250,SMALL(IF(--(Source!$B$1:$B$250=$O115)*--(Source!$E$1:$E$250=$M$3)*--(Source!$D$1:$D$250=Pyramid!$M115),ROW(Source!$B$1:$B$250),FALSE),J$3)),"")</f>
        <v/>
      </c>
      <c r="K115" t="str">
        <f t="array" aca="1" ref="K115" ca="1">IFERROR(INDEX(Source!$A$1:$A$250,SMALL(IF(--(Source!$B$1:$B$250=$O115)*--(Source!$E$1:$E$250=$M$3)*--(Source!$D$1:$D$250=Pyramid!$M115),ROW(Source!$B$1:$B$250),FALSE),K$3)),"")</f>
        <v/>
      </c>
      <c r="L115" t="str">
        <f t="array" aca="1" ref="L115" ca="1">IFERROR(INDEX(Source!$A$1:$A$250,SMALL(IF(--(Source!$B$1:$B$250=$O115)*--(Source!$E$1:$E$250=$M$3)*--(Source!$D$1:$D$250=Pyramid!$M115),ROW(Source!$B$1:$B$250),FALSE),L$3)),"")</f>
        <v/>
      </c>
      <c r="M115" t="str">
        <f t="shared" si="5"/>
        <v>28/7/2016</v>
      </c>
      <c r="N115">
        <f ca="1">COUNTIFS(Source!B:B,Pyramid!$O115,Source!$D:$D,Pyramid!$M115,Source!$E:$E,Pyramid!$M$3)</f>
        <v>0</v>
      </c>
      <c r="O115">
        <f ca="1">OFFSET(Sheet2!$N$3,INT(C115/5),)</f>
        <v>19108</v>
      </c>
      <c r="P115">
        <f ca="1">COUNTIFS(Source!B:B,Pyramid!$O115,Source!D:D,Pyramid!$Q115,Source!$E:$E,Pyramid!$Q$3)</f>
        <v>0</v>
      </c>
      <c r="Q115" t="str">
        <f t="shared" si="5"/>
        <v>28/7/2016</v>
      </c>
      <c r="R115" t="str">
        <f t="array" aca="1" ref="R115" ca="1">IFERROR(INDEX(Source!$A$1:$A$250,SMALL(IF(--(Source!$B$1:$B$250=$O115)*--(Source!$E$1:$E$250=$Q$3)*--(Source!$D$1:$D$250=Pyramid!$Q115),ROW(Source!$B$1:$B$250),FALSE),R$3)),"")</f>
        <v/>
      </c>
      <c r="S115" t="str">
        <f t="array" aca="1" ref="S115" ca="1">IFERROR(INDEX(Source!$A$1:$A$250,SMALL(IF(--(Source!$B$1:$B$250=$O115)*--(Source!$E$1:$E$250=$Q$3)*--(Source!$D$1:$D$250=Pyramid!$Q115),ROW(Source!$B$1:$B$250),FALSE),S$3)),"")</f>
        <v/>
      </c>
      <c r="T115" t="str">
        <f t="array" aca="1" ref="T115" ca="1">IFERROR(INDEX(Source!$A$1:$A$250,SMALL(IF(--(Source!$B$1:$B$250=$O115)*--(Source!$E$1:$E$250=$Q$3)*--(Source!$D$1:$D$250=Pyramid!$Q115),ROW(Source!$B$1:$B$250),FALSE),T$3)),"")</f>
        <v/>
      </c>
      <c r="U115" t="str">
        <f t="array" aca="1" ref="U115" ca="1">IFERROR(INDEX(Source!$A$1:$A$250,SMALL(IF(--(Source!$B$1:$B$250=$O115)*--(Source!$E$1:$E$250=$Q$3)*--(Source!$D$1:$D$250=Pyramid!$Q115),ROW(Source!$B$1:$B$250),FALSE),U$3)),"")</f>
        <v/>
      </c>
      <c r="V115" t="str">
        <f t="array" aca="1" ref="V115" ca="1">IFERROR(INDEX(Source!$A$1:$A$250,SMALL(IF(--(Source!$B$1:$B$250=$O115)*--(Source!$E$1:$E$250=$Q$3)*--(Source!$D$1:$D$250=Pyramid!$Q115),ROW(Source!$B$1:$B$250),FALSE),V$3)),"")</f>
        <v/>
      </c>
      <c r="W115" t="str">
        <f t="array" aca="1" ref="W115" ca="1">IFERROR(INDEX(Source!$A$1:$A$250,SMALL(IF(--(Source!$B$1:$B$250=$O115)*--(Source!$E$1:$E$250=$Q$3)*--(Source!$D$1:$D$250=Pyramid!$Q115),ROW(Source!$B$1:$B$250),FALSE),W$3)),"")</f>
        <v/>
      </c>
      <c r="X115" t="str">
        <f t="array" aca="1" ref="X115" ca="1">IFERROR(INDEX(Source!$A$1:$A$250,SMALL(IF(--(Source!$B$1:$B$250=$O115)*--(Source!$E$1:$E$250=$Q$3)*--(Source!$D$1:$D$250=Pyramid!$Q115),ROW(Source!$B$1:$B$250),FALSE),X$3)),"")</f>
        <v/>
      </c>
      <c r="Y115" s="5">
        <f t="shared" ca="1" si="6"/>
        <v>0</v>
      </c>
    </row>
    <row r="116" spans="3:25">
      <c r="C116">
        <v>112</v>
      </c>
      <c r="D116" s="5">
        <f t="shared" ca="1" si="4"/>
        <v>0</v>
      </c>
      <c r="E116" t="str">
        <f t="array" aca="1" ref="E116" ca="1">IFERROR(INDEX(Source!$A$1:$A$250,SMALL(IF(--(Source!$B$1:$B$250=$O116)*--(Source!$E$1:$E$250=$M$3)*--(Source!$D$1:$D$250=Pyramid!$M116),ROW(Source!$B$1:$B$250),FALSE),E$3)),"")</f>
        <v/>
      </c>
      <c r="F116" t="str">
        <f t="array" aca="1" ref="F116" ca="1">IFERROR(INDEX(Source!$A$1:$A$250,SMALL(IF(--(Source!$B$1:$B$250=$O116)*--(Source!$E$1:$E$250=$M$3)*--(Source!$D$1:$D$250=Pyramid!$M116),ROW(Source!$B$1:$B$250),FALSE),F$3)),"")</f>
        <v/>
      </c>
      <c r="G116" t="str">
        <f t="array" aca="1" ref="G116" ca="1">IFERROR(INDEX(Source!$A$1:$A$250,SMALL(IF(--(Source!$B$1:$B$250=$O116)*--(Source!$E$1:$E$250=$M$3)*--(Source!$D$1:$D$250=Pyramid!$M116),ROW(Source!$B$1:$B$250),FALSE),G$3)),"")</f>
        <v/>
      </c>
      <c r="H116" t="str">
        <f t="array" aca="1" ref="H116" ca="1">IFERROR(INDEX(Source!$A$1:$A$250,SMALL(IF(--(Source!$B$1:$B$250=$O116)*--(Source!$E$1:$E$250=$M$3)*--(Source!$D$1:$D$250=Pyramid!$M116),ROW(Source!$B$1:$B$250),FALSE),H$3)),"")</f>
        <v/>
      </c>
      <c r="I116" t="str">
        <f t="array" aca="1" ref="I116" ca="1">IFERROR(INDEX(Source!$A$1:$A$250,SMALL(IF(--(Source!$B$1:$B$250=$O116)*--(Source!$E$1:$E$250=$M$3)*--(Source!$D$1:$D$250=Pyramid!$M116),ROW(Source!$B$1:$B$250),FALSE),I$3)),"")</f>
        <v/>
      </c>
      <c r="J116" t="str">
        <f t="array" aca="1" ref="J116" ca="1">IFERROR(INDEX(Source!$A$1:$A$250,SMALL(IF(--(Source!$B$1:$B$250=$O116)*--(Source!$E$1:$E$250=$M$3)*--(Source!$D$1:$D$250=Pyramid!$M116),ROW(Source!$B$1:$B$250),FALSE),J$3)),"")</f>
        <v/>
      </c>
      <c r="K116" t="str">
        <f t="array" aca="1" ref="K116" ca="1">IFERROR(INDEX(Source!$A$1:$A$250,SMALL(IF(--(Source!$B$1:$B$250=$O116)*--(Source!$E$1:$E$250=$M$3)*--(Source!$D$1:$D$250=Pyramid!$M116),ROW(Source!$B$1:$B$250),FALSE),K$3)),"")</f>
        <v/>
      </c>
      <c r="L116" t="str">
        <f t="array" aca="1" ref="L116" ca="1">IFERROR(INDEX(Source!$A$1:$A$250,SMALL(IF(--(Source!$B$1:$B$250=$O116)*--(Source!$E$1:$E$250=$M$3)*--(Source!$D$1:$D$250=Pyramid!$M116),ROW(Source!$B$1:$B$250),FALSE),L$3)),"")</f>
        <v/>
      </c>
      <c r="M116" t="str">
        <f t="shared" si="5"/>
        <v>30/8/2016</v>
      </c>
      <c r="N116">
        <f ca="1">COUNTIFS(Source!B:B,Pyramid!$O116,Source!$D:$D,Pyramid!$M116,Source!$E:$E,Pyramid!$M$3)</f>
        <v>0</v>
      </c>
      <c r="O116">
        <f ca="1">OFFSET(Sheet2!$N$3,INT(C116/5),)</f>
        <v>19108</v>
      </c>
      <c r="P116">
        <f ca="1">COUNTIFS(Source!B:B,Pyramid!$O116,Source!D:D,Pyramid!$Q116,Source!$E:$E,Pyramid!$Q$3)</f>
        <v>0</v>
      </c>
      <c r="Q116" t="str">
        <f t="shared" si="5"/>
        <v>30/8/2016</v>
      </c>
      <c r="R116" t="str">
        <f t="array" aca="1" ref="R116" ca="1">IFERROR(INDEX(Source!$A$1:$A$250,SMALL(IF(--(Source!$B$1:$B$250=$O116)*--(Source!$E$1:$E$250=$Q$3)*--(Source!$D$1:$D$250=Pyramid!$Q116),ROW(Source!$B$1:$B$250),FALSE),R$3)),"")</f>
        <v/>
      </c>
      <c r="S116" t="str">
        <f t="array" aca="1" ref="S116" ca="1">IFERROR(INDEX(Source!$A$1:$A$250,SMALL(IF(--(Source!$B$1:$B$250=$O116)*--(Source!$E$1:$E$250=$Q$3)*--(Source!$D$1:$D$250=Pyramid!$Q116),ROW(Source!$B$1:$B$250),FALSE),S$3)),"")</f>
        <v/>
      </c>
      <c r="T116" t="str">
        <f t="array" aca="1" ref="T116" ca="1">IFERROR(INDEX(Source!$A$1:$A$250,SMALL(IF(--(Source!$B$1:$B$250=$O116)*--(Source!$E$1:$E$250=$Q$3)*--(Source!$D$1:$D$250=Pyramid!$Q116),ROW(Source!$B$1:$B$250),FALSE),T$3)),"")</f>
        <v/>
      </c>
      <c r="U116" t="str">
        <f t="array" aca="1" ref="U116" ca="1">IFERROR(INDEX(Source!$A$1:$A$250,SMALL(IF(--(Source!$B$1:$B$250=$O116)*--(Source!$E$1:$E$250=$Q$3)*--(Source!$D$1:$D$250=Pyramid!$Q116),ROW(Source!$B$1:$B$250),FALSE),U$3)),"")</f>
        <v/>
      </c>
      <c r="V116" t="str">
        <f t="array" aca="1" ref="V116" ca="1">IFERROR(INDEX(Source!$A$1:$A$250,SMALL(IF(--(Source!$B$1:$B$250=$O116)*--(Source!$E$1:$E$250=$Q$3)*--(Source!$D$1:$D$250=Pyramid!$Q116),ROW(Source!$B$1:$B$250),FALSE),V$3)),"")</f>
        <v/>
      </c>
      <c r="W116" t="str">
        <f t="array" aca="1" ref="W116" ca="1">IFERROR(INDEX(Source!$A$1:$A$250,SMALL(IF(--(Source!$B$1:$B$250=$O116)*--(Source!$E$1:$E$250=$Q$3)*--(Source!$D$1:$D$250=Pyramid!$Q116),ROW(Source!$B$1:$B$250),FALSE),W$3)),"")</f>
        <v/>
      </c>
      <c r="X116" t="str">
        <f t="array" aca="1" ref="X116" ca="1">IFERROR(INDEX(Source!$A$1:$A$250,SMALL(IF(--(Source!$B$1:$B$250=$O116)*--(Source!$E$1:$E$250=$Q$3)*--(Source!$D$1:$D$250=Pyramid!$Q116),ROW(Source!$B$1:$B$250),FALSE),X$3)),"")</f>
        <v/>
      </c>
      <c r="Y116" s="5">
        <f t="shared" ca="1" si="6"/>
        <v>0</v>
      </c>
    </row>
    <row r="117" spans="3:25">
      <c r="C117">
        <v>113</v>
      </c>
      <c r="D117" s="5">
        <f t="shared" ca="1" si="4"/>
        <v>0</v>
      </c>
      <c r="E117" t="str">
        <f t="array" aca="1" ref="E117" ca="1">IFERROR(INDEX(Source!$A$1:$A$250,SMALL(IF(--(Source!$B$1:$B$250=$O117)*--(Source!$E$1:$E$250=$M$3)*--(Source!$D$1:$D$250=Pyramid!$M117),ROW(Source!$B$1:$B$250),FALSE),E$3)),"")</f>
        <v/>
      </c>
      <c r="F117" t="str">
        <f t="array" aca="1" ref="F117" ca="1">IFERROR(INDEX(Source!$A$1:$A$250,SMALL(IF(--(Source!$B$1:$B$250=$O117)*--(Source!$E$1:$E$250=$M$3)*--(Source!$D$1:$D$250=Pyramid!$M117),ROW(Source!$B$1:$B$250),FALSE),F$3)),"")</f>
        <v/>
      </c>
      <c r="G117" t="str">
        <f t="array" aca="1" ref="G117" ca="1">IFERROR(INDEX(Source!$A$1:$A$250,SMALL(IF(--(Source!$B$1:$B$250=$O117)*--(Source!$E$1:$E$250=$M$3)*--(Source!$D$1:$D$250=Pyramid!$M117),ROW(Source!$B$1:$B$250),FALSE),G$3)),"")</f>
        <v/>
      </c>
      <c r="H117" t="str">
        <f t="array" aca="1" ref="H117" ca="1">IFERROR(INDEX(Source!$A$1:$A$250,SMALL(IF(--(Source!$B$1:$B$250=$O117)*--(Source!$E$1:$E$250=$M$3)*--(Source!$D$1:$D$250=Pyramid!$M117),ROW(Source!$B$1:$B$250),FALSE),H$3)),"")</f>
        <v/>
      </c>
      <c r="I117" t="str">
        <f t="array" aca="1" ref="I117" ca="1">IFERROR(INDEX(Source!$A$1:$A$250,SMALL(IF(--(Source!$B$1:$B$250=$O117)*--(Source!$E$1:$E$250=$M$3)*--(Source!$D$1:$D$250=Pyramid!$M117),ROW(Source!$B$1:$B$250),FALSE),I$3)),"")</f>
        <v/>
      </c>
      <c r="J117" t="str">
        <f t="array" aca="1" ref="J117" ca="1">IFERROR(INDEX(Source!$A$1:$A$250,SMALL(IF(--(Source!$B$1:$B$250=$O117)*--(Source!$E$1:$E$250=$M$3)*--(Source!$D$1:$D$250=Pyramid!$M117),ROW(Source!$B$1:$B$250),FALSE),J$3)),"")</f>
        <v/>
      </c>
      <c r="K117" t="str">
        <f t="array" aca="1" ref="K117" ca="1">IFERROR(INDEX(Source!$A$1:$A$250,SMALL(IF(--(Source!$B$1:$B$250=$O117)*--(Source!$E$1:$E$250=$M$3)*--(Source!$D$1:$D$250=Pyramid!$M117),ROW(Source!$B$1:$B$250),FALSE),K$3)),"")</f>
        <v/>
      </c>
      <c r="L117" t="str">
        <f t="array" aca="1" ref="L117" ca="1">IFERROR(INDEX(Source!$A$1:$A$250,SMALL(IF(--(Source!$B$1:$B$250=$O117)*--(Source!$E$1:$E$250=$M$3)*--(Source!$D$1:$D$250=Pyramid!$M117),ROW(Source!$B$1:$B$250),FALSE),L$3)),"")</f>
        <v/>
      </c>
      <c r="M117" t="str">
        <f t="shared" si="5"/>
        <v>29/9/2016</v>
      </c>
      <c r="N117">
        <f ca="1">COUNTIFS(Source!B:B,Pyramid!$O117,Source!$D:$D,Pyramid!$M117,Source!$E:$E,Pyramid!$M$3)</f>
        <v>0</v>
      </c>
      <c r="O117">
        <f ca="1">OFFSET(Sheet2!$N$3,INT(C117/5),)</f>
        <v>19108</v>
      </c>
      <c r="P117">
        <f ca="1">COUNTIFS(Source!B:B,Pyramid!$O117,Source!D:D,Pyramid!$Q117,Source!$E:$E,Pyramid!$Q$3)</f>
        <v>1</v>
      </c>
      <c r="Q117" t="str">
        <f t="shared" si="5"/>
        <v>29/9/2016</v>
      </c>
      <c r="R117" t="str">
        <f t="array" aca="1" ref="R117" ca="1">IFERROR(INDEX(Source!$A$1:$A$250,SMALL(IF(--(Source!$B$1:$B$250=$O117)*--(Source!$E$1:$E$250=$Q$3)*--(Source!$D$1:$D$250=Pyramid!$Q117),ROW(Source!$B$1:$B$250),FALSE),R$3)),"")</f>
        <v>26717 HK Equity</v>
      </c>
      <c r="S117" t="str">
        <f t="array" aca="1" ref="S117" ca="1">IFERROR(INDEX(Source!$A$1:$A$250,SMALL(IF(--(Source!$B$1:$B$250=$O117)*--(Source!$E$1:$E$250=$Q$3)*--(Source!$D$1:$D$250=Pyramid!$Q117),ROW(Source!$B$1:$B$250),FALSE),S$3)),"")</f>
        <v/>
      </c>
      <c r="T117" t="str">
        <f t="array" aca="1" ref="T117" ca="1">IFERROR(INDEX(Source!$A$1:$A$250,SMALL(IF(--(Source!$B$1:$B$250=$O117)*--(Source!$E$1:$E$250=$Q$3)*--(Source!$D$1:$D$250=Pyramid!$Q117),ROW(Source!$B$1:$B$250),FALSE),T$3)),"")</f>
        <v/>
      </c>
      <c r="U117" t="str">
        <f t="array" aca="1" ref="U117" ca="1">IFERROR(INDEX(Source!$A$1:$A$250,SMALL(IF(--(Source!$B$1:$B$250=$O117)*--(Source!$E$1:$E$250=$Q$3)*--(Source!$D$1:$D$250=Pyramid!$Q117),ROW(Source!$B$1:$B$250),FALSE),U$3)),"")</f>
        <v/>
      </c>
      <c r="V117" t="str">
        <f t="array" aca="1" ref="V117" ca="1">IFERROR(INDEX(Source!$A$1:$A$250,SMALL(IF(--(Source!$B$1:$B$250=$O117)*--(Source!$E$1:$E$250=$Q$3)*--(Source!$D$1:$D$250=Pyramid!$Q117),ROW(Source!$B$1:$B$250),FALSE),V$3)),"")</f>
        <v/>
      </c>
      <c r="W117" t="str">
        <f t="array" aca="1" ref="W117" ca="1">IFERROR(INDEX(Source!$A$1:$A$250,SMALL(IF(--(Source!$B$1:$B$250=$O117)*--(Source!$E$1:$E$250=$Q$3)*--(Source!$D$1:$D$250=Pyramid!$Q117),ROW(Source!$B$1:$B$250),FALSE),W$3)),"")</f>
        <v/>
      </c>
      <c r="X117" t="str">
        <f t="array" aca="1" ref="X117" ca="1">IFERROR(INDEX(Source!$A$1:$A$250,SMALL(IF(--(Source!$B$1:$B$250=$O117)*--(Source!$E$1:$E$250=$Q$3)*--(Source!$D$1:$D$250=Pyramid!$Q117),ROW(Source!$B$1:$B$250),FALSE),X$3)),"")</f>
        <v/>
      </c>
      <c r="Y117" s="5">
        <f t="shared" ca="1" si="6"/>
        <v>0</v>
      </c>
    </row>
    <row r="118" spans="3:25">
      <c r="C118">
        <v>114</v>
      </c>
      <c r="D118" s="5">
        <f t="shared" ca="1" si="4"/>
        <v>0</v>
      </c>
      <c r="E118" t="str">
        <f t="array" aca="1" ref="E118" ca="1">IFERROR(INDEX(Source!$A$1:$A$250,SMALL(IF(--(Source!$B$1:$B$250=$O118)*--(Source!$E$1:$E$250=$M$3)*--(Source!$D$1:$D$250=Pyramid!$M118),ROW(Source!$B$1:$B$250),FALSE),E$3)),"")</f>
        <v/>
      </c>
      <c r="F118" t="str">
        <f t="array" aca="1" ref="F118" ca="1">IFERROR(INDEX(Source!$A$1:$A$250,SMALL(IF(--(Source!$B$1:$B$250=$O118)*--(Source!$E$1:$E$250=$M$3)*--(Source!$D$1:$D$250=Pyramid!$M118),ROW(Source!$B$1:$B$250),FALSE),F$3)),"")</f>
        <v/>
      </c>
      <c r="G118" t="str">
        <f t="array" aca="1" ref="G118" ca="1">IFERROR(INDEX(Source!$A$1:$A$250,SMALL(IF(--(Source!$B$1:$B$250=$O118)*--(Source!$E$1:$E$250=$M$3)*--(Source!$D$1:$D$250=Pyramid!$M118),ROW(Source!$B$1:$B$250),FALSE),G$3)),"")</f>
        <v/>
      </c>
      <c r="H118" t="str">
        <f t="array" aca="1" ref="H118" ca="1">IFERROR(INDEX(Source!$A$1:$A$250,SMALL(IF(--(Source!$B$1:$B$250=$O118)*--(Source!$E$1:$E$250=$M$3)*--(Source!$D$1:$D$250=Pyramid!$M118),ROW(Source!$B$1:$B$250),FALSE),H$3)),"")</f>
        <v/>
      </c>
      <c r="I118" t="str">
        <f t="array" aca="1" ref="I118" ca="1">IFERROR(INDEX(Source!$A$1:$A$250,SMALL(IF(--(Source!$B$1:$B$250=$O118)*--(Source!$E$1:$E$250=$M$3)*--(Source!$D$1:$D$250=Pyramid!$M118),ROW(Source!$B$1:$B$250),FALSE),I$3)),"")</f>
        <v/>
      </c>
      <c r="J118" t="str">
        <f t="array" aca="1" ref="J118" ca="1">IFERROR(INDEX(Source!$A$1:$A$250,SMALL(IF(--(Source!$B$1:$B$250=$O118)*--(Source!$E$1:$E$250=$M$3)*--(Source!$D$1:$D$250=Pyramid!$M118),ROW(Source!$B$1:$B$250),FALSE),J$3)),"")</f>
        <v/>
      </c>
      <c r="K118" t="str">
        <f t="array" aca="1" ref="K118" ca="1">IFERROR(INDEX(Source!$A$1:$A$250,SMALL(IF(--(Source!$B$1:$B$250=$O118)*--(Source!$E$1:$E$250=$M$3)*--(Source!$D$1:$D$250=Pyramid!$M118),ROW(Source!$B$1:$B$250),FALSE),K$3)),"")</f>
        <v/>
      </c>
      <c r="L118" t="str">
        <f t="array" aca="1" ref="L118" ca="1">IFERROR(INDEX(Source!$A$1:$A$250,SMALL(IF(--(Source!$B$1:$B$250=$O118)*--(Source!$E$1:$E$250=$M$3)*--(Source!$D$1:$D$250=Pyramid!$M118),ROW(Source!$B$1:$B$250),FALSE),L$3)),"")</f>
        <v/>
      </c>
      <c r="M118" t="str">
        <f t="shared" si="5"/>
        <v>28/10/2016</v>
      </c>
      <c r="N118">
        <f ca="1">COUNTIFS(Source!B:B,Pyramid!$O118,Source!$D:$D,Pyramid!$M118,Source!$E:$E,Pyramid!$M$3)</f>
        <v>0</v>
      </c>
      <c r="O118">
        <f ca="1">OFFSET(Sheet2!$N$3,INT(C118/5),)</f>
        <v>19108</v>
      </c>
      <c r="P118">
        <f ca="1">COUNTIFS(Source!B:B,Pyramid!$O118,Source!D:D,Pyramid!$Q118,Source!$E:$E,Pyramid!$Q$3)</f>
        <v>0</v>
      </c>
      <c r="Q118" t="str">
        <f t="shared" si="5"/>
        <v>28/10/2016</v>
      </c>
      <c r="R118" t="str">
        <f t="array" aca="1" ref="R118" ca="1">IFERROR(INDEX(Source!$A$1:$A$250,SMALL(IF(--(Source!$B$1:$B$250=$O118)*--(Source!$E$1:$E$250=$Q$3)*--(Source!$D$1:$D$250=Pyramid!$Q118),ROW(Source!$B$1:$B$250),FALSE),R$3)),"")</f>
        <v/>
      </c>
      <c r="S118" t="str">
        <f t="array" aca="1" ref="S118" ca="1">IFERROR(INDEX(Source!$A$1:$A$250,SMALL(IF(--(Source!$B$1:$B$250=$O118)*--(Source!$E$1:$E$250=$Q$3)*--(Source!$D$1:$D$250=Pyramid!$Q118),ROW(Source!$B$1:$B$250),FALSE),S$3)),"")</f>
        <v/>
      </c>
      <c r="T118" t="str">
        <f t="array" aca="1" ref="T118" ca="1">IFERROR(INDEX(Source!$A$1:$A$250,SMALL(IF(--(Source!$B$1:$B$250=$O118)*--(Source!$E$1:$E$250=$Q$3)*--(Source!$D$1:$D$250=Pyramid!$Q118),ROW(Source!$B$1:$B$250),FALSE),T$3)),"")</f>
        <v/>
      </c>
      <c r="U118" t="str">
        <f t="array" aca="1" ref="U118" ca="1">IFERROR(INDEX(Source!$A$1:$A$250,SMALL(IF(--(Source!$B$1:$B$250=$O118)*--(Source!$E$1:$E$250=$Q$3)*--(Source!$D$1:$D$250=Pyramid!$Q118),ROW(Source!$B$1:$B$250),FALSE),U$3)),"")</f>
        <v/>
      </c>
      <c r="V118" t="str">
        <f t="array" aca="1" ref="V118" ca="1">IFERROR(INDEX(Source!$A$1:$A$250,SMALL(IF(--(Source!$B$1:$B$250=$O118)*--(Source!$E$1:$E$250=$Q$3)*--(Source!$D$1:$D$250=Pyramid!$Q118),ROW(Source!$B$1:$B$250),FALSE),V$3)),"")</f>
        <v/>
      </c>
      <c r="W118" t="str">
        <f t="array" aca="1" ref="W118" ca="1">IFERROR(INDEX(Source!$A$1:$A$250,SMALL(IF(--(Source!$B$1:$B$250=$O118)*--(Source!$E$1:$E$250=$Q$3)*--(Source!$D$1:$D$250=Pyramid!$Q118),ROW(Source!$B$1:$B$250),FALSE),W$3)),"")</f>
        <v/>
      </c>
      <c r="X118" t="str">
        <f t="array" aca="1" ref="X118" ca="1">IFERROR(INDEX(Source!$A$1:$A$250,SMALL(IF(--(Source!$B$1:$B$250=$O118)*--(Source!$E$1:$E$250=$Q$3)*--(Source!$D$1:$D$250=Pyramid!$Q118),ROW(Source!$B$1:$B$250),FALSE),X$3)),"")</f>
        <v/>
      </c>
      <c r="Y118" s="5">
        <f t="shared" ca="1" si="6"/>
        <v>0</v>
      </c>
    </row>
    <row r="119" spans="3:25">
      <c r="C119">
        <v>115</v>
      </c>
      <c r="D119" s="5">
        <f t="shared" ca="1" si="4"/>
        <v>0</v>
      </c>
      <c r="E119" t="str">
        <f t="array" aca="1" ref="E119" ca="1">IFERROR(INDEX(Source!$A$1:$A$250,SMALL(IF(--(Source!$B$1:$B$250=$O119)*--(Source!$E$1:$E$250=$M$3)*--(Source!$D$1:$D$250=Pyramid!$M119),ROW(Source!$B$1:$B$250),FALSE),E$3)),"")</f>
        <v/>
      </c>
      <c r="F119" t="str">
        <f t="array" aca="1" ref="F119" ca="1">IFERROR(INDEX(Source!$A$1:$A$250,SMALL(IF(--(Source!$B$1:$B$250=$O119)*--(Source!$E$1:$E$250=$M$3)*--(Source!$D$1:$D$250=Pyramid!$M119),ROW(Source!$B$1:$B$250),FALSE),F$3)),"")</f>
        <v/>
      </c>
      <c r="G119" t="str">
        <f t="array" aca="1" ref="G119" ca="1">IFERROR(INDEX(Source!$A$1:$A$250,SMALL(IF(--(Source!$B$1:$B$250=$O119)*--(Source!$E$1:$E$250=$M$3)*--(Source!$D$1:$D$250=Pyramid!$M119),ROW(Source!$B$1:$B$250),FALSE),G$3)),"")</f>
        <v/>
      </c>
      <c r="H119" t="str">
        <f t="array" aca="1" ref="H119" ca="1">IFERROR(INDEX(Source!$A$1:$A$250,SMALL(IF(--(Source!$B$1:$B$250=$O119)*--(Source!$E$1:$E$250=$M$3)*--(Source!$D$1:$D$250=Pyramid!$M119),ROW(Source!$B$1:$B$250),FALSE),H$3)),"")</f>
        <v/>
      </c>
      <c r="I119" t="str">
        <f t="array" aca="1" ref="I119" ca="1">IFERROR(INDEX(Source!$A$1:$A$250,SMALL(IF(--(Source!$B$1:$B$250=$O119)*--(Source!$E$1:$E$250=$M$3)*--(Source!$D$1:$D$250=Pyramid!$M119),ROW(Source!$B$1:$B$250),FALSE),I$3)),"")</f>
        <v/>
      </c>
      <c r="J119" t="str">
        <f t="array" aca="1" ref="J119" ca="1">IFERROR(INDEX(Source!$A$1:$A$250,SMALL(IF(--(Source!$B$1:$B$250=$O119)*--(Source!$E$1:$E$250=$M$3)*--(Source!$D$1:$D$250=Pyramid!$M119),ROW(Source!$B$1:$B$250),FALSE),J$3)),"")</f>
        <v/>
      </c>
      <c r="K119" t="str">
        <f t="array" aca="1" ref="K119" ca="1">IFERROR(INDEX(Source!$A$1:$A$250,SMALL(IF(--(Source!$B$1:$B$250=$O119)*--(Source!$E$1:$E$250=$M$3)*--(Source!$D$1:$D$250=Pyramid!$M119),ROW(Source!$B$1:$B$250),FALSE),K$3)),"")</f>
        <v/>
      </c>
      <c r="L119" t="str">
        <f t="array" aca="1" ref="L119" ca="1">IFERROR(INDEX(Source!$A$1:$A$250,SMALL(IF(--(Source!$B$1:$B$250=$O119)*--(Source!$E$1:$E$250=$M$3)*--(Source!$D$1:$D$250=Pyramid!$M119),ROW(Source!$B$1:$B$250),FALSE),L$3)),"")</f>
        <v/>
      </c>
      <c r="M119" t="str">
        <f t="shared" si="5"/>
        <v>29/6/2016</v>
      </c>
      <c r="N119">
        <f ca="1">COUNTIFS(Source!B:B,Pyramid!$O119,Source!$D:$D,Pyramid!$M119,Source!$E:$E,Pyramid!$M$3)</f>
        <v>0</v>
      </c>
      <c r="O119">
        <f ca="1">OFFSET(Sheet2!$N$3,INT(C119/5),)</f>
        <v>19168</v>
      </c>
      <c r="P119">
        <f ca="1">COUNTIFS(Source!B:B,Pyramid!$O119,Source!D:D,Pyramid!$Q119,Source!$E:$E,Pyramid!$Q$3)</f>
        <v>0</v>
      </c>
      <c r="Q119" t="str">
        <f t="shared" si="5"/>
        <v>29/6/2016</v>
      </c>
      <c r="R119" t="str">
        <f t="array" aca="1" ref="R119" ca="1">IFERROR(INDEX(Source!$A$1:$A$250,SMALL(IF(--(Source!$B$1:$B$250=$O119)*--(Source!$E$1:$E$250=$Q$3)*--(Source!$D$1:$D$250=Pyramid!$Q119),ROW(Source!$B$1:$B$250),FALSE),R$3)),"")</f>
        <v/>
      </c>
      <c r="S119" t="str">
        <f t="array" aca="1" ref="S119" ca="1">IFERROR(INDEX(Source!$A$1:$A$250,SMALL(IF(--(Source!$B$1:$B$250=$O119)*--(Source!$E$1:$E$250=$Q$3)*--(Source!$D$1:$D$250=Pyramid!$Q119),ROW(Source!$B$1:$B$250),FALSE),S$3)),"")</f>
        <v/>
      </c>
      <c r="T119" t="str">
        <f t="array" aca="1" ref="T119" ca="1">IFERROR(INDEX(Source!$A$1:$A$250,SMALL(IF(--(Source!$B$1:$B$250=$O119)*--(Source!$E$1:$E$250=$Q$3)*--(Source!$D$1:$D$250=Pyramid!$Q119),ROW(Source!$B$1:$B$250),FALSE),T$3)),"")</f>
        <v/>
      </c>
      <c r="U119" t="str">
        <f t="array" aca="1" ref="U119" ca="1">IFERROR(INDEX(Source!$A$1:$A$250,SMALL(IF(--(Source!$B$1:$B$250=$O119)*--(Source!$E$1:$E$250=$Q$3)*--(Source!$D$1:$D$250=Pyramid!$Q119),ROW(Source!$B$1:$B$250),FALSE),U$3)),"")</f>
        <v/>
      </c>
      <c r="V119" t="str">
        <f t="array" aca="1" ref="V119" ca="1">IFERROR(INDEX(Source!$A$1:$A$250,SMALL(IF(--(Source!$B$1:$B$250=$O119)*--(Source!$E$1:$E$250=$Q$3)*--(Source!$D$1:$D$250=Pyramid!$Q119),ROW(Source!$B$1:$B$250),FALSE),V$3)),"")</f>
        <v/>
      </c>
      <c r="W119" t="str">
        <f t="array" aca="1" ref="W119" ca="1">IFERROR(INDEX(Source!$A$1:$A$250,SMALL(IF(--(Source!$B$1:$B$250=$O119)*--(Source!$E$1:$E$250=$Q$3)*--(Source!$D$1:$D$250=Pyramid!$Q119),ROW(Source!$B$1:$B$250),FALSE),W$3)),"")</f>
        <v/>
      </c>
      <c r="X119" t="str">
        <f t="array" aca="1" ref="X119" ca="1">IFERROR(INDEX(Source!$A$1:$A$250,SMALL(IF(--(Source!$B$1:$B$250=$O119)*--(Source!$E$1:$E$250=$Q$3)*--(Source!$D$1:$D$250=Pyramid!$Q119),ROW(Source!$B$1:$B$250),FALSE),X$3)),"")</f>
        <v/>
      </c>
      <c r="Y119" s="5">
        <f t="shared" ca="1" si="6"/>
        <v>0</v>
      </c>
    </row>
    <row r="120" spans="3:25">
      <c r="C120">
        <v>116</v>
      </c>
      <c r="D120" s="5">
        <f t="shared" ca="1" si="4"/>
        <v>0</v>
      </c>
      <c r="E120" t="str">
        <f t="array" aca="1" ref="E120" ca="1">IFERROR(INDEX(Source!$A$1:$A$250,SMALL(IF(--(Source!$B$1:$B$250=$O120)*--(Source!$E$1:$E$250=$M$3)*--(Source!$D$1:$D$250=Pyramid!$M120),ROW(Source!$B$1:$B$250),FALSE),E$3)),"")</f>
        <v/>
      </c>
      <c r="F120" t="str">
        <f t="array" aca="1" ref="F120" ca="1">IFERROR(INDEX(Source!$A$1:$A$250,SMALL(IF(--(Source!$B$1:$B$250=$O120)*--(Source!$E$1:$E$250=$M$3)*--(Source!$D$1:$D$250=Pyramid!$M120),ROW(Source!$B$1:$B$250),FALSE),F$3)),"")</f>
        <v/>
      </c>
      <c r="G120" t="str">
        <f t="array" aca="1" ref="G120" ca="1">IFERROR(INDEX(Source!$A$1:$A$250,SMALL(IF(--(Source!$B$1:$B$250=$O120)*--(Source!$E$1:$E$250=$M$3)*--(Source!$D$1:$D$250=Pyramid!$M120),ROW(Source!$B$1:$B$250),FALSE),G$3)),"")</f>
        <v/>
      </c>
      <c r="H120" t="str">
        <f t="array" aca="1" ref="H120" ca="1">IFERROR(INDEX(Source!$A$1:$A$250,SMALL(IF(--(Source!$B$1:$B$250=$O120)*--(Source!$E$1:$E$250=$M$3)*--(Source!$D$1:$D$250=Pyramid!$M120),ROW(Source!$B$1:$B$250),FALSE),H$3)),"")</f>
        <v/>
      </c>
      <c r="I120" t="str">
        <f t="array" aca="1" ref="I120" ca="1">IFERROR(INDEX(Source!$A$1:$A$250,SMALL(IF(--(Source!$B$1:$B$250=$O120)*--(Source!$E$1:$E$250=$M$3)*--(Source!$D$1:$D$250=Pyramid!$M120),ROW(Source!$B$1:$B$250),FALSE),I$3)),"")</f>
        <v/>
      </c>
      <c r="J120" t="str">
        <f t="array" aca="1" ref="J120" ca="1">IFERROR(INDEX(Source!$A$1:$A$250,SMALL(IF(--(Source!$B$1:$B$250=$O120)*--(Source!$E$1:$E$250=$M$3)*--(Source!$D$1:$D$250=Pyramid!$M120),ROW(Source!$B$1:$B$250),FALSE),J$3)),"")</f>
        <v/>
      </c>
      <c r="K120" t="str">
        <f t="array" aca="1" ref="K120" ca="1">IFERROR(INDEX(Source!$A$1:$A$250,SMALL(IF(--(Source!$B$1:$B$250=$O120)*--(Source!$E$1:$E$250=$M$3)*--(Source!$D$1:$D$250=Pyramid!$M120),ROW(Source!$B$1:$B$250),FALSE),K$3)),"")</f>
        <v/>
      </c>
      <c r="L120" t="str">
        <f t="array" aca="1" ref="L120" ca="1">IFERROR(INDEX(Source!$A$1:$A$250,SMALL(IF(--(Source!$B$1:$B$250=$O120)*--(Source!$E$1:$E$250=$M$3)*--(Source!$D$1:$D$250=Pyramid!$M120),ROW(Source!$B$1:$B$250),FALSE),L$3)),"")</f>
        <v/>
      </c>
      <c r="M120" t="str">
        <f t="shared" si="5"/>
        <v>28/7/2016</v>
      </c>
      <c r="N120">
        <f ca="1">COUNTIFS(Source!B:B,Pyramid!$O120,Source!$D:$D,Pyramid!$M120,Source!$E:$E,Pyramid!$M$3)</f>
        <v>0</v>
      </c>
      <c r="O120">
        <f ca="1">OFFSET(Sheet2!$N$3,INT(C120/5),)</f>
        <v>19168</v>
      </c>
      <c r="P120">
        <f ca="1">COUNTIFS(Source!B:B,Pyramid!$O120,Source!D:D,Pyramid!$Q120,Source!$E:$E,Pyramid!$Q$3)</f>
        <v>0</v>
      </c>
      <c r="Q120" t="str">
        <f t="shared" si="5"/>
        <v>28/7/2016</v>
      </c>
      <c r="R120" t="str">
        <f t="array" aca="1" ref="R120" ca="1">IFERROR(INDEX(Source!$A$1:$A$250,SMALL(IF(--(Source!$B$1:$B$250=$O120)*--(Source!$E$1:$E$250=$Q$3)*--(Source!$D$1:$D$250=Pyramid!$Q120),ROW(Source!$B$1:$B$250),FALSE),R$3)),"")</f>
        <v/>
      </c>
      <c r="S120" t="str">
        <f t="array" aca="1" ref="S120" ca="1">IFERROR(INDEX(Source!$A$1:$A$250,SMALL(IF(--(Source!$B$1:$B$250=$O120)*--(Source!$E$1:$E$250=$Q$3)*--(Source!$D$1:$D$250=Pyramid!$Q120),ROW(Source!$B$1:$B$250),FALSE),S$3)),"")</f>
        <v/>
      </c>
      <c r="T120" t="str">
        <f t="array" aca="1" ref="T120" ca="1">IFERROR(INDEX(Source!$A$1:$A$250,SMALL(IF(--(Source!$B$1:$B$250=$O120)*--(Source!$E$1:$E$250=$Q$3)*--(Source!$D$1:$D$250=Pyramid!$Q120),ROW(Source!$B$1:$B$250),FALSE),T$3)),"")</f>
        <v/>
      </c>
      <c r="U120" t="str">
        <f t="array" aca="1" ref="U120" ca="1">IFERROR(INDEX(Source!$A$1:$A$250,SMALL(IF(--(Source!$B$1:$B$250=$O120)*--(Source!$E$1:$E$250=$Q$3)*--(Source!$D$1:$D$250=Pyramid!$Q120),ROW(Source!$B$1:$B$250),FALSE),U$3)),"")</f>
        <v/>
      </c>
      <c r="V120" t="str">
        <f t="array" aca="1" ref="V120" ca="1">IFERROR(INDEX(Source!$A$1:$A$250,SMALL(IF(--(Source!$B$1:$B$250=$O120)*--(Source!$E$1:$E$250=$Q$3)*--(Source!$D$1:$D$250=Pyramid!$Q120),ROW(Source!$B$1:$B$250),FALSE),V$3)),"")</f>
        <v/>
      </c>
      <c r="W120" t="str">
        <f t="array" aca="1" ref="W120" ca="1">IFERROR(INDEX(Source!$A$1:$A$250,SMALL(IF(--(Source!$B$1:$B$250=$O120)*--(Source!$E$1:$E$250=$Q$3)*--(Source!$D$1:$D$250=Pyramid!$Q120),ROW(Source!$B$1:$B$250),FALSE),W$3)),"")</f>
        <v/>
      </c>
      <c r="X120" t="str">
        <f t="array" aca="1" ref="X120" ca="1">IFERROR(INDEX(Source!$A$1:$A$250,SMALL(IF(--(Source!$B$1:$B$250=$O120)*--(Source!$E$1:$E$250=$Q$3)*--(Source!$D$1:$D$250=Pyramid!$Q120),ROW(Source!$B$1:$B$250),FALSE),X$3)),"")</f>
        <v/>
      </c>
      <c r="Y120" s="5">
        <f t="shared" ca="1" si="6"/>
        <v>0</v>
      </c>
    </row>
    <row r="121" spans="3:25">
      <c r="C121">
        <v>117</v>
      </c>
      <c r="D121" s="5">
        <f t="shared" ca="1" si="4"/>
        <v>0</v>
      </c>
      <c r="E121" t="str">
        <f t="array" aca="1" ref="E121" ca="1">IFERROR(INDEX(Source!$A$1:$A$250,SMALL(IF(--(Source!$B$1:$B$250=$O121)*--(Source!$E$1:$E$250=$M$3)*--(Source!$D$1:$D$250=Pyramid!$M121),ROW(Source!$B$1:$B$250),FALSE),E$3)),"")</f>
        <v/>
      </c>
      <c r="F121" t="str">
        <f t="array" aca="1" ref="F121" ca="1">IFERROR(INDEX(Source!$A$1:$A$250,SMALL(IF(--(Source!$B$1:$B$250=$O121)*--(Source!$E$1:$E$250=$M$3)*--(Source!$D$1:$D$250=Pyramid!$M121),ROW(Source!$B$1:$B$250),FALSE),F$3)),"")</f>
        <v/>
      </c>
      <c r="G121" t="str">
        <f t="array" aca="1" ref="G121" ca="1">IFERROR(INDEX(Source!$A$1:$A$250,SMALL(IF(--(Source!$B$1:$B$250=$O121)*--(Source!$E$1:$E$250=$M$3)*--(Source!$D$1:$D$250=Pyramid!$M121),ROW(Source!$B$1:$B$250),FALSE),G$3)),"")</f>
        <v/>
      </c>
      <c r="H121" t="str">
        <f t="array" aca="1" ref="H121" ca="1">IFERROR(INDEX(Source!$A$1:$A$250,SMALL(IF(--(Source!$B$1:$B$250=$O121)*--(Source!$E$1:$E$250=$M$3)*--(Source!$D$1:$D$250=Pyramid!$M121),ROW(Source!$B$1:$B$250),FALSE),H$3)),"")</f>
        <v/>
      </c>
      <c r="I121" t="str">
        <f t="array" aca="1" ref="I121" ca="1">IFERROR(INDEX(Source!$A$1:$A$250,SMALL(IF(--(Source!$B$1:$B$250=$O121)*--(Source!$E$1:$E$250=$M$3)*--(Source!$D$1:$D$250=Pyramid!$M121),ROW(Source!$B$1:$B$250),FALSE),I$3)),"")</f>
        <v/>
      </c>
      <c r="J121" t="str">
        <f t="array" aca="1" ref="J121" ca="1">IFERROR(INDEX(Source!$A$1:$A$250,SMALL(IF(--(Source!$B$1:$B$250=$O121)*--(Source!$E$1:$E$250=$M$3)*--(Source!$D$1:$D$250=Pyramid!$M121),ROW(Source!$B$1:$B$250),FALSE),J$3)),"")</f>
        <v/>
      </c>
      <c r="K121" t="str">
        <f t="array" aca="1" ref="K121" ca="1">IFERROR(INDEX(Source!$A$1:$A$250,SMALL(IF(--(Source!$B$1:$B$250=$O121)*--(Source!$E$1:$E$250=$M$3)*--(Source!$D$1:$D$250=Pyramid!$M121),ROW(Source!$B$1:$B$250),FALSE),K$3)),"")</f>
        <v/>
      </c>
      <c r="L121" t="str">
        <f t="array" aca="1" ref="L121" ca="1">IFERROR(INDEX(Source!$A$1:$A$250,SMALL(IF(--(Source!$B$1:$B$250=$O121)*--(Source!$E$1:$E$250=$M$3)*--(Source!$D$1:$D$250=Pyramid!$M121),ROW(Source!$B$1:$B$250),FALSE),L$3)),"")</f>
        <v/>
      </c>
      <c r="M121" t="str">
        <f t="shared" si="5"/>
        <v>30/8/2016</v>
      </c>
      <c r="N121">
        <f ca="1">COUNTIFS(Source!B:B,Pyramid!$O121,Source!$D:$D,Pyramid!$M121,Source!$E:$E,Pyramid!$M$3)</f>
        <v>0</v>
      </c>
      <c r="O121">
        <f ca="1">OFFSET(Sheet2!$N$3,INT(C121/5),)</f>
        <v>19168</v>
      </c>
      <c r="P121">
        <f ca="1">COUNTIFS(Source!B:B,Pyramid!$O121,Source!D:D,Pyramid!$Q121,Source!$E:$E,Pyramid!$Q$3)</f>
        <v>0</v>
      </c>
      <c r="Q121" t="str">
        <f t="shared" si="5"/>
        <v>30/8/2016</v>
      </c>
      <c r="R121" t="str">
        <f t="array" aca="1" ref="R121" ca="1">IFERROR(INDEX(Source!$A$1:$A$250,SMALL(IF(--(Source!$B$1:$B$250=$O121)*--(Source!$E$1:$E$250=$Q$3)*--(Source!$D$1:$D$250=Pyramid!$Q121),ROW(Source!$B$1:$B$250),FALSE),R$3)),"")</f>
        <v/>
      </c>
      <c r="S121" t="str">
        <f t="array" aca="1" ref="S121" ca="1">IFERROR(INDEX(Source!$A$1:$A$250,SMALL(IF(--(Source!$B$1:$B$250=$O121)*--(Source!$E$1:$E$250=$Q$3)*--(Source!$D$1:$D$250=Pyramid!$Q121),ROW(Source!$B$1:$B$250),FALSE),S$3)),"")</f>
        <v/>
      </c>
      <c r="T121" t="str">
        <f t="array" aca="1" ref="T121" ca="1">IFERROR(INDEX(Source!$A$1:$A$250,SMALL(IF(--(Source!$B$1:$B$250=$O121)*--(Source!$E$1:$E$250=$Q$3)*--(Source!$D$1:$D$250=Pyramid!$Q121),ROW(Source!$B$1:$B$250),FALSE),T$3)),"")</f>
        <v/>
      </c>
      <c r="U121" t="str">
        <f t="array" aca="1" ref="U121" ca="1">IFERROR(INDEX(Source!$A$1:$A$250,SMALL(IF(--(Source!$B$1:$B$250=$O121)*--(Source!$E$1:$E$250=$Q$3)*--(Source!$D$1:$D$250=Pyramid!$Q121),ROW(Source!$B$1:$B$250),FALSE),U$3)),"")</f>
        <v/>
      </c>
      <c r="V121" t="str">
        <f t="array" aca="1" ref="V121" ca="1">IFERROR(INDEX(Source!$A$1:$A$250,SMALL(IF(--(Source!$B$1:$B$250=$O121)*--(Source!$E$1:$E$250=$Q$3)*--(Source!$D$1:$D$250=Pyramid!$Q121),ROW(Source!$B$1:$B$250),FALSE),V$3)),"")</f>
        <v/>
      </c>
      <c r="W121" t="str">
        <f t="array" aca="1" ref="W121" ca="1">IFERROR(INDEX(Source!$A$1:$A$250,SMALL(IF(--(Source!$B$1:$B$250=$O121)*--(Source!$E$1:$E$250=$Q$3)*--(Source!$D$1:$D$250=Pyramid!$Q121),ROW(Source!$B$1:$B$250),FALSE),W$3)),"")</f>
        <v/>
      </c>
      <c r="X121" t="str">
        <f t="array" aca="1" ref="X121" ca="1">IFERROR(INDEX(Source!$A$1:$A$250,SMALL(IF(--(Source!$B$1:$B$250=$O121)*--(Source!$E$1:$E$250=$Q$3)*--(Source!$D$1:$D$250=Pyramid!$Q121),ROW(Source!$B$1:$B$250),FALSE),X$3)),"")</f>
        <v/>
      </c>
      <c r="Y121" s="5">
        <f t="shared" ca="1" si="6"/>
        <v>0</v>
      </c>
    </row>
    <row r="122" spans="3:25">
      <c r="C122">
        <v>118</v>
      </c>
      <c r="D122" s="5">
        <f t="shared" ca="1" si="4"/>
        <v>0</v>
      </c>
      <c r="E122" t="str">
        <f t="array" aca="1" ref="E122" ca="1">IFERROR(INDEX(Source!$A$1:$A$250,SMALL(IF(--(Source!$B$1:$B$250=$O122)*--(Source!$E$1:$E$250=$M$3)*--(Source!$D$1:$D$250=Pyramid!$M122),ROW(Source!$B$1:$B$250),FALSE),E$3)),"")</f>
        <v/>
      </c>
      <c r="F122" t="str">
        <f t="array" aca="1" ref="F122" ca="1">IFERROR(INDEX(Source!$A$1:$A$250,SMALL(IF(--(Source!$B$1:$B$250=$O122)*--(Source!$E$1:$E$250=$M$3)*--(Source!$D$1:$D$250=Pyramid!$M122),ROW(Source!$B$1:$B$250),FALSE),F$3)),"")</f>
        <v/>
      </c>
      <c r="G122" t="str">
        <f t="array" aca="1" ref="G122" ca="1">IFERROR(INDEX(Source!$A$1:$A$250,SMALL(IF(--(Source!$B$1:$B$250=$O122)*--(Source!$E$1:$E$250=$M$3)*--(Source!$D$1:$D$250=Pyramid!$M122),ROW(Source!$B$1:$B$250),FALSE),G$3)),"")</f>
        <v/>
      </c>
      <c r="H122" t="str">
        <f t="array" aca="1" ref="H122" ca="1">IFERROR(INDEX(Source!$A$1:$A$250,SMALL(IF(--(Source!$B$1:$B$250=$O122)*--(Source!$E$1:$E$250=$M$3)*--(Source!$D$1:$D$250=Pyramid!$M122),ROW(Source!$B$1:$B$250),FALSE),H$3)),"")</f>
        <v/>
      </c>
      <c r="I122" t="str">
        <f t="array" aca="1" ref="I122" ca="1">IFERROR(INDEX(Source!$A$1:$A$250,SMALL(IF(--(Source!$B$1:$B$250=$O122)*--(Source!$E$1:$E$250=$M$3)*--(Source!$D$1:$D$250=Pyramid!$M122),ROW(Source!$B$1:$B$250),FALSE),I$3)),"")</f>
        <v/>
      </c>
      <c r="J122" t="str">
        <f t="array" aca="1" ref="J122" ca="1">IFERROR(INDEX(Source!$A$1:$A$250,SMALL(IF(--(Source!$B$1:$B$250=$O122)*--(Source!$E$1:$E$250=$M$3)*--(Source!$D$1:$D$250=Pyramid!$M122),ROW(Source!$B$1:$B$250),FALSE),J$3)),"")</f>
        <v/>
      </c>
      <c r="K122" t="str">
        <f t="array" aca="1" ref="K122" ca="1">IFERROR(INDEX(Source!$A$1:$A$250,SMALL(IF(--(Source!$B$1:$B$250=$O122)*--(Source!$E$1:$E$250=$M$3)*--(Source!$D$1:$D$250=Pyramid!$M122),ROW(Source!$B$1:$B$250),FALSE),K$3)),"")</f>
        <v/>
      </c>
      <c r="L122" t="str">
        <f t="array" aca="1" ref="L122" ca="1">IFERROR(INDEX(Source!$A$1:$A$250,SMALL(IF(--(Source!$B$1:$B$250=$O122)*--(Source!$E$1:$E$250=$M$3)*--(Source!$D$1:$D$250=Pyramid!$M122),ROW(Source!$B$1:$B$250),FALSE),L$3)),"")</f>
        <v>28167 HK Equity</v>
      </c>
      <c r="M122" t="str">
        <f t="shared" si="5"/>
        <v>29/9/2016</v>
      </c>
      <c r="N122">
        <f ca="1">COUNTIFS(Source!B:B,Pyramid!$O122,Source!$D:$D,Pyramid!$M122,Source!$E:$E,Pyramid!$M$3)</f>
        <v>1</v>
      </c>
      <c r="O122">
        <f ca="1">OFFSET(Sheet2!$N$3,INT(C122/5),)</f>
        <v>19168</v>
      </c>
      <c r="P122">
        <f ca="1">COUNTIFS(Source!B:B,Pyramid!$O122,Source!D:D,Pyramid!$Q122,Source!$E:$E,Pyramid!$Q$3)</f>
        <v>0</v>
      </c>
      <c r="Q122" t="str">
        <f t="shared" si="5"/>
        <v>29/9/2016</v>
      </c>
      <c r="R122" t="str">
        <f t="array" aca="1" ref="R122" ca="1">IFERROR(INDEX(Source!$A$1:$A$250,SMALL(IF(--(Source!$B$1:$B$250=$O122)*--(Source!$E$1:$E$250=$Q$3)*--(Source!$D$1:$D$250=Pyramid!$Q122),ROW(Source!$B$1:$B$250),FALSE),R$3)),"")</f>
        <v/>
      </c>
      <c r="S122" t="str">
        <f t="array" aca="1" ref="S122" ca="1">IFERROR(INDEX(Source!$A$1:$A$250,SMALL(IF(--(Source!$B$1:$B$250=$O122)*--(Source!$E$1:$E$250=$Q$3)*--(Source!$D$1:$D$250=Pyramid!$Q122),ROW(Source!$B$1:$B$250),FALSE),S$3)),"")</f>
        <v/>
      </c>
      <c r="T122" t="str">
        <f t="array" aca="1" ref="T122" ca="1">IFERROR(INDEX(Source!$A$1:$A$250,SMALL(IF(--(Source!$B$1:$B$250=$O122)*--(Source!$E$1:$E$250=$Q$3)*--(Source!$D$1:$D$250=Pyramid!$Q122),ROW(Source!$B$1:$B$250),FALSE),T$3)),"")</f>
        <v/>
      </c>
      <c r="U122" t="str">
        <f t="array" aca="1" ref="U122" ca="1">IFERROR(INDEX(Source!$A$1:$A$250,SMALL(IF(--(Source!$B$1:$B$250=$O122)*--(Source!$E$1:$E$250=$Q$3)*--(Source!$D$1:$D$250=Pyramid!$Q122),ROW(Source!$B$1:$B$250),FALSE),U$3)),"")</f>
        <v/>
      </c>
      <c r="V122" t="str">
        <f t="array" aca="1" ref="V122" ca="1">IFERROR(INDEX(Source!$A$1:$A$250,SMALL(IF(--(Source!$B$1:$B$250=$O122)*--(Source!$E$1:$E$250=$Q$3)*--(Source!$D$1:$D$250=Pyramid!$Q122),ROW(Source!$B$1:$B$250),FALSE),V$3)),"")</f>
        <v/>
      </c>
      <c r="W122" t="str">
        <f t="array" aca="1" ref="W122" ca="1">IFERROR(INDEX(Source!$A$1:$A$250,SMALL(IF(--(Source!$B$1:$B$250=$O122)*--(Source!$E$1:$E$250=$Q$3)*--(Source!$D$1:$D$250=Pyramid!$Q122),ROW(Source!$B$1:$B$250),FALSE),W$3)),"")</f>
        <v/>
      </c>
      <c r="X122" t="str">
        <f t="array" aca="1" ref="X122" ca="1">IFERROR(INDEX(Source!$A$1:$A$250,SMALL(IF(--(Source!$B$1:$B$250=$O122)*--(Source!$E$1:$E$250=$Q$3)*--(Source!$D$1:$D$250=Pyramid!$Q122),ROW(Source!$B$1:$B$250),FALSE),X$3)),"")</f>
        <v/>
      </c>
      <c r="Y122" s="5">
        <f t="shared" ca="1" si="6"/>
        <v>0</v>
      </c>
    </row>
    <row r="123" spans="3:25">
      <c r="C123">
        <v>119</v>
      </c>
      <c r="D123" s="5">
        <f t="shared" ca="1" si="4"/>
        <v>0</v>
      </c>
      <c r="E123" t="str">
        <f t="array" aca="1" ref="E123" ca="1">IFERROR(INDEX(Source!$A$1:$A$250,SMALL(IF(--(Source!$B$1:$B$250=$O123)*--(Source!$E$1:$E$250=$M$3)*--(Source!$D$1:$D$250=Pyramid!$M123),ROW(Source!$B$1:$B$250),FALSE),E$3)),"")</f>
        <v/>
      </c>
      <c r="F123" t="str">
        <f t="array" aca="1" ref="F123" ca="1">IFERROR(INDEX(Source!$A$1:$A$250,SMALL(IF(--(Source!$B$1:$B$250=$O123)*--(Source!$E$1:$E$250=$M$3)*--(Source!$D$1:$D$250=Pyramid!$M123),ROW(Source!$B$1:$B$250),FALSE),F$3)),"")</f>
        <v/>
      </c>
      <c r="G123" t="str">
        <f t="array" aca="1" ref="G123" ca="1">IFERROR(INDEX(Source!$A$1:$A$250,SMALL(IF(--(Source!$B$1:$B$250=$O123)*--(Source!$E$1:$E$250=$M$3)*--(Source!$D$1:$D$250=Pyramid!$M123),ROW(Source!$B$1:$B$250),FALSE),G$3)),"")</f>
        <v/>
      </c>
      <c r="H123" t="str">
        <f t="array" aca="1" ref="H123" ca="1">IFERROR(INDEX(Source!$A$1:$A$250,SMALL(IF(--(Source!$B$1:$B$250=$O123)*--(Source!$E$1:$E$250=$M$3)*--(Source!$D$1:$D$250=Pyramid!$M123),ROW(Source!$B$1:$B$250),FALSE),H$3)),"")</f>
        <v/>
      </c>
      <c r="I123" t="str">
        <f t="array" aca="1" ref="I123" ca="1">IFERROR(INDEX(Source!$A$1:$A$250,SMALL(IF(--(Source!$B$1:$B$250=$O123)*--(Source!$E$1:$E$250=$M$3)*--(Source!$D$1:$D$250=Pyramid!$M123),ROW(Source!$B$1:$B$250),FALSE),I$3)),"")</f>
        <v/>
      </c>
      <c r="J123" t="str">
        <f t="array" aca="1" ref="J123" ca="1">IFERROR(INDEX(Source!$A$1:$A$250,SMALL(IF(--(Source!$B$1:$B$250=$O123)*--(Source!$E$1:$E$250=$M$3)*--(Source!$D$1:$D$250=Pyramid!$M123),ROW(Source!$B$1:$B$250),FALSE),J$3)),"")</f>
        <v/>
      </c>
      <c r="K123" t="str">
        <f t="array" aca="1" ref="K123" ca="1">IFERROR(INDEX(Source!$A$1:$A$250,SMALL(IF(--(Source!$B$1:$B$250=$O123)*--(Source!$E$1:$E$250=$M$3)*--(Source!$D$1:$D$250=Pyramid!$M123),ROW(Source!$B$1:$B$250),FALSE),K$3)),"")</f>
        <v/>
      </c>
      <c r="L123" t="str">
        <f t="array" aca="1" ref="L123" ca="1">IFERROR(INDEX(Source!$A$1:$A$250,SMALL(IF(--(Source!$B$1:$B$250=$O123)*--(Source!$E$1:$E$250=$M$3)*--(Source!$D$1:$D$250=Pyramid!$M123),ROW(Source!$B$1:$B$250),FALSE),L$3)),"")</f>
        <v/>
      </c>
      <c r="M123" t="str">
        <f t="shared" si="5"/>
        <v>28/10/2016</v>
      </c>
      <c r="N123">
        <f ca="1">COUNTIFS(Source!B:B,Pyramid!$O123,Source!$D:$D,Pyramid!$M123,Source!$E:$E,Pyramid!$M$3)</f>
        <v>0</v>
      </c>
      <c r="O123">
        <f ca="1">OFFSET(Sheet2!$N$3,INT(C123/5),)</f>
        <v>19168</v>
      </c>
      <c r="P123">
        <f ca="1">COUNTIFS(Source!B:B,Pyramid!$O123,Source!D:D,Pyramid!$Q123,Source!$E:$E,Pyramid!$Q$3)</f>
        <v>0</v>
      </c>
      <c r="Q123" t="str">
        <f t="shared" si="5"/>
        <v>28/10/2016</v>
      </c>
      <c r="R123" t="str">
        <f t="array" aca="1" ref="R123" ca="1">IFERROR(INDEX(Source!$A$1:$A$250,SMALL(IF(--(Source!$B$1:$B$250=$O123)*--(Source!$E$1:$E$250=$Q$3)*--(Source!$D$1:$D$250=Pyramid!$Q123),ROW(Source!$B$1:$B$250),FALSE),R$3)),"")</f>
        <v/>
      </c>
      <c r="S123" t="str">
        <f t="array" aca="1" ref="S123" ca="1">IFERROR(INDEX(Source!$A$1:$A$250,SMALL(IF(--(Source!$B$1:$B$250=$O123)*--(Source!$E$1:$E$250=$Q$3)*--(Source!$D$1:$D$250=Pyramid!$Q123),ROW(Source!$B$1:$B$250),FALSE),S$3)),"")</f>
        <v/>
      </c>
      <c r="T123" t="str">
        <f t="array" aca="1" ref="T123" ca="1">IFERROR(INDEX(Source!$A$1:$A$250,SMALL(IF(--(Source!$B$1:$B$250=$O123)*--(Source!$E$1:$E$250=$Q$3)*--(Source!$D$1:$D$250=Pyramid!$Q123),ROW(Source!$B$1:$B$250),FALSE),T$3)),"")</f>
        <v/>
      </c>
      <c r="U123" t="str">
        <f t="array" aca="1" ref="U123" ca="1">IFERROR(INDEX(Source!$A$1:$A$250,SMALL(IF(--(Source!$B$1:$B$250=$O123)*--(Source!$E$1:$E$250=$Q$3)*--(Source!$D$1:$D$250=Pyramid!$Q123),ROW(Source!$B$1:$B$250),FALSE),U$3)),"")</f>
        <v/>
      </c>
      <c r="V123" t="str">
        <f t="array" aca="1" ref="V123" ca="1">IFERROR(INDEX(Source!$A$1:$A$250,SMALL(IF(--(Source!$B$1:$B$250=$O123)*--(Source!$E$1:$E$250=$Q$3)*--(Source!$D$1:$D$250=Pyramid!$Q123),ROW(Source!$B$1:$B$250),FALSE),V$3)),"")</f>
        <v/>
      </c>
      <c r="W123" t="str">
        <f t="array" aca="1" ref="W123" ca="1">IFERROR(INDEX(Source!$A$1:$A$250,SMALL(IF(--(Source!$B$1:$B$250=$O123)*--(Source!$E$1:$E$250=$Q$3)*--(Source!$D$1:$D$250=Pyramid!$Q123),ROW(Source!$B$1:$B$250),FALSE),W$3)),"")</f>
        <v/>
      </c>
      <c r="X123" t="str">
        <f t="array" aca="1" ref="X123" ca="1">IFERROR(INDEX(Source!$A$1:$A$250,SMALL(IF(--(Source!$B$1:$B$250=$O123)*--(Source!$E$1:$E$250=$Q$3)*--(Source!$D$1:$D$250=Pyramid!$Q123),ROW(Source!$B$1:$B$250),FALSE),X$3)),"")</f>
        <v/>
      </c>
      <c r="Y123" s="5">
        <f t="shared" ca="1" si="6"/>
        <v>0</v>
      </c>
    </row>
    <row r="124" spans="3:25">
      <c r="C124">
        <v>120</v>
      </c>
      <c r="D124" s="5">
        <f t="shared" ca="1" si="4"/>
        <v>0</v>
      </c>
      <c r="E124" t="str">
        <f t="array" aca="1" ref="E124" ca="1">IFERROR(INDEX(Source!$A$1:$A$250,SMALL(IF(--(Source!$B$1:$B$250=$O124)*--(Source!$E$1:$E$250=$M$3)*--(Source!$D$1:$D$250=Pyramid!$M124),ROW(Source!$B$1:$B$250),FALSE),E$3)),"")</f>
        <v/>
      </c>
      <c r="F124" t="str">
        <f t="array" aca="1" ref="F124" ca="1">IFERROR(INDEX(Source!$A$1:$A$250,SMALL(IF(--(Source!$B$1:$B$250=$O124)*--(Source!$E$1:$E$250=$M$3)*--(Source!$D$1:$D$250=Pyramid!$M124),ROW(Source!$B$1:$B$250),FALSE),F$3)),"")</f>
        <v/>
      </c>
      <c r="G124" t="str">
        <f t="array" aca="1" ref="G124" ca="1">IFERROR(INDEX(Source!$A$1:$A$250,SMALL(IF(--(Source!$B$1:$B$250=$O124)*--(Source!$E$1:$E$250=$M$3)*--(Source!$D$1:$D$250=Pyramid!$M124),ROW(Source!$B$1:$B$250),FALSE),G$3)),"")</f>
        <v/>
      </c>
      <c r="H124" t="str">
        <f t="array" aca="1" ref="H124" ca="1">IFERROR(INDEX(Source!$A$1:$A$250,SMALL(IF(--(Source!$B$1:$B$250=$O124)*--(Source!$E$1:$E$250=$M$3)*--(Source!$D$1:$D$250=Pyramid!$M124),ROW(Source!$B$1:$B$250),FALSE),H$3)),"")</f>
        <v/>
      </c>
      <c r="I124" t="str">
        <f t="array" aca="1" ref="I124" ca="1">IFERROR(INDEX(Source!$A$1:$A$250,SMALL(IF(--(Source!$B$1:$B$250=$O124)*--(Source!$E$1:$E$250=$M$3)*--(Source!$D$1:$D$250=Pyramid!$M124),ROW(Source!$B$1:$B$250),FALSE),I$3)),"")</f>
        <v/>
      </c>
      <c r="J124" t="str">
        <f t="array" aca="1" ref="J124" ca="1">IFERROR(INDEX(Source!$A$1:$A$250,SMALL(IF(--(Source!$B$1:$B$250=$O124)*--(Source!$E$1:$E$250=$M$3)*--(Source!$D$1:$D$250=Pyramid!$M124),ROW(Source!$B$1:$B$250),FALSE),J$3)),"")</f>
        <v/>
      </c>
      <c r="K124" t="str">
        <f t="array" aca="1" ref="K124" ca="1">IFERROR(INDEX(Source!$A$1:$A$250,SMALL(IF(--(Source!$B$1:$B$250=$O124)*--(Source!$E$1:$E$250=$M$3)*--(Source!$D$1:$D$250=Pyramid!$M124),ROW(Source!$B$1:$B$250),FALSE),K$3)),"")</f>
        <v/>
      </c>
      <c r="L124" t="str">
        <f t="array" aca="1" ref="L124" ca="1">IFERROR(INDEX(Source!$A$1:$A$250,SMALL(IF(--(Source!$B$1:$B$250=$O124)*--(Source!$E$1:$E$250=$M$3)*--(Source!$D$1:$D$250=Pyramid!$M124),ROW(Source!$B$1:$B$250),FALSE),L$3)),"")</f>
        <v/>
      </c>
      <c r="M124" t="str">
        <f t="shared" si="5"/>
        <v>29/6/2016</v>
      </c>
      <c r="N124" s="8">
        <f ca="1">COUNTIFS(Source!B:B,Pyramid!$O124,Source!$D:$D,Pyramid!$M124,Source!$E:$E,Pyramid!$M$3)</f>
        <v>0</v>
      </c>
      <c r="O124">
        <f ca="1">OFFSET(Sheet2!$N$3,INT(C124/5),)</f>
        <v>19200</v>
      </c>
      <c r="P124" s="7">
        <f ca="1">COUNTIFS(Source!B:B,Pyramid!$O124,Source!D:D,Pyramid!$Q124,Source!$E:$E,Pyramid!$Q$3)</f>
        <v>0</v>
      </c>
      <c r="Q124" t="str">
        <f t="shared" si="5"/>
        <v>29/6/2016</v>
      </c>
      <c r="R124" t="str">
        <f t="array" aca="1" ref="R124" ca="1">IFERROR(INDEX(Source!$A$1:$A$250,SMALL(IF(--(Source!$B$1:$B$250=$O124)*--(Source!$E$1:$E$250=$Q$3)*--(Source!$D$1:$D$250=Pyramid!$Q124),ROW(Source!$B$1:$B$250),FALSE),R$3)),"")</f>
        <v/>
      </c>
      <c r="S124" t="str">
        <f t="array" aca="1" ref="S124" ca="1">IFERROR(INDEX(Source!$A$1:$A$250,SMALL(IF(--(Source!$B$1:$B$250=$O124)*--(Source!$E$1:$E$250=$Q$3)*--(Source!$D$1:$D$250=Pyramid!$Q124),ROW(Source!$B$1:$B$250),FALSE),S$3)),"")</f>
        <v/>
      </c>
      <c r="T124" t="str">
        <f t="array" aca="1" ref="T124" ca="1">IFERROR(INDEX(Source!$A$1:$A$250,SMALL(IF(--(Source!$B$1:$B$250=$O124)*--(Source!$E$1:$E$250=$Q$3)*--(Source!$D$1:$D$250=Pyramid!$Q124),ROW(Source!$B$1:$B$250),FALSE),T$3)),"")</f>
        <v/>
      </c>
      <c r="U124" t="str">
        <f t="array" aca="1" ref="U124" ca="1">IFERROR(INDEX(Source!$A$1:$A$250,SMALL(IF(--(Source!$B$1:$B$250=$O124)*--(Source!$E$1:$E$250=$Q$3)*--(Source!$D$1:$D$250=Pyramid!$Q124),ROW(Source!$B$1:$B$250),FALSE),U$3)),"")</f>
        <v/>
      </c>
      <c r="V124" t="str">
        <f t="array" aca="1" ref="V124" ca="1">IFERROR(INDEX(Source!$A$1:$A$250,SMALL(IF(--(Source!$B$1:$B$250=$O124)*--(Source!$E$1:$E$250=$Q$3)*--(Source!$D$1:$D$250=Pyramid!$Q124),ROW(Source!$B$1:$B$250),FALSE),V$3)),"")</f>
        <v/>
      </c>
      <c r="W124" t="str">
        <f t="array" aca="1" ref="W124" ca="1">IFERROR(INDEX(Source!$A$1:$A$250,SMALL(IF(--(Source!$B$1:$B$250=$O124)*--(Source!$E$1:$E$250=$Q$3)*--(Source!$D$1:$D$250=Pyramid!$Q124),ROW(Source!$B$1:$B$250),FALSE),W$3)),"")</f>
        <v/>
      </c>
      <c r="X124" t="str">
        <f t="array" aca="1" ref="X124" ca="1">IFERROR(INDEX(Source!$A$1:$A$250,SMALL(IF(--(Source!$B$1:$B$250=$O124)*--(Source!$E$1:$E$250=$Q$3)*--(Source!$D$1:$D$250=Pyramid!$Q124),ROW(Source!$B$1:$B$250),FALSE),X$3)),"")</f>
        <v/>
      </c>
      <c r="Y124" s="5">
        <f t="shared" ca="1" si="6"/>
        <v>0</v>
      </c>
    </row>
    <row r="125" spans="3:25">
      <c r="C125">
        <v>121</v>
      </c>
      <c r="D125" s="5">
        <f t="shared" ca="1" si="4"/>
        <v>0</v>
      </c>
      <c r="E125" t="str">
        <f t="array" aca="1" ref="E125" ca="1">IFERROR(INDEX(Source!$A$1:$A$250,SMALL(IF(--(Source!$B$1:$B$250=$O125)*--(Source!$E$1:$E$250=$M$3)*--(Source!$D$1:$D$250=Pyramid!$M125),ROW(Source!$B$1:$B$250),FALSE),E$3)),"")</f>
        <v/>
      </c>
      <c r="F125" t="str">
        <f t="array" aca="1" ref="F125" ca="1">IFERROR(INDEX(Source!$A$1:$A$250,SMALL(IF(--(Source!$B$1:$B$250=$O125)*--(Source!$E$1:$E$250=$M$3)*--(Source!$D$1:$D$250=Pyramid!$M125),ROW(Source!$B$1:$B$250),FALSE),F$3)),"")</f>
        <v/>
      </c>
      <c r="G125" t="str">
        <f t="array" aca="1" ref="G125" ca="1">IFERROR(INDEX(Source!$A$1:$A$250,SMALL(IF(--(Source!$B$1:$B$250=$O125)*--(Source!$E$1:$E$250=$M$3)*--(Source!$D$1:$D$250=Pyramid!$M125),ROW(Source!$B$1:$B$250),FALSE),G$3)),"")</f>
        <v/>
      </c>
      <c r="H125" t="str">
        <f t="array" aca="1" ref="H125" ca="1">IFERROR(INDEX(Source!$A$1:$A$250,SMALL(IF(--(Source!$B$1:$B$250=$O125)*--(Source!$E$1:$E$250=$M$3)*--(Source!$D$1:$D$250=Pyramid!$M125),ROW(Source!$B$1:$B$250),FALSE),H$3)),"")</f>
        <v/>
      </c>
      <c r="I125" t="str">
        <f t="array" aca="1" ref="I125" ca="1">IFERROR(INDEX(Source!$A$1:$A$250,SMALL(IF(--(Source!$B$1:$B$250=$O125)*--(Source!$E$1:$E$250=$M$3)*--(Source!$D$1:$D$250=Pyramid!$M125),ROW(Source!$B$1:$B$250),FALSE),I$3)),"")</f>
        <v/>
      </c>
      <c r="J125" t="str">
        <f t="array" aca="1" ref="J125" ca="1">IFERROR(INDEX(Source!$A$1:$A$250,SMALL(IF(--(Source!$B$1:$B$250=$O125)*--(Source!$E$1:$E$250=$M$3)*--(Source!$D$1:$D$250=Pyramid!$M125),ROW(Source!$B$1:$B$250),FALSE),J$3)),"")</f>
        <v/>
      </c>
      <c r="K125" t="str">
        <f t="array" aca="1" ref="K125" ca="1">IFERROR(INDEX(Source!$A$1:$A$250,SMALL(IF(--(Source!$B$1:$B$250=$O125)*--(Source!$E$1:$E$250=$M$3)*--(Source!$D$1:$D$250=Pyramid!$M125),ROW(Source!$B$1:$B$250),FALSE),K$3)),"")</f>
        <v/>
      </c>
      <c r="L125" t="str">
        <f t="array" aca="1" ref="L125" ca="1">IFERROR(INDEX(Source!$A$1:$A$250,SMALL(IF(--(Source!$B$1:$B$250=$O125)*--(Source!$E$1:$E$250=$M$3)*--(Source!$D$1:$D$250=Pyramid!$M125),ROW(Source!$B$1:$B$250),FALSE),L$3)),"")</f>
        <v/>
      </c>
      <c r="M125" t="str">
        <f t="shared" si="5"/>
        <v>28/7/2016</v>
      </c>
      <c r="N125" s="8">
        <f ca="1">COUNTIFS(Source!B:B,Pyramid!$O125,Source!$D:$D,Pyramid!$M125,Source!$E:$E,Pyramid!$M$3)</f>
        <v>0</v>
      </c>
      <c r="O125">
        <f ca="1">OFFSET(Sheet2!$N$3,INT(C125/5),)</f>
        <v>19200</v>
      </c>
      <c r="P125" s="7">
        <f ca="1">COUNTIFS(Source!B:B,Pyramid!$O125,Source!D:D,Pyramid!$Q125,Source!$E:$E,Pyramid!$Q$3)</f>
        <v>0</v>
      </c>
      <c r="Q125" t="str">
        <f t="shared" si="5"/>
        <v>28/7/2016</v>
      </c>
      <c r="R125" t="str">
        <f t="array" aca="1" ref="R125" ca="1">IFERROR(INDEX(Source!$A$1:$A$250,SMALL(IF(--(Source!$B$1:$B$250=$O125)*--(Source!$E$1:$E$250=$Q$3)*--(Source!$D$1:$D$250=Pyramid!$Q125),ROW(Source!$B$1:$B$250),FALSE),R$3)),"")</f>
        <v/>
      </c>
      <c r="S125" t="str">
        <f t="array" aca="1" ref="S125" ca="1">IFERROR(INDEX(Source!$A$1:$A$250,SMALL(IF(--(Source!$B$1:$B$250=$O125)*--(Source!$E$1:$E$250=$Q$3)*--(Source!$D$1:$D$250=Pyramid!$Q125),ROW(Source!$B$1:$B$250),FALSE),S$3)),"")</f>
        <v/>
      </c>
      <c r="T125" t="str">
        <f t="array" aca="1" ref="T125" ca="1">IFERROR(INDEX(Source!$A$1:$A$250,SMALL(IF(--(Source!$B$1:$B$250=$O125)*--(Source!$E$1:$E$250=$Q$3)*--(Source!$D$1:$D$250=Pyramid!$Q125),ROW(Source!$B$1:$B$250),FALSE),T$3)),"")</f>
        <v/>
      </c>
      <c r="U125" t="str">
        <f t="array" aca="1" ref="U125" ca="1">IFERROR(INDEX(Source!$A$1:$A$250,SMALL(IF(--(Source!$B$1:$B$250=$O125)*--(Source!$E$1:$E$250=$Q$3)*--(Source!$D$1:$D$250=Pyramid!$Q125),ROW(Source!$B$1:$B$250),FALSE),U$3)),"")</f>
        <v/>
      </c>
      <c r="V125" t="str">
        <f t="array" aca="1" ref="V125" ca="1">IFERROR(INDEX(Source!$A$1:$A$250,SMALL(IF(--(Source!$B$1:$B$250=$O125)*--(Source!$E$1:$E$250=$Q$3)*--(Source!$D$1:$D$250=Pyramid!$Q125),ROW(Source!$B$1:$B$250),FALSE),V$3)),"")</f>
        <v/>
      </c>
      <c r="W125" t="str">
        <f t="array" aca="1" ref="W125" ca="1">IFERROR(INDEX(Source!$A$1:$A$250,SMALL(IF(--(Source!$B$1:$B$250=$O125)*--(Source!$E$1:$E$250=$Q$3)*--(Source!$D$1:$D$250=Pyramid!$Q125),ROW(Source!$B$1:$B$250),FALSE),W$3)),"")</f>
        <v/>
      </c>
      <c r="X125" t="str">
        <f t="array" aca="1" ref="X125" ca="1">IFERROR(INDEX(Source!$A$1:$A$250,SMALL(IF(--(Source!$B$1:$B$250=$O125)*--(Source!$E$1:$E$250=$Q$3)*--(Source!$D$1:$D$250=Pyramid!$Q125),ROW(Source!$B$1:$B$250),FALSE),X$3)),"")</f>
        <v/>
      </c>
      <c r="Y125" s="5">
        <f t="shared" ca="1" si="6"/>
        <v>0</v>
      </c>
    </row>
    <row r="126" spans="3:25">
      <c r="C126">
        <v>122</v>
      </c>
      <c r="D126" s="5">
        <f t="shared" ca="1" si="4"/>
        <v>0</v>
      </c>
      <c r="E126" t="str">
        <f t="array" aca="1" ref="E126" ca="1">IFERROR(INDEX(Source!$A$1:$A$250,SMALL(IF(--(Source!$B$1:$B$250=$O126)*--(Source!$E$1:$E$250=$M$3)*--(Source!$D$1:$D$250=Pyramid!$M126),ROW(Source!$B$1:$B$250),FALSE),E$3)),"")</f>
        <v/>
      </c>
      <c r="F126" t="str">
        <f t="array" aca="1" ref="F126" ca="1">IFERROR(INDEX(Source!$A$1:$A$250,SMALL(IF(--(Source!$B$1:$B$250=$O126)*--(Source!$E$1:$E$250=$M$3)*--(Source!$D$1:$D$250=Pyramid!$M126),ROW(Source!$B$1:$B$250),FALSE),F$3)),"")</f>
        <v/>
      </c>
      <c r="G126" t="str">
        <f t="array" aca="1" ref="G126" ca="1">IFERROR(INDEX(Source!$A$1:$A$250,SMALL(IF(--(Source!$B$1:$B$250=$O126)*--(Source!$E$1:$E$250=$M$3)*--(Source!$D$1:$D$250=Pyramid!$M126),ROW(Source!$B$1:$B$250),FALSE),G$3)),"")</f>
        <v/>
      </c>
      <c r="H126" t="str">
        <f t="array" aca="1" ref="H126" ca="1">IFERROR(INDEX(Source!$A$1:$A$250,SMALL(IF(--(Source!$B$1:$B$250=$O126)*--(Source!$E$1:$E$250=$M$3)*--(Source!$D$1:$D$250=Pyramid!$M126),ROW(Source!$B$1:$B$250),FALSE),H$3)),"")</f>
        <v/>
      </c>
      <c r="I126" t="str">
        <f t="array" aca="1" ref="I126" ca="1">IFERROR(INDEX(Source!$A$1:$A$250,SMALL(IF(--(Source!$B$1:$B$250=$O126)*--(Source!$E$1:$E$250=$M$3)*--(Source!$D$1:$D$250=Pyramid!$M126),ROW(Source!$B$1:$B$250),FALSE),I$3)),"")</f>
        <v/>
      </c>
      <c r="J126" t="str">
        <f t="array" aca="1" ref="J126" ca="1">IFERROR(INDEX(Source!$A$1:$A$250,SMALL(IF(--(Source!$B$1:$B$250=$O126)*--(Source!$E$1:$E$250=$M$3)*--(Source!$D$1:$D$250=Pyramid!$M126),ROW(Source!$B$1:$B$250),FALSE),J$3)),"")</f>
        <v/>
      </c>
      <c r="K126" t="str">
        <f t="array" aca="1" ref="K126" ca="1">IFERROR(INDEX(Source!$A$1:$A$250,SMALL(IF(--(Source!$B$1:$B$250=$O126)*--(Source!$E$1:$E$250=$M$3)*--(Source!$D$1:$D$250=Pyramid!$M126),ROW(Source!$B$1:$B$250),FALSE),K$3)),"")</f>
        <v/>
      </c>
      <c r="L126" t="str">
        <f t="array" aca="1" ref="L126" ca="1">IFERROR(INDEX(Source!$A$1:$A$250,SMALL(IF(--(Source!$B$1:$B$250=$O126)*--(Source!$E$1:$E$250=$M$3)*--(Source!$D$1:$D$250=Pyramid!$M126),ROW(Source!$B$1:$B$250),FALSE),L$3)),"")</f>
        <v/>
      </c>
      <c r="M126" t="str">
        <f t="shared" si="5"/>
        <v>30/8/2016</v>
      </c>
      <c r="N126" s="8">
        <f ca="1">COUNTIFS(Source!B:B,Pyramid!$O126,Source!$D:$D,Pyramid!$M126,Source!$E:$E,Pyramid!$M$3)</f>
        <v>0</v>
      </c>
      <c r="O126">
        <f ca="1">OFFSET(Sheet2!$N$3,INT(C126/5),)</f>
        <v>19200</v>
      </c>
      <c r="P126" s="7">
        <f ca="1">COUNTIFS(Source!B:B,Pyramid!$O126,Source!D:D,Pyramid!$Q126,Source!$E:$E,Pyramid!$Q$3)</f>
        <v>0</v>
      </c>
      <c r="Q126" t="str">
        <f t="shared" si="5"/>
        <v>30/8/2016</v>
      </c>
      <c r="R126" t="str">
        <f t="array" aca="1" ref="R126" ca="1">IFERROR(INDEX(Source!$A$1:$A$250,SMALL(IF(--(Source!$B$1:$B$250=$O126)*--(Source!$E$1:$E$250=$Q$3)*--(Source!$D$1:$D$250=Pyramid!$Q126),ROW(Source!$B$1:$B$250),FALSE),R$3)),"")</f>
        <v/>
      </c>
      <c r="S126" t="str">
        <f t="array" aca="1" ref="S126" ca="1">IFERROR(INDEX(Source!$A$1:$A$250,SMALL(IF(--(Source!$B$1:$B$250=$O126)*--(Source!$E$1:$E$250=$Q$3)*--(Source!$D$1:$D$250=Pyramid!$Q126),ROW(Source!$B$1:$B$250),FALSE),S$3)),"")</f>
        <v/>
      </c>
      <c r="T126" t="str">
        <f t="array" aca="1" ref="T126" ca="1">IFERROR(INDEX(Source!$A$1:$A$250,SMALL(IF(--(Source!$B$1:$B$250=$O126)*--(Source!$E$1:$E$250=$Q$3)*--(Source!$D$1:$D$250=Pyramid!$Q126),ROW(Source!$B$1:$B$250),FALSE),T$3)),"")</f>
        <v/>
      </c>
      <c r="U126" t="str">
        <f t="array" aca="1" ref="U126" ca="1">IFERROR(INDEX(Source!$A$1:$A$250,SMALL(IF(--(Source!$B$1:$B$250=$O126)*--(Source!$E$1:$E$250=$Q$3)*--(Source!$D$1:$D$250=Pyramid!$Q126),ROW(Source!$B$1:$B$250),FALSE),U$3)),"")</f>
        <v/>
      </c>
      <c r="V126" t="str">
        <f t="array" aca="1" ref="V126" ca="1">IFERROR(INDEX(Source!$A$1:$A$250,SMALL(IF(--(Source!$B$1:$B$250=$O126)*--(Source!$E$1:$E$250=$Q$3)*--(Source!$D$1:$D$250=Pyramid!$Q126),ROW(Source!$B$1:$B$250),FALSE),V$3)),"")</f>
        <v/>
      </c>
      <c r="W126" t="str">
        <f t="array" aca="1" ref="W126" ca="1">IFERROR(INDEX(Source!$A$1:$A$250,SMALL(IF(--(Source!$B$1:$B$250=$O126)*--(Source!$E$1:$E$250=$Q$3)*--(Source!$D$1:$D$250=Pyramid!$Q126),ROW(Source!$B$1:$B$250),FALSE),W$3)),"")</f>
        <v/>
      </c>
      <c r="X126" t="str">
        <f t="array" aca="1" ref="X126" ca="1">IFERROR(INDEX(Source!$A$1:$A$250,SMALL(IF(--(Source!$B$1:$B$250=$O126)*--(Source!$E$1:$E$250=$Q$3)*--(Source!$D$1:$D$250=Pyramid!$Q126),ROW(Source!$B$1:$B$250),FALSE),X$3)),"")</f>
        <v/>
      </c>
      <c r="Y126" s="5">
        <f t="shared" ca="1" si="6"/>
        <v>0</v>
      </c>
    </row>
    <row r="127" spans="3:25">
      <c r="C127">
        <v>123</v>
      </c>
      <c r="D127" s="5">
        <f t="shared" ca="1" si="4"/>
        <v>0</v>
      </c>
      <c r="E127" t="str">
        <f t="array" aca="1" ref="E127" ca="1">IFERROR(INDEX(Source!$A$1:$A$250,SMALL(IF(--(Source!$B$1:$B$250=$O127)*--(Source!$E$1:$E$250=$M$3)*--(Source!$D$1:$D$250=Pyramid!$M127),ROW(Source!$B$1:$B$250),FALSE),E$3)),"")</f>
        <v/>
      </c>
      <c r="F127" t="str">
        <f t="array" aca="1" ref="F127" ca="1">IFERROR(INDEX(Source!$A$1:$A$250,SMALL(IF(--(Source!$B$1:$B$250=$O127)*--(Source!$E$1:$E$250=$M$3)*--(Source!$D$1:$D$250=Pyramid!$M127),ROW(Source!$B$1:$B$250),FALSE),F$3)),"")</f>
        <v/>
      </c>
      <c r="G127" t="str">
        <f t="array" aca="1" ref="G127" ca="1">IFERROR(INDEX(Source!$A$1:$A$250,SMALL(IF(--(Source!$B$1:$B$250=$O127)*--(Source!$E$1:$E$250=$M$3)*--(Source!$D$1:$D$250=Pyramid!$M127),ROW(Source!$B$1:$B$250),FALSE),G$3)),"")</f>
        <v/>
      </c>
      <c r="H127" t="str">
        <f t="array" aca="1" ref="H127" ca="1">IFERROR(INDEX(Source!$A$1:$A$250,SMALL(IF(--(Source!$B$1:$B$250=$O127)*--(Source!$E$1:$E$250=$M$3)*--(Source!$D$1:$D$250=Pyramid!$M127),ROW(Source!$B$1:$B$250),FALSE),H$3)),"")</f>
        <v/>
      </c>
      <c r="I127" t="str">
        <f t="array" aca="1" ref="I127" ca="1">IFERROR(INDEX(Source!$A$1:$A$250,SMALL(IF(--(Source!$B$1:$B$250=$O127)*--(Source!$E$1:$E$250=$M$3)*--(Source!$D$1:$D$250=Pyramid!$M127),ROW(Source!$B$1:$B$250),FALSE),I$3)),"")</f>
        <v/>
      </c>
      <c r="J127" t="str">
        <f t="array" aca="1" ref="J127" ca="1">IFERROR(INDEX(Source!$A$1:$A$250,SMALL(IF(--(Source!$B$1:$B$250=$O127)*--(Source!$E$1:$E$250=$M$3)*--(Source!$D$1:$D$250=Pyramid!$M127),ROW(Source!$B$1:$B$250),FALSE),J$3)),"")</f>
        <v/>
      </c>
      <c r="K127" t="str">
        <f t="array" aca="1" ref="K127" ca="1">IFERROR(INDEX(Source!$A$1:$A$250,SMALL(IF(--(Source!$B$1:$B$250=$O127)*--(Source!$E$1:$E$250=$M$3)*--(Source!$D$1:$D$250=Pyramid!$M127),ROW(Source!$B$1:$B$250),FALSE),K$3)),"")</f>
        <v>26667 HK Equity</v>
      </c>
      <c r="L127" t="str">
        <f t="array" aca="1" ref="L127" ca="1">IFERROR(INDEX(Source!$A$1:$A$250,SMALL(IF(--(Source!$B$1:$B$250=$O127)*--(Source!$E$1:$E$250=$M$3)*--(Source!$D$1:$D$250=Pyramid!$M127),ROW(Source!$B$1:$B$250),FALSE),L$3)),"")</f>
        <v>25901 HK Equity</v>
      </c>
      <c r="M127" t="str">
        <f t="shared" si="5"/>
        <v>29/9/2016</v>
      </c>
      <c r="N127" s="8">
        <f ca="1">COUNTIFS(Source!B:B,Pyramid!$O127,Source!$D:$D,Pyramid!$M127,Source!$E:$E,Pyramid!$M$3)</f>
        <v>2</v>
      </c>
      <c r="O127">
        <f ca="1">OFFSET(Sheet2!$N$3,INT(C127/5),)</f>
        <v>19200</v>
      </c>
      <c r="P127" s="7">
        <f ca="1">COUNTIFS(Source!B:B,Pyramid!$O127,Source!D:D,Pyramid!$Q127,Source!$E:$E,Pyramid!$Q$3)</f>
        <v>5</v>
      </c>
      <c r="Q127" t="str">
        <f t="shared" si="5"/>
        <v>29/9/2016</v>
      </c>
      <c r="R127" t="str">
        <f t="array" aca="1" ref="R127" ca="1">IFERROR(INDEX(Source!$A$1:$A$250,SMALL(IF(--(Source!$B$1:$B$250=$O127)*--(Source!$E$1:$E$250=$Q$3)*--(Source!$D$1:$D$250=Pyramid!$Q127),ROW(Source!$B$1:$B$250),FALSE),R$3)),"")</f>
        <v>26849 HK Equity</v>
      </c>
      <c r="S127" t="str">
        <f t="array" aca="1" ref="S127" ca="1">IFERROR(INDEX(Source!$A$1:$A$250,SMALL(IF(--(Source!$B$1:$B$250=$O127)*--(Source!$E$1:$E$250=$Q$3)*--(Source!$D$1:$D$250=Pyramid!$Q127),ROW(Source!$B$1:$B$250),FALSE),S$3)),"")</f>
        <v>26511 HK Equity</v>
      </c>
      <c r="T127" t="str">
        <f t="array" aca="1" ref="T127" ca="1">IFERROR(INDEX(Source!$A$1:$A$250,SMALL(IF(--(Source!$B$1:$B$250=$O127)*--(Source!$E$1:$E$250=$Q$3)*--(Source!$D$1:$D$250=Pyramid!$Q127),ROW(Source!$B$1:$B$250),FALSE),T$3)),"")</f>
        <v>26896 HK Equity</v>
      </c>
      <c r="U127" t="str">
        <f t="array" aca="1" ref="U127" ca="1">IFERROR(INDEX(Source!$A$1:$A$250,SMALL(IF(--(Source!$B$1:$B$250=$O127)*--(Source!$E$1:$E$250=$Q$3)*--(Source!$D$1:$D$250=Pyramid!$Q127),ROW(Source!$B$1:$B$250),FALSE),U$3)),"")</f>
        <v>27382 HK Equity</v>
      </c>
      <c r="V127" t="str">
        <f t="array" aca="1" ref="V127" ca="1">IFERROR(INDEX(Source!$A$1:$A$250,SMALL(IF(--(Source!$B$1:$B$250=$O127)*--(Source!$E$1:$E$250=$Q$3)*--(Source!$D$1:$D$250=Pyramid!$Q127),ROW(Source!$B$1:$B$250),FALSE),V$3)),"")</f>
        <v>28129 HK Equity</v>
      </c>
      <c r="W127" t="str">
        <f t="array" aca="1" ref="W127" ca="1">IFERROR(INDEX(Source!$A$1:$A$250,SMALL(IF(--(Source!$B$1:$B$250=$O127)*--(Source!$E$1:$E$250=$Q$3)*--(Source!$D$1:$D$250=Pyramid!$Q127),ROW(Source!$B$1:$B$250),FALSE),W$3)),"")</f>
        <v/>
      </c>
      <c r="X127" t="str">
        <f t="array" aca="1" ref="X127" ca="1">IFERROR(INDEX(Source!$A$1:$A$250,SMALL(IF(--(Source!$B$1:$B$250=$O127)*--(Source!$E$1:$E$250=$Q$3)*--(Source!$D$1:$D$250=Pyramid!$Q127),ROW(Source!$B$1:$B$250),FALSE),X$3)),"")</f>
        <v/>
      </c>
      <c r="Y127" s="5">
        <f t="shared" ca="1" si="6"/>
        <v>0</v>
      </c>
    </row>
    <row r="128" spans="3:25">
      <c r="C128">
        <v>124</v>
      </c>
      <c r="D128" s="5">
        <f t="shared" ca="1" si="4"/>
        <v>0</v>
      </c>
      <c r="E128" t="str">
        <f t="array" aca="1" ref="E128" ca="1">IFERROR(INDEX(Source!$A$1:$A$250,SMALL(IF(--(Source!$B$1:$B$250=$O128)*--(Source!$E$1:$E$250=$M$3)*--(Source!$D$1:$D$250=Pyramid!$M128),ROW(Source!$B$1:$B$250),FALSE),E$3)),"")</f>
        <v/>
      </c>
      <c r="F128" t="str">
        <f t="array" aca="1" ref="F128" ca="1">IFERROR(INDEX(Source!$A$1:$A$250,SMALL(IF(--(Source!$B$1:$B$250=$O128)*--(Source!$E$1:$E$250=$M$3)*--(Source!$D$1:$D$250=Pyramid!$M128),ROW(Source!$B$1:$B$250),FALSE),F$3)),"")</f>
        <v/>
      </c>
      <c r="G128" t="str">
        <f t="array" aca="1" ref="G128" ca="1">IFERROR(INDEX(Source!$A$1:$A$250,SMALL(IF(--(Source!$B$1:$B$250=$O128)*--(Source!$E$1:$E$250=$M$3)*--(Source!$D$1:$D$250=Pyramid!$M128),ROW(Source!$B$1:$B$250),FALSE),G$3)),"")</f>
        <v/>
      </c>
      <c r="H128" t="str">
        <f t="array" aca="1" ref="H128" ca="1">IFERROR(INDEX(Source!$A$1:$A$250,SMALL(IF(--(Source!$B$1:$B$250=$O128)*--(Source!$E$1:$E$250=$M$3)*--(Source!$D$1:$D$250=Pyramid!$M128),ROW(Source!$B$1:$B$250),FALSE),H$3)),"")</f>
        <v/>
      </c>
      <c r="I128" t="str">
        <f t="array" aca="1" ref="I128" ca="1">IFERROR(INDEX(Source!$A$1:$A$250,SMALL(IF(--(Source!$B$1:$B$250=$O128)*--(Source!$E$1:$E$250=$M$3)*--(Source!$D$1:$D$250=Pyramid!$M128),ROW(Source!$B$1:$B$250),FALSE),I$3)),"")</f>
        <v/>
      </c>
      <c r="J128" t="str">
        <f t="array" aca="1" ref="J128" ca="1">IFERROR(INDEX(Source!$A$1:$A$250,SMALL(IF(--(Source!$B$1:$B$250=$O128)*--(Source!$E$1:$E$250=$M$3)*--(Source!$D$1:$D$250=Pyramid!$M128),ROW(Source!$B$1:$B$250),FALSE),J$3)),"")</f>
        <v/>
      </c>
      <c r="K128" t="str">
        <f t="array" aca="1" ref="K128" ca="1">IFERROR(INDEX(Source!$A$1:$A$250,SMALL(IF(--(Source!$B$1:$B$250=$O128)*--(Source!$E$1:$E$250=$M$3)*--(Source!$D$1:$D$250=Pyramid!$M128),ROW(Source!$B$1:$B$250),FALSE),K$3)),"")</f>
        <v/>
      </c>
      <c r="L128" t="str">
        <f t="array" aca="1" ref="L128" ca="1">IFERROR(INDEX(Source!$A$1:$A$250,SMALL(IF(--(Source!$B$1:$B$250=$O128)*--(Source!$E$1:$E$250=$M$3)*--(Source!$D$1:$D$250=Pyramid!$M128),ROW(Source!$B$1:$B$250),FALSE),L$3)),"")</f>
        <v/>
      </c>
      <c r="M128" t="str">
        <f t="shared" si="5"/>
        <v>28/10/2016</v>
      </c>
      <c r="N128" s="8">
        <f ca="1">COUNTIFS(Source!B:B,Pyramid!$O128,Source!$D:$D,Pyramid!$M128,Source!$E:$E,Pyramid!$M$3)</f>
        <v>0</v>
      </c>
      <c r="O128">
        <f ca="1">OFFSET(Sheet2!$N$3,INT(C128/5),)</f>
        <v>19200</v>
      </c>
      <c r="P128" s="7">
        <f ca="1">COUNTIFS(Source!B:B,Pyramid!$O128,Source!D:D,Pyramid!$Q128,Source!$E:$E,Pyramid!$Q$3)</f>
        <v>0</v>
      </c>
      <c r="Q128" t="str">
        <f t="shared" si="5"/>
        <v>28/10/2016</v>
      </c>
      <c r="R128" t="str">
        <f t="array" aca="1" ref="R128" ca="1">IFERROR(INDEX(Source!$A$1:$A$250,SMALL(IF(--(Source!$B$1:$B$250=$O128)*--(Source!$E$1:$E$250=$Q$3)*--(Source!$D$1:$D$250=Pyramid!$Q128),ROW(Source!$B$1:$B$250),FALSE),R$3)),"")</f>
        <v/>
      </c>
      <c r="S128" t="str">
        <f t="array" aca="1" ref="S128" ca="1">IFERROR(INDEX(Source!$A$1:$A$250,SMALL(IF(--(Source!$B$1:$B$250=$O128)*--(Source!$E$1:$E$250=$Q$3)*--(Source!$D$1:$D$250=Pyramid!$Q128),ROW(Source!$B$1:$B$250),FALSE),S$3)),"")</f>
        <v/>
      </c>
      <c r="T128" t="str">
        <f t="array" aca="1" ref="T128" ca="1">IFERROR(INDEX(Source!$A$1:$A$250,SMALL(IF(--(Source!$B$1:$B$250=$O128)*--(Source!$E$1:$E$250=$Q$3)*--(Source!$D$1:$D$250=Pyramid!$Q128),ROW(Source!$B$1:$B$250),FALSE),T$3)),"")</f>
        <v/>
      </c>
      <c r="U128" t="str">
        <f t="array" aca="1" ref="U128" ca="1">IFERROR(INDEX(Source!$A$1:$A$250,SMALL(IF(--(Source!$B$1:$B$250=$O128)*--(Source!$E$1:$E$250=$Q$3)*--(Source!$D$1:$D$250=Pyramid!$Q128),ROW(Source!$B$1:$B$250),FALSE),U$3)),"")</f>
        <v/>
      </c>
      <c r="V128" t="str">
        <f t="array" aca="1" ref="V128" ca="1">IFERROR(INDEX(Source!$A$1:$A$250,SMALL(IF(--(Source!$B$1:$B$250=$O128)*--(Source!$E$1:$E$250=$Q$3)*--(Source!$D$1:$D$250=Pyramid!$Q128),ROW(Source!$B$1:$B$250),FALSE),V$3)),"")</f>
        <v/>
      </c>
      <c r="W128" t="str">
        <f t="array" aca="1" ref="W128" ca="1">IFERROR(INDEX(Source!$A$1:$A$250,SMALL(IF(--(Source!$B$1:$B$250=$O128)*--(Source!$E$1:$E$250=$Q$3)*--(Source!$D$1:$D$250=Pyramid!$Q128),ROW(Source!$B$1:$B$250),FALSE),W$3)),"")</f>
        <v/>
      </c>
      <c r="X128" t="str">
        <f t="array" aca="1" ref="X128" ca="1">IFERROR(INDEX(Source!$A$1:$A$250,SMALL(IF(--(Source!$B$1:$B$250=$O128)*--(Source!$E$1:$E$250=$Q$3)*--(Source!$D$1:$D$250=Pyramid!$Q128),ROW(Source!$B$1:$B$250),FALSE),X$3)),"")</f>
        <v/>
      </c>
      <c r="Y128" s="5">
        <f t="shared" ca="1" si="6"/>
        <v>0</v>
      </c>
    </row>
    <row r="129" spans="3:25">
      <c r="C129">
        <v>125</v>
      </c>
      <c r="D129" s="5">
        <f t="shared" ca="1" si="4"/>
        <v>0</v>
      </c>
      <c r="E129" t="str">
        <f t="array" aca="1" ref="E129" ca="1">IFERROR(INDEX(Source!$A$1:$A$250,SMALL(IF(--(Source!$B$1:$B$250=$O129)*--(Source!$E$1:$E$250=$M$3)*--(Source!$D$1:$D$250=Pyramid!$M129),ROW(Source!$B$1:$B$250),FALSE),E$3)),"")</f>
        <v/>
      </c>
      <c r="F129" t="str">
        <f t="array" aca="1" ref="F129" ca="1">IFERROR(INDEX(Source!$A$1:$A$250,SMALL(IF(--(Source!$B$1:$B$250=$O129)*--(Source!$E$1:$E$250=$M$3)*--(Source!$D$1:$D$250=Pyramid!$M129),ROW(Source!$B$1:$B$250),FALSE),F$3)),"")</f>
        <v/>
      </c>
      <c r="G129" t="str">
        <f t="array" aca="1" ref="G129" ca="1">IFERROR(INDEX(Source!$A$1:$A$250,SMALL(IF(--(Source!$B$1:$B$250=$O129)*--(Source!$E$1:$E$250=$M$3)*--(Source!$D$1:$D$250=Pyramid!$M129),ROW(Source!$B$1:$B$250),FALSE),G$3)),"")</f>
        <v/>
      </c>
      <c r="H129" t="str">
        <f t="array" aca="1" ref="H129" ca="1">IFERROR(INDEX(Source!$A$1:$A$250,SMALL(IF(--(Source!$B$1:$B$250=$O129)*--(Source!$E$1:$E$250=$M$3)*--(Source!$D$1:$D$250=Pyramid!$M129),ROW(Source!$B$1:$B$250),FALSE),H$3)),"")</f>
        <v/>
      </c>
      <c r="I129" t="str">
        <f t="array" aca="1" ref="I129" ca="1">IFERROR(INDEX(Source!$A$1:$A$250,SMALL(IF(--(Source!$B$1:$B$250=$O129)*--(Source!$E$1:$E$250=$M$3)*--(Source!$D$1:$D$250=Pyramid!$M129),ROW(Source!$B$1:$B$250),FALSE),I$3)),"")</f>
        <v/>
      </c>
      <c r="J129" t="str">
        <f t="array" aca="1" ref="J129" ca="1">IFERROR(INDEX(Source!$A$1:$A$250,SMALL(IF(--(Source!$B$1:$B$250=$O129)*--(Source!$E$1:$E$250=$M$3)*--(Source!$D$1:$D$250=Pyramid!$M129),ROW(Source!$B$1:$B$250),FALSE),J$3)),"")</f>
        <v/>
      </c>
      <c r="K129" t="str">
        <f t="array" aca="1" ref="K129" ca="1">IFERROR(INDEX(Source!$A$1:$A$250,SMALL(IF(--(Source!$B$1:$B$250=$O129)*--(Source!$E$1:$E$250=$M$3)*--(Source!$D$1:$D$250=Pyramid!$M129),ROW(Source!$B$1:$B$250),FALSE),K$3)),"")</f>
        <v/>
      </c>
      <c r="L129" t="str">
        <f t="array" aca="1" ref="L129" ca="1">IFERROR(INDEX(Source!$A$1:$A$250,SMALL(IF(--(Source!$B$1:$B$250=$O129)*--(Source!$E$1:$E$250=$M$3)*--(Source!$D$1:$D$250=Pyramid!$M129),ROW(Source!$B$1:$B$250),FALSE),L$3)),"")</f>
        <v/>
      </c>
      <c r="M129" t="str">
        <f t="shared" si="5"/>
        <v>29/6/2016</v>
      </c>
      <c r="N129">
        <f ca="1">COUNTIFS(Source!B:B,Pyramid!$O129,Source!$D:$D,Pyramid!$M129,Source!$E:$E,Pyramid!$M$3)</f>
        <v>0</v>
      </c>
      <c r="O129">
        <f ca="1">OFFSET(Sheet2!$N$3,INT(C129/5),)</f>
        <v>19288</v>
      </c>
      <c r="P129">
        <f ca="1">COUNTIFS(Source!B:B,Pyramid!$O129,Source!D:D,Pyramid!$Q129,Source!$E:$E,Pyramid!$Q$3)</f>
        <v>0</v>
      </c>
      <c r="Q129" t="str">
        <f t="shared" si="5"/>
        <v>29/6/2016</v>
      </c>
      <c r="R129" t="str">
        <f t="array" aca="1" ref="R129" ca="1">IFERROR(INDEX(Source!$A$1:$A$250,SMALL(IF(--(Source!$B$1:$B$250=$O129)*--(Source!$E$1:$E$250=$Q$3)*--(Source!$D$1:$D$250=Pyramid!$Q129),ROW(Source!$B$1:$B$250),FALSE),R$3)),"")</f>
        <v/>
      </c>
      <c r="S129" t="str">
        <f t="array" aca="1" ref="S129" ca="1">IFERROR(INDEX(Source!$A$1:$A$250,SMALL(IF(--(Source!$B$1:$B$250=$O129)*--(Source!$E$1:$E$250=$Q$3)*--(Source!$D$1:$D$250=Pyramid!$Q129),ROW(Source!$B$1:$B$250),FALSE),S$3)),"")</f>
        <v/>
      </c>
      <c r="T129" t="str">
        <f t="array" aca="1" ref="T129" ca="1">IFERROR(INDEX(Source!$A$1:$A$250,SMALL(IF(--(Source!$B$1:$B$250=$O129)*--(Source!$E$1:$E$250=$Q$3)*--(Source!$D$1:$D$250=Pyramid!$Q129),ROW(Source!$B$1:$B$250),FALSE),T$3)),"")</f>
        <v/>
      </c>
      <c r="U129" t="str">
        <f t="array" aca="1" ref="U129" ca="1">IFERROR(INDEX(Source!$A$1:$A$250,SMALL(IF(--(Source!$B$1:$B$250=$O129)*--(Source!$E$1:$E$250=$Q$3)*--(Source!$D$1:$D$250=Pyramid!$Q129),ROW(Source!$B$1:$B$250),FALSE),U$3)),"")</f>
        <v/>
      </c>
      <c r="V129" t="str">
        <f t="array" aca="1" ref="V129" ca="1">IFERROR(INDEX(Source!$A$1:$A$250,SMALL(IF(--(Source!$B$1:$B$250=$O129)*--(Source!$E$1:$E$250=$Q$3)*--(Source!$D$1:$D$250=Pyramid!$Q129),ROW(Source!$B$1:$B$250),FALSE),V$3)),"")</f>
        <v/>
      </c>
      <c r="W129" t="str">
        <f t="array" aca="1" ref="W129" ca="1">IFERROR(INDEX(Source!$A$1:$A$250,SMALL(IF(--(Source!$B$1:$B$250=$O129)*--(Source!$E$1:$E$250=$Q$3)*--(Source!$D$1:$D$250=Pyramid!$Q129),ROW(Source!$B$1:$B$250),FALSE),W$3)),"")</f>
        <v/>
      </c>
      <c r="X129" t="str">
        <f t="array" aca="1" ref="X129" ca="1">IFERROR(INDEX(Source!$A$1:$A$250,SMALL(IF(--(Source!$B$1:$B$250=$O129)*--(Source!$E$1:$E$250=$Q$3)*--(Source!$D$1:$D$250=Pyramid!$Q129),ROW(Source!$B$1:$B$250),FALSE),X$3)),"")</f>
        <v/>
      </c>
      <c r="Y129" s="5">
        <f t="shared" ca="1" si="6"/>
        <v>0</v>
      </c>
    </row>
    <row r="130" spans="3:25">
      <c r="C130">
        <v>126</v>
      </c>
      <c r="D130" s="5">
        <f t="shared" ca="1" si="4"/>
        <v>0</v>
      </c>
      <c r="E130" t="str">
        <f t="array" aca="1" ref="E130" ca="1">IFERROR(INDEX(Source!$A$1:$A$250,SMALL(IF(--(Source!$B$1:$B$250=$O130)*--(Source!$E$1:$E$250=$M$3)*--(Source!$D$1:$D$250=Pyramid!$M130),ROW(Source!$B$1:$B$250),FALSE),E$3)),"")</f>
        <v/>
      </c>
      <c r="F130" t="str">
        <f t="array" aca="1" ref="F130" ca="1">IFERROR(INDEX(Source!$A$1:$A$250,SMALL(IF(--(Source!$B$1:$B$250=$O130)*--(Source!$E$1:$E$250=$M$3)*--(Source!$D$1:$D$250=Pyramid!$M130),ROW(Source!$B$1:$B$250),FALSE),F$3)),"")</f>
        <v/>
      </c>
      <c r="G130" t="str">
        <f t="array" aca="1" ref="G130" ca="1">IFERROR(INDEX(Source!$A$1:$A$250,SMALL(IF(--(Source!$B$1:$B$250=$O130)*--(Source!$E$1:$E$250=$M$3)*--(Source!$D$1:$D$250=Pyramid!$M130),ROW(Source!$B$1:$B$250),FALSE),G$3)),"")</f>
        <v/>
      </c>
      <c r="H130" t="str">
        <f t="array" aca="1" ref="H130" ca="1">IFERROR(INDEX(Source!$A$1:$A$250,SMALL(IF(--(Source!$B$1:$B$250=$O130)*--(Source!$E$1:$E$250=$M$3)*--(Source!$D$1:$D$250=Pyramid!$M130),ROW(Source!$B$1:$B$250),FALSE),H$3)),"")</f>
        <v/>
      </c>
      <c r="I130" t="str">
        <f t="array" aca="1" ref="I130" ca="1">IFERROR(INDEX(Source!$A$1:$A$250,SMALL(IF(--(Source!$B$1:$B$250=$O130)*--(Source!$E$1:$E$250=$M$3)*--(Source!$D$1:$D$250=Pyramid!$M130),ROW(Source!$B$1:$B$250),FALSE),I$3)),"")</f>
        <v/>
      </c>
      <c r="J130" t="str">
        <f t="array" aca="1" ref="J130" ca="1">IFERROR(INDEX(Source!$A$1:$A$250,SMALL(IF(--(Source!$B$1:$B$250=$O130)*--(Source!$E$1:$E$250=$M$3)*--(Source!$D$1:$D$250=Pyramid!$M130),ROW(Source!$B$1:$B$250),FALSE),J$3)),"")</f>
        <v/>
      </c>
      <c r="K130" t="str">
        <f t="array" aca="1" ref="K130" ca="1">IFERROR(INDEX(Source!$A$1:$A$250,SMALL(IF(--(Source!$B$1:$B$250=$O130)*--(Source!$E$1:$E$250=$M$3)*--(Source!$D$1:$D$250=Pyramid!$M130),ROW(Source!$B$1:$B$250),FALSE),K$3)),"")</f>
        <v/>
      </c>
      <c r="L130" t="str">
        <f t="array" aca="1" ref="L130" ca="1">IFERROR(INDEX(Source!$A$1:$A$250,SMALL(IF(--(Source!$B$1:$B$250=$O130)*--(Source!$E$1:$E$250=$M$3)*--(Source!$D$1:$D$250=Pyramid!$M130),ROW(Source!$B$1:$B$250),FALSE),L$3)),"")</f>
        <v/>
      </c>
      <c r="M130" t="str">
        <f t="shared" si="5"/>
        <v>28/7/2016</v>
      </c>
      <c r="N130">
        <f ca="1">COUNTIFS(Source!B:B,Pyramid!$O130,Source!$D:$D,Pyramid!$M130,Source!$E:$E,Pyramid!$M$3)</f>
        <v>0</v>
      </c>
      <c r="O130">
        <f ca="1">OFFSET(Sheet2!$N$3,INT(C130/5),)</f>
        <v>19288</v>
      </c>
      <c r="P130">
        <f ca="1">COUNTIFS(Source!B:B,Pyramid!$O130,Source!D:D,Pyramid!$Q130,Source!$E:$E,Pyramid!$Q$3)</f>
        <v>0</v>
      </c>
      <c r="Q130" t="str">
        <f t="shared" si="5"/>
        <v>28/7/2016</v>
      </c>
      <c r="R130" t="str">
        <f t="array" aca="1" ref="R130" ca="1">IFERROR(INDEX(Source!$A$1:$A$250,SMALL(IF(--(Source!$B$1:$B$250=$O130)*--(Source!$E$1:$E$250=$Q$3)*--(Source!$D$1:$D$250=Pyramid!$Q130),ROW(Source!$B$1:$B$250),FALSE),R$3)),"")</f>
        <v/>
      </c>
      <c r="S130" t="str">
        <f t="array" aca="1" ref="S130" ca="1">IFERROR(INDEX(Source!$A$1:$A$250,SMALL(IF(--(Source!$B$1:$B$250=$O130)*--(Source!$E$1:$E$250=$Q$3)*--(Source!$D$1:$D$250=Pyramid!$Q130),ROW(Source!$B$1:$B$250),FALSE),S$3)),"")</f>
        <v/>
      </c>
      <c r="T130" t="str">
        <f t="array" aca="1" ref="T130" ca="1">IFERROR(INDEX(Source!$A$1:$A$250,SMALL(IF(--(Source!$B$1:$B$250=$O130)*--(Source!$E$1:$E$250=$Q$3)*--(Source!$D$1:$D$250=Pyramid!$Q130),ROW(Source!$B$1:$B$250),FALSE),T$3)),"")</f>
        <v/>
      </c>
      <c r="U130" t="str">
        <f t="array" aca="1" ref="U130" ca="1">IFERROR(INDEX(Source!$A$1:$A$250,SMALL(IF(--(Source!$B$1:$B$250=$O130)*--(Source!$E$1:$E$250=$Q$3)*--(Source!$D$1:$D$250=Pyramid!$Q130),ROW(Source!$B$1:$B$250),FALSE),U$3)),"")</f>
        <v/>
      </c>
      <c r="V130" t="str">
        <f t="array" aca="1" ref="V130" ca="1">IFERROR(INDEX(Source!$A$1:$A$250,SMALL(IF(--(Source!$B$1:$B$250=$O130)*--(Source!$E$1:$E$250=$Q$3)*--(Source!$D$1:$D$250=Pyramid!$Q130),ROW(Source!$B$1:$B$250),FALSE),V$3)),"")</f>
        <v/>
      </c>
      <c r="W130" t="str">
        <f t="array" aca="1" ref="W130" ca="1">IFERROR(INDEX(Source!$A$1:$A$250,SMALL(IF(--(Source!$B$1:$B$250=$O130)*--(Source!$E$1:$E$250=$Q$3)*--(Source!$D$1:$D$250=Pyramid!$Q130),ROW(Source!$B$1:$B$250),FALSE),W$3)),"")</f>
        <v/>
      </c>
      <c r="X130" t="str">
        <f t="array" aca="1" ref="X130" ca="1">IFERROR(INDEX(Source!$A$1:$A$250,SMALL(IF(--(Source!$B$1:$B$250=$O130)*--(Source!$E$1:$E$250=$Q$3)*--(Source!$D$1:$D$250=Pyramid!$Q130),ROW(Source!$B$1:$B$250),FALSE),X$3)),"")</f>
        <v/>
      </c>
      <c r="Y130" s="5">
        <f t="shared" ca="1" si="6"/>
        <v>0</v>
      </c>
    </row>
    <row r="131" spans="3:25">
      <c r="C131">
        <v>127</v>
      </c>
      <c r="D131" s="5">
        <f t="shared" ca="1" si="4"/>
        <v>0</v>
      </c>
      <c r="E131" t="str">
        <f t="array" aca="1" ref="E131" ca="1">IFERROR(INDEX(Source!$A$1:$A$250,SMALL(IF(--(Source!$B$1:$B$250=$O131)*--(Source!$E$1:$E$250=$M$3)*--(Source!$D$1:$D$250=Pyramid!$M131),ROW(Source!$B$1:$B$250),FALSE),E$3)),"")</f>
        <v/>
      </c>
      <c r="F131" t="str">
        <f t="array" aca="1" ref="F131" ca="1">IFERROR(INDEX(Source!$A$1:$A$250,SMALL(IF(--(Source!$B$1:$B$250=$O131)*--(Source!$E$1:$E$250=$M$3)*--(Source!$D$1:$D$250=Pyramid!$M131),ROW(Source!$B$1:$B$250),FALSE),F$3)),"")</f>
        <v/>
      </c>
      <c r="G131" t="str">
        <f t="array" aca="1" ref="G131" ca="1">IFERROR(INDEX(Source!$A$1:$A$250,SMALL(IF(--(Source!$B$1:$B$250=$O131)*--(Source!$E$1:$E$250=$M$3)*--(Source!$D$1:$D$250=Pyramid!$M131),ROW(Source!$B$1:$B$250),FALSE),G$3)),"")</f>
        <v/>
      </c>
      <c r="H131" t="str">
        <f t="array" aca="1" ref="H131" ca="1">IFERROR(INDEX(Source!$A$1:$A$250,SMALL(IF(--(Source!$B$1:$B$250=$O131)*--(Source!$E$1:$E$250=$M$3)*--(Source!$D$1:$D$250=Pyramid!$M131),ROW(Source!$B$1:$B$250),FALSE),H$3)),"")</f>
        <v/>
      </c>
      <c r="I131" t="str">
        <f t="array" aca="1" ref="I131" ca="1">IFERROR(INDEX(Source!$A$1:$A$250,SMALL(IF(--(Source!$B$1:$B$250=$O131)*--(Source!$E$1:$E$250=$M$3)*--(Source!$D$1:$D$250=Pyramid!$M131),ROW(Source!$B$1:$B$250),FALSE),I$3)),"")</f>
        <v/>
      </c>
      <c r="J131" t="str">
        <f t="array" aca="1" ref="J131" ca="1">IFERROR(INDEX(Source!$A$1:$A$250,SMALL(IF(--(Source!$B$1:$B$250=$O131)*--(Source!$E$1:$E$250=$M$3)*--(Source!$D$1:$D$250=Pyramid!$M131),ROW(Source!$B$1:$B$250),FALSE),J$3)),"")</f>
        <v/>
      </c>
      <c r="K131" t="str">
        <f t="array" aca="1" ref="K131" ca="1">IFERROR(INDEX(Source!$A$1:$A$250,SMALL(IF(--(Source!$B$1:$B$250=$O131)*--(Source!$E$1:$E$250=$M$3)*--(Source!$D$1:$D$250=Pyramid!$M131),ROW(Source!$B$1:$B$250),FALSE),K$3)),"")</f>
        <v/>
      </c>
      <c r="L131" t="str">
        <f t="array" aca="1" ref="L131" ca="1">IFERROR(INDEX(Source!$A$1:$A$250,SMALL(IF(--(Source!$B$1:$B$250=$O131)*--(Source!$E$1:$E$250=$M$3)*--(Source!$D$1:$D$250=Pyramid!$M131),ROW(Source!$B$1:$B$250),FALSE),L$3)),"")</f>
        <v/>
      </c>
      <c r="M131" t="str">
        <f t="shared" si="5"/>
        <v>30/8/2016</v>
      </c>
      <c r="N131">
        <f ca="1">COUNTIFS(Source!B:B,Pyramid!$O131,Source!$D:$D,Pyramid!$M131,Source!$E:$E,Pyramid!$M$3)</f>
        <v>0</v>
      </c>
      <c r="O131">
        <f ca="1">OFFSET(Sheet2!$N$3,INT(C131/5),)</f>
        <v>19288</v>
      </c>
      <c r="P131">
        <f ca="1">COUNTIFS(Source!B:B,Pyramid!$O131,Source!D:D,Pyramid!$Q131,Source!$E:$E,Pyramid!$Q$3)</f>
        <v>0</v>
      </c>
      <c r="Q131" t="str">
        <f t="shared" si="5"/>
        <v>30/8/2016</v>
      </c>
      <c r="R131" t="str">
        <f t="array" aca="1" ref="R131" ca="1">IFERROR(INDEX(Source!$A$1:$A$250,SMALL(IF(--(Source!$B$1:$B$250=$O131)*--(Source!$E$1:$E$250=$Q$3)*--(Source!$D$1:$D$250=Pyramid!$Q131),ROW(Source!$B$1:$B$250),FALSE),R$3)),"")</f>
        <v/>
      </c>
      <c r="S131" t="str">
        <f t="array" aca="1" ref="S131" ca="1">IFERROR(INDEX(Source!$A$1:$A$250,SMALL(IF(--(Source!$B$1:$B$250=$O131)*--(Source!$E$1:$E$250=$Q$3)*--(Source!$D$1:$D$250=Pyramid!$Q131),ROW(Source!$B$1:$B$250),FALSE),S$3)),"")</f>
        <v/>
      </c>
      <c r="T131" t="str">
        <f t="array" aca="1" ref="T131" ca="1">IFERROR(INDEX(Source!$A$1:$A$250,SMALL(IF(--(Source!$B$1:$B$250=$O131)*--(Source!$E$1:$E$250=$Q$3)*--(Source!$D$1:$D$250=Pyramid!$Q131),ROW(Source!$B$1:$B$250),FALSE),T$3)),"")</f>
        <v/>
      </c>
      <c r="U131" t="str">
        <f t="array" aca="1" ref="U131" ca="1">IFERROR(INDEX(Source!$A$1:$A$250,SMALL(IF(--(Source!$B$1:$B$250=$O131)*--(Source!$E$1:$E$250=$Q$3)*--(Source!$D$1:$D$250=Pyramid!$Q131),ROW(Source!$B$1:$B$250),FALSE),U$3)),"")</f>
        <v/>
      </c>
      <c r="V131" t="str">
        <f t="array" aca="1" ref="V131" ca="1">IFERROR(INDEX(Source!$A$1:$A$250,SMALL(IF(--(Source!$B$1:$B$250=$O131)*--(Source!$E$1:$E$250=$Q$3)*--(Source!$D$1:$D$250=Pyramid!$Q131),ROW(Source!$B$1:$B$250),FALSE),V$3)),"")</f>
        <v/>
      </c>
      <c r="W131" t="str">
        <f t="array" aca="1" ref="W131" ca="1">IFERROR(INDEX(Source!$A$1:$A$250,SMALL(IF(--(Source!$B$1:$B$250=$O131)*--(Source!$E$1:$E$250=$Q$3)*--(Source!$D$1:$D$250=Pyramid!$Q131),ROW(Source!$B$1:$B$250),FALSE),W$3)),"")</f>
        <v/>
      </c>
      <c r="X131" t="str">
        <f t="array" aca="1" ref="X131" ca="1">IFERROR(INDEX(Source!$A$1:$A$250,SMALL(IF(--(Source!$B$1:$B$250=$O131)*--(Source!$E$1:$E$250=$Q$3)*--(Source!$D$1:$D$250=Pyramid!$Q131),ROW(Source!$B$1:$B$250),FALSE),X$3)),"")</f>
        <v/>
      </c>
      <c r="Y131" s="5">
        <f t="shared" ca="1" si="6"/>
        <v>0</v>
      </c>
    </row>
    <row r="132" spans="3:25">
      <c r="C132">
        <v>128</v>
      </c>
      <c r="D132" s="5">
        <f t="shared" ca="1" si="4"/>
        <v>0</v>
      </c>
      <c r="E132" t="str">
        <f t="array" aca="1" ref="E132" ca="1">IFERROR(INDEX(Source!$A$1:$A$250,SMALL(IF(--(Source!$B$1:$B$250=$O132)*--(Source!$E$1:$E$250=$M$3)*--(Source!$D$1:$D$250=Pyramid!$M132),ROW(Source!$B$1:$B$250),FALSE),E$3)),"")</f>
        <v/>
      </c>
      <c r="F132" t="str">
        <f t="array" aca="1" ref="F132" ca="1">IFERROR(INDEX(Source!$A$1:$A$250,SMALL(IF(--(Source!$B$1:$B$250=$O132)*--(Source!$E$1:$E$250=$M$3)*--(Source!$D$1:$D$250=Pyramid!$M132),ROW(Source!$B$1:$B$250),FALSE),F$3)),"")</f>
        <v/>
      </c>
      <c r="G132" t="str">
        <f t="array" aca="1" ref="G132" ca="1">IFERROR(INDEX(Source!$A$1:$A$250,SMALL(IF(--(Source!$B$1:$B$250=$O132)*--(Source!$E$1:$E$250=$M$3)*--(Source!$D$1:$D$250=Pyramid!$M132),ROW(Source!$B$1:$B$250),FALSE),G$3)),"")</f>
        <v/>
      </c>
      <c r="H132" t="str">
        <f t="array" aca="1" ref="H132" ca="1">IFERROR(INDEX(Source!$A$1:$A$250,SMALL(IF(--(Source!$B$1:$B$250=$O132)*--(Source!$E$1:$E$250=$M$3)*--(Source!$D$1:$D$250=Pyramid!$M132),ROW(Source!$B$1:$B$250),FALSE),H$3)),"")</f>
        <v/>
      </c>
      <c r="I132" t="str">
        <f t="array" aca="1" ref="I132" ca="1">IFERROR(INDEX(Source!$A$1:$A$250,SMALL(IF(--(Source!$B$1:$B$250=$O132)*--(Source!$E$1:$E$250=$M$3)*--(Source!$D$1:$D$250=Pyramid!$M132),ROW(Source!$B$1:$B$250),FALSE),I$3)),"")</f>
        <v/>
      </c>
      <c r="J132" t="str">
        <f t="array" aca="1" ref="J132" ca="1">IFERROR(INDEX(Source!$A$1:$A$250,SMALL(IF(--(Source!$B$1:$B$250=$O132)*--(Source!$E$1:$E$250=$M$3)*--(Source!$D$1:$D$250=Pyramid!$M132),ROW(Source!$B$1:$B$250),FALSE),J$3)),"")</f>
        <v/>
      </c>
      <c r="K132" t="str">
        <f t="array" aca="1" ref="K132" ca="1">IFERROR(INDEX(Source!$A$1:$A$250,SMALL(IF(--(Source!$B$1:$B$250=$O132)*--(Source!$E$1:$E$250=$M$3)*--(Source!$D$1:$D$250=Pyramid!$M132),ROW(Source!$B$1:$B$250),FALSE),K$3)),"")</f>
        <v/>
      </c>
      <c r="L132" t="str">
        <f t="array" aca="1" ref="L132" ca="1">IFERROR(INDEX(Source!$A$1:$A$250,SMALL(IF(--(Source!$B$1:$B$250=$O132)*--(Source!$E$1:$E$250=$M$3)*--(Source!$D$1:$D$250=Pyramid!$M132),ROW(Source!$B$1:$B$250),FALSE),L$3)),"")</f>
        <v>28081 HK Equity</v>
      </c>
      <c r="M132" t="str">
        <f t="shared" si="5"/>
        <v>29/9/2016</v>
      </c>
      <c r="N132">
        <f ca="1">COUNTIFS(Source!B:B,Pyramid!$O132,Source!$D:$D,Pyramid!$M132,Source!$E:$E,Pyramid!$M$3)</f>
        <v>1</v>
      </c>
      <c r="O132">
        <f ca="1">OFFSET(Sheet2!$N$3,INT(C132/5),)</f>
        <v>19288</v>
      </c>
      <c r="P132">
        <f ca="1">COUNTIFS(Source!B:B,Pyramid!$O132,Source!D:D,Pyramid!$Q132,Source!$E:$E,Pyramid!$Q$3)</f>
        <v>0</v>
      </c>
      <c r="Q132" t="str">
        <f t="shared" si="5"/>
        <v>29/9/2016</v>
      </c>
      <c r="R132" t="str">
        <f t="array" aca="1" ref="R132" ca="1">IFERROR(INDEX(Source!$A$1:$A$250,SMALL(IF(--(Source!$B$1:$B$250=$O132)*--(Source!$E$1:$E$250=$Q$3)*--(Source!$D$1:$D$250=Pyramid!$Q132),ROW(Source!$B$1:$B$250),FALSE),R$3)),"")</f>
        <v/>
      </c>
      <c r="S132" t="str">
        <f t="array" aca="1" ref="S132" ca="1">IFERROR(INDEX(Source!$A$1:$A$250,SMALL(IF(--(Source!$B$1:$B$250=$O132)*--(Source!$E$1:$E$250=$Q$3)*--(Source!$D$1:$D$250=Pyramid!$Q132),ROW(Source!$B$1:$B$250),FALSE),S$3)),"")</f>
        <v/>
      </c>
      <c r="T132" t="str">
        <f t="array" aca="1" ref="T132" ca="1">IFERROR(INDEX(Source!$A$1:$A$250,SMALL(IF(--(Source!$B$1:$B$250=$O132)*--(Source!$E$1:$E$250=$Q$3)*--(Source!$D$1:$D$250=Pyramid!$Q132),ROW(Source!$B$1:$B$250),FALSE),T$3)),"")</f>
        <v/>
      </c>
      <c r="U132" t="str">
        <f t="array" aca="1" ref="U132" ca="1">IFERROR(INDEX(Source!$A$1:$A$250,SMALL(IF(--(Source!$B$1:$B$250=$O132)*--(Source!$E$1:$E$250=$Q$3)*--(Source!$D$1:$D$250=Pyramid!$Q132),ROW(Source!$B$1:$B$250),FALSE),U$3)),"")</f>
        <v/>
      </c>
      <c r="V132" t="str">
        <f t="array" aca="1" ref="V132" ca="1">IFERROR(INDEX(Source!$A$1:$A$250,SMALL(IF(--(Source!$B$1:$B$250=$O132)*--(Source!$E$1:$E$250=$Q$3)*--(Source!$D$1:$D$250=Pyramid!$Q132),ROW(Source!$B$1:$B$250),FALSE),V$3)),"")</f>
        <v/>
      </c>
      <c r="W132" t="str">
        <f t="array" aca="1" ref="W132" ca="1">IFERROR(INDEX(Source!$A$1:$A$250,SMALL(IF(--(Source!$B$1:$B$250=$O132)*--(Source!$E$1:$E$250=$Q$3)*--(Source!$D$1:$D$250=Pyramid!$Q132),ROW(Source!$B$1:$B$250),FALSE),W$3)),"")</f>
        <v/>
      </c>
      <c r="X132" t="str">
        <f t="array" aca="1" ref="X132" ca="1">IFERROR(INDEX(Source!$A$1:$A$250,SMALL(IF(--(Source!$B$1:$B$250=$O132)*--(Source!$E$1:$E$250=$Q$3)*--(Source!$D$1:$D$250=Pyramid!$Q132),ROW(Source!$B$1:$B$250),FALSE),X$3)),"")</f>
        <v/>
      </c>
      <c r="Y132" s="5">
        <f t="shared" ca="1" si="6"/>
        <v>0</v>
      </c>
    </row>
    <row r="133" spans="3:25">
      <c r="C133">
        <v>129</v>
      </c>
      <c r="D133" s="5">
        <f t="shared" ref="D133:D196" ca="1" si="7">SUMPRODUCT(--(E133:L133&lt;&gt;""))-N133</f>
        <v>0</v>
      </c>
      <c r="E133" t="str">
        <f t="array" aca="1" ref="E133" ca="1">IFERROR(INDEX(Source!$A$1:$A$250,SMALL(IF(--(Source!$B$1:$B$250=$O133)*--(Source!$E$1:$E$250=$M$3)*--(Source!$D$1:$D$250=Pyramid!$M133),ROW(Source!$B$1:$B$250),FALSE),E$3)),"")</f>
        <v/>
      </c>
      <c r="F133" t="str">
        <f t="array" aca="1" ref="F133" ca="1">IFERROR(INDEX(Source!$A$1:$A$250,SMALL(IF(--(Source!$B$1:$B$250=$O133)*--(Source!$E$1:$E$250=$M$3)*--(Source!$D$1:$D$250=Pyramid!$M133),ROW(Source!$B$1:$B$250),FALSE),F$3)),"")</f>
        <v/>
      </c>
      <c r="G133" t="str">
        <f t="array" aca="1" ref="G133" ca="1">IFERROR(INDEX(Source!$A$1:$A$250,SMALL(IF(--(Source!$B$1:$B$250=$O133)*--(Source!$E$1:$E$250=$M$3)*--(Source!$D$1:$D$250=Pyramid!$M133),ROW(Source!$B$1:$B$250),FALSE),G$3)),"")</f>
        <v/>
      </c>
      <c r="H133" t="str">
        <f t="array" aca="1" ref="H133" ca="1">IFERROR(INDEX(Source!$A$1:$A$250,SMALL(IF(--(Source!$B$1:$B$250=$O133)*--(Source!$E$1:$E$250=$M$3)*--(Source!$D$1:$D$250=Pyramid!$M133),ROW(Source!$B$1:$B$250),FALSE),H$3)),"")</f>
        <v/>
      </c>
      <c r="I133" t="str">
        <f t="array" aca="1" ref="I133" ca="1">IFERROR(INDEX(Source!$A$1:$A$250,SMALL(IF(--(Source!$B$1:$B$250=$O133)*--(Source!$E$1:$E$250=$M$3)*--(Source!$D$1:$D$250=Pyramid!$M133),ROW(Source!$B$1:$B$250),FALSE),I$3)),"")</f>
        <v/>
      </c>
      <c r="J133" t="str">
        <f t="array" aca="1" ref="J133" ca="1">IFERROR(INDEX(Source!$A$1:$A$250,SMALL(IF(--(Source!$B$1:$B$250=$O133)*--(Source!$E$1:$E$250=$M$3)*--(Source!$D$1:$D$250=Pyramid!$M133),ROW(Source!$B$1:$B$250),FALSE),J$3)),"")</f>
        <v/>
      </c>
      <c r="K133" t="str">
        <f t="array" aca="1" ref="K133" ca="1">IFERROR(INDEX(Source!$A$1:$A$250,SMALL(IF(--(Source!$B$1:$B$250=$O133)*--(Source!$E$1:$E$250=$M$3)*--(Source!$D$1:$D$250=Pyramid!$M133),ROW(Source!$B$1:$B$250),FALSE),K$3)),"")</f>
        <v/>
      </c>
      <c r="L133" t="str">
        <f t="array" aca="1" ref="L133" ca="1">IFERROR(INDEX(Source!$A$1:$A$250,SMALL(IF(--(Source!$B$1:$B$250=$O133)*--(Source!$E$1:$E$250=$M$3)*--(Source!$D$1:$D$250=Pyramid!$M133),ROW(Source!$B$1:$B$250),FALSE),L$3)),"")</f>
        <v/>
      </c>
      <c r="M133" t="str">
        <f t="shared" ref="M133:Q196" si="8">INDEX($A$4:$A$8,MOD($C133,5)+1)</f>
        <v>28/10/2016</v>
      </c>
      <c r="N133">
        <f ca="1">COUNTIFS(Source!B:B,Pyramid!$O133,Source!$D:$D,Pyramid!$M133,Source!$E:$E,Pyramid!$M$3)</f>
        <v>0</v>
      </c>
      <c r="O133">
        <f ca="1">OFFSET(Sheet2!$N$3,INT(C133/5),)</f>
        <v>19288</v>
      </c>
      <c r="P133">
        <f ca="1">COUNTIFS(Source!B:B,Pyramid!$O133,Source!D:D,Pyramid!$Q133,Source!$E:$E,Pyramid!$Q$3)</f>
        <v>0</v>
      </c>
      <c r="Q133" t="str">
        <f t="shared" si="8"/>
        <v>28/10/2016</v>
      </c>
      <c r="R133" t="str">
        <f t="array" aca="1" ref="R133" ca="1">IFERROR(INDEX(Source!$A$1:$A$250,SMALL(IF(--(Source!$B$1:$B$250=$O133)*--(Source!$E$1:$E$250=$Q$3)*--(Source!$D$1:$D$250=Pyramid!$Q133),ROW(Source!$B$1:$B$250),FALSE),R$3)),"")</f>
        <v/>
      </c>
      <c r="S133" t="str">
        <f t="array" aca="1" ref="S133" ca="1">IFERROR(INDEX(Source!$A$1:$A$250,SMALL(IF(--(Source!$B$1:$B$250=$O133)*--(Source!$E$1:$E$250=$Q$3)*--(Source!$D$1:$D$250=Pyramid!$Q133),ROW(Source!$B$1:$B$250),FALSE),S$3)),"")</f>
        <v/>
      </c>
      <c r="T133" t="str">
        <f t="array" aca="1" ref="T133" ca="1">IFERROR(INDEX(Source!$A$1:$A$250,SMALL(IF(--(Source!$B$1:$B$250=$O133)*--(Source!$E$1:$E$250=$Q$3)*--(Source!$D$1:$D$250=Pyramid!$Q133),ROW(Source!$B$1:$B$250),FALSE),T$3)),"")</f>
        <v/>
      </c>
      <c r="U133" t="str">
        <f t="array" aca="1" ref="U133" ca="1">IFERROR(INDEX(Source!$A$1:$A$250,SMALL(IF(--(Source!$B$1:$B$250=$O133)*--(Source!$E$1:$E$250=$Q$3)*--(Source!$D$1:$D$250=Pyramid!$Q133),ROW(Source!$B$1:$B$250),FALSE),U$3)),"")</f>
        <v/>
      </c>
      <c r="V133" t="str">
        <f t="array" aca="1" ref="V133" ca="1">IFERROR(INDEX(Source!$A$1:$A$250,SMALL(IF(--(Source!$B$1:$B$250=$O133)*--(Source!$E$1:$E$250=$Q$3)*--(Source!$D$1:$D$250=Pyramid!$Q133),ROW(Source!$B$1:$B$250),FALSE),V$3)),"")</f>
        <v/>
      </c>
      <c r="W133" t="str">
        <f t="array" aca="1" ref="W133" ca="1">IFERROR(INDEX(Source!$A$1:$A$250,SMALL(IF(--(Source!$B$1:$B$250=$O133)*--(Source!$E$1:$E$250=$Q$3)*--(Source!$D$1:$D$250=Pyramid!$Q133),ROW(Source!$B$1:$B$250),FALSE),W$3)),"")</f>
        <v/>
      </c>
      <c r="X133" t="str">
        <f t="array" aca="1" ref="X133" ca="1">IFERROR(INDEX(Source!$A$1:$A$250,SMALL(IF(--(Source!$B$1:$B$250=$O133)*--(Source!$E$1:$E$250=$Q$3)*--(Source!$D$1:$D$250=Pyramid!$Q133),ROW(Source!$B$1:$B$250),FALSE),X$3)),"")</f>
        <v/>
      </c>
      <c r="Y133" s="5">
        <f t="shared" ref="Y133:Y196" ca="1" si="9">SUMPRODUCT(--(R133:X133&lt;&gt;""))-P133</f>
        <v>0</v>
      </c>
    </row>
    <row r="134" spans="3:25">
      <c r="C134">
        <v>130</v>
      </c>
      <c r="D134" s="5">
        <f t="shared" ca="1" si="7"/>
        <v>0</v>
      </c>
      <c r="E134" t="str">
        <f t="array" aca="1" ref="E134" ca="1">IFERROR(INDEX(Source!$A$1:$A$250,SMALL(IF(--(Source!$B$1:$B$250=$O134)*--(Source!$E$1:$E$250=$M$3)*--(Source!$D$1:$D$250=Pyramid!$M134),ROW(Source!$B$1:$B$250),FALSE),E$3)),"")</f>
        <v/>
      </c>
      <c r="F134" t="str">
        <f t="array" aca="1" ref="F134" ca="1">IFERROR(INDEX(Source!$A$1:$A$250,SMALL(IF(--(Source!$B$1:$B$250=$O134)*--(Source!$E$1:$E$250=$M$3)*--(Source!$D$1:$D$250=Pyramid!$M134),ROW(Source!$B$1:$B$250),FALSE),F$3)),"")</f>
        <v/>
      </c>
      <c r="G134" t="str">
        <f t="array" aca="1" ref="G134" ca="1">IFERROR(INDEX(Source!$A$1:$A$250,SMALL(IF(--(Source!$B$1:$B$250=$O134)*--(Source!$E$1:$E$250=$M$3)*--(Source!$D$1:$D$250=Pyramid!$M134),ROW(Source!$B$1:$B$250),FALSE),G$3)),"")</f>
        <v/>
      </c>
      <c r="H134" t="str">
        <f t="array" aca="1" ref="H134" ca="1">IFERROR(INDEX(Source!$A$1:$A$250,SMALL(IF(--(Source!$B$1:$B$250=$O134)*--(Source!$E$1:$E$250=$M$3)*--(Source!$D$1:$D$250=Pyramid!$M134),ROW(Source!$B$1:$B$250),FALSE),H$3)),"")</f>
        <v/>
      </c>
      <c r="I134" t="str">
        <f t="array" aca="1" ref="I134" ca="1">IFERROR(INDEX(Source!$A$1:$A$250,SMALL(IF(--(Source!$B$1:$B$250=$O134)*--(Source!$E$1:$E$250=$M$3)*--(Source!$D$1:$D$250=Pyramid!$M134),ROW(Source!$B$1:$B$250),FALSE),I$3)),"")</f>
        <v/>
      </c>
      <c r="J134" t="str">
        <f t="array" aca="1" ref="J134" ca="1">IFERROR(INDEX(Source!$A$1:$A$250,SMALL(IF(--(Source!$B$1:$B$250=$O134)*--(Source!$E$1:$E$250=$M$3)*--(Source!$D$1:$D$250=Pyramid!$M134),ROW(Source!$B$1:$B$250),FALSE),J$3)),"")</f>
        <v/>
      </c>
      <c r="K134" t="str">
        <f t="array" aca="1" ref="K134" ca="1">IFERROR(INDEX(Source!$A$1:$A$250,SMALL(IF(--(Source!$B$1:$B$250=$O134)*--(Source!$E$1:$E$250=$M$3)*--(Source!$D$1:$D$250=Pyramid!$M134),ROW(Source!$B$1:$B$250),FALSE),K$3)),"")</f>
        <v/>
      </c>
      <c r="L134" t="str">
        <f t="array" aca="1" ref="L134" ca="1">IFERROR(INDEX(Source!$A$1:$A$250,SMALL(IF(--(Source!$B$1:$B$250=$O134)*--(Source!$E$1:$E$250=$M$3)*--(Source!$D$1:$D$250=Pyramid!$M134),ROW(Source!$B$1:$B$250),FALSE),L$3)),"")</f>
        <v/>
      </c>
      <c r="M134" t="str">
        <f t="shared" si="8"/>
        <v>29/6/2016</v>
      </c>
      <c r="N134" s="8">
        <f ca="1">COUNTIFS(Source!B:B,Pyramid!$O134,Source!$D:$D,Pyramid!$M134,Source!$E:$E,Pyramid!$M$3)</f>
        <v>0</v>
      </c>
      <c r="O134">
        <f ca="1">OFFSET(Sheet2!$N$3,INT(C134/5),)</f>
        <v>19400</v>
      </c>
      <c r="P134" s="7">
        <f ca="1">COUNTIFS(Source!B:B,Pyramid!$O134,Source!D:D,Pyramid!$Q134,Source!$E:$E,Pyramid!$Q$3)</f>
        <v>0</v>
      </c>
      <c r="Q134" t="str">
        <f t="shared" si="8"/>
        <v>29/6/2016</v>
      </c>
      <c r="R134" t="str">
        <f t="array" aca="1" ref="R134" ca="1">IFERROR(INDEX(Source!$A$1:$A$250,SMALL(IF(--(Source!$B$1:$B$250=$O134)*--(Source!$E$1:$E$250=$Q$3)*--(Source!$D$1:$D$250=Pyramid!$Q134),ROW(Source!$B$1:$B$250),FALSE),R$3)),"")</f>
        <v/>
      </c>
      <c r="S134" t="str">
        <f t="array" aca="1" ref="S134" ca="1">IFERROR(INDEX(Source!$A$1:$A$250,SMALL(IF(--(Source!$B$1:$B$250=$O134)*--(Source!$E$1:$E$250=$Q$3)*--(Source!$D$1:$D$250=Pyramid!$Q134),ROW(Source!$B$1:$B$250),FALSE),S$3)),"")</f>
        <v/>
      </c>
      <c r="T134" t="str">
        <f t="array" aca="1" ref="T134" ca="1">IFERROR(INDEX(Source!$A$1:$A$250,SMALL(IF(--(Source!$B$1:$B$250=$O134)*--(Source!$E$1:$E$250=$Q$3)*--(Source!$D$1:$D$250=Pyramid!$Q134),ROW(Source!$B$1:$B$250),FALSE),T$3)),"")</f>
        <v/>
      </c>
      <c r="U134" t="str">
        <f t="array" aca="1" ref="U134" ca="1">IFERROR(INDEX(Source!$A$1:$A$250,SMALL(IF(--(Source!$B$1:$B$250=$O134)*--(Source!$E$1:$E$250=$Q$3)*--(Source!$D$1:$D$250=Pyramid!$Q134),ROW(Source!$B$1:$B$250),FALSE),U$3)),"")</f>
        <v/>
      </c>
      <c r="V134" t="str">
        <f t="array" aca="1" ref="V134" ca="1">IFERROR(INDEX(Source!$A$1:$A$250,SMALL(IF(--(Source!$B$1:$B$250=$O134)*--(Source!$E$1:$E$250=$Q$3)*--(Source!$D$1:$D$250=Pyramid!$Q134),ROW(Source!$B$1:$B$250),FALSE),V$3)),"")</f>
        <v/>
      </c>
      <c r="W134" t="str">
        <f t="array" aca="1" ref="W134" ca="1">IFERROR(INDEX(Source!$A$1:$A$250,SMALL(IF(--(Source!$B$1:$B$250=$O134)*--(Source!$E$1:$E$250=$Q$3)*--(Source!$D$1:$D$250=Pyramid!$Q134),ROW(Source!$B$1:$B$250),FALSE),W$3)),"")</f>
        <v/>
      </c>
      <c r="X134" t="str">
        <f t="array" aca="1" ref="X134" ca="1">IFERROR(INDEX(Source!$A$1:$A$250,SMALL(IF(--(Source!$B$1:$B$250=$O134)*--(Source!$E$1:$E$250=$Q$3)*--(Source!$D$1:$D$250=Pyramid!$Q134),ROW(Source!$B$1:$B$250),FALSE),X$3)),"")</f>
        <v/>
      </c>
      <c r="Y134" s="5">
        <f t="shared" ca="1" si="9"/>
        <v>0</v>
      </c>
    </row>
    <row r="135" spans="3:25">
      <c r="C135">
        <v>131</v>
      </c>
      <c r="D135" s="5">
        <f t="shared" ca="1" si="7"/>
        <v>0</v>
      </c>
      <c r="E135" t="str">
        <f t="array" aca="1" ref="E135" ca="1">IFERROR(INDEX(Source!$A$1:$A$250,SMALL(IF(--(Source!$B$1:$B$250=$O135)*--(Source!$E$1:$E$250=$M$3)*--(Source!$D$1:$D$250=Pyramid!$M135),ROW(Source!$B$1:$B$250),FALSE),E$3)),"")</f>
        <v/>
      </c>
      <c r="F135" t="str">
        <f t="array" aca="1" ref="F135" ca="1">IFERROR(INDEX(Source!$A$1:$A$250,SMALL(IF(--(Source!$B$1:$B$250=$O135)*--(Source!$E$1:$E$250=$M$3)*--(Source!$D$1:$D$250=Pyramid!$M135),ROW(Source!$B$1:$B$250),FALSE),F$3)),"")</f>
        <v/>
      </c>
      <c r="G135" t="str">
        <f t="array" aca="1" ref="G135" ca="1">IFERROR(INDEX(Source!$A$1:$A$250,SMALL(IF(--(Source!$B$1:$B$250=$O135)*--(Source!$E$1:$E$250=$M$3)*--(Source!$D$1:$D$250=Pyramid!$M135),ROW(Source!$B$1:$B$250),FALSE),G$3)),"")</f>
        <v/>
      </c>
      <c r="H135" t="str">
        <f t="array" aca="1" ref="H135" ca="1">IFERROR(INDEX(Source!$A$1:$A$250,SMALL(IF(--(Source!$B$1:$B$250=$O135)*--(Source!$E$1:$E$250=$M$3)*--(Source!$D$1:$D$250=Pyramid!$M135),ROW(Source!$B$1:$B$250),FALSE),H$3)),"")</f>
        <v/>
      </c>
      <c r="I135" t="str">
        <f t="array" aca="1" ref="I135" ca="1">IFERROR(INDEX(Source!$A$1:$A$250,SMALL(IF(--(Source!$B$1:$B$250=$O135)*--(Source!$E$1:$E$250=$M$3)*--(Source!$D$1:$D$250=Pyramid!$M135),ROW(Source!$B$1:$B$250),FALSE),I$3)),"")</f>
        <v/>
      </c>
      <c r="J135" t="str">
        <f t="array" aca="1" ref="J135" ca="1">IFERROR(INDEX(Source!$A$1:$A$250,SMALL(IF(--(Source!$B$1:$B$250=$O135)*--(Source!$E$1:$E$250=$M$3)*--(Source!$D$1:$D$250=Pyramid!$M135),ROW(Source!$B$1:$B$250),FALSE),J$3)),"")</f>
        <v/>
      </c>
      <c r="K135" t="str">
        <f t="array" aca="1" ref="K135" ca="1">IFERROR(INDEX(Source!$A$1:$A$250,SMALL(IF(--(Source!$B$1:$B$250=$O135)*--(Source!$E$1:$E$250=$M$3)*--(Source!$D$1:$D$250=Pyramid!$M135),ROW(Source!$B$1:$B$250),FALSE),K$3)),"")</f>
        <v>25479 HK Equity</v>
      </c>
      <c r="L135" t="str">
        <f t="array" aca="1" ref="L135" ca="1">IFERROR(INDEX(Source!$A$1:$A$250,SMALL(IF(--(Source!$B$1:$B$250=$O135)*--(Source!$E$1:$E$250=$M$3)*--(Source!$D$1:$D$250=Pyramid!$M135),ROW(Source!$B$1:$B$250),FALSE),L$3)),"")</f>
        <v>26583 HK Equity</v>
      </c>
      <c r="M135" t="str">
        <f t="shared" si="8"/>
        <v>28/7/2016</v>
      </c>
      <c r="N135" s="8">
        <f ca="1">COUNTIFS(Source!B:B,Pyramid!$O135,Source!$D:$D,Pyramid!$M135,Source!$E:$E,Pyramid!$M$3)</f>
        <v>2</v>
      </c>
      <c r="O135">
        <f ca="1">OFFSET(Sheet2!$N$3,INT(C135/5),)</f>
        <v>19400</v>
      </c>
      <c r="P135" s="7">
        <f ca="1">COUNTIFS(Source!B:B,Pyramid!$O135,Source!D:D,Pyramid!$Q135,Source!$E:$E,Pyramid!$Q$3)</f>
        <v>3</v>
      </c>
      <c r="Q135" t="str">
        <f t="shared" si="8"/>
        <v>28/7/2016</v>
      </c>
      <c r="R135" t="str">
        <f t="array" aca="1" ref="R135" ca="1">IFERROR(INDEX(Source!$A$1:$A$250,SMALL(IF(--(Source!$B$1:$B$250=$O135)*--(Source!$E$1:$E$250=$Q$3)*--(Source!$D$1:$D$250=Pyramid!$Q135),ROW(Source!$B$1:$B$250),FALSE),R$3)),"")</f>
        <v>26712 HK Equity</v>
      </c>
      <c r="S135" t="str">
        <f t="array" aca="1" ref="S135" ca="1">IFERROR(INDEX(Source!$A$1:$A$250,SMALL(IF(--(Source!$B$1:$B$250=$O135)*--(Source!$E$1:$E$250=$Q$3)*--(Source!$D$1:$D$250=Pyramid!$Q135),ROW(Source!$B$1:$B$250),FALSE),S$3)),"")</f>
        <v>26939 HK Equity</v>
      </c>
      <c r="T135" t="str">
        <f t="array" aca="1" ref="T135" ca="1">IFERROR(INDEX(Source!$A$1:$A$250,SMALL(IF(--(Source!$B$1:$B$250=$O135)*--(Source!$E$1:$E$250=$Q$3)*--(Source!$D$1:$D$250=Pyramid!$Q135),ROW(Source!$B$1:$B$250),FALSE),T$3)),"")</f>
        <v>25306 HK Equity</v>
      </c>
      <c r="U135" t="str">
        <f t="array" aca="1" ref="U135" ca="1">IFERROR(INDEX(Source!$A$1:$A$250,SMALL(IF(--(Source!$B$1:$B$250=$O135)*--(Source!$E$1:$E$250=$Q$3)*--(Source!$D$1:$D$250=Pyramid!$Q135),ROW(Source!$B$1:$B$250),FALSE),U$3)),"")</f>
        <v/>
      </c>
      <c r="V135" t="str">
        <f t="array" aca="1" ref="V135" ca="1">IFERROR(INDEX(Source!$A$1:$A$250,SMALL(IF(--(Source!$B$1:$B$250=$O135)*--(Source!$E$1:$E$250=$Q$3)*--(Source!$D$1:$D$250=Pyramid!$Q135),ROW(Source!$B$1:$B$250),FALSE),V$3)),"")</f>
        <v/>
      </c>
      <c r="W135" t="str">
        <f t="array" aca="1" ref="W135" ca="1">IFERROR(INDEX(Source!$A$1:$A$250,SMALL(IF(--(Source!$B$1:$B$250=$O135)*--(Source!$E$1:$E$250=$Q$3)*--(Source!$D$1:$D$250=Pyramid!$Q135),ROW(Source!$B$1:$B$250),FALSE),W$3)),"")</f>
        <v/>
      </c>
      <c r="X135" t="str">
        <f t="array" aca="1" ref="X135" ca="1">IFERROR(INDEX(Source!$A$1:$A$250,SMALL(IF(--(Source!$B$1:$B$250=$O135)*--(Source!$E$1:$E$250=$Q$3)*--(Source!$D$1:$D$250=Pyramid!$Q135),ROW(Source!$B$1:$B$250),FALSE),X$3)),"")</f>
        <v/>
      </c>
      <c r="Y135" s="5">
        <f t="shared" ca="1" si="9"/>
        <v>0</v>
      </c>
    </row>
    <row r="136" spans="3:25">
      <c r="C136">
        <v>132</v>
      </c>
      <c r="D136" s="5">
        <f t="shared" ca="1" si="7"/>
        <v>0</v>
      </c>
      <c r="E136" t="str">
        <f t="array" aca="1" ref="E136" ca="1">IFERROR(INDEX(Source!$A$1:$A$250,SMALL(IF(--(Source!$B$1:$B$250=$O136)*--(Source!$E$1:$E$250=$M$3)*--(Source!$D$1:$D$250=Pyramid!$M136),ROW(Source!$B$1:$B$250),FALSE),E$3)),"")</f>
        <v/>
      </c>
      <c r="F136" t="str">
        <f t="array" aca="1" ref="F136" ca="1">IFERROR(INDEX(Source!$A$1:$A$250,SMALL(IF(--(Source!$B$1:$B$250=$O136)*--(Source!$E$1:$E$250=$M$3)*--(Source!$D$1:$D$250=Pyramid!$M136),ROW(Source!$B$1:$B$250),FALSE),F$3)),"")</f>
        <v/>
      </c>
      <c r="G136" t="str">
        <f t="array" aca="1" ref="G136" ca="1">IFERROR(INDEX(Source!$A$1:$A$250,SMALL(IF(--(Source!$B$1:$B$250=$O136)*--(Source!$E$1:$E$250=$M$3)*--(Source!$D$1:$D$250=Pyramid!$M136),ROW(Source!$B$1:$B$250),FALSE),G$3)),"")</f>
        <v/>
      </c>
      <c r="H136" t="str">
        <f t="array" aca="1" ref="H136" ca="1">IFERROR(INDEX(Source!$A$1:$A$250,SMALL(IF(--(Source!$B$1:$B$250=$O136)*--(Source!$E$1:$E$250=$M$3)*--(Source!$D$1:$D$250=Pyramid!$M136),ROW(Source!$B$1:$B$250),FALSE),H$3)),"")</f>
        <v/>
      </c>
      <c r="I136" t="str">
        <f t="array" aca="1" ref="I136" ca="1">IFERROR(INDEX(Source!$A$1:$A$250,SMALL(IF(--(Source!$B$1:$B$250=$O136)*--(Source!$E$1:$E$250=$M$3)*--(Source!$D$1:$D$250=Pyramid!$M136),ROW(Source!$B$1:$B$250),FALSE),I$3)),"")</f>
        <v/>
      </c>
      <c r="J136" t="str">
        <f t="array" aca="1" ref="J136" ca="1">IFERROR(INDEX(Source!$A$1:$A$250,SMALL(IF(--(Source!$B$1:$B$250=$O136)*--(Source!$E$1:$E$250=$M$3)*--(Source!$D$1:$D$250=Pyramid!$M136),ROW(Source!$B$1:$B$250),FALSE),J$3)),"")</f>
        <v/>
      </c>
      <c r="K136" t="str">
        <f t="array" aca="1" ref="K136" ca="1">IFERROR(INDEX(Source!$A$1:$A$250,SMALL(IF(--(Source!$B$1:$B$250=$O136)*--(Source!$E$1:$E$250=$M$3)*--(Source!$D$1:$D$250=Pyramid!$M136),ROW(Source!$B$1:$B$250),FALSE),K$3)),"")</f>
        <v/>
      </c>
      <c r="L136" t="str">
        <f t="array" aca="1" ref="L136" ca="1">IFERROR(INDEX(Source!$A$1:$A$250,SMALL(IF(--(Source!$B$1:$B$250=$O136)*--(Source!$E$1:$E$250=$M$3)*--(Source!$D$1:$D$250=Pyramid!$M136),ROW(Source!$B$1:$B$250),FALSE),L$3)),"")</f>
        <v/>
      </c>
      <c r="M136" t="str">
        <f t="shared" si="8"/>
        <v>30/8/2016</v>
      </c>
      <c r="N136" s="8">
        <f ca="1">COUNTIFS(Source!B:B,Pyramid!$O136,Source!$D:$D,Pyramid!$M136,Source!$E:$E,Pyramid!$M$3)</f>
        <v>0</v>
      </c>
      <c r="O136">
        <f ca="1">OFFSET(Sheet2!$N$3,INT(C136/5),)</f>
        <v>19400</v>
      </c>
      <c r="P136" s="7">
        <f ca="1">COUNTIFS(Source!B:B,Pyramid!$O136,Source!D:D,Pyramid!$Q136,Source!$E:$E,Pyramid!$Q$3)</f>
        <v>0</v>
      </c>
      <c r="Q136" t="str">
        <f t="shared" si="8"/>
        <v>30/8/2016</v>
      </c>
      <c r="R136" t="str">
        <f t="array" aca="1" ref="R136" ca="1">IFERROR(INDEX(Source!$A$1:$A$250,SMALL(IF(--(Source!$B$1:$B$250=$O136)*--(Source!$E$1:$E$250=$Q$3)*--(Source!$D$1:$D$250=Pyramid!$Q136),ROW(Source!$B$1:$B$250),FALSE),R$3)),"")</f>
        <v/>
      </c>
      <c r="S136" t="str">
        <f t="array" aca="1" ref="S136" ca="1">IFERROR(INDEX(Source!$A$1:$A$250,SMALL(IF(--(Source!$B$1:$B$250=$O136)*--(Source!$E$1:$E$250=$Q$3)*--(Source!$D$1:$D$250=Pyramid!$Q136),ROW(Source!$B$1:$B$250),FALSE),S$3)),"")</f>
        <v/>
      </c>
      <c r="T136" t="str">
        <f t="array" aca="1" ref="T136" ca="1">IFERROR(INDEX(Source!$A$1:$A$250,SMALL(IF(--(Source!$B$1:$B$250=$O136)*--(Source!$E$1:$E$250=$Q$3)*--(Source!$D$1:$D$250=Pyramid!$Q136),ROW(Source!$B$1:$B$250),FALSE),T$3)),"")</f>
        <v/>
      </c>
      <c r="U136" t="str">
        <f t="array" aca="1" ref="U136" ca="1">IFERROR(INDEX(Source!$A$1:$A$250,SMALL(IF(--(Source!$B$1:$B$250=$O136)*--(Source!$E$1:$E$250=$Q$3)*--(Source!$D$1:$D$250=Pyramid!$Q136),ROW(Source!$B$1:$B$250),FALSE),U$3)),"")</f>
        <v/>
      </c>
      <c r="V136" t="str">
        <f t="array" aca="1" ref="V136" ca="1">IFERROR(INDEX(Source!$A$1:$A$250,SMALL(IF(--(Source!$B$1:$B$250=$O136)*--(Source!$E$1:$E$250=$Q$3)*--(Source!$D$1:$D$250=Pyramid!$Q136),ROW(Source!$B$1:$B$250),FALSE),V$3)),"")</f>
        <v/>
      </c>
      <c r="W136" t="str">
        <f t="array" aca="1" ref="W136" ca="1">IFERROR(INDEX(Source!$A$1:$A$250,SMALL(IF(--(Source!$B$1:$B$250=$O136)*--(Source!$E$1:$E$250=$Q$3)*--(Source!$D$1:$D$250=Pyramid!$Q136),ROW(Source!$B$1:$B$250),FALSE),W$3)),"")</f>
        <v/>
      </c>
      <c r="X136" t="str">
        <f t="array" aca="1" ref="X136" ca="1">IFERROR(INDEX(Source!$A$1:$A$250,SMALL(IF(--(Source!$B$1:$B$250=$O136)*--(Source!$E$1:$E$250=$Q$3)*--(Source!$D$1:$D$250=Pyramid!$Q136),ROW(Source!$B$1:$B$250),FALSE),X$3)),"")</f>
        <v/>
      </c>
      <c r="Y136" s="5">
        <f t="shared" ca="1" si="9"/>
        <v>0</v>
      </c>
    </row>
    <row r="137" spans="3:25">
      <c r="C137">
        <v>133</v>
      </c>
      <c r="D137" s="5">
        <f t="shared" ca="1" si="7"/>
        <v>0</v>
      </c>
      <c r="E137" t="str">
        <f t="array" aca="1" ref="E137" ca="1">IFERROR(INDEX(Source!$A$1:$A$250,SMALL(IF(--(Source!$B$1:$B$250=$O137)*--(Source!$E$1:$E$250=$M$3)*--(Source!$D$1:$D$250=Pyramid!$M137),ROW(Source!$B$1:$B$250),FALSE),E$3)),"")</f>
        <v/>
      </c>
      <c r="F137" t="str">
        <f t="array" aca="1" ref="F137" ca="1">IFERROR(INDEX(Source!$A$1:$A$250,SMALL(IF(--(Source!$B$1:$B$250=$O137)*--(Source!$E$1:$E$250=$M$3)*--(Source!$D$1:$D$250=Pyramid!$M137),ROW(Source!$B$1:$B$250),FALSE),F$3)),"")</f>
        <v/>
      </c>
      <c r="G137" t="str">
        <f t="array" aca="1" ref="G137" ca="1">IFERROR(INDEX(Source!$A$1:$A$250,SMALL(IF(--(Source!$B$1:$B$250=$O137)*--(Source!$E$1:$E$250=$M$3)*--(Source!$D$1:$D$250=Pyramid!$M137),ROW(Source!$B$1:$B$250),FALSE),G$3)),"")</f>
        <v/>
      </c>
      <c r="H137" t="str">
        <f t="array" aca="1" ref="H137" ca="1">IFERROR(INDEX(Source!$A$1:$A$250,SMALL(IF(--(Source!$B$1:$B$250=$O137)*--(Source!$E$1:$E$250=$M$3)*--(Source!$D$1:$D$250=Pyramid!$M137),ROW(Source!$B$1:$B$250),FALSE),H$3)),"")</f>
        <v/>
      </c>
      <c r="I137" t="str">
        <f t="array" aca="1" ref="I137" ca="1">IFERROR(INDEX(Source!$A$1:$A$250,SMALL(IF(--(Source!$B$1:$B$250=$O137)*--(Source!$E$1:$E$250=$M$3)*--(Source!$D$1:$D$250=Pyramid!$M137),ROW(Source!$B$1:$B$250),FALSE),I$3)),"")</f>
        <v/>
      </c>
      <c r="J137" t="str">
        <f t="array" aca="1" ref="J137" ca="1">IFERROR(INDEX(Source!$A$1:$A$250,SMALL(IF(--(Source!$B$1:$B$250=$O137)*--(Source!$E$1:$E$250=$M$3)*--(Source!$D$1:$D$250=Pyramid!$M137),ROW(Source!$B$1:$B$250),FALSE),J$3)),"")</f>
        <v/>
      </c>
      <c r="K137" t="str">
        <f t="array" aca="1" ref="K137" ca="1">IFERROR(INDEX(Source!$A$1:$A$250,SMALL(IF(--(Source!$B$1:$B$250=$O137)*--(Source!$E$1:$E$250=$M$3)*--(Source!$D$1:$D$250=Pyramid!$M137),ROW(Source!$B$1:$B$250),FALSE),K$3)),"")</f>
        <v/>
      </c>
      <c r="L137" t="str">
        <f t="array" aca="1" ref="L137" ca="1">IFERROR(INDEX(Source!$A$1:$A$250,SMALL(IF(--(Source!$B$1:$B$250=$O137)*--(Source!$E$1:$E$250=$M$3)*--(Source!$D$1:$D$250=Pyramid!$M137),ROW(Source!$B$1:$B$250),FALSE),L$3)),"")</f>
        <v/>
      </c>
      <c r="M137" t="str">
        <f t="shared" si="8"/>
        <v>29/9/2016</v>
      </c>
      <c r="N137" s="8">
        <f ca="1">COUNTIFS(Source!B:B,Pyramid!$O137,Source!$D:$D,Pyramid!$M137,Source!$E:$E,Pyramid!$M$3)</f>
        <v>0</v>
      </c>
      <c r="O137">
        <f ca="1">OFFSET(Sheet2!$N$3,INT(C137/5),)</f>
        <v>19400</v>
      </c>
      <c r="P137" s="7">
        <f ca="1">COUNTIFS(Source!B:B,Pyramid!$O137,Source!D:D,Pyramid!$Q137,Source!$E:$E,Pyramid!$Q$3)</f>
        <v>0</v>
      </c>
      <c r="Q137" t="str">
        <f t="shared" si="8"/>
        <v>29/9/2016</v>
      </c>
      <c r="R137" t="str">
        <f t="array" aca="1" ref="R137" ca="1">IFERROR(INDEX(Source!$A$1:$A$250,SMALL(IF(--(Source!$B$1:$B$250=$O137)*--(Source!$E$1:$E$250=$Q$3)*--(Source!$D$1:$D$250=Pyramid!$Q137),ROW(Source!$B$1:$B$250),FALSE),R$3)),"")</f>
        <v/>
      </c>
      <c r="S137" t="str">
        <f t="array" aca="1" ref="S137" ca="1">IFERROR(INDEX(Source!$A$1:$A$250,SMALL(IF(--(Source!$B$1:$B$250=$O137)*--(Source!$E$1:$E$250=$Q$3)*--(Source!$D$1:$D$250=Pyramid!$Q137),ROW(Source!$B$1:$B$250),FALSE),S$3)),"")</f>
        <v/>
      </c>
      <c r="T137" t="str">
        <f t="array" aca="1" ref="T137" ca="1">IFERROR(INDEX(Source!$A$1:$A$250,SMALL(IF(--(Source!$B$1:$B$250=$O137)*--(Source!$E$1:$E$250=$Q$3)*--(Source!$D$1:$D$250=Pyramid!$Q137),ROW(Source!$B$1:$B$250),FALSE),T$3)),"")</f>
        <v/>
      </c>
      <c r="U137" t="str">
        <f t="array" aca="1" ref="U137" ca="1">IFERROR(INDEX(Source!$A$1:$A$250,SMALL(IF(--(Source!$B$1:$B$250=$O137)*--(Source!$E$1:$E$250=$Q$3)*--(Source!$D$1:$D$250=Pyramid!$Q137),ROW(Source!$B$1:$B$250),FALSE),U$3)),"")</f>
        <v/>
      </c>
      <c r="V137" t="str">
        <f t="array" aca="1" ref="V137" ca="1">IFERROR(INDEX(Source!$A$1:$A$250,SMALL(IF(--(Source!$B$1:$B$250=$O137)*--(Source!$E$1:$E$250=$Q$3)*--(Source!$D$1:$D$250=Pyramid!$Q137),ROW(Source!$B$1:$B$250),FALSE),V$3)),"")</f>
        <v/>
      </c>
      <c r="W137" t="str">
        <f t="array" aca="1" ref="W137" ca="1">IFERROR(INDEX(Source!$A$1:$A$250,SMALL(IF(--(Source!$B$1:$B$250=$O137)*--(Source!$E$1:$E$250=$Q$3)*--(Source!$D$1:$D$250=Pyramid!$Q137),ROW(Source!$B$1:$B$250),FALSE),W$3)),"")</f>
        <v/>
      </c>
      <c r="X137" t="str">
        <f t="array" aca="1" ref="X137" ca="1">IFERROR(INDEX(Source!$A$1:$A$250,SMALL(IF(--(Source!$B$1:$B$250=$O137)*--(Source!$E$1:$E$250=$Q$3)*--(Source!$D$1:$D$250=Pyramid!$Q137),ROW(Source!$B$1:$B$250),FALSE),X$3)),"")</f>
        <v/>
      </c>
      <c r="Y137" s="5">
        <f t="shared" ca="1" si="9"/>
        <v>0</v>
      </c>
    </row>
    <row r="138" spans="3:25">
      <c r="C138">
        <v>134</v>
      </c>
      <c r="D138" s="5">
        <f t="shared" ca="1" si="7"/>
        <v>0</v>
      </c>
      <c r="E138" t="str">
        <f t="array" aca="1" ref="E138" ca="1">IFERROR(INDEX(Source!$A$1:$A$250,SMALL(IF(--(Source!$B$1:$B$250=$O138)*--(Source!$E$1:$E$250=$M$3)*--(Source!$D$1:$D$250=Pyramid!$M138),ROW(Source!$B$1:$B$250),FALSE),E$3)),"")</f>
        <v/>
      </c>
      <c r="F138" t="str">
        <f t="array" aca="1" ref="F138" ca="1">IFERROR(INDEX(Source!$A$1:$A$250,SMALL(IF(--(Source!$B$1:$B$250=$O138)*--(Source!$E$1:$E$250=$M$3)*--(Source!$D$1:$D$250=Pyramid!$M138),ROW(Source!$B$1:$B$250),FALSE),F$3)),"")</f>
        <v/>
      </c>
      <c r="G138" t="str">
        <f t="array" aca="1" ref="G138" ca="1">IFERROR(INDEX(Source!$A$1:$A$250,SMALL(IF(--(Source!$B$1:$B$250=$O138)*--(Source!$E$1:$E$250=$M$3)*--(Source!$D$1:$D$250=Pyramid!$M138),ROW(Source!$B$1:$B$250),FALSE),G$3)),"")</f>
        <v/>
      </c>
      <c r="H138" t="str">
        <f t="array" aca="1" ref="H138" ca="1">IFERROR(INDEX(Source!$A$1:$A$250,SMALL(IF(--(Source!$B$1:$B$250=$O138)*--(Source!$E$1:$E$250=$M$3)*--(Source!$D$1:$D$250=Pyramid!$M138),ROW(Source!$B$1:$B$250),FALSE),H$3)),"")</f>
        <v/>
      </c>
      <c r="I138" t="str">
        <f t="array" aca="1" ref="I138" ca="1">IFERROR(INDEX(Source!$A$1:$A$250,SMALL(IF(--(Source!$B$1:$B$250=$O138)*--(Source!$E$1:$E$250=$M$3)*--(Source!$D$1:$D$250=Pyramid!$M138),ROW(Source!$B$1:$B$250),FALSE),I$3)),"")</f>
        <v/>
      </c>
      <c r="J138" t="str">
        <f t="array" aca="1" ref="J138" ca="1">IFERROR(INDEX(Source!$A$1:$A$250,SMALL(IF(--(Source!$B$1:$B$250=$O138)*--(Source!$E$1:$E$250=$M$3)*--(Source!$D$1:$D$250=Pyramid!$M138),ROW(Source!$B$1:$B$250),FALSE),J$3)),"")</f>
        <v/>
      </c>
      <c r="K138" t="str">
        <f t="array" aca="1" ref="K138" ca="1">IFERROR(INDEX(Source!$A$1:$A$250,SMALL(IF(--(Source!$B$1:$B$250=$O138)*--(Source!$E$1:$E$250=$M$3)*--(Source!$D$1:$D$250=Pyramid!$M138),ROW(Source!$B$1:$B$250),FALSE),K$3)),"")</f>
        <v/>
      </c>
      <c r="L138" t="str">
        <f t="array" aca="1" ref="L138" ca="1">IFERROR(INDEX(Source!$A$1:$A$250,SMALL(IF(--(Source!$B$1:$B$250=$O138)*--(Source!$E$1:$E$250=$M$3)*--(Source!$D$1:$D$250=Pyramid!$M138),ROW(Source!$B$1:$B$250),FALSE),L$3)),"")</f>
        <v/>
      </c>
      <c r="M138" t="str">
        <f t="shared" si="8"/>
        <v>28/10/2016</v>
      </c>
      <c r="N138" s="8">
        <f ca="1">COUNTIFS(Source!B:B,Pyramid!$O138,Source!$D:$D,Pyramid!$M138,Source!$E:$E,Pyramid!$M$3)</f>
        <v>0</v>
      </c>
      <c r="O138">
        <f ca="1">OFFSET(Sheet2!$N$3,INT(C138/5),)</f>
        <v>19400</v>
      </c>
      <c r="P138" s="7">
        <f ca="1">COUNTIFS(Source!B:B,Pyramid!$O138,Source!D:D,Pyramid!$Q138,Source!$E:$E,Pyramid!$Q$3)</f>
        <v>0</v>
      </c>
      <c r="Q138" t="str">
        <f t="shared" si="8"/>
        <v>28/10/2016</v>
      </c>
      <c r="R138" t="str">
        <f t="array" aca="1" ref="R138" ca="1">IFERROR(INDEX(Source!$A$1:$A$250,SMALL(IF(--(Source!$B$1:$B$250=$O138)*--(Source!$E$1:$E$250=$Q$3)*--(Source!$D$1:$D$250=Pyramid!$Q138),ROW(Source!$B$1:$B$250),FALSE),R$3)),"")</f>
        <v/>
      </c>
      <c r="S138" t="str">
        <f t="array" aca="1" ref="S138" ca="1">IFERROR(INDEX(Source!$A$1:$A$250,SMALL(IF(--(Source!$B$1:$B$250=$O138)*--(Source!$E$1:$E$250=$Q$3)*--(Source!$D$1:$D$250=Pyramid!$Q138),ROW(Source!$B$1:$B$250),FALSE),S$3)),"")</f>
        <v/>
      </c>
      <c r="T138" t="str">
        <f t="array" aca="1" ref="T138" ca="1">IFERROR(INDEX(Source!$A$1:$A$250,SMALL(IF(--(Source!$B$1:$B$250=$O138)*--(Source!$E$1:$E$250=$Q$3)*--(Source!$D$1:$D$250=Pyramid!$Q138),ROW(Source!$B$1:$B$250),FALSE),T$3)),"")</f>
        <v/>
      </c>
      <c r="U138" t="str">
        <f t="array" aca="1" ref="U138" ca="1">IFERROR(INDEX(Source!$A$1:$A$250,SMALL(IF(--(Source!$B$1:$B$250=$O138)*--(Source!$E$1:$E$250=$Q$3)*--(Source!$D$1:$D$250=Pyramid!$Q138),ROW(Source!$B$1:$B$250),FALSE),U$3)),"")</f>
        <v/>
      </c>
      <c r="V138" t="str">
        <f t="array" aca="1" ref="V138" ca="1">IFERROR(INDEX(Source!$A$1:$A$250,SMALL(IF(--(Source!$B$1:$B$250=$O138)*--(Source!$E$1:$E$250=$Q$3)*--(Source!$D$1:$D$250=Pyramid!$Q138),ROW(Source!$B$1:$B$250),FALSE),V$3)),"")</f>
        <v/>
      </c>
      <c r="W138" t="str">
        <f t="array" aca="1" ref="W138" ca="1">IFERROR(INDEX(Source!$A$1:$A$250,SMALL(IF(--(Source!$B$1:$B$250=$O138)*--(Source!$E$1:$E$250=$Q$3)*--(Source!$D$1:$D$250=Pyramid!$Q138),ROW(Source!$B$1:$B$250),FALSE),W$3)),"")</f>
        <v/>
      </c>
      <c r="X138" t="str">
        <f t="array" aca="1" ref="X138" ca="1">IFERROR(INDEX(Source!$A$1:$A$250,SMALL(IF(--(Source!$B$1:$B$250=$O138)*--(Source!$E$1:$E$250=$Q$3)*--(Source!$D$1:$D$250=Pyramid!$Q138),ROW(Source!$B$1:$B$250),FALSE),X$3)),"")</f>
        <v/>
      </c>
      <c r="Y138" s="5">
        <f t="shared" ca="1" si="9"/>
        <v>0</v>
      </c>
    </row>
    <row r="139" spans="3:25">
      <c r="C139">
        <v>135</v>
      </c>
      <c r="D139" s="5">
        <f t="shared" ca="1" si="7"/>
        <v>0</v>
      </c>
      <c r="E139" t="str">
        <f t="array" aca="1" ref="E139" ca="1">IFERROR(INDEX(Source!$A$1:$A$250,SMALL(IF(--(Source!$B$1:$B$250=$O139)*--(Source!$E$1:$E$250=$M$3)*--(Source!$D$1:$D$250=Pyramid!$M139),ROW(Source!$B$1:$B$250),FALSE),E$3)),"")</f>
        <v/>
      </c>
      <c r="F139" t="str">
        <f t="array" aca="1" ref="F139" ca="1">IFERROR(INDEX(Source!$A$1:$A$250,SMALL(IF(--(Source!$B$1:$B$250=$O139)*--(Source!$E$1:$E$250=$M$3)*--(Source!$D$1:$D$250=Pyramid!$M139),ROW(Source!$B$1:$B$250),FALSE),F$3)),"")</f>
        <v/>
      </c>
      <c r="G139" t="str">
        <f t="array" aca="1" ref="G139" ca="1">IFERROR(INDEX(Source!$A$1:$A$250,SMALL(IF(--(Source!$B$1:$B$250=$O139)*--(Source!$E$1:$E$250=$M$3)*--(Source!$D$1:$D$250=Pyramid!$M139),ROW(Source!$B$1:$B$250),FALSE),G$3)),"")</f>
        <v/>
      </c>
      <c r="H139" t="str">
        <f t="array" aca="1" ref="H139" ca="1">IFERROR(INDEX(Source!$A$1:$A$250,SMALL(IF(--(Source!$B$1:$B$250=$O139)*--(Source!$E$1:$E$250=$M$3)*--(Source!$D$1:$D$250=Pyramid!$M139),ROW(Source!$B$1:$B$250),FALSE),H$3)),"")</f>
        <v/>
      </c>
      <c r="I139" t="str">
        <f t="array" aca="1" ref="I139" ca="1">IFERROR(INDEX(Source!$A$1:$A$250,SMALL(IF(--(Source!$B$1:$B$250=$O139)*--(Source!$E$1:$E$250=$M$3)*--(Source!$D$1:$D$250=Pyramid!$M139),ROW(Source!$B$1:$B$250),FALSE),I$3)),"")</f>
        <v/>
      </c>
      <c r="J139" t="str">
        <f t="array" aca="1" ref="J139" ca="1">IFERROR(INDEX(Source!$A$1:$A$250,SMALL(IF(--(Source!$B$1:$B$250=$O139)*--(Source!$E$1:$E$250=$M$3)*--(Source!$D$1:$D$250=Pyramid!$M139),ROW(Source!$B$1:$B$250),FALSE),J$3)),"")</f>
        <v/>
      </c>
      <c r="K139" t="str">
        <f t="array" aca="1" ref="K139" ca="1">IFERROR(INDEX(Source!$A$1:$A$250,SMALL(IF(--(Source!$B$1:$B$250=$O139)*--(Source!$E$1:$E$250=$M$3)*--(Source!$D$1:$D$250=Pyramid!$M139),ROW(Source!$B$1:$B$250),FALSE),K$3)),"")</f>
        <v/>
      </c>
      <c r="L139" t="str">
        <f t="array" aca="1" ref="L139" ca="1">IFERROR(INDEX(Source!$A$1:$A$250,SMALL(IF(--(Source!$B$1:$B$250=$O139)*--(Source!$E$1:$E$250=$M$3)*--(Source!$D$1:$D$250=Pyramid!$M139),ROW(Source!$B$1:$B$250),FALSE),L$3)),"")</f>
        <v/>
      </c>
      <c r="M139" t="str">
        <f t="shared" si="8"/>
        <v>29/6/2016</v>
      </c>
      <c r="N139">
        <f ca="1">COUNTIFS(Source!B:B,Pyramid!$O139,Source!$D:$D,Pyramid!$M139,Source!$E:$E,Pyramid!$M$3)</f>
        <v>0</v>
      </c>
      <c r="O139">
        <f ca="1">OFFSET(Sheet2!$N$3,INT(C139/5),)</f>
        <v>19408</v>
      </c>
      <c r="P139">
        <f ca="1">COUNTIFS(Source!B:B,Pyramid!$O139,Source!D:D,Pyramid!$Q139,Source!$E:$E,Pyramid!$Q$3)</f>
        <v>0</v>
      </c>
      <c r="Q139" t="str">
        <f t="shared" si="8"/>
        <v>29/6/2016</v>
      </c>
      <c r="R139" t="str">
        <f t="array" aca="1" ref="R139" ca="1">IFERROR(INDEX(Source!$A$1:$A$250,SMALL(IF(--(Source!$B$1:$B$250=$O139)*--(Source!$E$1:$E$250=$Q$3)*--(Source!$D$1:$D$250=Pyramid!$Q139),ROW(Source!$B$1:$B$250),FALSE),R$3)),"")</f>
        <v/>
      </c>
      <c r="S139" t="str">
        <f t="array" aca="1" ref="S139" ca="1">IFERROR(INDEX(Source!$A$1:$A$250,SMALL(IF(--(Source!$B$1:$B$250=$O139)*--(Source!$E$1:$E$250=$Q$3)*--(Source!$D$1:$D$250=Pyramid!$Q139),ROW(Source!$B$1:$B$250),FALSE),S$3)),"")</f>
        <v/>
      </c>
      <c r="T139" t="str">
        <f t="array" aca="1" ref="T139" ca="1">IFERROR(INDEX(Source!$A$1:$A$250,SMALL(IF(--(Source!$B$1:$B$250=$O139)*--(Source!$E$1:$E$250=$Q$3)*--(Source!$D$1:$D$250=Pyramid!$Q139),ROW(Source!$B$1:$B$250),FALSE),T$3)),"")</f>
        <v/>
      </c>
      <c r="U139" t="str">
        <f t="array" aca="1" ref="U139" ca="1">IFERROR(INDEX(Source!$A$1:$A$250,SMALL(IF(--(Source!$B$1:$B$250=$O139)*--(Source!$E$1:$E$250=$Q$3)*--(Source!$D$1:$D$250=Pyramid!$Q139),ROW(Source!$B$1:$B$250),FALSE),U$3)),"")</f>
        <v/>
      </c>
      <c r="V139" t="str">
        <f t="array" aca="1" ref="V139" ca="1">IFERROR(INDEX(Source!$A$1:$A$250,SMALL(IF(--(Source!$B$1:$B$250=$O139)*--(Source!$E$1:$E$250=$Q$3)*--(Source!$D$1:$D$250=Pyramid!$Q139),ROW(Source!$B$1:$B$250),FALSE),V$3)),"")</f>
        <v/>
      </c>
      <c r="W139" t="str">
        <f t="array" aca="1" ref="W139" ca="1">IFERROR(INDEX(Source!$A$1:$A$250,SMALL(IF(--(Source!$B$1:$B$250=$O139)*--(Source!$E$1:$E$250=$Q$3)*--(Source!$D$1:$D$250=Pyramid!$Q139),ROW(Source!$B$1:$B$250),FALSE),W$3)),"")</f>
        <v/>
      </c>
      <c r="X139" t="str">
        <f t="array" aca="1" ref="X139" ca="1">IFERROR(INDEX(Source!$A$1:$A$250,SMALL(IF(--(Source!$B$1:$B$250=$O139)*--(Source!$E$1:$E$250=$Q$3)*--(Source!$D$1:$D$250=Pyramid!$Q139),ROW(Source!$B$1:$B$250),FALSE),X$3)),"")</f>
        <v/>
      </c>
      <c r="Y139" s="5">
        <f t="shared" ca="1" si="9"/>
        <v>0</v>
      </c>
    </row>
    <row r="140" spans="3:25">
      <c r="C140">
        <v>136</v>
      </c>
      <c r="D140" s="5">
        <f t="shared" ca="1" si="7"/>
        <v>0</v>
      </c>
      <c r="E140" t="str">
        <f t="array" aca="1" ref="E140" ca="1">IFERROR(INDEX(Source!$A$1:$A$250,SMALL(IF(--(Source!$B$1:$B$250=$O140)*--(Source!$E$1:$E$250=$M$3)*--(Source!$D$1:$D$250=Pyramid!$M140),ROW(Source!$B$1:$B$250),FALSE),E$3)),"")</f>
        <v/>
      </c>
      <c r="F140" t="str">
        <f t="array" aca="1" ref="F140" ca="1">IFERROR(INDEX(Source!$A$1:$A$250,SMALL(IF(--(Source!$B$1:$B$250=$O140)*--(Source!$E$1:$E$250=$M$3)*--(Source!$D$1:$D$250=Pyramid!$M140),ROW(Source!$B$1:$B$250),FALSE),F$3)),"")</f>
        <v/>
      </c>
      <c r="G140" t="str">
        <f t="array" aca="1" ref="G140" ca="1">IFERROR(INDEX(Source!$A$1:$A$250,SMALL(IF(--(Source!$B$1:$B$250=$O140)*--(Source!$E$1:$E$250=$M$3)*--(Source!$D$1:$D$250=Pyramid!$M140),ROW(Source!$B$1:$B$250),FALSE),G$3)),"")</f>
        <v/>
      </c>
      <c r="H140" t="str">
        <f t="array" aca="1" ref="H140" ca="1">IFERROR(INDEX(Source!$A$1:$A$250,SMALL(IF(--(Source!$B$1:$B$250=$O140)*--(Source!$E$1:$E$250=$M$3)*--(Source!$D$1:$D$250=Pyramid!$M140),ROW(Source!$B$1:$B$250),FALSE),H$3)),"")</f>
        <v/>
      </c>
      <c r="I140" t="str">
        <f t="array" aca="1" ref="I140" ca="1">IFERROR(INDEX(Source!$A$1:$A$250,SMALL(IF(--(Source!$B$1:$B$250=$O140)*--(Source!$E$1:$E$250=$M$3)*--(Source!$D$1:$D$250=Pyramid!$M140),ROW(Source!$B$1:$B$250),FALSE),I$3)),"")</f>
        <v/>
      </c>
      <c r="J140" t="str">
        <f t="array" aca="1" ref="J140" ca="1">IFERROR(INDEX(Source!$A$1:$A$250,SMALL(IF(--(Source!$B$1:$B$250=$O140)*--(Source!$E$1:$E$250=$M$3)*--(Source!$D$1:$D$250=Pyramid!$M140),ROW(Source!$B$1:$B$250),FALSE),J$3)),"")</f>
        <v/>
      </c>
      <c r="K140" t="str">
        <f t="array" aca="1" ref="K140" ca="1">IFERROR(INDEX(Source!$A$1:$A$250,SMALL(IF(--(Source!$B$1:$B$250=$O140)*--(Source!$E$1:$E$250=$M$3)*--(Source!$D$1:$D$250=Pyramid!$M140),ROW(Source!$B$1:$B$250),FALSE),K$3)),"")</f>
        <v/>
      </c>
      <c r="L140" t="str">
        <f t="array" aca="1" ref="L140" ca="1">IFERROR(INDEX(Source!$A$1:$A$250,SMALL(IF(--(Source!$B$1:$B$250=$O140)*--(Source!$E$1:$E$250=$M$3)*--(Source!$D$1:$D$250=Pyramid!$M140),ROW(Source!$B$1:$B$250),FALSE),L$3)),"")</f>
        <v/>
      </c>
      <c r="M140" t="str">
        <f t="shared" si="8"/>
        <v>28/7/2016</v>
      </c>
      <c r="N140">
        <f ca="1">COUNTIFS(Source!B:B,Pyramid!$O140,Source!$D:$D,Pyramid!$M140,Source!$E:$E,Pyramid!$M$3)</f>
        <v>0</v>
      </c>
      <c r="O140">
        <f ca="1">OFFSET(Sheet2!$N$3,INT(C140/5),)</f>
        <v>19408</v>
      </c>
      <c r="P140">
        <f ca="1">COUNTIFS(Source!B:B,Pyramid!$O140,Source!D:D,Pyramid!$Q140,Source!$E:$E,Pyramid!$Q$3)</f>
        <v>1</v>
      </c>
      <c r="Q140" t="str">
        <f t="shared" si="8"/>
        <v>28/7/2016</v>
      </c>
      <c r="R140" t="str">
        <f t="array" aca="1" ref="R140" ca="1">IFERROR(INDEX(Source!$A$1:$A$250,SMALL(IF(--(Source!$B$1:$B$250=$O140)*--(Source!$E$1:$E$250=$Q$3)*--(Source!$D$1:$D$250=Pyramid!$Q140),ROW(Source!$B$1:$B$250),FALSE),R$3)),"")</f>
        <v>26147 HK Equity</v>
      </c>
      <c r="S140" t="str">
        <f t="array" aca="1" ref="S140" ca="1">IFERROR(INDEX(Source!$A$1:$A$250,SMALL(IF(--(Source!$B$1:$B$250=$O140)*--(Source!$E$1:$E$250=$Q$3)*--(Source!$D$1:$D$250=Pyramid!$Q140),ROW(Source!$B$1:$B$250),FALSE),S$3)),"")</f>
        <v/>
      </c>
      <c r="T140" t="str">
        <f t="array" aca="1" ref="T140" ca="1">IFERROR(INDEX(Source!$A$1:$A$250,SMALL(IF(--(Source!$B$1:$B$250=$O140)*--(Source!$E$1:$E$250=$Q$3)*--(Source!$D$1:$D$250=Pyramid!$Q140),ROW(Source!$B$1:$B$250),FALSE),T$3)),"")</f>
        <v/>
      </c>
      <c r="U140" t="str">
        <f t="array" aca="1" ref="U140" ca="1">IFERROR(INDEX(Source!$A$1:$A$250,SMALL(IF(--(Source!$B$1:$B$250=$O140)*--(Source!$E$1:$E$250=$Q$3)*--(Source!$D$1:$D$250=Pyramid!$Q140),ROW(Source!$B$1:$B$250),FALSE),U$3)),"")</f>
        <v/>
      </c>
      <c r="V140" t="str">
        <f t="array" aca="1" ref="V140" ca="1">IFERROR(INDEX(Source!$A$1:$A$250,SMALL(IF(--(Source!$B$1:$B$250=$O140)*--(Source!$E$1:$E$250=$Q$3)*--(Source!$D$1:$D$250=Pyramid!$Q140),ROW(Source!$B$1:$B$250),FALSE),V$3)),"")</f>
        <v/>
      </c>
      <c r="W140" t="str">
        <f t="array" aca="1" ref="W140" ca="1">IFERROR(INDEX(Source!$A$1:$A$250,SMALL(IF(--(Source!$B$1:$B$250=$O140)*--(Source!$E$1:$E$250=$Q$3)*--(Source!$D$1:$D$250=Pyramid!$Q140),ROW(Source!$B$1:$B$250),FALSE),W$3)),"")</f>
        <v/>
      </c>
      <c r="X140" t="str">
        <f t="array" aca="1" ref="X140" ca="1">IFERROR(INDEX(Source!$A$1:$A$250,SMALL(IF(--(Source!$B$1:$B$250=$O140)*--(Source!$E$1:$E$250=$Q$3)*--(Source!$D$1:$D$250=Pyramid!$Q140),ROW(Source!$B$1:$B$250),FALSE),X$3)),"")</f>
        <v/>
      </c>
      <c r="Y140" s="5">
        <f t="shared" ca="1" si="9"/>
        <v>0</v>
      </c>
    </row>
    <row r="141" spans="3:25">
      <c r="C141">
        <v>137</v>
      </c>
      <c r="D141" s="5">
        <f t="shared" ca="1" si="7"/>
        <v>0</v>
      </c>
      <c r="E141" t="str">
        <f t="array" aca="1" ref="E141" ca="1">IFERROR(INDEX(Source!$A$1:$A$250,SMALL(IF(--(Source!$B$1:$B$250=$O141)*--(Source!$E$1:$E$250=$M$3)*--(Source!$D$1:$D$250=Pyramid!$M141),ROW(Source!$B$1:$B$250),FALSE),E$3)),"")</f>
        <v/>
      </c>
      <c r="F141" t="str">
        <f t="array" aca="1" ref="F141" ca="1">IFERROR(INDEX(Source!$A$1:$A$250,SMALL(IF(--(Source!$B$1:$B$250=$O141)*--(Source!$E$1:$E$250=$M$3)*--(Source!$D$1:$D$250=Pyramid!$M141),ROW(Source!$B$1:$B$250),FALSE),F$3)),"")</f>
        <v/>
      </c>
      <c r="G141" t="str">
        <f t="array" aca="1" ref="G141" ca="1">IFERROR(INDEX(Source!$A$1:$A$250,SMALL(IF(--(Source!$B$1:$B$250=$O141)*--(Source!$E$1:$E$250=$M$3)*--(Source!$D$1:$D$250=Pyramid!$M141),ROW(Source!$B$1:$B$250),FALSE),G$3)),"")</f>
        <v/>
      </c>
      <c r="H141" t="str">
        <f t="array" aca="1" ref="H141" ca="1">IFERROR(INDEX(Source!$A$1:$A$250,SMALL(IF(--(Source!$B$1:$B$250=$O141)*--(Source!$E$1:$E$250=$M$3)*--(Source!$D$1:$D$250=Pyramid!$M141),ROW(Source!$B$1:$B$250),FALSE),H$3)),"")</f>
        <v/>
      </c>
      <c r="I141" t="str">
        <f t="array" aca="1" ref="I141" ca="1">IFERROR(INDEX(Source!$A$1:$A$250,SMALL(IF(--(Source!$B$1:$B$250=$O141)*--(Source!$E$1:$E$250=$M$3)*--(Source!$D$1:$D$250=Pyramid!$M141),ROW(Source!$B$1:$B$250),FALSE),I$3)),"")</f>
        <v/>
      </c>
      <c r="J141" t="str">
        <f t="array" aca="1" ref="J141" ca="1">IFERROR(INDEX(Source!$A$1:$A$250,SMALL(IF(--(Source!$B$1:$B$250=$O141)*--(Source!$E$1:$E$250=$M$3)*--(Source!$D$1:$D$250=Pyramid!$M141),ROW(Source!$B$1:$B$250),FALSE),J$3)),"")</f>
        <v/>
      </c>
      <c r="K141" t="str">
        <f t="array" aca="1" ref="K141" ca="1">IFERROR(INDEX(Source!$A$1:$A$250,SMALL(IF(--(Source!$B$1:$B$250=$O141)*--(Source!$E$1:$E$250=$M$3)*--(Source!$D$1:$D$250=Pyramid!$M141),ROW(Source!$B$1:$B$250),FALSE),K$3)),"")</f>
        <v/>
      </c>
      <c r="L141" t="str">
        <f t="array" aca="1" ref="L141" ca="1">IFERROR(INDEX(Source!$A$1:$A$250,SMALL(IF(--(Source!$B$1:$B$250=$O141)*--(Source!$E$1:$E$250=$M$3)*--(Source!$D$1:$D$250=Pyramid!$M141),ROW(Source!$B$1:$B$250),FALSE),L$3)),"")</f>
        <v/>
      </c>
      <c r="M141" t="str">
        <f t="shared" si="8"/>
        <v>30/8/2016</v>
      </c>
      <c r="N141">
        <f ca="1">COUNTIFS(Source!B:B,Pyramid!$O141,Source!$D:$D,Pyramid!$M141,Source!$E:$E,Pyramid!$M$3)</f>
        <v>0</v>
      </c>
      <c r="O141">
        <f ca="1">OFFSET(Sheet2!$N$3,INT(C141/5),)</f>
        <v>19408</v>
      </c>
      <c r="P141">
        <f ca="1">COUNTIFS(Source!B:B,Pyramid!$O141,Source!D:D,Pyramid!$Q141,Source!$E:$E,Pyramid!$Q$3)</f>
        <v>0</v>
      </c>
      <c r="Q141" t="str">
        <f t="shared" si="8"/>
        <v>30/8/2016</v>
      </c>
      <c r="R141" t="str">
        <f t="array" aca="1" ref="R141" ca="1">IFERROR(INDEX(Source!$A$1:$A$250,SMALL(IF(--(Source!$B$1:$B$250=$O141)*--(Source!$E$1:$E$250=$Q$3)*--(Source!$D$1:$D$250=Pyramid!$Q141),ROW(Source!$B$1:$B$250),FALSE),R$3)),"")</f>
        <v/>
      </c>
      <c r="S141" t="str">
        <f t="array" aca="1" ref="S141" ca="1">IFERROR(INDEX(Source!$A$1:$A$250,SMALL(IF(--(Source!$B$1:$B$250=$O141)*--(Source!$E$1:$E$250=$Q$3)*--(Source!$D$1:$D$250=Pyramid!$Q141),ROW(Source!$B$1:$B$250),FALSE),S$3)),"")</f>
        <v/>
      </c>
      <c r="T141" t="str">
        <f t="array" aca="1" ref="T141" ca="1">IFERROR(INDEX(Source!$A$1:$A$250,SMALL(IF(--(Source!$B$1:$B$250=$O141)*--(Source!$E$1:$E$250=$Q$3)*--(Source!$D$1:$D$250=Pyramid!$Q141),ROW(Source!$B$1:$B$250),FALSE),T$3)),"")</f>
        <v/>
      </c>
      <c r="U141" t="str">
        <f t="array" aca="1" ref="U141" ca="1">IFERROR(INDEX(Source!$A$1:$A$250,SMALL(IF(--(Source!$B$1:$B$250=$O141)*--(Source!$E$1:$E$250=$Q$3)*--(Source!$D$1:$D$250=Pyramid!$Q141),ROW(Source!$B$1:$B$250),FALSE),U$3)),"")</f>
        <v/>
      </c>
      <c r="V141" t="str">
        <f t="array" aca="1" ref="V141" ca="1">IFERROR(INDEX(Source!$A$1:$A$250,SMALL(IF(--(Source!$B$1:$B$250=$O141)*--(Source!$E$1:$E$250=$Q$3)*--(Source!$D$1:$D$250=Pyramid!$Q141),ROW(Source!$B$1:$B$250),FALSE),V$3)),"")</f>
        <v/>
      </c>
      <c r="W141" t="str">
        <f t="array" aca="1" ref="W141" ca="1">IFERROR(INDEX(Source!$A$1:$A$250,SMALL(IF(--(Source!$B$1:$B$250=$O141)*--(Source!$E$1:$E$250=$Q$3)*--(Source!$D$1:$D$250=Pyramid!$Q141),ROW(Source!$B$1:$B$250),FALSE),W$3)),"")</f>
        <v/>
      </c>
      <c r="X141" t="str">
        <f t="array" aca="1" ref="X141" ca="1">IFERROR(INDEX(Source!$A$1:$A$250,SMALL(IF(--(Source!$B$1:$B$250=$O141)*--(Source!$E$1:$E$250=$Q$3)*--(Source!$D$1:$D$250=Pyramid!$Q141),ROW(Source!$B$1:$B$250),FALSE),X$3)),"")</f>
        <v/>
      </c>
      <c r="Y141" s="5">
        <f t="shared" ca="1" si="9"/>
        <v>0</v>
      </c>
    </row>
    <row r="142" spans="3:25">
      <c r="C142">
        <v>138</v>
      </c>
      <c r="D142" s="5">
        <f t="shared" ca="1" si="7"/>
        <v>0</v>
      </c>
      <c r="E142" t="str">
        <f t="array" aca="1" ref="E142" ca="1">IFERROR(INDEX(Source!$A$1:$A$250,SMALL(IF(--(Source!$B$1:$B$250=$O142)*--(Source!$E$1:$E$250=$M$3)*--(Source!$D$1:$D$250=Pyramid!$M142),ROW(Source!$B$1:$B$250),FALSE),E$3)),"")</f>
        <v/>
      </c>
      <c r="F142" t="str">
        <f t="array" aca="1" ref="F142" ca="1">IFERROR(INDEX(Source!$A$1:$A$250,SMALL(IF(--(Source!$B$1:$B$250=$O142)*--(Source!$E$1:$E$250=$M$3)*--(Source!$D$1:$D$250=Pyramid!$M142),ROW(Source!$B$1:$B$250),FALSE),F$3)),"")</f>
        <v/>
      </c>
      <c r="G142" t="str">
        <f t="array" aca="1" ref="G142" ca="1">IFERROR(INDEX(Source!$A$1:$A$250,SMALL(IF(--(Source!$B$1:$B$250=$O142)*--(Source!$E$1:$E$250=$M$3)*--(Source!$D$1:$D$250=Pyramid!$M142),ROW(Source!$B$1:$B$250),FALSE),G$3)),"")</f>
        <v/>
      </c>
      <c r="H142" t="str">
        <f t="array" aca="1" ref="H142" ca="1">IFERROR(INDEX(Source!$A$1:$A$250,SMALL(IF(--(Source!$B$1:$B$250=$O142)*--(Source!$E$1:$E$250=$M$3)*--(Source!$D$1:$D$250=Pyramid!$M142),ROW(Source!$B$1:$B$250),FALSE),H$3)),"")</f>
        <v/>
      </c>
      <c r="I142" t="str">
        <f t="array" aca="1" ref="I142" ca="1">IFERROR(INDEX(Source!$A$1:$A$250,SMALL(IF(--(Source!$B$1:$B$250=$O142)*--(Source!$E$1:$E$250=$M$3)*--(Source!$D$1:$D$250=Pyramid!$M142),ROW(Source!$B$1:$B$250),FALSE),I$3)),"")</f>
        <v/>
      </c>
      <c r="J142" t="str">
        <f t="array" aca="1" ref="J142" ca="1">IFERROR(INDEX(Source!$A$1:$A$250,SMALL(IF(--(Source!$B$1:$B$250=$O142)*--(Source!$E$1:$E$250=$M$3)*--(Source!$D$1:$D$250=Pyramid!$M142),ROW(Source!$B$1:$B$250),FALSE),J$3)),"")</f>
        <v/>
      </c>
      <c r="K142" t="str">
        <f t="array" aca="1" ref="K142" ca="1">IFERROR(INDEX(Source!$A$1:$A$250,SMALL(IF(--(Source!$B$1:$B$250=$O142)*--(Source!$E$1:$E$250=$M$3)*--(Source!$D$1:$D$250=Pyramid!$M142),ROW(Source!$B$1:$B$250),FALSE),K$3)),"")</f>
        <v/>
      </c>
      <c r="L142" t="str">
        <f t="array" aca="1" ref="L142" ca="1">IFERROR(INDEX(Source!$A$1:$A$250,SMALL(IF(--(Source!$B$1:$B$250=$O142)*--(Source!$E$1:$E$250=$M$3)*--(Source!$D$1:$D$250=Pyramid!$M142),ROW(Source!$B$1:$B$250),FALSE),L$3)),"")</f>
        <v/>
      </c>
      <c r="M142" t="str">
        <f t="shared" si="8"/>
        <v>29/9/2016</v>
      </c>
      <c r="N142">
        <f ca="1">COUNTIFS(Source!B:B,Pyramid!$O142,Source!$D:$D,Pyramid!$M142,Source!$E:$E,Pyramid!$M$3)</f>
        <v>0</v>
      </c>
      <c r="O142">
        <f ca="1">OFFSET(Sheet2!$N$3,INT(C142/5),)</f>
        <v>19408</v>
      </c>
      <c r="P142">
        <f ca="1">COUNTIFS(Source!B:B,Pyramid!$O142,Source!D:D,Pyramid!$Q142,Source!$E:$E,Pyramid!$Q$3)</f>
        <v>0</v>
      </c>
      <c r="Q142" t="str">
        <f t="shared" si="8"/>
        <v>29/9/2016</v>
      </c>
      <c r="R142" t="str">
        <f t="array" aca="1" ref="R142" ca="1">IFERROR(INDEX(Source!$A$1:$A$250,SMALL(IF(--(Source!$B$1:$B$250=$O142)*--(Source!$E$1:$E$250=$Q$3)*--(Source!$D$1:$D$250=Pyramid!$Q142),ROW(Source!$B$1:$B$250),FALSE),R$3)),"")</f>
        <v/>
      </c>
      <c r="S142" t="str">
        <f t="array" aca="1" ref="S142" ca="1">IFERROR(INDEX(Source!$A$1:$A$250,SMALL(IF(--(Source!$B$1:$B$250=$O142)*--(Source!$E$1:$E$250=$Q$3)*--(Source!$D$1:$D$250=Pyramid!$Q142),ROW(Source!$B$1:$B$250),FALSE),S$3)),"")</f>
        <v/>
      </c>
      <c r="T142" t="str">
        <f t="array" aca="1" ref="T142" ca="1">IFERROR(INDEX(Source!$A$1:$A$250,SMALL(IF(--(Source!$B$1:$B$250=$O142)*--(Source!$E$1:$E$250=$Q$3)*--(Source!$D$1:$D$250=Pyramid!$Q142),ROW(Source!$B$1:$B$250),FALSE),T$3)),"")</f>
        <v/>
      </c>
      <c r="U142" t="str">
        <f t="array" aca="1" ref="U142" ca="1">IFERROR(INDEX(Source!$A$1:$A$250,SMALL(IF(--(Source!$B$1:$B$250=$O142)*--(Source!$E$1:$E$250=$Q$3)*--(Source!$D$1:$D$250=Pyramid!$Q142),ROW(Source!$B$1:$B$250),FALSE),U$3)),"")</f>
        <v/>
      </c>
      <c r="V142" t="str">
        <f t="array" aca="1" ref="V142" ca="1">IFERROR(INDEX(Source!$A$1:$A$250,SMALL(IF(--(Source!$B$1:$B$250=$O142)*--(Source!$E$1:$E$250=$Q$3)*--(Source!$D$1:$D$250=Pyramid!$Q142),ROW(Source!$B$1:$B$250),FALSE),V$3)),"")</f>
        <v/>
      </c>
      <c r="W142" t="str">
        <f t="array" aca="1" ref="W142" ca="1">IFERROR(INDEX(Source!$A$1:$A$250,SMALL(IF(--(Source!$B$1:$B$250=$O142)*--(Source!$E$1:$E$250=$Q$3)*--(Source!$D$1:$D$250=Pyramid!$Q142),ROW(Source!$B$1:$B$250),FALSE),W$3)),"")</f>
        <v/>
      </c>
      <c r="X142" t="str">
        <f t="array" aca="1" ref="X142" ca="1">IFERROR(INDEX(Source!$A$1:$A$250,SMALL(IF(--(Source!$B$1:$B$250=$O142)*--(Source!$E$1:$E$250=$Q$3)*--(Source!$D$1:$D$250=Pyramid!$Q142),ROW(Source!$B$1:$B$250),FALSE),X$3)),"")</f>
        <v/>
      </c>
      <c r="Y142" s="5">
        <f t="shared" ca="1" si="9"/>
        <v>0</v>
      </c>
    </row>
    <row r="143" spans="3:25">
      <c r="C143">
        <v>139</v>
      </c>
      <c r="D143" s="5">
        <f t="shared" ca="1" si="7"/>
        <v>0</v>
      </c>
      <c r="E143" t="str">
        <f t="array" aca="1" ref="E143" ca="1">IFERROR(INDEX(Source!$A$1:$A$250,SMALL(IF(--(Source!$B$1:$B$250=$O143)*--(Source!$E$1:$E$250=$M$3)*--(Source!$D$1:$D$250=Pyramid!$M143),ROW(Source!$B$1:$B$250),FALSE),E$3)),"")</f>
        <v/>
      </c>
      <c r="F143" t="str">
        <f t="array" aca="1" ref="F143" ca="1">IFERROR(INDEX(Source!$A$1:$A$250,SMALL(IF(--(Source!$B$1:$B$250=$O143)*--(Source!$E$1:$E$250=$M$3)*--(Source!$D$1:$D$250=Pyramid!$M143),ROW(Source!$B$1:$B$250),FALSE),F$3)),"")</f>
        <v/>
      </c>
      <c r="G143" t="str">
        <f t="array" aca="1" ref="G143" ca="1">IFERROR(INDEX(Source!$A$1:$A$250,SMALL(IF(--(Source!$B$1:$B$250=$O143)*--(Source!$E$1:$E$250=$M$3)*--(Source!$D$1:$D$250=Pyramid!$M143),ROW(Source!$B$1:$B$250),FALSE),G$3)),"")</f>
        <v/>
      </c>
      <c r="H143" t="str">
        <f t="array" aca="1" ref="H143" ca="1">IFERROR(INDEX(Source!$A$1:$A$250,SMALL(IF(--(Source!$B$1:$B$250=$O143)*--(Source!$E$1:$E$250=$M$3)*--(Source!$D$1:$D$250=Pyramid!$M143),ROW(Source!$B$1:$B$250),FALSE),H$3)),"")</f>
        <v/>
      </c>
      <c r="I143" t="str">
        <f t="array" aca="1" ref="I143" ca="1">IFERROR(INDEX(Source!$A$1:$A$250,SMALL(IF(--(Source!$B$1:$B$250=$O143)*--(Source!$E$1:$E$250=$M$3)*--(Source!$D$1:$D$250=Pyramid!$M143),ROW(Source!$B$1:$B$250),FALSE),I$3)),"")</f>
        <v/>
      </c>
      <c r="J143" t="str">
        <f t="array" aca="1" ref="J143" ca="1">IFERROR(INDEX(Source!$A$1:$A$250,SMALL(IF(--(Source!$B$1:$B$250=$O143)*--(Source!$E$1:$E$250=$M$3)*--(Source!$D$1:$D$250=Pyramid!$M143),ROW(Source!$B$1:$B$250),FALSE),J$3)),"")</f>
        <v/>
      </c>
      <c r="K143" t="str">
        <f t="array" aca="1" ref="K143" ca="1">IFERROR(INDEX(Source!$A$1:$A$250,SMALL(IF(--(Source!$B$1:$B$250=$O143)*--(Source!$E$1:$E$250=$M$3)*--(Source!$D$1:$D$250=Pyramid!$M143),ROW(Source!$B$1:$B$250),FALSE),K$3)),"")</f>
        <v/>
      </c>
      <c r="L143" t="str">
        <f t="array" aca="1" ref="L143" ca="1">IFERROR(INDEX(Source!$A$1:$A$250,SMALL(IF(--(Source!$B$1:$B$250=$O143)*--(Source!$E$1:$E$250=$M$3)*--(Source!$D$1:$D$250=Pyramid!$M143),ROW(Source!$B$1:$B$250),FALSE),L$3)),"")</f>
        <v/>
      </c>
      <c r="M143" t="str">
        <f t="shared" si="8"/>
        <v>28/10/2016</v>
      </c>
      <c r="N143">
        <f ca="1">COUNTIFS(Source!B:B,Pyramid!$O143,Source!$D:$D,Pyramid!$M143,Source!$E:$E,Pyramid!$M$3)</f>
        <v>0</v>
      </c>
      <c r="O143">
        <f ca="1">OFFSET(Sheet2!$N$3,INT(C143/5),)</f>
        <v>19408</v>
      </c>
      <c r="P143">
        <f ca="1">COUNTIFS(Source!B:B,Pyramid!$O143,Source!D:D,Pyramid!$Q143,Source!$E:$E,Pyramid!$Q$3)</f>
        <v>0</v>
      </c>
      <c r="Q143" t="str">
        <f t="shared" si="8"/>
        <v>28/10/2016</v>
      </c>
      <c r="R143" t="str">
        <f t="array" aca="1" ref="R143" ca="1">IFERROR(INDEX(Source!$A$1:$A$250,SMALL(IF(--(Source!$B$1:$B$250=$O143)*--(Source!$E$1:$E$250=$Q$3)*--(Source!$D$1:$D$250=Pyramid!$Q143),ROW(Source!$B$1:$B$250),FALSE),R$3)),"")</f>
        <v/>
      </c>
      <c r="S143" t="str">
        <f t="array" aca="1" ref="S143" ca="1">IFERROR(INDEX(Source!$A$1:$A$250,SMALL(IF(--(Source!$B$1:$B$250=$O143)*--(Source!$E$1:$E$250=$Q$3)*--(Source!$D$1:$D$250=Pyramid!$Q143),ROW(Source!$B$1:$B$250),FALSE),S$3)),"")</f>
        <v/>
      </c>
      <c r="T143" t="str">
        <f t="array" aca="1" ref="T143" ca="1">IFERROR(INDEX(Source!$A$1:$A$250,SMALL(IF(--(Source!$B$1:$B$250=$O143)*--(Source!$E$1:$E$250=$Q$3)*--(Source!$D$1:$D$250=Pyramid!$Q143),ROW(Source!$B$1:$B$250),FALSE),T$3)),"")</f>
        <v/>
      </c>
      <c r="U143" t="str">
        <f t="array" aca="1" ref="U143" ca="1">IFERROR(INDEX(Source!$A$1:$A$250,SMALL(IF(--(Source!$B$1:$B$250=$O143)*--(Source!$E$1:$E$250=$Q$3)*--(Source!$D$1:$D$250=Pyramid!$Q143),ROW(Source!$B$1:$B$250),FALSE),U$3)),"")</f>
        <v/>
      </c>
      <c r="V143" t="str">
        <f t="array" aca="1" ref="V143" ca="1">IFERROR(INDEX(Source!$A$1:$A$250,SMALL(IF(--(Source!$B$1:$B$250=$O143)*--(Source!$E$1:$E$250=$Q$3)*--(Source!$D$1:$D$250=Pyramid!$Q143),ROW(Source!$B$1:$B$250),FALSE),V$3)),"")</f>
        <v/>
      </c>
      <c r="W143" t="str">
        <f t="array" aca="1" ref="W143" ca="1">IFERROR(INDEX(Source!$A$1:$A$250,SMALL(IF(--(Source!$B$1:$B$250=$O143)*--(Source!$E$1:$E$250=$Q$3)*--(Source!$D$1:$D$250=Pyramid!$Q143),ROW(Source!$B$1:$B$250),FALSE),W$3)),"")</f>
        <v/>
      </c>
      <c r="X143" t="str">
        <f t="array" aca="1" ref="X143" ca="1">IFERROR(INDEX(Source!$A$1:$A$250,SMALL(IF(--(Source!$B$1:$B$250=$O143)*--(Source!$E$1:$E$250=$Q$3)*--(Source!$D$1:$D$250=Pyramid!$Q143),ROW(Source!$B$1:$B$250),FALSE),X$3)),"")</f>
        <v/>
      </c>
      <c r="Y143" s="5">
        <f t="shared" ca="1" si="9"/>
        <v>0</v>
      </c>
    </row>
    <row r="144" spans="3:25">
      <c r="C144">
        <v>140</v>
      </c>
      <c r="D144" s="5">
        <f t="shared" ca="1" si="7"/>
        <v>0</v>
      </c>
      <c r="E144" t="str">
        <f t="array" aca="1" ref="E144" ca="1">IFERROR(INDEX(Source!$A$1:$A$250,SMALL(IF(--(Source!$B$1:$B$250=$O144)*--(Source!$E$1:$E$250=$M$3)*--(Source!$D$1:$D$250=Pyramid!$M144),ROW(Source!$B$1:$B$250),FALSE),E$3)),"")</f>
        <v/>
      </c>
      <c r="F144" t="str">
        <f t="array" aca="1" ref="F144" ca="1">IFERROR(INDEX(Source!$A$1:$A$250,SMALL(IF(--(Source!$B$1:$B$250=$O144)*--(Source!$E$1:$E$250=$M$3)*--(Source!$D$1:$D$250=Pyramid!$M144),ROW(Source!$B$1:$B$250),FALSE),F$3)),"")</f>
        <v/>
      </c>
      <c r="G144" t="str">
        <f t="array" aca="1" ref="G144" ca="1">IFERROR(INDEX(Source!$A$1:$A$250,SMALL(IF(--(Source!$B$1:$B$250=$O144)*--(Source!$E$1:$E$250=$M$3)*--(Source!$D$1:$D$250=Pyramid!$M144),ROW(Source!$B$1:$B$250),FALSE),G$3)),"")</f>
        <v/>
      </c>
      <c r="H144" t="str">
        <f t="array" aca="1" ref="H144" ca="1">IFERROR(INDEX(Source!$A$1:$A$250,SMALL(IF(--(Source!$B$1:$B$250=$O144)*--(Source!$E$1:$E$250=$M$3)*--(Source!$D$1:$D$250=Pyramid!$M144),ROW(Source!$B$1:$B$250),FALSE),H$3)),"")</f>
        <v/>
      </c>
      <c r="I144" t="str">
        <f t="array" aca="1" ref="I144" ca="1">IFERROR(INDEX(Source!$A$1:$A$250,SMALL(IF(--(Source!$B$1:$B$250=$O144)*--(Source!$E$1:$E$250=$M$3)*--(Source!$D$1:$D$250=Pyramid!$M144),ROW(Source!$B$1:$B$250),FALSE),I$3)),"")</f>
        <v/>
      </c>
      <c r="J144" t="str">
        <f t="array" aca="1" ref="J144" ca="1">IFERROR(INDEX(Source!$A$1:$A$250,SMALL(IF(--(Source!$B$1:$B$250=$O144)*--(Source!$E$1:$E$250=$M$3)*--(Source!$D$1:$D$250=Pyramid!$M144),ROW(Source!$B$1:$B$250),FALSE),J$3)),"")</f>
        <v/>
      </c>
      <c r="K144" t="str">
        <f t="array" aca="1" ref="K144" ca="1">IFERROR(INDEX(Source!$A$1:$A$250,SMALL(IF(--(Source!$B$1:$B$250=$O144)*--(Source!$E$1:$E$250=$M$3)*--(Source!$D$1:$D$250=Pyramid!$M144),ROW(Source!$B$1:$B$250),FALSE),K$3)),"")</f>
        <v/>
      </c>
      <c r="L144" t="str">
        <f t="array" aca="1" ref="L144" ca="1">IFERROR(INDEX(Source!$A$1:$A$250,SMALL(IF(--(Source!$B$1:$B$250=$O144)*--(Source!$E$1:$E$250=$M$3)*--(Source!$D$1:$D$250=Pyramid!$M144),ROW(Source!$B$1:$B$250),FALSE),L$3)),"")</f>
        <v/>
      </c>
      <c r="M144" t="str">
        <f t="shared" si="8"/>
        <v>29/6/2016</v>
      </c>
      <c r="N144">
        <f ca="1">COUNTIFS(Source!B:B,Pyramid!$O144,Source!$D:$D,Pyramid!$M144,Source!$E:$E,Pyramid!$M$3)</f>
        <v>0</v>
      </c>
      <c r="O144">
        <f ca="1">OFFSET(Sheet2!$N$3,INT(C144/5),)</f>
        <v>19488</v>
      </c>
      <c r="P144">
        <f ca="1">COUNTIFS(Source!B:B,Pyramid!$O144,Source!D:D,Pyramid!$Q144,Source!$E:$E,Pyramid!$Q$3)</f>
        <v>0</v>
      </c>
      <c r="Q144" t="str">
        <f t="shared" si="8"/>
        <v>29/6/2016</v>
      </c>
      <c r="R144" t="str">
        <f t="array" aca="1" ref="R144" ca="1">IFERROR(INDEX(Source!$A$1:$A$250,SMALL(IF(--(Source!$B$1:$B$250=$O144)*--(Source!$E$1:$E$250=$Q$3)*--(Source!$D$1:$D$250=Pyramid!$Q144),ROW(Source!$B$1:$B$250),FALSE),R$3)),"")</f>
        <v/>
      </c>
      <c r="S144" t="str">
        <f t="array" aca="1" ref="S144" ca="1">IFERROR(INDEX(Source!$A$1:$A$250,SMALL(IF(--(Source!$B$1:$B$250=$O144)*--(Source!$E$1:$E$250=$Q$3)*--(Source!$D$1:$D$250=Pyramid!$Q144),ROW(Source!$B$1:$B$250),FALSE),S$3)),"")</f>
        <v/>
      </c>
      <c r="T144" t="str">
        <f t="array" aca="1" ref="T144" ca="1">IFERROR(INDEX(Source!$A$1:$A$250,SMALL(IF(--(Source!$B$1:$B$250=$O144)*--(Source!$E$1:$E$250=$Q$3)*--(Source!$D$1:$D$250=Pyramid!$Q144),ROW(Source!$B$1:$B$250),FALSE),T$3)),"")</f>
        <v/>
      </c>
      <c r="U144" t="str">
        <f t="array" aca="1" ref="U144" ca="1">IFERROR(INDEX(Source!$A$1:$A$250,SMALL(IF(--(Source!$B$1:$B$250=$O144)*--(Source!$E$1:$E$250=$Q$3)*--(Source!$D$1:$D$250=Pyramid!$Q144),ROW(Source!$B$1:$B$250),FALSE),U$3)),"")</f>
        <v/>
      </c>
      <c r="V144" t="str">
        <f t="array" aca="1" ref="V144" ca="1">IFERROR(INDEX(Source!$A$1:$A$250,SMALL(IF(--(Source!$B$1:$B$250=$O144)*--(Source!$E$1:$E$250=$Q$3)*--(Source!$D$1:$D$250=Pyramid!$Q144),ROW(Source!$B$1:$B$250),FALSE),V$3)),"")</f>
        <v/>
      </c>
      <c r="W144" t="str">
        <f t="array" aca="1" ref="W144" ca="1">IFERROR(INDEX(Source!$A$1:$A$250,SMALL(IF(--(Source!$B$1:$B$250=$O144)*--(Source!$E$1:$E$250=$Q$3)*--(Source!$D$1:$D$250=Pyramid!$Q144),ROW(Source!$B$1:$B$250),FALSE),W$3)),"")</f>
        <v/>
      </c>
      <c r="X144" t="str">
        <f t="array" aca="1" ref="X144" ca="1">IFERROR(INDEX(Source!$A$1:$A$250,SMALL(IF(--(Source!$B$1:$B$250=$O144)*--(Source!$E$1:$E$250=$Q$3)*--(Source!$D$1:$D$250=Pyramid!$Q144),ROW(Source!$B$1:$B$250),FALSE),X$3)),"")</f>
        <v/>
      </c>
      <c r="Y144" s="5">
        <f t="shared" ca="1" si="9"/>
        <v>0</v>
      </c>
    </row>
    <row r="145" spans="3:25">
      <c r="C145">
        <v>141</v>
      </c>
      <c r="D145" s="5">
        <f t="shared" ca="1" si="7"/>
        <v>0</v>
      </c>
      <c r="E145" t="str">
        <f t="array" aca="1" ref="E145" ca="1">IFERROR(INDEX(Source!$A$1:$A$250,SMALL(IF(--(Source!$B$1:$B$250=$O145)*--(Source!$E$1:$E$250=$M$3)*--(Source!$D$1:$D$250=Pyramid!$M145),ROW(Source!$B$1:$B$250),FALSE),E$3)),"")</f>
        <v/>
      </c>
      <c r="F145" t="str">
        <f t="array" aca="1" ref="F145" ca="1">IFERROR(INDEX(Source!$A$1:$A$250,SMALL(IF(--(Source!$B$1:$B$250=$O145)*--(Source!$E$1:$E$250=$M$3)*--(Source!$D$1:$D$250=Pyramid!$M145),ROW(Source!$B$1:$B$250),FALSE),F$3)),"")</f>
        <v/>
      </c>
      <c r="G145" t="str">
        <f t="array" aca="1" ref="G145" ca="1">IFERROR(INDEX(Source!$A$1:$A$250,SMALL(IF(--(Source!$B$1:$B$250=$O145)*--(Source!$E$1:$E$250=$M$3)*--(Source!$D$1:$D$250=Pyramid!$M145),ROW(Source!$B$1:$B$250),FALSE),G$3)),"")</f>
        <v/>
      </c>
      <c r="H145" t="str">
        <f t="array" aca="1" ref="H145" ca="1">IFERROR(INDEX(Source!$A$1:$A$250,SMALL(IF(--(Source!$B$1:$B$250=$O145)*--(Source!$E$1:$E$250=$M$3)*--(Source!$D$1:$D$250=Pyramid!$M145),ROW(Source!$B$1:$B$250),FALSE),H$3)),"")</f>
        <v/>
      </c>
      <c r="I145" t="str">
        <f t="array" aca="1" ref="I145" ca="1">IFERROR(INDEX(Source!$A$1:$A$250,SMALL(IF(--(Source!$B$1:$B$250=$O145)*--(Source!$E$1:$E$250=$M$3)*--(Source!$D$1:$D$250=Pyramid!$M145),ROW(Source!$B$1:$B$250),FALSE),I$3)),"")</f>
        <v/>
      </c>
      <c r="J145" t="str">
        <f t="array" aca="1" ref="J145" ca="1">IFERROR(INDEX(Source!$A$1:$A$250,SMALL(IF(--(Source!$B$1:$B$250=$O145)*--(Source!$E$1:$E$250=$M$3)*--(Source!$D$1:$D$250=Pyramid!$M145),ROW(Source!$B$1:$B$250),FALSE),J$3)),"")</f>
        <v/>
      </c>
      <c r="K145" t="str">
        <f t="array" aca="1" ref="K145" ca="1">IFERROR(INDEX(Source!$A$1:$A$250,SMALL(IF(--(Source!$B$1:$B$250=$O145)*--(Source!$E$1:$E$250=$M$3)*--(Source!$D$1:$D$250=Pyramid!$M145),ROW(Source!$B$1:$B$250),FALSE),K$3)),"")</f>
        <v/>
      </c>
      <c r="L145" t="str">
        <f t="array" aca="1" ref="L145" ca="1">IFERROR(INDEX(Source!$A$1:$A$250,SMALL(IF(--(Source!$B$1:$B$250=$O145)*--(Source!$E$1:$E$250=$M$3)*--(Source!$D$1:$D$250=Pyramid!$M145),ROW(Source!$B$1:$B$250),FALSE),L$3)),"")</f>
        <v>25909 HK Equity</v>
      </c>
      <c r="M145" t="str">
        <f t="shared" si="8"/>
        <v>28/7/2016</v>
      </c>
      <c r="N145">
        <f ca="1">COUNTIFS(Source!B:B,Pyramid!$O145,Source!$D:$D,Pyramid!$M145,Source!$E:$E,Pyramid!$M$3)</f>
        <v>1</v>
      </c>
      <c r="O145">
        <f ca="1">OFFSET(Sheet2!$N$3,INT(C145/5),)</f>
        <v>19488</v>
      </c>
      <c r="P145">
        <f ca="1">COUNTIFS(Source!B:B,Pyramid!$O145,Source!D:D,Pyramid!$Q145,Source!$E:$E,Pyramid!$Q$3)</f>
        <v>0</v>
      </c>
      <c r="Q145" t="str">
        <f t="shared" si="8"/>
        <v>28/7/2016</v>
      </c>
      <c r="R145" t="str">
        <f t="array" aca="1" ref="R145" ca="1">IFERROR(INDEX(Source!$A$1:$A$250,SMALL(IF(--(Source!$B$1:$B$250=$O145)*--(Source!$E$1:$E$250=$Q$3)*--(Source!$D$1:$D$250=Pyramid!$Q145),ROW(Source!$B$1:$B$250),FALSE),R$3)),"")</f>
        <v/>
      </c>
      <c r="S145" t="str">
        <f t="array" aca="1" ref="S145" ca="1">IFERROR(INDEX(Source!$A$1:$A$250,SMALL(IF(--(Source!$B$1:$B$250=$O145)*--(Source!$E$1:$E$250=$Q$3)*--(Source!$D$1:$D$250=Pyramid!$Q145),ROW(Source!$B$1:$B$250),FALSE),S$3)),"")</f>
        <v/>
      </c>
      <c r="T145" t="str">
        <f t="array" aca="1" ref="T145" ca="1">IFERROR(INDEX(Source!$A$1:$A$250,SMALL(IF(--(Source!$B$1:$B$250=$O145)*--(Source!$E$1:$E$250=$Q$3)*--(Source!$D$1:$D$250=Pyramid!$Q145),ROW(Source!$B$1:$B$250),FALSE),T$3)),"")</f>
        <v/>
      </c>
      <c r="U145" t="str">
        <f t="array" aca="1" ref="U145" ca="1">IFERROR(INDEX(Source!$A$1:$A$250,SMALL(IF(--(Source!$B$1:$B$250=$O145)*--(Source!$E$1:$E$250=$Q$3)*--(Source!$D$1:$D$250=Pyramid!$Q145),ROW(Source!$B$1:$B$250),FALSE),U$3)),"")</f>
        <v/>
      </c>
      <c r="V145" t="str">
        <f t="array" aca="1" ref="V145" ca="1">IFERROR(INDEX(Source!$A$1:$A$250,SMALL(IF(--(Source!$B$1:$B$250=$O145)*--(Source!$E$1:$E$250=$Q$3)*--(Source!$D$1:$D$250=Pyramid!$Q145),ROW(Source!$B$1:$B$250),FALSE),V$3)),"")</f>
        <v/>
      </c>
      <c r="W145" t="str">
        <f t="array" aca="1" ref="W145" ca="1">IFERROR(INDEX(Source!$A$1:$A$250,SMALL(IF(--(Source!$B$1:$B$250=$O145)*--(Source!$E$1:$E$250=$Q$3)*--(Source!$D$1:$D$250=Pyramid!$Q145),ROW(Source!$B$1:$B$250),FALSE),W$3)),"")</f>
        <v/>
      </c>
      <c r="X145" t="str">
        <f t="array" aca="1" ref="X145" ca="1">IFERROR(INDEX(Source!$A$1:$A$250,SMALL(IF(--(Source!$B$1:$B$250=$O145)*--(Source!$E$1:$E$250=$Q$3)*--(Source!$D$1:$D$250=Pyramid!$Q145),ROW(Source!$B$1:$B$250),FALSE),X$3)),"")</f>
        <v/>
      </c>
      <c r="Y145" s="5">
        <f t="shared" ca="1" si="9"/>
        <v>0</v>
      </c>
    </row>
    <row r="146" spans="3:25">
      <c r="C146">
        <v>142</v>
      </c>
      <c r="D146" s="5">
        <f t="shared" ca="1" si="7"/>
        <v>0</v>
      </c>
      <c r="E146" t="str">
        <f t="array" aca="1" ref="E146" ca="1">IFERROR(INDEX(Source!$A$1:$A$250,SMALL(IF(--(Source!$B$1:$B$250=$O146)*--(Source!$E$1:$E$250=$M$3)*--(Source!$D$1:$D$250=Pyramid!$M146),ROW(Source!$B$1:$B$250),FALSE),E$3)),"")</f>
        <v/>
      </c>
      <c r="F146" t="str">
        <f t="array" aca="1" ref="F146" ca="1">IFERROR(INDEX(Source!$A$1:$A$250,SMALL(IF(--(Source!$B$1:$B$250=$O146)*--(Source!$E$1:$E$250=$M$3)*--(Source!$D$1:$D$250=Pyramid!$M146),ROW(Source!$B$1:$B$250),FALSE),F$3)),"")</f>
        <v/>
      </c>
      <c r="G146" t="str">
        <f t="array" aca="1" ref="G146" ca="1">IFERROR(INDEX(Source!$A$1:$A$250,SMALL(IF(--(Source!$B$1:$B$250=$O146)*--(Source!$E$1:$E$250=$M$3)*--(Source!$D$1:$D$250=Pyramid!$M146),ROW(Source!$B$1:$B$250),FALSE),G$3)),"")</f>
        <v/>
      </c>
      <c r="H146" t="str">
        <f t="array" aca="1" ref="H146" ca="1">IFERROR(INDEX(Source!$A$1:$A$250,SMALL(IF(--(Source!$B$1:$B$250=$O146)*--(Source!$E$1:$E$250=$M$3)*--(Source!$D$1:$D$250=Pyramid!$M146),ROW(Source!$B$1:$B$250),FALSE),H$3)),"")</f>
        <v/>
      </c>
      <c r="I146" t="str">
        <f t="array" aca="1" ref="I146" ca="1">IFERROR(INDEX(Source!$A$1:$A$250,SMALL(IF(--(Source!$B$1:$B$250=$O146)*--(Source!$E$1:$E$250=$M$3)*--(Source!$D$1:$D$250=Pyramid!$M146),ROW(Source!$B$1:$B$250),FALSE),I$3)),"")</f>
        <v/>
      </c>
      <c r="J146" t="str">
        <f t="array" aca="1" ref="J146" ca="1">IFERROR(INDEX(Source!$A$1:$A$250,SMALL(IF(--(Source!$B$1:$B$250=$O146)*--(Source!$E$1:$E$250=$M$3)*--(Source!$D$1:$D$250=Pyramid!$M146),ROW(Source!$B$1:$B$250),FALSE),J$3)),"")</f>
        <v/>
      </c>
      <c r="K146" t="str">
        <f t="array" aca="1" ref="K146" ca="1">IFERROR(INDEX(Source!$A$1:$A$250,SMALL(IF(--(Source!$B$1:$B$250=$O146)*--(Source!$E$1:$E$250=$M$3)*--(Source!$D$1:$D$250=Pyramid!$M146),ROW(Source!$B$1:$B$250),FALSE),K$3)),"")</f>
        <v/>
      </c>
      <c r="L146" t="str">
        <f t="array" aca="1" ref="L146" ca="1">IFERROR(INDEX(Source!$A$1:$A$250,SMALL(IF(--(Source!$B$1:$B$250=$O146)*--(Source!$E$1:$E$250=$M$3)*--(Source!$D$1:$D$250=Pyramid!$M146),ROW(Source!$B$1:$B$250),FALSE),L$3)),"")</f>
        <v/>
      </c>
      <c r="M146" t="str">
        <f t="shared" si="8"/>
        <v>30/8/2016</v>
      </c>
      <c r="N146">
        <f ca="1">COUNTIFS(Source!B:B,Pyramid!$O146,Source!$D:$D,Pyramid!$M146,Source!$E:$E,Pyramid!$M$3)</f>
        <v>0</v>
      </c>
      <c r="O146">
        <f ca="1">OFFSET(Sheet2!$N$3,INT(C146/5),)</f>
        <v>19488</v>
      </c>
      <c r="P146">
        <f ca="1">COUNTIFS(Source!B:B,Pyramid!$O146,Source!D:D,Pyramid!$Q146,Source!$E:$E,Pyramid!$Q$3)</f>
        <v>0</v>
      </c>
      <c r="Q146" t="str">
        <f t="shared" si="8"/>
        <v>30/8/2016</v>
      </c>
      <c r="R146" t="str">
        <f t="array" aca="1" ref="R146" ca="1">IFERROR(INDEX(Source!$A$1:$A$250,SMALL(IF(--(Source!$B$1:$B$250=$O146)*--(Source!$E$1:$E$250=$Q$3)*--(Source!$D$1:$D$250=Pyramid!$Q146),ROW(Source!$B$1:$B$250),FALSE),R$3)),"")</f>
        <v/>
      </c>
      <c r="S146" t="str">
        <f t="array" aca="1" ref="S146" ca="1">IFERROR(INDEX(Source!$A$1:$A$250,SMALL(IF(--(Source!$B$1:$B$250=$O146)*--(Source!$E$1:$E$250=$Q$3)*--(Source!$D$1:$D$250=Pyramid!$Q146),ROW(Source!$B$1:$B$250),FALSE),S$3)),"")</f>
        <v/>
      </c>
      <c r="T146" t="str">
        <f t="array" aca="1" ref="T146" ca="1">IFERROR(INDEX(Source!$A$1:$A$250,SMALL(IF(--(Source!$B$1:$B$250=$O146)*--(Source!$E$1:$E$250=$Q$3)*--(Source!$D$1:$D$250=Pyramid!$Q146),ROW(Source!$B$1:$B$250),FALSE),T$3)),"")</f>
        <v/>
      </c>
      <c r="U146" t="str">
        <f t="array" aca="1" ref="U146" ca="1">IFERROR(INDEX(Source!$A$1:$A$250,SMALL(IF(--(Source!$B$1:$B$250=$O146)*--(Source!$E$1:$E$250=$Q$3)*--(Source!$D$1:$D$250=Pyramid!$Q146),ROW(Source!$B$1:$B$250),FALSE),U$3)),"")</f>
        <v/>
      </c>
      <c r="V146" t="str">
        <f t="array" aca="1" ref="V146" ca="1">IFERROR(INDEX(Source!$A$1:$A$250,SMALL(IF(--(Source!$B$1:$B$250=$O146)*--(Source!$E$1:$E$250=$Q$3)*--(Source!$D$1:$D$250=Pyramid!$Q146),ROW(Source!$B$1:$B$250),FALSE),V$3)),"")</f>
        <v/>
      </c>
      <c r="W146" t="str">
        <f t="array" aca="1" ref="W146" ca="1">IFERROR(INDEX(Source!$A$1:$A$250,SMALL(IF(--(Source!$B$1:$B$250=$O146)*--(Source!$E$1:$E$250=$Q$3)*--(Source!$D$1:$D$250=Pyramid!$Q146),ROW(Source!$B$1:$B$250),FALSE),W$3)),"")</f>
        <v/>
      </c>
      <c r="X146" t="str">
        <f t="array" aca="1" ref="X146" ca="1">IFERROR(INDEX(Source!$A$1:$A$250,SMALL(IF(--(Source!$B$1:$B$250=$O146)*--(Source!$E$1:$E$250=$Q$3)*--(Source!$D$1:$D$250=Pyramid!$Q146),ROW(Source!$B$1:$B$250),FALSE),X$3)),"")</f>
        <v/>
      </c>
      <c r="Y146" s="5">
        <f t="shared" ca="1" si="9"/>
        <v>0</v>
      </c>
    </row>
    <row r="147" spans="3:25">
      <c r="C147">
        <v>143</v>
      </c>
      <c r="D147" s="5">
        <f t="shared" ca="1" si="7"/>
        <v>0</v>
      </c>
      <c r="E147" t="str">
        <f t="array" aca="1" ref="E147" ca="1">IFERROR(INDEX(Source!$A$1:$A$250,SMALL(IF(--(Source!$B$1:$B$250=$O147)*--(Source!$E$1:$E$250=$M$3)*--(Source!$D$1:$D$250=Pyramid!$M147),ROW(Source!$B$1:$B$250),FALSE),E$3)),"")</f>
        <v/>
      </c>
      <c r="F147" t="str">
        <f t="array" aca="1" ref="F147" ca="1">IFERROR(INDEX(Source!$A$1:$A$250,SMALL(IF(--(Source!$B$1:$B$250=$O147)*--(Source!$E$1:$E$250=$M$3)*--(Source!$D$1:$D$250=Pyramid!$M147),ROW(Source!$B$1:$B$250),FALSE),F$3)),"")</f>
        <v/>
      </c>
      <c r="G147" t="str">
        <f t="array" aca="1" ref="G147" ca="1">IFERROR(INDEX(Source!$A$1:$A$250,SMALL(IF(--(Source!$B$1:$B$250=$O147)*--(Source!$E$1:$E$250=$M$3)*--(Source!$D$1:$D$250=Pyramid!$M147),ROW(Source!$B$1:$B$250),FALSE),G$3)),"")</f>
        <v/>
      </c>
      <c r="H147" t="str">
        <f t="array" aca="1" ref="H147" ca="1">IFERROR(INDEX(Source!$A$1:$A$250,SMALL(IF(--(Source!$B$1:$B$250=$O147)*--(Source!$E$1:$E$250=$M$3)*--(Source!$D$1:$D$250=Pyramid!$M147),ROW(Source!$B$1:$B$250),FALSE),H$3)),"")</f>
        <v/>
      </c>
      <c r="I147" t="str">
        <f t="array" aca="1" ref="I147" ca="1">IFERROR(INDEX(Source!$A$1:$A$250,SMALL(IF(--(Source!$B$1:$B$250=$O147)*--(Source!$E$1:$E$250=$M$3)*--(Source!$D$1:$D$250=Pyramid!$M147),ROW(Source!$B$1:$B$250),FALSE),I$3)),"")</f>
        <v/>
      </c>
      <c r="J147" t="str">
        <f t="array" aca="1" ref="J147" ca="1">IFERROR(INDEX(Source!$A$1:$A$250,SMALL(IF(--(Source!$B$1:$B$250=$O147)*--(Source!$E$1:$E$250=$M$3)*--(Source!$D$1:$D$250=Pyramid!$M147),ROW(Source!$B$1:$B$250),FALSE),J$3)),"")</f>
        <v/>
      </c>
      <c r="K147" t="str">
        <f t="array" aca="1" ref="K147" ca="1">IFERROR(INDEX(Source!$A$1:$A$250,SMALL(IF(--(Source!$B$1:$B$250=$O147)*--(Source!$E$1:$E$250=$M$3)*--(Source!$D$1:$D$250=Pyramid!$M147),ROW(Source!$B$1:$B$250),FALSE),K$3)),"")</f>
        <v/>
      </c>
      <c r="L147" t="str">
        <f t="array" aca="1" ref="L147" ca="1">IFERROR(INDEX(Source!$A$1:$A$250,SMALL(IF(--(Source!$B$1:$B$250=$O147)*--(Source!$E$1:$E$250=$M$3)*--(Source!$D$1:$D$250=Pyramid!$M147),ROW(Source!$B$1:$B$250),FALSE),L$3)),"")</f>
        <v/>
      </c>
      <c r="M147" t="str">
        <f t="shared" si="8"/>
        <v>29/9/2016</v>
      </c>
      <c r="N147">
        <f ca="1">COUNTIFS(Source!B:B,Pyramid!$O147,Source!$D:$D,Pyramid!$M147,Source!$E:$E,Pyramid!$M$3)</f>
        <v>0</v>
      </c>
      <c r="O147">
        <f ca="1">OFFSET(Sheet2!$N$3,INT(C147/5),)</f>
        <v>19488</v>
      </c>
      <c r="P147">
        <f ca="1">COUNTIFS(Source!B:B,Pyramid!$O147,Source!D:D,Pyramid!$Q147,Source!$E:$E,Pyramid!$Q$3)</f>
        <v>0</v>
      </c>
      <c r="Q147" t="str">
        <f t="shared" si="8"/>
        <v>29/9/2016</v>
      </c>
      <c r="R147" t="str">
        <f t="array" aca="1" ref="R147" ca="1">IFERROR(INDEX(Source!$A$1:$A$250,SMALL(IF(--(Source!$B$1:$B$250=$O147)*--(Source!$E$1:$E$250=$Q$3)*--(Source!$D$1:$D$250=Pyramid!$Q147),ROW(Source!$B$1:$B$250),FALSE),R$3)),"")</f>
        <v/>
      </c>
      <c r="S147" t="str">
        <f t="array" aca="1" ref="S147" ca="1">IFERROR(INDEX(Source!$A$1:$A$250,SMALL(IF(--(Source!$B$1:$B$250=$O147)*--(Source!$E$1:$E$250=$Q$3)*--(Source!$D$1:$D$250=Pyramid!$Q147),ROW(Source!$B$1:$B$250),FALSE),S$3)),"")</f>
        <v/>
      </c>
      <c r="T147" t="str">
        <f t="array" aca="1" ref="T147" ca="1">IFERROR(INDEX(Source!$A$1:$A$250,SMALL(IF(--(Source!$B$1:$B$250=$O147)*--(Source!$E$1:$E$250=$Q$3)*--(Source!$D$1:$D$250=Pyramid!$Q147),ROW(Source!$B$1:$B$250),FALSE),T$3)),"")</f>
        <v/>
      </c>
      <c r="U147" t="str">
        <f t="array" aca="1" ref="U147" ca="1">IFERROR(INDEX(Source!$A$1:$A$250,SMALL(IF(--(Source!$B$1:$B$250=$O147)*--(Source!$E$1:$E$250=$Q$3)*--(Source!$D$1:$D$250=Pyramid!$Q147),ROW(Source!$B$1:$B$250),FALSE),U$3)),"")</f>
        <v/>
      </c>
      <c r="V147" t="str">
        <f t="array" aca="1" ref="V147" ca="1">IFERROR(INDEX(Source!$A$1:$A$250,SMALL(IF(--(Source!$B$1:$B$250=$O147)*--(Source!$E$1:$E$250=$Q$3)*--(Source!$D$1:$D$250=Pyramid!$Q147),ROW(Source!$B$1:$B$250),FALSE),V$3)),"")</f>
        <v/>
      </c>
      <c r="W147" t="str">
        <f t="array" aca="1" ref="W147" ca="1">IFERROR(INDEX(Source!$A$1:$A$250,SMALL(IF(--(Source!$B$1:$B$250=$O147)*--(Source!$E$1:$E$250=$Q$3)*--(Source!$D$1:$D$250=Pyramid!$Q147),ROW(Source!$B$1:$B$250),FALSE),W$3)),"")</f>
        <v/>
      </c>
      <c r="X147" t="str">
        <f t="array" aca="1" ref="X147" ca="1">IFERROR(INDEX(Source!$A$1:$A$250,SMALL(IF(--(Source!$B$1:$B$250=$O147)*--(Source!$E$1:$E$250=$Q$3)*--(Source!$D$1:$D$250=Pyramid!$Q147),ROW(Source!$B$1:$B$250),FALSE),X$3)),"")</f>
        <v/>
      </c>
      <c r="Y147" s="5">
        <f t="shared" ca="1" si="9"/>
        <v>0</v>
      </c>
    </row>
    <row r="148" spans="3:25">
      <c r="C148">
        <v>144</v>
      </c>
      <c r="D148" s="5">
        <f t="shared" ca="1" si="7"/>
        <v>0</v>
      </c>
      <c r="E148" t="str">
        <f t="array" aca="1" ref="E148" ca="1">IFERROR(INDEX(Source!$A$1:$A$250,SMALL(IF(--(Source!$B$1:$B$250=$O148)*--(Source!$E$1:$E$250=$M$3)*--(Source!$D$1:$D$250=Pyramid!$M148),ROW(Source!$B$1:$B$250),FALSE),E$3)),"")</f>
        <v/>
      </c>
      <c r="F148" t="str">
        <f t="array" aca="1" ref="F148" ca="1">IFERROR(INDEX(Source!$A$1:$A$250,SMALL(IF(--(Source!$B$1:$B$250=$O148)*--(Source!$E$1:$E$250=$M$3)*--(Source!$D$1:$D$250=Pyramid!$M148),ROW(Source!$B$1:$B$250),FALSE),F$3)),"")</f>
        <v/>
      </c>
      <c r="G148" t="str">
        <f t="array" aca="1" ref="G148" ca="1">IFERROR(INDEX(Source!$A$1:$A$250,SMALL(IF(--(Source!$B$1:$B$250=$O148)*--(Source!$E$1:$E$250=$M$3)*--(Source!$D$1:$D$250=Pyramid!$M148),ROW(Source!$B$1:$B$250),FALSE),G$3)),"")</f>
        <v/>
      </c>
      <c r="H148" t="str">
        <f t="array" aca="1" ref="H148" ca="1">IFERROR(INDEX(Source!$A$1:$A$250,SMALL(IF(--(Source!$B$1:$B$250=$O148)*--(Source!$E$1:$E$250=$M$3)*--(Source!$D$1:$D$250=Pyramid!$M148),ROW(Source!$B$1:$B$250),FALSE),H$3)),"")</f>
        <v/>
      </c>
      <c r="I148" t="str">
        <f t="array" aca="1" ref="I148" ca="1">IFERROR(INDEX(Source!$A$1:$A$250,SMALL(IF(--(Source!$B$1:$B$250=$O148)*--(Source!$E$1:$E$250=$M$3)*--(Source!$D$1:$D$250=Pyramid!$M148),ROW(Source!$B$1:$B$250),FALSE),I$3)),"")</f>
        <v/>
      </c>
      <c r="J148" t="str">
        <f t="array" aca="1" ref="J148" ca="1">IFERROR(INDEX(Source!$A$1:$A$250,SMALL(IF(--(Source!$B$1:$B$250=$O148)*--(Source!$E$1:$E$250=$M$3)*--(Source!$D$1:$D$250=Pyramid!$M148),ROW(Source!$B$1:$B$250),FALSE),J$3)),"")</f>
        <v/>
      </c>
      <c r="K148" t="str">
        <f t="array" aca="1" ref="K148" ca="1">IFERROR(INDEX(Source!$A$1:$A$250,SMALL(IF(--(Source!$B$1:$B$250=$O148)*--(Source!$E$1:$E$250=$M$3)*--(Source!$D$1:$D$250=Pyramid!$M148),ROW(Source!$B$1:$B$250),FALSE),K$3)),"")</f>
        <v/>
      </c>
      <c r="L148" t="str">
        <f t="array" aca="1" ref="L148" ca="1">IFERROR(INDEX(Source!$A$1:$A$250,SMALL(IF(--(Source!$B$1:$B$250=$O148)*--(Source!$E$1:$E$250=$M$3)*--(Source!$D$1:$D$250=Pyramid!$M148),ROW(Source!$B$1:$B$250),FALSE),L$3)),"")</f>
        <v/>
      </c>
      <c r="M148" t="str">
        <f t="shared" si="8"/>
        <v>28/10/2016</v>
      </c>
      <c r="N148">
        <f ca="1">COUNTIFS(Source!B:B,Pyramid!$O148,Source!$D:$D,Pyramid!$M148,Source!$E:$E,Pyramid!$M$3)</f>
        <v>0</v>
      </c>
      <c r="O148">
        <f ca="1">OFFSET(Sheet2!$N$3,INT(C148/5),)</f>
        <v>19488</v>
      </c>
      <c r="P148">
        <f ca="1">COUNTIFS(Source!B:B,Pyramid!$O148,Source!D:D,Pyramid!$Q148,Source!$E:$E,Pyramid!$Q$3)</f>
        <v>0</v>
      </c>
      <c r="Q148" t="str">
        <f t="shared" si="8"/>
        <v>28/10/2016</v>
      </c>
      <c r="R148" t="str">
        <f t="array" aca="1" ref="R148" ca="1">IFERROR(INDEX(Source!$A$1:$A$250,SMALL(IF(--(Source!$B$1:$B$250=$O148)*--(Source!$E$1:$E$250=$Q$3)*--(Source!$D$1:$D$250=Pyramid!$Q148),ROW(Source!$B$1:$B$250),FALSE),R$3)),"")</f>
        <v/>
      </c>
      <c r="S148" t="str">
        <f t="array" aca="1" ref="S148" ca="1">IFERROR(INDEX(Source!$A$1:$A$250,SMALL(IF(--(Source!$B$1:$B$250=$O148)*--(Source!$E$1:$E$250=$Q$3)*--(Source!$D$1:$D$250=Pyramid!$Q148),ROW(Source!$B$1:$B$250),FALSE),S$3)),"")</f>
        <v/>
      </c>
      <c r="T148" t="str">
        <f t="array" aca="1" ref="T148" ca="1">IFERROR(INDEX(Source!$A$1:$A$250,SMALL(IF(--(Source!$B$1:$B$250=$O148)*--(Source!$E$1:$E$250=$Q$3)*--(Source!$D$1:$D$250=Pyramid!$Q148),ROW(Source!$B$1:$B$250),FALSE),T$3)),"")</f>
        <v/>
      </c>
      <c r="U148" t="str">
        <f t="array" aca="1" ref="U148" ca="1">IFERROR(INDEX(Source!$A$1:$A$250,SMALL(IF(--(Source!$B$1:$B$250=$O148)*--(Source!$E$1:$E$250=$Q$3)*--(Source!$D$1:$D$250=Pyramid!$Q148),ROW(Source!$B$1:$B$250),FALSE),U$3)),"")</f>
        <v/>
      </c>
      <c r="V148" t="str">
        <f t="array" aca="1" ref="V148" ca="1">IFERROR(INDEX(Source!$A$1:$A$250,SMALL(IF(--(Source!$B$1:$B$250=$O148)*--(Source!$E$1:$E$250=$Q$3)*--(Source!$D$1:$D$250=Pyramid!$Q148),ROW(Source!$B$1:$B$250),FALSE),V$3)),"")</f>
        <v/>
      </c>
      <c r="W148" t="str">
        <f t="array" aca="1" ref="W148" ca="1">IFERROR(INDEX(Source!$A$1:$A$250,SMALL(IF(--(Source!$B$1:$B$250=$O148)*--(Source!$E$1:$E$250=$Q$3)*--(Source!$D$1:$D$250=Pyramid!$Q148),ROW(Source!$B$1:$B$250),FALSE),W$3)),"")</f>
        <v/>
      </c>
      <c r="X148" t="str">
        <f t="array" aca="1" ref="X148" ca="1">IFERROR(INDEX(Source!$A$1:$A$250,SMALL(IF(--(Source!$B$1:$B$250=$O148)*--(Source!$E$1:$E$250=$Q$3)*--(Source!$D$1:$D$250=Pyramid!$Q148),ROW(Source!$B$1:$B$250),FALSE),X$3)),"")</f>
        <v/>
      </c>
      <c r="Y148" s="5">
        <f t="shared" ca="1" si="9"/>
        <v>0</v>
      </c>
    </row>
    <row r="149" spans="3:25">
      <c r="C149">
        <v>145</v>
      </c>
      <c r="D149" s="5">
        <f t="shared" ca="1" si="7"/>
        <v>0</v>
      </c>
      <c r="E149" t="str">
        <f t="array" aca="1" ref="E149" ca="1">IFERROR(INDEX(Source!$A$1:$A$250,SMALL(IF(--(Source!$B$1:$B$250=$O149)*--(Source!$E$1:$E$250=$M$3)*--(Source!$D$1:$D$250=Pyramid!$M149),ROW(Source!$B$1:$B$250),FALSE),E$3)),"")</f>
        <v/>
      </c>
      <c r="F149" t="str">
        <f t="array" aca="1" ref="F149" ca="1">IFERROR(INDEX(Source!$A$1:$A$250,SMALL(IF(--(Source!$B$1:$B$250=$O149)*--(Source!$E$1:$E$250=$M$3)*--(Source!$D$1:$D$250=Pyramid!$M149),ROW(Source!$B$1:$B$250),FALSE),F$3)),"")</f>
        <v/>
      </c>
      <c r="G149" t="str">
        <f t="array" aca="1" ref="G149" ca="1">IFERROR(INDEX(Source!$A$1:$A$250,SMALL(IF(--(Source!$B$1:$B$250=$O149)*--(Source!$E$1:$E$250=$M$3)*--(Source!$D$1:$D$250=Pyramid!$M149),ROW(Source!$B$1:$B$250),FALSE),G$3)),"")</f>
        <v/>
      </c>
      <c r="H149" t="str">
        <f t="array" aca="1" ref="H149" ca="1">IFERROR(INDEX(Source!$A$1:$A$250,SMALL(IF(--(Source!$B$1:$B$250=$O149)*--(Source!$E$1:$E$250=$M$3)*--(Source!$D$1:$D$250=Pyramid!$M149),ROW(Source!$B$1:$B$250),FALSE),H$3)),"")</f>
        <v/>
      </c>
      <c r="I149" t="str">
        <f t="array" aca="1" ref="I149" ca="1">IFERROR(INDEX(Source!$A$1:$A$250,SMALL(IF(--(Source!$B$1:$B$250=$O149)*--(Source!$E$1:$E$250=$M$3)*--(Source!$D$1:$D$250=Pyramid!$M149),ROW(Source!$B$1:$B$250),FALSE),I$3)),"")</f>
        <v/>
      </c>
      <c r="J149" t="str">
        <f t="array" aca="1" ref="J149" ca="1">IFERROR(INDEX(Source!$A$1:$A$250,SMALL(IF(--(Source!$B$1:$B$250=$O149)*--(Source!$E$1:$E$250=$M$3)*--(Source!$D$1:$D$250=Pyramid!$M149),ROW(Source!$B$1:$B$250),FALSE),J$3)),"")</f>
        <v/>
      </c>
      <c r="K149" t="str">
        <f t="array" aca="1" ref="K149" ca="1">IFERROR(INDEX(Source!$A$1:$A$250,SMALL(IF(--(Source!$B$1:$B$250=$O149)*--(Source!$E$1:$E$250=$M$3)*--(Source!$D$1:$D$250=Pyramid!$M149),ROW(Source!$B$1:$B$250),FALSE),K$3)),"")</f>
        <v/>
      </c>
      <c r="L149" t="str">
        <f t="array" aca="1" ref="L149" ca="1">IFERROR(INDEX(Source!$A$1:$A$250,SMALL(IF(--(Source!$B$1:$B$250=$O149)*--(Source!$E$1:$E$250=$M$3)*--(Source!$D$1:$D$250=Pyramid!$M149),ROW(Source!$B$1:$B$250),FALSE),L$3)),"")</f>
        <v/>
      </c>
      <c r="M149" t="str">
        <f t="shared" si="8"/>
        <v>29/6/2016</v>
      </c>
      <c r="N149">
        <f ca="1">COUNTIFS(Source!B:B,Pyramid!$O149,Source!$D:$D,Pyramid!$M149,Source!$E:$E,Pyramid!$M$3)</f>
        <v>0</v>
      </c>
      <c r="O149">
        <f ca="1">OFFSET(Sheet2!$N$3,INT(C149/5),)</f>
        <v>19500</v>
      </c>
      <c r="P149">
        <f ca="1">COUNTIFS(Source!B:B,Pyramid!$O149,Source!D:D,Pyramid!$Q149,Source!$E:$E,Pyramid!$Q$3)</f>
        <v>0</v>
      </c>
      <c r="Q149" t="str">
        <f t="shared" si="8"/>
        <v>29/6/2016</v>
      </c>
      <c r="R149" t="str">
        <f t="array" aca="1" ref="R149" ca="1">IFERROR(INDEX(Source!$A$1:$A$250,SMALL(IF(--(Source!$B$1:$B$250=$O149)*--(Source!$E$1:$E$250=$Q$3)*--(Source!$D$1:$D$250=Pyramid!$Q149),ROW(Source!$B$1:$B$250),FALSE),R$3)),"")</f>
        <v/>
      </c>
      <c r="S149" t="str">
        <f t="array" aca="1" ref="S149" ca="1">IFERROR(INDEX(Source!$A$1:$A$250,SMALL(IF(--(Source!$B$1:$B$250=$O149)*--(Source!$E$1:$E$250=$Q$3)*--(Source!$D$1:$D$250=Pyramid!$Q149),ROW(Source!$B$1:$B$250),FALSE),S$3)),"")</f>
        <v/>
      </c>
      <c r="T149" t="str">
        <f t="array" aca="1" ref="T149" ca="1">IFERROR(INDEX(Source!$A$1:$A$250,SMALL(IF(--(Source!$B$1:$B$250=$O149)*--(Source!$E$1:$E$250=$Q$3)*--(Source!$D$1:$D$250=Pyramid!$Q149),ROW(Source!$B$1:$B$250),FALSE),T$3)),"")</f>
        <v/>
      </c>
      <c r="U149" t="str">
        <f t="array" aca="1" ref="U149" ca="1">IFERROR(INDEX(Source!$A$1:$A$250,SMALL(IF(--(Source!$B$1:$B$250=$O149)*--(Source!$E$1:$E$250=$Q$3)*--(Source!$D$1:$D$250=Pyramid!$Q149),ROW(Source!$B$1:$B$250),FALSE),U$3)),"")</f>
        <v/>
      </c>
      <c r="V149" t="str">
        <f t="array" aca="1" ref="V149" ca="1">IFERROR(INDEX(Source!$A$1:$A$250,SMALL(IF(--(Source!$B$1:$B$250=$O149)*--(Source!$E$1:$E$250=$Q$3)*--(Source!$D$1:$D$250=Pyramid!$Q149),ROW(Source!$B$1:$B$250),FALSE),V$3)),"")</f>
        <v/>
      </c>
      <c r="W149" t="str">
        <f t="array" aca="1" ref="W149" ca="1">IFERROR(INDEX(Source!$A$1:$A$250,SMALL(IF(--(Source!$B$1:$B$250=$O149)*--(Source!$E$1:$E$250=$Q$3)*--(Source!$D$1:$D$250=Pyramid!$Q149),ROW(Source!$B$1:$B$250),FALSE),W$3)),"")</f>
        <v/>
      </c>
      <c r="X149" t="str">
        <f t="array" aca="1" ref="X149" ca="1">IFERROR(INDEX(Source!$A$1:$A$250,SMALL(IF(--(Source!$B$1:$B$250=$O149)*--(Source!$E$1:$E$250=$Q$3)*--(Source!$D$1:$D$250=Pyramid!$Q149),ROW(Source!$B$1:$B$250),FALSE),X$3)),"")</f>
        <v/>
      </c>
      <c r="Y149" s="5">
        <f t="shared" ca="1" si="9"/>
        <v>0</v>
      </c>
    </row>
    <row r="150" spans="3:25">
      <c r="C150">
        <v>146</v>
      </c>
      <c r="D150" s="5">
        <f t="shared" ca="1" si="7"/>
        <v>0</v>
      </c>
      <c r="E150" t="str">
        <f t="array" aca="1" ref="E150" ca="1">IFERROR(INDEX(Source!$A$1:$A$250,SMALL(IF(--(Source!$B$1:$B$250=$O150)*--(Source!$E$1:$E$250=$M$3)*--(Source!$D$1:$D$250=Pyramid!$M150),ROW(Source!$B$1:$B$250),FALSE),E$3)),"")</f>
        <v/>
      </c>
      <c r="F150" t="str">
        <f t="array" aca="1" ref="F150" ca="1">IFERROR(INDEX(Source!$A$1:$A$250,SMALL(IF(--(Source!$B$1:$B$250=$O150)*--(Source!$E$1:$E$250=$M$3)*--(Source!$D$1:$D$250=Pyramid!$M150),ROW(Source!$B$1:$B$250),FALSE),F$3)),"")</f>
        <v/>
      </c>
      <c r="G150" t="str">
        <f t="array" aca="1" ref="G150" ca="1">IFERROR(INDEX(Source!$A$1:$A$250,SMALL(IF(--(Source!$B$1:$B$250=$O150)*--(Source!$E$1:$E$250=$M$3)*--(Source!$D$1:$D$250=Pyramid!$M150),ROW(Source!$B$1:$B$250),FALSE),G$3)),"")</f>
        <v/>
      </c>
      <c r="H150" t="str">
        <f t="array" aca="1" ref="H150" ca="1">IFERROR(INDEX(Source!$A$1:$A$250,SMALL(IF(--(Source!$B$1:$B$250=$O150)*--(Source!$E$1:$E$250=$M$3)*--(Source!$D$1:$D$250=Pyramid!$M150),ROW(Source!$B$1:$B$250),FALSE),H$3)),"")</f>
        <v/>
      </c>
      <c r="I150" t="str">
        <f t="array" aca="1" ref="I150" ca="1">IFERROR(INDEX(Source!$A$1:$A$250,SMALL(IF(--(Source!$B$1:$B$250=$O150)*--(Source!$E$1:$E$250=$M$3)*--(Source!$D$1:$D$250=Pyramid!$M150),ROW(Source!$B$1:$B$250),FALSE),I$3)),"")</f>
        <v/>
      </c>
      <c r="J150" t="str">
        <f t="array" aca="1" ref="J150" ca="1">IFERROR(INDEX(Source!$A$1:$A$250,SMALL(IF(--(Source!$B$1:$B$250=$O150)*--(Source!$E$1:$E$250=$M$3)*--(Source!$D$1:$D$250=Pyramid!$M150),ROW(Source!$B$1:$B$250),FALSE),J$3)),"")</f>
        <v/>
      </c>
      <c r="K150" t="str">
        <f t="array" aca="1" ref="K150" ca="1">IFERROR(INDEX(Source!$A$1:$A$250,SMALL(IF(--(Source!$B$1:$B$250=$O150)*--(Source!$E$1:$E$250=$M$3)*--(Source!$D$1:$D$250=Pyramid!$M150),ROW(Source!$B$1:$B$250),FALSE),K$3)),"")</f>
        <v/>
      </c>
      <c r="L150" t="str">
        <f t="array" aca="1" ref="L150" ca="1">IFERROR(INDEX(Source!$A$1:$A$250,SMALL(IF(--(Source!$B$1:$B$250=$O150)*--(Source!$E$1:$E$250=$M$3)*--(Source!$D$1:$D$250=Pyramid!$M150),ROW(Source!$B$1:$B$250),FALSE),L$3)),"")</f>
        <v/>
      </c>
      <c r="M150" t="str">
        <f t="shared" si="8"/>
        <v>28/7/2016</v>
      </c>
      <c r="N150">
        <f ca="1">COUNTIFS(Source!B:B,Pyramid!$O150,Source!$D:$D,Pyramid!$M150,Source!$E:$E,Pyramid!$M$3)</f>
        <v>0</v>
      </c>
      <c r="O150">
        <f ca="1">OFFSET(Sheet2!$N$3,INT(C150/5),)</f>
        <v>19500</v>
      </c>
      <c r="P150">
        <f ca="1">COUNTIFS(Source!B:B,Pyramid!$O150,Source!D:D,Pyramid!$Q150,Source!$E:$E,Pyramid!$Q$3)</f>
        <v>2</v>
      </c>
      <c r="Q150" t="str">
        <f t="shared" si="8"/>
        <v>28/7/2016</v>
      </c>
      <c r="R150" t="str">
        <f t="array" aca="1" ref="R150" ca="1">IFERROR(INDEX(Source!$A$1:$A$250,SMALL(IF(--(Source!$B$1:$B$250=$O150)*--(Source!$E$1:$E$250=$Q$3)*--(Source!$D$1:$D$250=Pyramid!$Q150),ROW(Source!$B$1:$B$250),FALSE),R$3)),"")</f>
        <v>26704 HK Equity</v>
      </c>
      <c r="S150" t="str">
        <f t="array" aca="1" ref="S150" ca="1">IFERROR(INDEX(Source!$A$1:$A$250,SMALL(IF(--(Source!$B$1:$B$250=$O150)*--(Source!$E$1:$E$250=$Q$3)*--(Source!$D$1:$D$250=Pyramid!$Q150),ROW(Source!$B$1:$B$250),FALSE),S$3)),"")</f>
        <v>25377 HK Equity</v>
      </c>
      <c r="T150" t="str">
        <f t="array" aca="1" ref="T150" ca="1">IFERROR(INDEX(Source!$A$1:$A$250,SMALL(IF(--(Source!$B$1:$B$250=$O150)*--(Source!$E$1:$E$250=$Q$3)*--(Source!$D$1:$D$250=Pyramid!$Q150),ROW(Source!$B$1:$B$250),FALSE),T$3)),"")</f>
        <v/>
      </c>
      <c r="U150" t="str">
        <f t="array" aca="1" ref="U150" ca="1">IFERROR(INDEX(Source!$A$1:$A$250,SMALL(IF(--(Source!$B$1:$B$250=$O150)*--(Source!$E$1:$E$250=$Q$3)*--(Source!$D$1:$D$250=Pyramid!$Q150),ROW(Source!$B$1:$B$250),FALSE),U$3)),"")</f>
        <v/>
      </c>
      <c r="V150" t="str">
        <f t="array" aca="1" ref="V150" ca="1">IFERROR(INDEX(Source!$A$1:$A$250,SMALL(IF(--(Source!$B$1:$B$250=$O150)*--(Source!$E$1:$E$250=$Q$3)*--(Source!$D$1:$D$250=Pyramid!$Q150),ROW(Source!$B$1:$B$250),FALSE),V$3)),"")</f>
        <v/>
      </c>
      <c r="W150" t="str">
        <f t="array" aca="1" ref="W150" ca="1">IFERROR(INDEX(Source!$A$1:$A$250,SMALL(IF(--(Source!$B$1:$B$250=$O150)*--(Source!$E$1:$E$250=$Q$3)*--(Source!$D$1:$D$250=Pyramid!$Q150),ROW(Source!$B$1:$B$250),FALSE),W$3)),"")</f>
        <v/>
      </c>
      <c r="X150" t="str">
        <f t="array" aca="1" ref="X150" ca="1">IFERROR(INDEX(Source!$A$1:$A$250,SMALL(IF(--(Source!$B$1:$B$250=$O150)*--(Source!$E$1:$E$250=$Q$3)*--(Source!$D$1:$D$250=Pyramid!$Q150),ROW(Source!$B$1:$B$250),FALSE),X$3)),"")</f>
        <v/>
      </c>
      <c r="Y150" s="5">
        <f t="shared" ca="1" si="9"/>
        <v>0</v>
      </c>
    </row>
    <row r="151" spans="3:25">
      <c r="C151">
        <v>147</v>
      </c>
      <c r="D151" s="5">
        <f t="shared" ca="1" si="7"/>
        <v>0</v>
      </c>
      <c r="E151" t="str">
        <f t="array" aca="1" ref="E151" ca="1">IFERROR(INDEX(Source!$A$1:$A$250,SMALL(IF(--(Source!$B$1:$B$250=$O151)*--(Source!$E$1:$E$250=$M$3)*--(Source!$D$1:$D$250=Pyramid!$M151),ROW(Source!$B$1:$B$250),FALSE),E$3)),"")</f>
        <v/>
      </c>
      <c r="F151" t="str">
        <f t="array" aca="1" ref="F151" ca="1">IFERROR(INDEX(Source!$A$1:$A$250,SMALL(IF(--(Source!$B$1:$B$250=$O151)*--(Source!$E$1:$E$250=$M$3)*--(Source!$D$1:$D$250=Pyramid!$M151),ROW(Source!$B$1:$B$250),FALSE),F$3)),"")</f>
        <v/>
      </c>
      <c r="G151" t="str">
        <f t="array" aca="1" ref="G151" ca="1">IFERROR(INDEX(Source!$A$1:$A$250,SMALL(IF(--(Source!$B$1:$B$250=$O151)*--(Source!$E$1:$E$250=$M$3)*--(Source!$D$1:$D$250=Pyramid!$M151),ROW(Source!$B$1:$B$250),FALSE),G$3)),"")</f>
        <v/>
      </c>
      <c r="H151" t="str">
        <f t="array" aca="1" ref="H151" ca="1">IFERROR(INDEX(Source!$A$1:$A$250,SMALL(IF(--(Source!$B$1:$B$250=$O151)*--(Source!$E$1:$E$250=$M$3)*--(Source!$D$1:$D$250=Pyramid!$M151),ROW(Source!$B$1:$B$250),FALSE),H$3)),"")</f>
        <v/>
      </c>
      <c r="I151" t="str">
        <f t="array" aca="1" ref="I151" ca="1">IFERROR(INDEX(Source!$A$1:$A$250,SMALL(IF(--(Source!$B$1:$B$250=$O151)*--(Source!$E$1:$E$250=$M$3)*--(Source!$D$1:$D$250=Pyramid!$M151),ROW(Source!$B$1:$B$250),FALSE),I$3)),"")</f>
        <v/>
      </c>
      <c r="J151" t="str">
        <f t="array" aca="1" ref="J151" ca="1">IFERROR(INDEX(Source!$A$1:$A$250,SMALL(IF(--(Source!$B$1:$B$250=$O151)*--(Source!$E$1:$E$250=$M$3)*--(Source!$D$1:$D$250=Pyramid!$M151),ROW(Source!$B$1:$B$250),FALSE),J$3)),"")</f>
        <v/>
      </c>
      <c r="K151" t="str">
        <f t="array" aca="1" ref="K151" ca="1">IFERROR(INDEX(Source!$A$1:$A$250,SMALL(IF(--(Source!$B$1:$B$250=$O151)*--(Source!$E$1:$E$250=$M$3)*--(Source!$D$1:$D$250=Pyramid!$M151),ROW(Source!$B$1:$B$250),FALSE),K$3)),"")</f>
        <v/>
      </c>
      <c r="L151" t="str">
        <f t="array" aca="1" ref="L151" ca="1">IFERROR(INDEX(Source!$A$1:$A$250,SMALL(IF(--(Source!$B$1:$B$250=$O151)*--(Source!$E$1:$E$250=$M$3)*--(Source!$D$1:$D$250=Pyramid!$M151),ROW(Source!$B$1:$B$250),FALSE),L$3)),"")</f>
        <v/>
      </c>
      <c r="M151" t="str">
        <f t="shared" si="8"/>
        <v>30/8/2016</v>
      </c>
      <c r="N151">
        <f ca="1">COUNTIFS(Source!B:B,Pyramid!$O151,Source!$D:$D,Pyramid!$M151,Source!$E:$E,Pyramid!$M$3)</f>
        <v>0</v>
      </c>
      <c r="O151">
        <f ca="1">OFFSET(Sheet2!$N$3,INT(C151/5),)</f>
        <v>19500</v>
      </c>
      <c r="P151">
        <f ca="1">COUNTIFS(Source!B:B,Pyramid!$O151,Source!D:D,Pyramid!$Q151,Source!$E:$E,Pyramid!$Q$3)</f>
        <v>0</v>
      </c>
      <c r="Q151" t="str">
        <f t="shared" si="8"/>
        <v>30/8/2016</v>
      </c>
      <c r="R151" t="str">
        <f t="array" aca="1" ref="R151" ca="1">IFERROR(INDEX(Source!$A$1:$A$250,SMALL(IF(--(Source!$B$1:$B$250=$O151)*--(Source!$E$1:$E$250=$Q$3)*--(Source!$D$1:$D$250=Pyramid!$Q151),ROW(Source!$B$1:$B$250),FALSE),R$3)),"")</f>
        <v/>
      </c>
      <c r="S151" t="str">
        <f t="array" aca="1" ref="S151" ca="1">IFERROR(INDEX(Source!$A$1:$A$250,SMALL(IF(--(Source!$B$1:$B$250=$O151)*--(Source!$E$1:$E$250=$Q$3)*--(Source!$D$1:$D$250=Pyramid!$Q151),ROW(Source!$B$1:$B$250),FALSE),S$3)),"")</f>
        <v/>
      </c>
      <c r="T151" t="str">
        <f t="array" aca="1" ref="T151" ca="1">IFERROR(INDEX(Source!$A$1:$A$250,SMALL(IF(--(Source!$B$1:$B$250=$O151)*--(Source!$E$1:$E$250=$Q$3)*--(Source!$D$1:$D$250=Pyramid!$Q151),ROW(Source!$B$1:$B$250),FALSE),T$3)),"")</f>
        <v/>
      </c>
      <c r="U151" t="str">
        <f t="array" aca="1" ref="U151" ca="1">IFERROR(INDEX(Source!$A$1:$A$250,SMALL(IF(--(Source!$B$1:$B$250=$O151)*--(Source!$E$1:$E$250=$Q$3)*--(Source!$D$1:$D$250=Pyramid!$Q151),ROW(Source!$B$1:$B$250),FALSE),U$3)),"")</f>
        <v/>
      </c>
      <c r="V151" t="str">
        <f t="array" aca="1" ref="V151" ca="1">IFERROR(INDEX(Source!$A$1:$A$250,SMALL(IF(--(Source!$B$1:$B$250=$O151)*--(Source!$E$1:$E$250=$Q$3)*--(Source!$D$1:$D$250=Pyramid!$Q151),ROW(Source!$B$1:$B$250),FALSE),V$3)),"")</f>
        <v/>
      </c>
      <c r="W151" t="str">
        <f t="array" aca="1" ref="W151" ca="1">IFERROR(INDEX(Source!$A$1:$A$250,SMALL(IF(--(Source!$B$1:$B$250=$O151)*--(Source!$E$1:$E$250=$Q$3)*--(Source!$D$1:$D$250=Pyramid!$Q151),ROW(Source!$B$1:$B$250),FALSE),W$3)),"")</f>
        <v/>
      </c>
      <c r="X151" t="str">
        <f t="array" aca="1" ref="X151" ca="1">IFERROR(INDEX(Source!$A$1:$A$250,SMALL(IF(--(Source!$B$1:$B$250=$O151)*--(Source!$E$1:$E$250=$Q$3)*--(Source!$D$1:$D$250=Pyramid!$Q151),ROW(Source!$B$1:$B$250),FALSE),X$3)),"")</f>
        <v/>
      </c>
      <c r="Y151" s="5">
        <f t="shared" ca="1" si="9"/>
        <v>0</v>
      </c>
    </row>
    <row r="152" spans="3:25">
      <c r="C152">
        <v>148</v>
      </c>
      <c r="D152" s="5">
        <f t="shared" ca="1" si="7"/>
        <v>0</v>
      </c>
      <c r="E152" t="str">
        <f t="array" aca="1" ref="E152" ca="1">IFERROR(INDEX(Source!$A$1:$A$250,SMALL(IF(--(Source!$B$1:$B$250=$O152)*--(Source!$E$1:$E$250=$M$3)*--(Source!$D$1:$D$250=Pyramid!$M152),ROW(Source!$B$1:$B$250),FALSE),E$3)),"")</f>
        <v/>
      </c>
      <c r="F152" t="str">
        <f t="array" aca="1" ref="F152" ca="1">IFERROR(INDEX(Source!$A$1:$A$250,SMALL(IF(--(Source!$B$1:$B$250=$O152)*--(Source!$E$1:$E$250=$M$3)*--(Source!$D$1:$D$250=Pyramid!$M152),ROW(Source!$B$1:$B$250),FALSE),F$3)),"")</f>
        <v/>
      </c>
      <c r="G152" t="str">
        <f t="array" aca="1" ref="G152" ca="1">IFERROR(INDEX(Source!$A$1:$A$250,SMALL(IF(--(Source!$B$1:$B$250=$O152)*--(Source!$E$1:$E$250=$M$3)*--(Source!$D$1:$D$250=Pyramid!$M152),ROW(Source!$B$1:$B$250),FALSE),G$3)),"")</f>
        <v/>
      </c>
      <c r="H152" t="str">
        <f t="array" aca="1" ref="H152" ca="1">IFERROR(INDEX(Source!$A$1:$A$250,SMALL(IF(--(Source!$B$1:$B$250=$O152)*--(Source!$E$1:$E$250=$M$3)*--(Source!$D$1:$D$250=Pyramid!$M152),ROW(Source!$B$1:$B$250),FALSE),H$3)),"")</f>
        <v/>
      </c>
      <c r="I152" t="str">
        <f t="array" aca="1" ref="I152" ca="1">IFERROR(INDEX(Source!$A$1:$A$250,SMALL(IF(--(Source!$B$1:$B$250=$O152)*--(Source!$E$1:$E$250=$M$3)*--(Source!$D$1:$D$250=Pyramid!$M152),ROW(Source!$B$1:$B$250),FALSE),I$3)),"")</f>
        <v/>
      </c>
      <c r="J152" t="str">
        <f t="array" aca="1" ref="J152" ca="1">IFERROR(INDEX(Source!$A$1:$A$250,SMALL(IF(--(Source!$B$1:$B$250=$O152)*--(Source!$E$1:$E$250=$M$3)*--(Source!$D$1:$D$250=Pyramid!$M152),ROW(Source!$B$1:$B$250),FALSE),J$3)),"")</f>
        <v/>
      </c>
      <c r="K152" t="str">
        <f t="array" aca="1" ref="K152" ca="1">IFERROR(INDEX(Source!$A$1:$A$250,SMALL(IF(--(Source!$B$1:$B$250=$O152)*--(Source!$E$1:$E$250=$M$3)*--(Source!$D$1:$D$250=Pyramid!$M152),ROW(Source!$B$1:$B$250),FALSE),K$3)),"")</f>
        <v/>
      </c>
      <c r="L152" t="str">
        <f t="array" aca="1" ref="L152" ca="1">IFERROR(INDEX(Source!$A$1:$A$250,SMALL(IF(--(Source!$B$1:$B$250=$O152)*--(Source!$E$1:$E$250=$M$3)*--(Source!$D$1:$D$250=Pyramid!$M152),ROW(Source!$B$1:$B$250),FALSE),L$3)),"")</f>
        <v/>
      </c>
      <c r="M152" t="str">
        <f t="shared" si="8"/>
        <v>29/9/2016</v>
      </c>
      <c r="N152">
        <f ca="1">COUNTIFS(Source!B:B,Pyramid!$O152,Source!$D:$D,Pyramid!$M152,Source!$E:$E,Pyramid!$M$3)</f>
        <v>0</v>
      </c>
      <c r="O152">
        <f ca="1">OFFSET(Sheet2!$N$3,INT(C152/5),)</f>
        <v>19500</v>
      </c>
      <c r="P152">
        <f ca="1">COUNTIFS(Source!B:B,Pyramid!$O152,Source!D:D,Pyramid!$Q152,Source!$E:$E,Pyramid!$Q$3)</f>
        <v>0</v>
      </c>
      <c r="Q152" t="str">
        <f t="shared" si="8"/>
        <v>29/9/2016</v>
      </c>
      <c r="R152" t="str">
        <f t="array" aca="1" ref="R152" ca="1">IFERROR(INDEX(Source!$A$1:$A$250,SMALL(IF(--(Source!$B$1:$B$250=$O152)*--(Source!$E$1:$E$250=$Q$3)*--(Source!$D$1:$D$250=Pyramid!$Q152),ROW(Source!$B$1:$B$250),FALSE),R$3)),"")</f>
        <v/>
      </c>
      <c r="S152" t="str">
        <f t="array" aca="1" ref="S152" ca="1">IFERROR(INDEX(Source!$A$1:$A$250,SMALL(IF(--(Source!$B$1:$B$250=$O152)*--(Source!$E$1:$E$250=$Q$3)*--(Source!$D$1:$D$250=Pyramid!$Q152),ROW(Source!$B$1:$B$250),FALSE),S$3)),"")</f>
        <v/>
      </c>
      <c r="T152" t="str">
        <f t="array" aca="1" ref="T152" ca="1">IFERROR(INDEX(Source!$A$1:$A$250,SMALL(IF(--(Source!$B$1:$B$250=$O152)*--(Source!$E$1:$E$250=$Q$3)*--(Source!$D$1:$D$250=Pyramid!$Q152),ROW(Source!$B$1:$B$250),FALSE),T$3)),"")</f>
        <v/>
      </c>
      <c r="U152" t="str">
        <f t="array" aca="1" ref="U152" ca="1">IFERROR(INDEX(Source!$A$1:$A$250,SMALL(IF(--(Source!$B$1:$B$250=$O152)*--(Source!$E$1:$E$250=$Q$3)*--(Source!$D$1:$D$250=Pyramid!$Q152),ROW(Source!$B$1:$B$250),FALSE),U$3)),"")</f>
        <v/>
      </c>
      <c r="V152" t="str">
        <f t="array" aca="1" ref="V152" ca="1">IFERROR(INDEX(Source!$A$1:$A$250,SMALL(IF(--(Source!$B$1:$B$250=$O152)*--(Source!$E$1:$E$250=$Q$3)*--(Source!$D$1:$D$250=Pyramid!$Q152),ROW(Source!$B$1:$B$250),FALSE),V$3)),"")</f>
        <v/>
      </c>
      <c r="W152" t="str">
        <f t="array" aca="1" ref="W152" ca="1">IFERROR(INDEX(Source!$A$1:$A$250,SMALL(IF(--(Source!$B$1:$B$250=$O152)*--(Source!$E$1:$E$250=$Q$3)*--(Source!$D$1:$D$250=Pyramid!$Q152),ROW(Source!$B$1:$B$250),FALSE),W$3)),"")</f>
        <v/>
      </c>
      <c r="X152" t="str">
        <f t="array" aca="1" ref="X152" ca="1">IFERROR(INDEX(Source!$A$1:$A$250,SMALL(IF(--(Source!$B$1:$B$250=$O152)*--(Source!$E$1:$E$250=$Q$3)*--(Source!$D$1:$D$250=Pyramid!$Q152),ROW(Source!$B$1:$B$250),FALSE),X$3)),"")</f>
        <v/>
      </c>
      <c r="Y152" s="5">
        <f t="shared" ca="1" si="9"/>
        <v>0</v>
      </c>
    </row>
    <row r="153" spans="3:25">
      <c r="C153">
        <v>149</v>
      </c>
      <c r="D153" s="5">
        <f t="shared" ca="1" si="7"/>
        <v>0</v>
      </c>
      <c r="E153" t="str">
        <f t="array" aca="1" ref="E153" ca="1">IFERROR(INDEX(Source!$A$1:$A$250,SMALL(IF(--(Source!$B$1:$B$250=$O153)*--(Source!$E$1:$E$250=$M$3)*--(Source!$D$1:$D$250=Pyramid!$M153),ROW(Source!$B$1:$B$250),FALSE),E$3)),"")</f>
        <v/>
      </c>
      <c r="F153" t="str">
        <f t="array" aca="1" ref="F153" ca="1">IFERROR(INDEX(Source!$A$1:$A$250,SMALL(IF(--(Source!$B$1:$B$250=$O153)*--(Source!$E$1:$E$250=$M$3)*--(Source!$D$1:$D$250=Pyramid!$M153),ROW(Source!$B$1:$B$250),FALSE),F$3)),"")</f>
        <v/>
      </c>
      <c r="G153" t="str">
        <f t="array" aca="1" ref="G153" ca="1">IFERROR(INDEX(Source!$A$1:$A$250,SMALL(IF(--(Source!$B$1:$B$250=$O153)*--(Source!$E$1:$E$250=$M$3)*--(Source!$D$1:$D$250=Pyramid!$M153),ROW(Source!$B$1:$B$250),FALSE),G$3)),"")</f>
        <v/>
      </c>
      <c r="H153" t="str">
        <f t="array" aca="1" ref="H153" ca="1">IFERROR(INDEX(Source!$A$1:$A$250,SMALL(IF(--(Source!$B$1:$B$250=$O153)*--(Source!$E$1:$E$250=$M$3)*--(Source!$D$1:$D$250=Pyramid!$M153),ROW(Source!$B$1:$B$250),FALSE),H$3)),"")</f>
        <v/>
      </c>
      <c r="I153" t="str">
        <f t="array" aca="1" ref="I153" ca="1">IFERROR(INDEX(Source!$A$1:$A$250,SMALL(IF(--(Source!$B$1:$B$250=$O153)*--(Source!$E$1:$E$250=$M$3)*--(Source!$D$1:$D$250=Pyramid!$M153),ROW(Source!$B$1:$B$250),FALSE),I$3)),"")</f>
        <v/>
      </c>
      <c r="J153" t="str">
        <f t="array" aca="1" ref="J153" ca="1">IFERROR(INDEX(Source!$A$1:$A$250,SMALL(IF(--(Source!$B$1:$B$250=$O153)*--(Source!$E$1:$E$250=$M$3)*--(Source!$D$1:$D$250=Pyramid!$M153),ROW(Source!$B$1:$B$250),FALSE),J$3)),"")</f>
        <v/>
      </c>
      <c r="K153" t="str">
        <f t="array" aca="1" ref="K153" ca="1">IFERROR(INDEX(Source!$A$1:$A$250,SMALL(IF(--(Source!$B$1:$B$250=$O153)*--(Source!$E$1:$E$250=$M$3)*--(Source!$D$1:$D$250=Pyramid!$M153),ROW(Source!$B$1:$B$250),FALSE),K$3)),"")</f>
        <v/>
      </c>
      <c r="L153" t="str">
        <f t="array" aca="1" ref="L153" ca="1">IFERROR(INDEX(Source!$A$1:$A$250,SMALL(IF(--(Source!$B$1:$B$250=$O153)*--(Source!$E$1:$E$250=$M$3)*--(Source!$D$1:$D$250=Pyramid!$M153),ROW(Source!$B$1:$B$250),FALSE),L$3)),"")</f>
        <v/>
      </c>
      <c r="M153" t="str">
        <f t="shared" si="8"/>
        <v>28/10/2016</v>
      </c>
      <c r="N153">
        <f ca="1">COUNTIFS(Source!B:B,Pyramid!$O153,Source!$D:$D,Pyramid!$M153,Source!$E:$E,Pyramid!$M$3)</f>
        <v>0</v>
      </c>
      <c r="O153">
        <f ca="1">OFFSET(Sheet2!$N$3,INT(C153/5),)</f>
        <v>19500</v>
      </c>
      <c r="P153">
        <f ca="1">COUNTIFS(Source!B:B,Pyramid!$O153,Source!D:D,Pyramid!$Q153,Source!$E:$E,Pyramid!$Q$3)</f>
        <v>0</v>
      </c>
      <c r="Q153" t="str">
        <f t="shared" si="8"/>
        <v>28/10/2016</v>
      </c>
      <c r="R153" t="str">
        <f t="array" aca="1" ref="R153" ca="1">IFERROR(INDEX(Source!$A$1:$A$250,SMALL(IF(--(Source!$B$1:$B$250=$O153)*--(Source!$E$1:$E$250=$Q$3)*--(Source!$D$1:$D$250=Pyramid!$Q153),ROW(Source!$B$1:$B$250),FALSE),R$3)),"")</f>
        <v/>
      </c>
      <c r="S153" t="str">
        <f t="array" aca="1" ref="S153" ca="1">IFERROR(INDEX(Source!$A$1:$A$250,SMALL(IF(--(Source!$B$1:$B$250=$O153)*--(Source!$E$1:$E$250=$Q$3)*--(Source!$D$1:$D$250=Pyramid!$Q153),ROW(Source!$B$1:$B$250),FALSE),S$3)),"")</f>
        <v/>
      </c>
      <c r="T153" t="str">
        <f t="array" aca="1" ref="T153" ca="1">IFERROR(INDEX(Source!$A$1:$A$250,SMALL(IF(--(Source!$B$1:$B$250=$O153)*--(Source!$E$1:$E$250=$Q$3)*--(Source!$D$1:$D$250=Pyramid!$Q153),ROW(Source!$B$1:$B$250),FALSE),T$3)),"")</f>
        <v/>
      </c>
      <c r="U153" t="str">
        <f t="array" aca="1" ref="U153" ca="1">IFERROR(INDEX(Source!$A$1:$A$250,SMALL(IF(--(Source!$B$1:$B$250=$O153)*--(Source!$E$1:$E$250=$Q$3)*--(Source!$D$1:$D$250=Pyramid!$Q153),ROW(Source!$B$1:$B$250),FALSE),U$3)),"")</f>
        <v/>
      </c>
      <c r="V153" t="str">
        <f t="array" aca="1" ref="V153" ca="1">IFERROR(INDEX(Source!$A$1:$A$250,SMALL(IF(--(Source!$B$1:$B$250=$O153)*--(Source!$E$1:$E$250=$Q$3)*--(Source!$D$1:$D$250=Pyramid!$Q153),ROW(Source!$B$1:$B$250),FALSE),V$3)),"")</f>
        <v/>
      </c>
      <c r="W153" t="str">
        <f t="array" aca="1" ref="W153" ca="1">IFERROR(INDEX(Source!$A$1:$A$250,SMALL(IF(--(Source!$B$1:$B$250=$O153)*--(Source!$E$1:$E$250=$Q$3)*--(Source!$D$1:$D$250=Pyramid!$Q153),ROW(Source!$B$1:$B$250),FALSE),W$3)),"")</f>
        <v/>
      </c>
      <c r="X153" t="str">
        <f t="array" aca="1" ref="X153" ca="1">IFERROR(INDEX(Source!$A$1:$A$250,SMALL(IF(--(Source!$B$1:$B$250=$O153)*--(Source!$E$1:$E$250=$Q$3)*--(Source!$D$1:$D$250=Pyramid!$Q153),ROW(Source!$B$1:$B$250),FALSE),X$3)),"")</f>
        <v/>
      </c>
      <c r="Y153" s="5">
        <f t="shared" ca="1" si="9"/>
        <v>0</v>
      </c>
    </row>
    <row r="154" spans="3:25">
      <c r="C154">
        <v>150</v>
      </c>
      <c r="D154" s="5">
        <f t="shared" ca="1" si="7"/>
        <v>0</v>
      </c>
      <c r="E154" t="str">
        <f t="array" aca="1" ref="E154" ca="1">IFERROR(INDEX(Source!$A$1:$A$250,SMALL(IF(--(Source!$B$1:$B$250=$O154)*--(Source!$E$1:$E$250=$M$3)*--(Source!$D$1:$D$250=Pyramid!$M154),ROW(Source!$B$1:$B$250),FALSE),E$3)),"")</f>
        <v/>
      </c>
      <c r="F154" t="str">
        <f t="array" aca="1" ref="F154" ca="1">IFERROR(INDEX(Source!$A$1:$A$250,SMALL(IF(--(Source!$B$1:$B$250=$O154)*--(Source!$E$1:$E$250=$M$3)*--(Source!$D$1:$D$250=Pyramid!$M154),ROW(Source!$B$1:$B$250),FALSE),F$3)),"")</f>
        <v/>
      </c>
      <c r="G154" t="str">
        <f t="array" aca="1" ref="G154" ca="1">IFERROR(INDEX(Source!$A$1:$A$250,SMALL(IF(--(Source!$B$1:$B$250=$O154)*--(Source!$E$1:$E$250=$M$3)*--(Source!$D$1:$D$250=Pyramid!$M154),ROW(Source!$B$1:$B$250),FALSE),G$3)),"")</f>
        <v/>
      </c>
      <c r="H154" t="str">
        <f t="array" aca="1" ref="H154" ca="1">IFERROR(INDEX(Source!$A$1:$A$250,SMALL(IF(--(Source!$B$1:$B$250=$O154)*--(Source!$E$1:$E$250=$M$3)*--(Source!$D$1:$D$250=Pyramid!$M154),ROW(Source!$B$1:$B$250),FALSE),H$3)),"")</f>
        <v/>
      </c>
      <c r="I154" t="str">
        <f t="array" aca="1" ref="I154" ca="1">IFERROR(INDEX(Source!$A$1:$A$250,SMALL(IF(--(Source!$B$1:$B$250=$O154)*--(Source!$E$1:$E$250=$M$3)*--(Source!$D$1:$D$250=Pyramid!$M154),ROW(Source!$B$1:$B$250),FALSE),I$3)),"")</f>
        <v/>
      </c>
      <c r="J154" t="str">
        <f t="array" aca="1" ref="J154" ca="1">IFERROR(INDEX(Source!$A$1:$A$250,SMALL(IF(--(Source!$B$1:$B$250=$O154)*--(Source!$E$1:$E$250=$M$3)*--(Source!$D$1:$D$250=Pyramid!$M154),ROW(Source!$B$1:$B$250),FALSE),J$3)),"")</f>
        <v/>
      </c>
      <c r="K154" t="str">
        <f t="array" aca="1" ref="K154" ca="1">IFERROR(INDEX(Source!$A$1:$A$250,SMALL(IF(--(Source!$B$1:$B$250=$O154)*--(Source!$E$1:$E$250=$M$3)*--(Source!$D$1:$D$250=Pyramid!$M154),ROW(Source!$B$1:$B$250),FALSE),K$3)),"")</f>
        <v/>
      </c>
      <c r="L154" t="str">
        <f t="array" aca="1" ref="L154" ca="1">IFERROR(INDEX(Source!$A$1:$A$250,SMALL(IF(--(Source!$B$1:$B$250=$O154)*--(Source!$E$1:$E$250=$M$3)*--(Source!$D$1:$D$250=Pyramid!$M154),ROW(Source!$B$1:$B$250),FALSE),L$3)),"")</f>
        <v/>
      </c>
      <c r="M154" t="str">
        <f t="shared" si="8"/>
        <v>29/6/2016</v>
      </c>
      <c r="N154">
        <f ca="1">COUNTIFS(Source!B:B,Pyramid!$O154,Source!$D:$D,Pyramid!$M154,Source!$E:$E,Pyramid!$M$3)</f>
        <v>0</v>
      </c>
      <c r="O154">
        <f ca="1">OFFSET(Sheet2!$N$3,INT(C154/5),)</f>
        <v>19600</v>
      </c>
      <c r="P154">
        <f ca="1">COUNTIFS(Source!B:B,Pyramid!$O154,Source!D:D,Pyramid!$Q154,Source!$E:$E,Pyramid!$Q$3)</f>
        <v>0</v>
      </c>
      <c r="Q154" t="str">
        <f t="shared" si="8"/>
        <v>29/6/2016</v>
      </c>
      <c r="R154" t="str">
        <f t="array" aca="1" ref="R154" ca="1">IFERROR(INDEX(Source!$A$1:$A$250,SMALL(IF(--(Source!$B$1:$B$250=$O154)*--(Source!$E$1:$E$250=$Q$3)*--(Source!$D$1:$D$250=Pyramid!$Q154),ROW(Source!$B$1:$B$250),FALSE),R$3)),"")</f>
        <v/>
      </c>
      <c r="S154" t="str">
        <f t="array" aca="1" ref="S154" ca="1">IFERROR(INDEX(Source!$A$1:$A$250,SMALL(IF(--(Source!$B$1:$B$250=$O154)*--(Source!$E$1:$E$250=$Q$3)*--(Source!$D$1:$D$250=Pyramid!$Q154),ROW(Source!$B$1:$B$250),FALSE),S$3)),"")</f>
        <v/>
      </c>
      <c r="T154" t="str">
        <f t="array" aca="1" ref="T154" ca="1">IFERROR(INDEX(Source!$A$1:$A$250,SMALL(IF(--(Source!$B$1:$B$250=$O154)*--(Source!$E$1:$E$250=$Q$3)*--(Source!$D$1:$D$250=Pyramid!$Q154),ROW(Source!$B$1:$B$250),FALSE),T$3)),"")</f>
        <v/>
      </c>
      <c r="U154" t="str">
        <f t="array" aca="1" ref="U154" ca="1">IFERROR(INDEX(Source!$A$1:$A$250,SMALL(IF(--(Source!$B$1:$B$250=$O154)*--(Source!$E$1:$E$250=$Q$3)*--(Source!$D$1:$D$250=Pyramid!$Q154),ROW(Source!$B$1:$B$250),FALSE),U$3)),"")</f>
        <v/>
      </c>
      <c r="V154" t="str">
        <f t="array" aca="1" ref="V154" ca="1">IFERROR(INDEX(Source!$A$1:$A$250,SMALL(IF(--(Source!$B$1:$B$250=$O154)*--(Source!$E$1:$E$250=$Q$3)*--(Source!$D$1:$D$250=Pyramid!$Q154),ROW(Source!$B$1:$B$250),FALSE),V$3)),"")</f>
        <v/>
      </c>
      <c r="W154" t="str">
        <f t="array" aca="1" ref="W154" ca="1">IFERROR(INDEX(Source!$A$1:$A$250,SMALL(IF(--(Source!$B$1:$B$250=$O154)*--(Source!$E$1:$E$250=$Q$3)*--(Source!$D$1:$D$250=Pyramid!$Q154),ROW(Source!$B$1:$B$250),FALSE),W$3)),"")</f>
        <v/>
      </c>
      <c r="X154" t="str">
        <f t="array" aca="1" ref="X154" ca="1">IFERROR(INDEX(Source!$A$1:$A$250,SMALL(IF(--(Source!$B$1:$B$250=$O154)*--(Source!$E$1:$E$250=$Q$3)*--(Source!$D$1:$D$250=Pyramid!$Q154),ROW(Source!$B$1:$B$250),FALSE),X$3)),"")</f>
        <v/>
      </c>
      <c r="Y154" s="5">
        <f t="shared" ca="1" si="9"/>
        <v>0</v>
      </c>
    </row>
    <row r="155" spans="3:25">
      <c r="C155">
        <v>151</v>
      </c>
      <c r="D155" s="5">
        <f t="shared" ca="1" si="7"/>
        <v>0</v>
      </c>
      <c r="E155" t="str">
        <f t="array" aca="1" ref="E155" ca="1">IFERROR(INDEX(Source!$A$1:$A$250,SMALL(IF(--(Source!$B$1:$B$250=$O155)*--(Source!$E$1:$E$250=$M$3)*--(Source!$D$1:$D$250=Pyramid!$M155),ROW(Source!$B$1:$B$250),FALSE),E$3)),"")</f>
        <v/>
      </c>
      <c r="F155" t="str">
        <f t="array" aca="1" ref="F155" ca="1">IFERROR(INDEX(Source!$A$1:$A$250,SMALL(IF(--(Source!$B$1:$B$250=$O155)*--(Source!$E$1:$E$250=$M$3)*--(Source!$D$1:$D$250=Pyramid!$M155),ROW(Source!$B$1:$B$250),FALSE),F$3)),"")</f>
        <v/>
      </c>
      <c r="G155" t="str">
        <f t="array" aca="1" ref="G155" ca="1">IFERROR(INDEX(Source!$A$1:$A$250,SMALL(IF(--(Source!$B$1:$B$250=$O155)*--(Source!$E$1:$E$250=$M$3)*--(Source!$D$1:$D$250=Pyramid!$M155),ROW(Source!$B$1:$B$250),FALSE),G$3)),"")</f>
        <v/>
      </c>
      <c r="H155" t="str">
        <f t="array" aca="1" ref="H155" ca="1">IFERROR(INDEX(Source!$A$1:$A$250,SMALL(IF(--(Source!$B$1:$B$250=$O155)*--(Source!$E$1:$E$250=$M$3)*--(Source!$D$1:$D$250=Pyramid!$M155),ROW(Source!$B$1:$B$250),FALSE),H$3)),"")</f>
        <v/>
      </c>
      <c r="I155" t="str">
        <f t="array" aca="1" ref="I155" ca="1">IFERROR(INDEX(Source!$A$1:$A$250,SMALL(IF(--(Source!$B$1:$B$250=$O155)*--(Source!$E$1:$E$250=$M$3)*--(Source!$D$1:$D$250=Pyramid!$M155),ROW(Source!$B$1:$B$250),FALSE),I$3)),"")</f>
        <v/>
      </c>
      <c r="J155" t="str">
        <f t="array" aca="1" ref="J155" ca="1">IFERROR(INDEX(Source!$A$1:$A$250,SMALL(IF(--(Source!$B$1:$B$250=$O155)*--(Source!$E$1:$E$250=$M$3)*--(Source!$D$1:$D$250=Pyramid!$M155),ROW(Source!$B$1:$B$250),FALSE),J$3)),"")</f>
        <v/>
      </c>
      <c r="K155" t="str">
        <f t="array" aca="1" ref="K155" ca="1">IFERROR(INDEX(Source!$A$1:$A$250,SMALL(IF(--(Source!$B$1:$B$250=$O155)*--(Source!$E$1:$E$250=$M$3)*--(Source!$D$1:$D$250=Pyramid!$M155),ROW(Source!$B$1:$B$250),FALSE),K$3)),"")</f>
        <v>25910 HK Equity</v>
      </c>
      <c r="L155" t="str">
        <f t="array" aca="1" ref="L155" ca="1">IFERROR(INDEX(Source!$A$1:$A$250,SMALL(IF(--(Source!$B$1:$B$250=$O155)*--(Source!$E$1:$E$250=$M$3)*--(Source!$D$1:$D$250=Pyramid!$M155),ROW(Source!$B$1:$B$250),FALSE),L$3)),"")</f>
        <v>25662 HK Equity</v>
      </c>
      <c r="M155" t="str">
        <f t="shared" si="8"/>
        <v>28/7/2016</v>
      </c>
      <c r="N155">
        <f ca="1">COUNTIFS(Source!B:B,Pyramid!$O155,Source!$D:$D,Pyramid!$M155,Source!$E:$E,Pyramid!$M$3)</f>
        <v>2</v>
      </c>
      <c r="O155">
        <f ca="1">OFFSET(Sheet2!$N$3,INT(C155/5),)</f>
        <v>19600</v>
      </c>
      <c r="P155">
        <f ca="1">COUNTIFS(Source!B:B,Pyramid!$O155,Source!D:D,Pyramid!$Q155,Source!$E:$E,Pyramid!$Q$3)</f>
        <v>0</v>
      </c>
      <c r="Q155" t="str">
        <f t="shared" si="8"/>
        <v>28/7/2016</v>
      </c>
      <c r="R155" t="str">
        <f t="array" aca="1" ref="R155" ca="1">IFERROR(INDEX(Source!$A$1:$A$250,SMALL(IF(--(Source!$B$1:$B$250=$O155)*--(Source!$E$1:$E$250=$Q$3)*--(Source!$D$1:$D$250=Pyramid!$Q155),ROW(Source!$B$1:$B$250),FALSE),R$3)),"")</f>
        <v/>
      </c>
      <c r="S155" t="str">
        <f t="array" aca="1" ref="S155" ca="1">IFERROR(INDEX(Source!$A$1:$A$250,SMALL(IF(--(Source!$B$1:$B$250=$O155)*--(Source!$E$1:$E$250=$Q$3)*--(Source!$D$1:$D$250=Pyramid!$Q155),ROW(Source!$B$1:$B$250),FALSE),S$3)),"")</f>
        <v/>
      </c>
      <c r="T155" t="str">
        <f t="array" aca="1" ref="T155" ca="1">IFERROR(INDEX(Source!$A$1:$A$250,SMALL(IF(--(Source!$B$1:$B$250=$O155)*--(Source!$E$1:$E$250=$Q$3)*--(Source!$D$1:$D$250=Pyramid!$Q155),ROW(Source!$B$1:$B$250),FALSE),T$3)),"")</f>
        <v/>
      </c>
      <c r="U155" t="str">
        <f t="array" aca="1" ref="U155" ca="1">IFERROR(INDEX(Source!$A$1:$A$250,SMALL(IF(--(Source!$B$1:$B$250=$O155)*--(Source!$E$1:$E$250=$Q$3)*--(Source!$D$1:$D$250=Pyramid!$Q155),ROW(Source!$B$1:$B$250),FALSE),U$3)),"")</f>
        <v/>
      </c>
      <c r="V155" t="str">
        <f t="array" aca="1" ref="V155" ca="1">IFERROR(INDEX(Source!$A$1:$A$250,SMALL(IF(--(Source!$B$1:$B$250=$O155)*--(Source!$E$1:$E$250=$Q$3)*--(Source!$D$1:$D$250=Pyramid!$Q155),ROW(Source!$B$1:$B$250),FALSE),V$3)),"")</f>
        <v/>
      </c>
      <c r="W155" t="str">
        <f t="array" aca="1" ref="W155" ca="1">IFERROR(INDEX(Source!$A$1:$A$250,SMALL(IF(--(Source!$B$1:$B$250=$O155)*--(Source!$E$1:$E$250=$Q$3)*--(Source!$D$1:$D$250=Pyramid!$Q155),ROW(Source!$B$1:$B$250),FALSE),W$3)),"")</f>
        <v/>
      </c>
      <c r="X155" t="str">
        <f t="array" aca="1" ref="X155" ca="1">IFERROR(INDEX(Source!$A$1:$A$250,SMALL(IF(--(Source!$B$1:$B$250=$O155)*--(Source!$E$1:$E$250=$Q$3)*--(Source!$D$1:$D$250=Pyramid!$Q155),ROW(Source!$B$1:$B$250),FALSE),X$3)),"")</f>
        <v/>
      </c>
      <c r="Y155" s="5">
        <f t="shared" ca="1" si="9"/>
        <v>0</v>
      </c>
    </row>
    <row r="156" spans="3:25">
      <c r="C156">
        <v>152</v>
      </c>
      <c r="D156" s="5">
        <f t="shared" ca="1" si="7"/>
        <v>0</v>
      </c>
      <c r="E156" t="str">
        <f t="array" aca="1" ref="E156" ca="1">IFERROR(INDEX(Source!$A$1:$A$250,SMALL(IF(--(Source!$B$1:$B$250=$O156)*--(Source!$E$1:$E$250=$M$3)*--(Source!$D$1:$D$250=Pyramid!$M156),ROW(Source!$B$1:$B$250),FALSE),E$3)),"")</f>
        <v/>
      </c>
      <c r="F156" t="str">
        <f t="array" aca="1" ref="F156" ca="1">IFERROR(INDEX(Source!$A$1:$A$250,SMALL(IF(--(Source!$B$1:$B$250=$O156)*--(Source!$E$1:$E$250=$M$3)*--(Source!$D$1:$D$250=Pyramid!$M156),ROW(Source!$B$1:$B$250),FALSE),F$3)),"")</f>
        <v/>
      </c>
      <c r="G156" t="str">
        <f t="array" aca="1" ref="G156" ca="1">IFERROR(INDEX(Source!$A$1:$A$250,SMALL(IF(--(Source!$B$1:$B$250=$O156)*--(Source!$E$1:$E$250=$M$3)*--(Source!$D$1:$D$250=Pyramid!$M156),ROW(Source!$B$1:$B$250),FALSE),G$3)),"")</f>
        <v/>
      </c>
      <c r="H156" t="str">
        <f t="array" aca="1" ref="H156" ca="1">IFERROR(INDEX(Source!$A$1:$A$250,SMALL(IF(--(Source!$B$1:$B$250=$O156)*--(Source!$E$1:$E$250=$M$3)*--(Source!$D$1:$D$250=Pyramid!$M156),ROW(Source!$B$1:$B$250),FALSE),H$3)),"")</f>
        <v/>
      </c>
      <c r="I156" t="str">
        <f t="array" aca="1" ref="I156" ca="1">IFERROR(INDEX(Source!$A$1:$A$250,SMALL(IF(--(Source!$B$1:$B$250=$O156)*--(Source!$E$1:$E$250=$M$3)*--(Source!$D$1:$D$250=Pyramid!$M156),ROW(Source!$B$1:$B$250),FALSE),I$3)),"")</f>
        <v/>
      </c>
      <c r="J156" t="str">
        <f t="array" aca="1" ref="J156" ca="1">IFERROR(INDEX(Source!$A$1:$A$250,SMALL(IF(--(Source!$B$1:$B$250=$O156)*--(Source!$E$1:$E$250=$M$3)*--(Source!$D$1:$D$250=Pyramid!$M156),ROW(Source!$B$1:$B$250),FALSE),J$3)),"")</f>
        <v/>
      </c>
      <c r="K156" t="str">
        <f t="array" aca="1" ref="K156" ca="1">IFERROR(INDEX(Source!$A$1:$A$250,SMALL(IF(--(Source!$B$1:$B$250=$O156)*--(Source!$E$1:$E$250=$M$3)*--(Source!$D$1:$D$250=Pyramid!$M156),ROW(Source!$B$1:$B$250),FALSE),K$3)),"")</f>
        <v/>
      </c>
      <c r="L156" t="str">
        <f t="array" aca="1" ref="L156" ca="1">IFERROR(INDEX(Source!$A$1:$A$250,SMALL(IF(--(Source!$B$1:$B$250=$O156)*--(Source!$E$1:$E$250=$M$3)*--(Source!$D$1:$D$250=Pyramid!$M156),ROW(Source!$B$1:$B$250),FALSE),L$3)),"")</f>
        <v/>
      </c>
      <c r="M156" t="str">
        <f t="shared" si="8"/>
        <v>30/8/2016</v>
      </c>
      <c r="N156">
        <f ca="1">COUNTIFS(Source!B:B,Pyramid!$O156,Source!$D:$D,Pyramid!$M156,Source!$E:$E,Pyramid!$M$3)</f>
        <v>0</v>
      </c>
      <c r="O156">
        <f ca="1">OFFSET(Sheet2!$N$3,INT(C156/5),)</f>
        <v>19600</v>
      </c>
      <c r="P156">
        <f ca="1">COUNTIFS(Source!B:B,Pyramid!$O156,Source!D:D,Pyramid!$Q156,Source!$E:$E,Pyramid!$Q$3)</f>
        <v>0</v>
      </c>
      <c r="Q156" t="str">
        <f t="shared" si="8"/>
        <v>30/8/2016</v>
      </c>
      <c r="R156" t="str">
        <f t="array" aca="1" ref="R156" ca="1">IFERROR(INDEX(Source!$A$1:$A$250,SMALL(IF(--(Source!$B$1:$B$250=$O156)*--(Source!$E$1:$E$250=$Q$3)*--(Source!$D$1:$D$250=Pyramid!$Q156),ROW(Source!$B$1:$B$250),FALSE),R$3)),"")</f>
        <v/>
      </c>
      <c r="S156" t="str">
        <f t="array" aca="1" ref="S156" ca="1">IFERROR(INDEX(Source!$A$1:$A$250,SMALL(IF(--(Source!$B$1:$B$250=$O156)*--(Source!$E$1:$E$250=$Q$3)*--(Source!$D$1:$D$250=Pyramid!$Q156),ROW(Source!$B$1:$B$250),FALSE),S$3)),"")</f>
        <v/>
      </c>
      <c r="T156" t="str">
        <f t="array" aca="1" ref="T156" ca="1">IFERROR(INDEX(Source!$A$1:$A$250,SMALL(IF(--(Source!$B$1:$B$250=$O156)*--(Source!$E$1:$E$250=$Q$3)*--(Source!$D$1:$D$250=Pyramid!$Q156),ROW(Source!$B$1:$B$250),FALSE),T$3)),"")</f>
        <v/>
      </c>
      <c r="U156" t="str">
        <f t="array" aca="1" ref="U156" ca="1">IFERROR(INDEX(Source!$A$1:$A$250,SMALL(IF(--(Source!$B$1:$B$250=$O156)*--(Source!$E$1:$E$250=$Q$3)*--(Source!$D$1:$D$250=Pyramid!$Q156),ROW(Source!$B$1:$B$250),FALSE),U$3)),"")</f>
        <v/>
      </c>
      <c r="V156" t="str">
        <f t="array" aca="1" ref="V156" ca="1">IFERROR(INDEX(Source!$A$1:$A$250,SMALL(IF(--(Source!$B$1:$B$250=$O156)*--(Source!$E$1:$E$250=$Q$3)*--(Source!$D$1:$D$250=Pyramid!$Q156),ROW(Source!$B$1:$B$250),FALSE),V$3)),"")</f>
        <v/>
      </c>
      <c r="W156" t="str">
        <f t="array" aca="1" ref="W156" ca="1">IFERROR(INDEX(Source!$A$1:$A$250,SMALL(IF(--(Source!$B$1:$B$250=$O156)*--(Source!$E$1:$E$250=$Q$3)*--(Source!$D$1:$D$250=Pyramid!$Q156),ROW(Source!$B$1:$B$250),FALSE),W$3)),"")</f>
        <v/>
      </c>
      <c r="X156" t="str">
        <f t="array" aca="1" ref="X156" ca="1">IFERROR(INDEX(Source!$A$1:$A$250,SMALL(IF(--(Source!$B$1:$B$250=$O156)*--(Source!$E$1:$E$250=$Q$3)*--(Source!$D$1:$D$250=Pyramid!$Q156),ROW(Source!$B$1:$B$250),FALSE),X$3)),"")</f>
        <v/>
      </c>
      <c r="Y156" s="5">
        <f t="shared" ca="1" si="9"/>
        <v>0</v>
      </c>
    </row>
    <row r="157" spans="3:25">
      <c r="C157">
        <v>153</v>
      </c>
      <c r="D157" s="5">
        <f t="shared" ca="1" si="7"/>
        <v>0</v>
      </c>
      <c r="E157" t="str">
        <f t="array" aca="1" ref="E157" ca="1">IFERROR(INDEX(Source!$A$1:$A$250,SMALL(IF(--(Source!$B$1:$B$250=$O157)*--(Source!$E$1:$E$250=$M$3)*--(Source!$D$1:$D$250=Pyramid!$M157),ROW(Source!$B$1:$B$250),FALSE),E$3)),"")</f>
        <v/>
      </c>
      <c r="F157" t="str">
        <f t="array" aca="1" ref="F157" ca="1">IFERROR(INDEX(Source!$A$1:$A$250,SMALL(IF(--(Source!$B$1:$B$250=$O157)*--(Source!$E$1:$E$250=$M$3)*--(Source!$D$1:$D$250=Pyramid!$M157),ROW(Source!$B$1:$B$250),FALSE),F$3)),"")</f>
        <v/>
      </c>
      <c r="G157" t="str">
        <f t="array" aca="1" ref="G157" ca="1">IFERROR(INDEX(Source!$A$1:$A$250,SMALL(IF(--(Source!$B$1:$B$250=$O157)*--(Source!$E$1:$E$250=$M$3)*--(Source!$D$1:$D$250=Pyramid!$M157),ROW(Source!$B$1:$B$250),FALSE),G$3)),"")</f>
        <v/>
      </c>
      <c r="H157" t="str">
        <f t="array" aca="1" ref="H157" ca="1">IFERROR(INDEX(Source!$A$1:$A$250,SMALL(IF(--(Source!$B$1:$B$250=$O157)*--(Source!$E$1:$E$250=$M$3)*--(Source!$D$1:$D$250=Pyramid!$M157),ROW(Source!$B$1:$B$250),FALSE),H$3)),"")</f>
        <v/>
      </c>
      <c r="I157" t="str">
        <f t="array" aca="1" ref="I157" ca="1">IFERROR(INDEX(Source!$A$1:$A$250,SMALL(IF(--(Source!$B$1:$B$250=$O157)*--(Source!$E$1:$E$250=$M$3)*--(Source!$D$1:$D$250=Pyramid!$M157),ROW(Source!$B$1:$B$250),FALSE),I$3)),"")</f>
        <v/>
      </c>
      <c r="J157" t="str">
        <f t="array" aca="1" ref="J157" ca="1">IFERROR(INDEX(Source!$A$1:$A$250,SMALL(IF(--(Source!$B$1:$B$250=$O157)*--(Source!$E$1:$E$250=$M$3)*--(Source!$D$1:$D$250=Pyramid!$M157),ROW(Source!$B$1:$B$250),FALSE),J$3)),"")</f>
        <v/>
      </c>
      <c r="K157" t="str">
        <f t="array" aca="1" ref="K157" ca="1">IFERROR(INDEX(Source!$A$1:$A$250,SMALL(IF(--(Source!$B$1:$B$250=$O157)*--(Source!$E$1:$E$250=$M$3)*--(Source!$D$1:$D$250=Pyramid!$M157),ROW(Source!$B$1:$B$250),FALSE),K$3)),"")</f>
        <v/>
      </c>
      <c r="L157" t="str">
        <f t="array" aca="1" ref="L157" ca="1">IFERROR(INDEX(Source!$A$1:$A$250,SMALL(IF(--(Source!$B$1:$B$250=$O157)*--(Source!$E$1:$E$250=$M$3)*--(Source!$D$1:$D$250=Pyramid!$M157),ROW(Source!$B$1:$B$250),FALSE),L$3)),"")</f>
        <v>25804 HK Equity</v>
      </c>
      <c r="M157" t="str">
        <f t="shared" si="8"/>
        <v>29/9/2016</v>
      </c>
      <c r="N157">
        <f ca="1">COUNTIFS(Source!B:B,Pyramid!$O157,Source!$D:$D,Pyramid!$M157,Source!$E:$E,Pyramid!$M$3)</f>
        <v>1</v>
      </c>
      <c r="O157">
        <f ca="1">OFFSET(Sheet2!$N$3,INT(C157/5),)</f>
        <v>19600</v>
      </c>
      <c r="P157">
        <f ca="1">COUNTIFS(Source!B:B,Pyramid!$O157,Source!D:D,Pyramid!$Q157,Source!$E:$E,Pyramid!$Q$3)</f>
        <v>0</v>
      </c>
      <c r="Q157" t="str">
        <f t="shared" si="8"/>
        <v>29/9/2016</v>
      </c>
      <c r="R157" t="str">
        <f t="array" aca="1" ref="R157" ca="1">IFERROR(INDEX(Source!$A$1:$A$250,SMALL(IF(--(Source!$B$1:$B$250=$O157)*--(Source!$E$1:$E$250=$Q$3)*--(Source!$D$1:$D$250=Pyramid!$Q157),ROW(Source!$B$1:$B$250),FALSE),R$3)),"")</f>
        <v/>
      </c>
      <c r="S157" t="str">
        <f t="array" aca="1" ref="S157" ca="1">IFERROR(INDEX(Source!$A$1:$A$250,SMALL(IF(--(Source!$B$1:$B$250=$O157)*--(Source!$E$1:$E$250=$Q$3)*--(Source!$D$1:$D$250=Pyramid!$Q157),ROW(Source!$B$1:$B$250),FALSE),S$3)),"")</f>
        <v/>
      </c>
      <c r="T157" t="str">
        <f t="array" aca="1" ref="T157" ca="1">IFERROR(INDEX(Source!$A$1:$A$250,SMALL(IF(--(Source!$B$1:$B$250=$O157)*--(Source!$E$1:$E$250=$Q$3)*--(Source!$D$1:$D$250=Pyramid!$Q157),ROW(Source!$B$1:$B$250),FALSE),T$3)),"")</f>
        <v/>
      </c>
      <c r="U157" t="str">
        <f t="array" aca="1" ref="U157" ca="1">IFERROR(INDEX(Source!$A$1:$A$250,SMALL(IF(--(Source!$B$1:$B$250=$O157)*--(Source!$E$1:$E$250=$Q$3)*--(Source!$D$1:$D$250=Pyramid!$Q157),ROW(Source!$B$1:$B$250),FALSE),U$3)),"")</f>
        <v/>
      </c>
      <c r="V157" t="str">
        <f t="array" aca="1" ref="V157" ca="1">IFERROR(INDEX(Source!$A$1:$A$250,SMALL(IF(--(Source!$B$1:$B$250=$O157)*--(Source!$E$1:$E$250=$Q$3)*--(Source!$D$1:$D$250=Pyramid!$Q157),ROW(Source!$B$1:$B$250),FALSE),V$3)),"")</f>
        <v/>
      </c>
      <c r="W157" t="str">
        <f t="array" aca="1" ref="W157" ca="1">IFERROR(INDEX(Source!$A$1:$A$250,SMALL(IF(--(Source!$B$1:$B$250=$O157)*--(Source!$E$1:$E$250=$Q$3)*--(Source!$D$1:$D$250=Pyramid!$Q157),ROW(Source!$B$1:$B$250),FALSE),W$3)),"")</f>
        <v/>
      </c>
      <c r="X157" t="str">
        <f t="array" aca="1" ref="X157" ca="1">IFERROR(INDEX(Source!$A$1:$A$250,SMALL(IF(--(Source!$B$1:$B$250=$O157)*--(Source!$E$1:$E$250=$Q$3)*--(Source!$D$1:$D$250=Pyramid!$Q157),ROW(Source!$B$1:$B$250),FALSE),X$3)),"")</f>
        <v/>
      </c>
      <c r="Y157" s="5">
        <f t="shared" ca="1" si="9"/>
        <v>0</v>
      </c>
    </row>
    <row r="158" spans="3:25">
      <c r="C158">
        <v>154</v>
      </c>
      <c r="D158" s="5">
        <f t="shared" ca="1" si="7"/>
        <v>0</v>
      </c>
      <c r="E158" t="str">
        <f t="array" aca="1" ref="E158" ca="1">IFERROR(INDEX(Source!$A$1:$A$250,SMALL(IF(--(Source!$B$1:$B$250=$O158)*--(Source!$E$1:$E$250=$M$3)*--(Source!$D$1:$D$250=Pyramid!$M158),ROW(Source!$B$1:$B$250),FALSE),E$3)),"")</f>
        <v/>
      </c>
      <c r="F158" t="str">
        <f t="array" aca="1" ref="F158" ca="1">IFERROR(INDEX(Source!$A$1:$A$250,SMALL(IF(--(Source!$B$1:$B$250=$O158)*--(Source!$E$1:$E$250=$M$3)*--(Source!$D$1:$D$250=Pyramid!$M158),ROW(Source!$B$1:$B$250),FALSE),F$3)),"")</f>
        <v/>
      </c>
      <c r="G158" t="str">
        <f t="array" aca="1" ref="G158" ca="1">IFERROR(INDEX(Source!$A$1:$A$250,SMALL(IF(--(Source!$B$1:$B$250=$O158)*--(Source!$E$1:$E$250=$M$3)*--(Source!$D$1:$D$250=Pyramid!$M158),ROW(Source!$B$1:$B$250),FALSE),G$3)),"")</f>
        <v/>
      </c>
      <c r="H158" t="str">
        <f t="array" aca="1" ref="H158" ca="1">IFERROR(INDEX(Source!$A$1:$A$250,SMALL(IF(--(Source!$B$1:$B$250=$O158)*--(Source!$E$1:$E$250=$M$3)*--(Source!$D$1:$D$250=Pyramid!$M158),ROW(Source!$B$1:$B$250),FALSE),H$3)),"")</f>
        <v/>
      </c>
      <c r="I158" t="str">
        <f t="array" aca="1" ref="I158" ca="1">IFERROR(INDEX(Source!$A$1:$A$250,SMALL(IF(--(Source!$B$1:$B$250=$O158)*--(Source!$E$1:$E$250=$M$3)*--(Source!$D$1:$D$250=Pyramid!$M158),ROW(Source!$B$1:$B$250),FALSE),I$3)),"")</f>
        <v/>
      </c>
      <c r="J158" t="str">
        <f t="array" aca="1" ref="J158" ca="1">IFERROR(INDEX(Source!$A$1:$A$250,SMALL(IF(--(Source!$B$1:$B$250=$O158)*--(Source!$E$1:$E$250=$M$3)*--(Source!$D$1:$D$250=Pyramid!$M158),ROW(Source!$B$1:$B$250),FALSE),J$3)),"")</f>
        <v/>
      </c>
      <c r="K158" t="str">
        <f t="array" aca="1" ref="K158" ca="1">IFERROR(INDEX(Source!$A$1:$A$250,SMALL(IF(--(Source!$B$1:$B$250=$O158)*--(Source!$E$1:$E$250=$M$3)*--(Source!$D$1:$D$250=Pyramid!$M158),ROW(Source!$B$1:$B$250),FALSE),K$3)),"")</f>
        <v/>
      </c>
      <c r="L158" t="str">
        <f t="array" aca="1" ref="L158" ca="1">IFERROR(INDEX(Source!$A$1:$A$250,SMALL(IF(--(Source!$B$1:$B$250=$O158)*--(Source!$E$1:$E$250=$M$3)*--(Source!$D$1:$D$250=Pyramid!$M158),ROW(Source!$B$1:$B$250),FALSE),L$3)),"")</f>
        <v/>
      </c>
      <c r="M158" t="str">
        <f t="shared" si="8"/>
        <v>28/10/2016</v>
      </c>
      <c r="N158">
        <f ca="1">COUNTIFS(Source!B:B,Pyramid!$O158,Source!$D:$D,Pyramid!$M158,Source!$E:$E,Pyramid!$M$3)</f>
        <v>0</v>
      </c>
      <c r="O158">
        <f ca="1">OFFSET(Sheet2!$N$3,INT(C158/5),)</f>
        <v>19600</v>
      </c>
      <c r="P158">
        <f ca="1">COUNTIFS(Source!B:B,Pyramid!$O158,Source!D:D,Pyramid!$Q158,Source!$E:$E,Pyramid!$Q$3)</f>
        <v>0</v>
      </c>
      <c r="Q158" t="str">
        <f t="shared" si="8"/>
        <v>28/10/2016</v>
      </c>
      <c r="R158" t="str">
        <f t="array" aca="1" ref="R158" ca="1">IFERROR(INDEX(Source!$A$1:$A$250,SMALL(IF(--(Source!$B$1:$B$250=$O158)*--(Source!$E$1:$E$250=$Q$3)*--(Source!$D$1:$D$250=Pyramid!$Q158),ROW(Source!$B$1:$B$250),FALSE),R$3)),"")</f>
        <v/>
      </c>
      <c r="S158" t="str">
        <f t="array" aca="1" ref="S158" ca="1">IFERROR(INDEX(Source!$A$1:$A$250,SMALL(IF(--(Source!$B$1:$B$250=$O158)*--(Source!$E$1:$E$250=$Q$3)*--(Source!$D$1:$D$250=Pyramid!$Q158),ROW(Source!$B$1:$B$250),FALSE),S$3)),"")</f>
        <v/>
      </c>
      <c r="T158" t="str">
        <f t="array" aca="1" ref="T158" ca="1">IFERROR(INDEX(Source!$A$1:$A$250,SMALL(IF(--(Source!$B$1:$B$250=$O158)*--(Source!$E$1:$E$250=$Q$3)*--(Source!$D$1:$D$250=Pyramid!$Q158),ROW(Source!$B$1:$B$250),FALSE),T$3)),"")</f>
        <v/>
      </c>
      <c r="U158" t="str">
        <f t="array" aca="1" ref="U158" ca="1">IFERROR(INDEX(Source!$A$1:$A$250,SMALL(IF(--(Source!$B$1:$B$250=$O158)*--(Source!$E$1:$E$250=$Q$3)*--(Source!$D$1:$D$250=Pyramid!$Q158),ROW(Source!$B$1:$B$250),FALSE),U$3)),"")</f>
        <v/>
      </c>
      <c r="V158" t="str">
        <f t="array" aca="1" ref="V158" ca="1">IFERROR(INDEX(Source!$A$1:$A$250,SMALL(IF(--(Source!$B$1:$B$250=$O158)*--(Source!$E$1:$E$250=$Q$3)*--(Source!$D$1:$D$250=Pyramid!$Q158),ROW(Source!$B$1:$B$250),FALSE),V$3)),"")</f>
        <v/>
      </c>
      <c r="W158" t="str">
        <f t="array" aca="1" ref="W158" ca="1">IFERROR(INDEX(Source!$A$1:$A$250,SMALL(IF(--(Source!$B$1:$B$250=$O158)*--(Source!$E$1:$E$250=$Q$3)*--(Source!$D$1:$D$250=Pyramid!$Q158),ROW(Source!$B$1:$B$250),FALSE),W$3)),"")</f>
        <v/>
      </c>
      <c r="X158" t="str">
        <f t="array" aca="1" ref="X158" ca="1">IFERROR(INDEX(Source!$A$1:$A$250,SMALL(IF(--(Source!$B$1:$B$250=$O158)*--(Source!$E$1:$E$250=$Q$3)*--(Source!$D$1:$D$250=Pyramid!$Q158),ROW(Source!$B$1:$B$250),FALSE),X$3)),"")</f>
        <v/>
      </c>
      <c r="Y158" s="5">
        <f t="shared" ca="1" si="9"/>
        <v>0</v>
      </c>
    </row>
    <row r="159" spans="3:25">
      <c r="C159">
        <v>155</v>
      </c>
      <c r="D159" s="5">
        <f t="shared" ca="1" si="7"/>
        <v>0</v>
      </c>
      <c r="E159" t="str">
        <f t="array" aca="1" ref="E159" ca="1">IFERROR(INDEX(Source!$A$1:$A$250,SMALL(IF(--(Source!$B$1:$B$250=$O159)*--(Source!$E$1:$E$250=$M$3)*--(Source!$D$1:$D$250=Pyramid!$M159),ROW(Source!$B$1:$B$250),FALSE),E$3)),"")</f>
        <v/>
      </c>
      <c r="F159" t="str">
        <f t="array" aca="1" ref="F159" ca="1">IFERROR(INDEX(Source!$A$1:$A$250,SMALL(IF(--(Source!$B$1:$B$250=$O159)*--(Source!$E$1:$E$250=$M$3)*--(Source!$D$1:$D$250=Pyramid!$M159),ROW(Source!$B$1:$B$250),FALSE),F$3)),"")</f>
        <v/>
      </c>
      <c r="G159" t="str">
        <f t="array" aca="1" ref="G159" ca="1">IFERROR(INDEX(Source!$A$1:$A$250,SMALL(IF(--(Source!$B$1:$B$250=$O159)*--(Source!$E$1:$E$250=$M$3)*--(Source!$D$1:$D$250=Pyramid!$M159),ROW(Source!$B$1:$B$250),FALSE),G$3)),"")</f>
        <v/>
      </c>
      <c r="H159" t="str">
        <f t="array" aca="1" ref="H159" ca="1">IFERROR(INDEX(Source!$A$1:$A$250,SMALL(IF(--(Source!$B$1:$B$250=$O159)*--(Source!$E$1:$E$250=$M$3)*--(Source!$D$1:$D$250=Pyramid!$M159),ROW(Source!$B$1:$B$250),FALSE),H$3)),"")</f>
        <v/>
      </c>
      <c r="I159" t="str">
        <f t="array" aca="1" ref="I159" ca="1">IFERROR(INDEX(Source!$A$1:$A$250,SMALL(IF(--(Source!$B$1:$B$250=$O159)*--(Source!$E$1:$E$250=$M$3)*--(Source!$D$1:$D$250=Pyramid!$M159),ROW(Source!$B$1:$B$250),FALSE),I$3)),"")</f>
        <v/>
      </c>
      <c r="J159" t="str">
        <f t="array" aca="1" ref="J159" ca="1">IFERROR(INDEX(Source!$A$1:$A$250,SMALL(IF(--(Source!$B$1:$B$250=$O159)*--(Source!$E$1:$E$250=$M$3)*--(Source!$D$1:$D$250=Pyramid!$M159),ROW(Source!$B$1:$B$250),FALSE),J$3)),"")</f>
        <v/>
      </c>
      <c r="K159" t="str">
        <f t="array" aca="1" ref="K159" ca="1">IFERROR(INDEX(Source!$A$1:$A$250,SMALL(IF(--(Source!$B$1:$B$250=$O159)*--(Source!$E$1:$E$250=$M$3)*--(Source!$D$1:$D$250=Pyramid!$M159),ROW(Source!$B$1:$B$250),FALSE),K$3)),"")</f>
        <v/>
      </c>
      <c r="L159" t="str">
        <f t="array" aca="1" ref="L159" ca="1">IFERROR(INDEX(Source!$A$1:$A$250,SMALL(IF(--(Source!$B$1:$B$250=$O159)*--(Source!$E$1:$E$250=$M$3)*--(Source!$D$1:$D$250=Pyramid!$M159),ROW(Source!$B$1:$B$250),FALSE),L$3)),"")</f>
        <v/>
      </c>
      <c r="M159" t="str">
        <f t="shared" si="8"/>
        <v>29/6/2016</v>
      </c>
      <c r="N159">
        <f ca="1">COUNTIFS(Source!B:B,Pyramid!$O159,Source!$D:$D,Pyramid!$M159,Source!$E:$E,Pyramid!$M$3)</f>
        <v>0</v>
      </c>
      <c r="O159">
        <f ca="1">OFFSET(Sheet2!$N$3,INT(C159/5),)</f>
        <v>19698</v>
      </c>
      <c r="P159">
        <f ca="1">COUNTIFS(Source!B:B,Pyramid!$O159,Source!D:D,Pyramid!$Q159,Source!$E:$E,Pyramid!$Q$3)</f>
        <v>0</v>
      </c>
      <c r="Q159" t="str">
        <f t="shared" si="8"/>
        <v>29/6/2016</v>
      </c>
      <c r="R159" t="str">
        <f t="array" aca="1" ref="R159" ca="1">IFERROR(INDEX(Source!$A$1:$A$250,SMALL(IF(--(Source!$B$1:$B$250=$O159)*--(Source!$E$1:$E$250=$Q$3)*--(Source!$D$1:$D$250=Pyramid!$Q159),ROW(Source!$B$1:$B$250),FALSE),R$3)),"")</f>
        <v/>
      </c>
      <c r="S159" t="str">
        <f t="array" aca="1" ref="S159" ca="1">IFERROR(INDEX(Source!$A$1:$A$250,SMALL(IF(--(Source!$B$1:$B$250=$O159)*--(Source!$E$1:$E$250=$Q$3)*--(Source!$D$1:$D$250=Pyramid!$Q159),ROW(Source!$B$1:$B$250),FALSE),S$3)),"")</f>
        <v/>
      </c>
      <c r="T159" t="str">
        <f t="array" aca="1" ref="T159" ca="1">IFERROR(INDEX(Source!$A$1:$A$250,SMALL(IF(--(Source!$B$1:$B$250=$O159)*--(Source!$E$1:$E$250=$Q$3)*--(Source!$D$1:$D$250=Pyramid!$Q159),ROW(Source!$B$1:$B$250),FALSE),T$3)),"")</f>
        <v/>
      </c>
      <c r="U159" t="str">
        <f t="array" aca="1" ref="U159" ca="1">IFERROR(INDEX(Source!$A$1:$A$250,SMALL(IF(--(Source!$B$1:$B$250=$O159)*--(Source!$E$1:$E$250=$Q$3)*--(Source!$D$1:$D$250=Pyramid!$Q159),ROW(Source!$B$1:$B$250),FALSE),U$3)),"")</f>
        <v/>
      </c>
      <c r="V159" t="str">
        <f t="array" aca="1" ref="V159" ca="1">IFERROR(INDEX(Source!$A$1:$A$250,SMALL(IF(--(Source!$B$1:$B$250=$O159)*--(Source!$E$1:$E$250=$Q$3)*--(Source!$D$1:$D$250=Pyramid!$Q159),ROW(Source!$B$1:$B$250),FALSE),V$3)),"")</f>
        <v/>
      </c>
      <c r="W159" t="str">
        <f t="array" aca="1" ref="W159" ca="1">IFERROR(INDEX(Source!$A$1:$A$250,SMALL(IF(--(Source!$B$1:$B$250=$O159)*--(Source!$E$1:$E$250=$Q$3)*--(Source!$D$1:$D$250=Pyramid!$Q159),ROW(Source!$B$1:$B$250),FALSE),W$3)),"")</f>
        <v/>
      </c>
      <c r="X159" t="str">
        <f t="array" aca="1" ref="X159" ca="1">IFERROR(INDEX(Source!$A$1:$A$250,SMALL(IF(--(Source!$B$1:$B$250=$O159)*--(Source!$E$1:$E$250=$Q$3)*--(Source!$D$1:$D$250=Pyramid!$Q159),ROW(Source!$B$1:$B$250),FALSE),X$3)),"")</f>
        <v/>
      </c>
      <c r="Y159" s="5">
        <f t="shared" ca="1" si="9"/>
        <v>0</v>
      </c>
    </row>
    <row r="160" spans="3:25">
      <c r="C160">
        <v>156</v>
      </c>
      <c r="D160" s="5">
        <f t="shared" ca="1" si="7"/>
        <v>0</v>
      </c>
      <c r="E160" t="str">
        <f t="array" aca="1" ref="E160" ca="1">IFERROR(INDEX(Source!$A$1:$A$250,SMALL(IF(--(Source!$B$1:$B$250=$O160)*--(Source!$E$1:$E$250=$M$3)*--(Source!$D$1:$D$250=Pyramid!$M160),ROW(Source!$B$1:$B$250),FALSE),E$3)),"")</f>
        <v/>
      </c>
      <c r="F160" t="str">
        <f t="array" aca="1" ref="F160" ca="1">IFERROR(INDEX(Source!$A$1:$A$250,SMALL(IF(--(Source!$B$1:$B$250=$O160)*--(Source!$E$1:$E$250=$M$3)*--(Source!$D$1:$D$250=Pyramid!$M160),ROW(Source!$B$1:$B$250),FALSE),F$3)),"")</f>
        <v/>
      </c>
      <c r="G160" t="str">
        <f t="array" aca="1" ref="G160" ca="1">IFERROR(INDEX(Source!$A$1:$A$250,SMALL(IF(--(Source!$B$1:$B$250=$O160)*--(Source!$E$1:$E$250=$M$3)*--(Source!$D$1:$D$250=Pyramid!$M160),ROW(Source!$B$1:$B$250),FALSE),G$3)),"")</f>
        <v/>
      </c>
      <c r="H160" t="str">
        <f t="array" aca="1" ref="H160" ca="1">IFERROR(INDEX(Source!$A$1:$A$250,SMALL(IF(--(Source!$B$1:$B$250=$O160)*--(Source!$E$1:$E$250=$M$3)*--(Source!$D$1:$D$250=Pyramid!$M160),ROW(Source!$B$1:$B$250),FALSE),H$3)),"")</f>
        <v/>
      </c>
      <c r="I160" t="str">
        <f t="array" aca="1" ref="I160" ca="1">IFERROR(INDEX(Source!$A$1:$A$250,SMALL(IF(--(Source!$B$1:$B$250=$O160)*--(Source!$E$1:$E$250=$M$3)*--(Source!$D$1:$D$250=Pyramid!$M160),ROW(Source!$B$1:$B$250),FALSE),I$3)),"")</f>
        <v/>
      </c>
      <c r="J160" t="str">
        <f t="array" aca="1" ref="J160" ca="1">IFERROR(INDEX(Source!$A$1:$A$250,SMALL(IF(--(Source!$B$1:$B$250=$O160)*--(Source!$E$1:$E$250=$M$3)*--(Source!$D$1:$D$250=Pyramid!$M160),ROW(Source!$B$1:$B$250),FALSE),J$3)),"")</f>
        <v/>
      </c>
      <c r="K160" t="str">
        <f t="array" aca="1" ref="K160" ca="1">IFERROR(INDEX(Source!$A$1:$A$250,SMALL(IF(--(Source!$B$1:$B$250=$O160)*--(Source!$E$1:$E$250=$M$3)*--(Source!$D$1:$D$250=Pyramid!$M160),ROW(Source!$B$1:$B$250),FALSE),K$3)),"")</f>
        <v/>
      </c>
      <c r="L160" t="str">
        <f t="array" aca="1" ref="L160" ca="1">IFERROR(INDEX(Source!$A$1:$A$250,SMALL(IF(--(Source!$B$1:$B$250=$O160)*--(Source!$E$1:$E$250=$M$3)*--(Source!$D$1:$D$250=Pyramid!$M160),ROW(Source!$B$1:$B$250),FALSE),L$3)),"")</f>
        <v>26487 HK Equity</v>
      </c>
      <c r="M160" t="str">
        <f t="shared" si="8"/>
        <v>28/7/2016</v>
      </c>
      <c r="N160">
        <f ca="1">COUNTIFS(Source!B:B,Pyramid!$O160,Source!$D:$D,Pyramid!$M160,Source!$E:$E,Pyramid!$M$3)</f>
        <v>1</v>
      </c>
      <c r="O160">
        <f ca="1">OFFSET(Sheet2!$N$3,INT(C160/5),)</f>
        <v>19698</v>
      </c>
      <c r="P160">
        <f ca="1">COUNTIFS(Source!B:B,Pyramid!$O160,Source!D:D,Pyramid!$Q160,Source!$E:$E,Pyramid!$Q$3)</f>
        <v>0</v>
      </c>
      <c r="Q160" t="str">
        <f t="shared" si="8"/>
        <v>28/7/2016</v>
      </c>
      <c r="R160" t="str">
        <f t="array" aca="1" ref="R160" ca="1">IFERROR(INDEX(Source!$A$1:$A$250,SMALL(IF(--(Source!$B$1:$B$250=$O160)*--(Source!$E$1:$E$250=$Q$3)*--(Source!$D$1:$D$250=Pyramid!$Q160),ROW(Source!$B$1:$B$250),FALSE),R$3)),"")</f>
        <v/>
      </c>
      <c r="S160" t="str">
        <f t="array" aca="1" ref="S160" ca="1">IFERROR(INDEX(Source!$A$1:$A$250,SMALL(IF(--(Source!$B$1:$B$250=$O160)*--(Source!$E$1:$E$250=$Q$3)*--(Source!$D$1:$D$250=Pyramid!$Q160),ROW(Source!$B$1:$B$250),FALSE),S$3)),"")</f>
        <v/>
      </c>
      <c r="T160" t="str">
        <f t="array" aca="1" ref="T160" ca="1">IFERROR(INDEX(Source!$A$1:$A$250,SMALL(IF(--(Source!$B$1:$B$250=$O160)*--(Source!$E$1:$E$250=$Q$3)*--(Source!$D$1:$D$250=Pyramid!$Q160),ROW(Source!$B$1:$B$250),FALSE),T$3)),"")</f>
        <v/>
      </c>
      <c r="U160" t="str">
        <f t="array" aca="1" ref="U160" ca="1">IFERROR(INDEX(Source!$A$1:$A$250,SMALL(IF(--(Source!$B$1:$B$250=$O160)*--(Source!$E$1:$E$250=$Q$3)*--(Source!$D$1:$D$250=Pyramid!$Q160),ROW(Source!$B$1:$B$250),FALSE),U$3)),"")</f>
        <v/>
      </c>
      <c r="V160" t="str">
        <f t="array" aca="1" ref="V160" ca="1">IFERROR(INDEX(Source!$A$1:$A$250,SMALL(IF(--(Source!$B$1:$B$250=$O160)*--(Source!$E$1:$E$250=$Q$3)*--(Source!$D$1:$D$250=Pyramid!$Q160),ROW(Source!$B$1:$B$250),FALSE),V$3)),"")</f>
        <v/>
      </c>
      <c r="W160" t="str">
        <f t="array" aca="1" ref="W160" ca="1">IFERROR(INDEX(Source!$A$1:$A$250,SMALL(IF(--(Source!$B$1:$B$250=$O160)*--(Source!$E$1:$E$250=$Q$3)*--(Source!$D$1:$D$250=Pyramid!$Q160),ROW(Source!$B$1:$B$250),FALSE),W$3)),"")</f>
        <v/>
      </c>
      <c r="X160" t="str">
        <f t="array" aca="1" ref="X160" ca="1">IFERROR(INDEX(Source!$A$1:$A$250,SMALL(IF(--(Source!$B$1:$B$250=$O160)*--(Source!$E$1:$E$250=$Q$3)*--(Source!$D$1:$D$250=Pyramid!$Q160),ROW(Source!$B$1:$B$250),FALSE),X$3)),"")</f>
        <v/>
      </c>
      <c r="Y160" s="5">
        <f t="shared" ca="1" si="9"/>
        <v>0</v>
      </c>
    </row>
    <row r="161" spans="3:25">
      <c r="C161">
        <v>157</v>
      </c>
      <c r="D161" s="5">
        <f t="shared" ca="1" si="7"/>
        <v>0</v>
      </c>
      <c r="E161" t="str">
        <f t="array" aca="1" ref="E161" ca="1">IFERROR(INDEX(Source!$A$1:$A$250,SMALL(IF(--(Source!$B$1:$B$250=$O161)*--(Source!$E$1:$E$250=$M$3)*--(Source!$D$1:$D$250=Pyramid!$M161),ROW(Source!$B$1:$B$250),FALSE),E$3)),"")</f>
        <v/>
      </c>
      <c r="F161" t="str">
        <f t="array" aca="1" ref="F161" ca="1">IFERROR(INDEX(Source!$A$1:$A$250,SMALL(IF(--(Source!$B$1:$B$250=$O161)*--(Source!$E$1:$E$250=$M$3)*--(Source!$D$1:$D$250=Pyramid!$M161),ROW(Source!$B$1:$B$250),FALSE),F$3)),"")</f>
        <v/>
      </c>
      <c r="G161" t="str">
        <f t="array" aca="1" ref="G161" ca="1">IFERROR(INDEX(Source!$A$1:$A$250,SMALL(IF(--(Source!$B$1:$B$250=$O161)*--(Source!$E$1:$E$250=$M$3)*--(Source!$D$1:$D$250=Pyramid!$M161),ROW(Source!$B$1:$B$250),FALSE),G$3)),"")</f>
        <v/>
      </c>
      <c r="H161" t="str">
        <f t="array" aca="1" ref="H161" ca="1">IFERROR(INDEX(Source!$A$1:$A$250,SMALL(IF(--(Source!$B$1:$B$250=$O161)*--(Source!$E$1:$E$250=$M$3)*--(Source!$D$1:$D$250=Pyramid!$M161),ROW(Source!$B$1:$B$250),FALSE),H$3)),"")</f>
        <v/>
      </c>
      <c r="I161" t="str">
        <f t="array" aca="1" ref="I161" ca="1">IFERROR(INDEX(Source!$A$1:$A$250,SMALL(IF(--(Source!$B$1:$B$250=$O161)*--(Source!$E$1:$E$250=$M$3)*--(Source!$D$1:$D$250=Pyramid!$M161),ROW(Source!$B$1:$B$250),FALSE),I$3)),"")</f>
        <v/>
      </c>
      <c r="J161" t="str">
        <f t="array" aca="1" ref="J161" ca="1">IFERROR(INDEX(Source!$A$1:$A$250,SMALL(IF(--(Source!$B$1:$B$250=$O161)*--(Source!$E$1:$E$250=$M$3)*--(Source!$D$1:$D$250=Pyramid!$M161),ROW(Source!$B$1:$B$250),FALSE),J$3)),"")</f>
        <v/>
      </c>
      <c r="K161" t="str">
        <f t="array" aca="1" ref="K161" ca="1">IFERROR(INDEX(Source!$A$1:$A$250,SMALL(IF(--(Source!$B$1:$B$250=$O161)*--(Source!$E$1:$E$250=$M$3)*--(Source!$D$1:$D$250=Pyramid!$M161),ROW(Source!$B$1:$B$250),FALSE),K$3)),"")</f>
        <v/>
      </c>
      <c r="L161" t="str">
        <f t="array" aca="1" ref="L161" ca="1">IFERROR(INDEX(Source!$A$1:$A$250,SMALL(IF(--(Source!$B$1:$B$250=$O161)*--(Source!$E$1:$E$250=$M$3)*--(Source!$D$1:$D$250=Pyramid!$M161),ROW(Source!$B$1:$B$250),FALSE),L$3)),"")</f>
        <v/>
      </c>
      <c r="M161" t="str">
        <f t="shared" si="8"/>
        <v>30/8/2016</v>
      </c>
      <c r="N161">
        <f ca="1">COUNTIFS(Source!B:B,Pyramid!$O161,Source!$D:$D,Pyramid!$M161,Source!$E:$E,Pyramid!$M$3)</f>
        <v>0</v>
      </c>
      <c r="O161">
        <f ca="1">OFFSET(Sheet2!$N$3,INT(C161/5),)</f>
        <v>19698</v>
      </c>
      <c r="P161">
        <f ca="1">COUNTIFS(Source!B:B,Pyramid!$O161,Source!D:D,Pyramid!$Q161,Source!$E:$E,Pyramid!$Q$3)</f>
        <v>0</v>
      </c>
      <c r="Q161" t="str">
        <f t="shared" si="8"/>
        <v>30/8/2016</v>
      </c>
      <c r="R161" t="str">
        <f t="array" aca="1" ref="R161" ca="1">IFERROR(INDEX(Source!$A$1:$A$250,SMALL(IF(--(Source!$B$1:$B$250=$O161)*--(Source!$E$1:$E$250=$Q$3)*--(Source!$D$1:$D$250=Pyramid!$Q161),ROW(Source!$B$1:$B$250),FALSE),R$3)),"")</f>
        <v/>
      </c>
      <c r="S161" t="str">
        <f t="array" aca="1" ref="S161" ca="1">IFERROR(INDEX(Source!$A$1:$A$250,SMALL(IF(--(Source!$B$1:$B$250=$O161)*--(Source!$E$1:$E$250=$Q$3)*--(Source!$D$1:$D$250=Pyramid!$Q161),ROW(Source!$B$1:$B$250),FALSE),S$3)),"")</f>
        <v/>
      </c>
      <c r="T161" t="str">
        <f t="array" aca="1" ref="T161" ca="1">IFERROR(INDEX(Source!$A$1:$A$250,SMALL(IF(--(Source!$B$1:$B$250=$O161)*--(Source!$E$1:$E$250=$Q$3)*--(Source!$D$1:$D$250=Pyramid!$Q161),ROW(Source!$B$1:$B$250),FALSE),T$3)),"")</f>
        <v/>
      </c>
      <c r="U161" t="str">
        <f t="array" aca="1" ref="U161" ca="1">IFERROR(INDEX(Source!$A$1:$A$250,SMALL(IF(--(Source!$B$1:$B$250=$O161)*--(Source!$E$1:$E$250=$Q$3)*--(Source!$D$1:$D$250=Pyramid!$Q161),ROW(Source!$B$1:$B$250),FALSE),U$3)),"")</f>
        <v/>
      </c>
      <c r="V161" t="str">
        <f t="array" aca="1" ref="V161" ca="1">IFERROR(INDEX(Source!$A$1:$A$250,SMALL(IF(--(Source!$B$1:$B$250=$O161)*--(Source!$E$1:$E$250=$Q$3)*--(Source!$D$1:$D$250=Pyramid!$Q161),ROW(Source!$B$1:$B$250),FALSE),V$3)),"")</f>
        <v/>
      </c>
      <c r="W161" t="str">
        <f t="array" aca="1" ref="W161" ca="1">IFERROR(INDEX(Source!$A$1:$A$250,SMALL(IF(--(Source!$B$1:$B$250=$O161)*--(Source!$E$1:$E$250=$Q$3)*--(Source!$D$1:$D$250=Pyramid!$Q161),ROW(Source!$B$1:$B$250),FALSE),W$3)),"")</f>
        <v/>
      </c>
      <c r="X161" t="str">
        <f t="array" aca="1" ref="X161" ca="1">IFERROR(INDEX(Source!$A$1:$A$250,SMALL(IF(--(Source!$B$1:$B$250=$O161)*--(Source!$E$1:$E$250=$Q$3)*--(Source!$D$1:$D$250=Pyramid!$Q161),ROW(Source!$B$1:$B$250),FALSE),X$3)),"")</f>
        <v/>
      </c>
      <c r="Y161" s="5">
        <f t="shared" ca="1" si="9"/>
        <v>0</v>
      </c>
    </row>
    <row r="162" spans="3:25">
      <c r="C162">
        <v>158</v>
      </c>
      <c r="D162" s="5">
        <f t="shared" ca="1" si="7"/>
        <v>0</v>
      </c>
      <c r="E162" t="str">
        <f t="array" aca="1" ref="E162" ca="1">IFERROR(INDEX(Source!$A$1:$A$250,SMALL(IF(--(Source!$B$1:$B$250=$O162)*--(Source!$E$1:$E$250=$M$3)*--(Source!$D$1:$D$250=Pyramid!$M162),ROW(Source!$B$1:$B$250),FALSE),E$3)),"")</f>
        <v/>
      </c>
      <c r="F162" t="str">
        <f t="array" aca="1" ref="F162" ca="1">IFERROR(INDEX(Source!$A$1:$A$250,SMALL(IF(--(Source!$B$1:$B$250=$O162)*--(Source!$E$1:$E$250=$M$3)*--(Source!$D$1:$D$250=Pyramid!$M162),ROW(Source!$B$1:$B$250),FALSE),F$3)),"")</f>
        <v/>
      </c>
      <c r="G162" t="str">
        <f t="array" aca="1" ref="G162" ca="1">IFERROR(INDEX(Source!$A$1:$A$250,SMALL(IF(--(Source!$B$1:$B$250=$O162)*--(Source!$E$1:$E$250=$M$3)*--(Source!$D$1:$D$250=Pyramid!$M162),ROW(Source!$B$1:$B$250),FALSE),G$3)),"")</f>
        <v/>
      </c>
      <c r="H162" t="str">
        <f t="array" aca="1" ref="H162" ca="1">IFERROR(INDEX(Source!$A$1:$A$250,SMALL(IF(--(Source!$B$1:$B$250=$O162)*--(Source!$E$1:$E$250=$M$3)*--(Source!$D$1:$D$250=Pyramid!$M162),ROW(Source!$B$1:$B$250),FALSE),H$3)),"")</f>
        <v/>
      </c>
      <c r="I162" t="str">
        <f t="array" aca="1" ref="I162" ca="1">IFERROR(INDEX(Source!$A$1:$A$250,SMALL(IF(--(Source!$B$1:$B$250=$O162)*--(Source!$E$1:$E$250=$M$3)*--(Source!$D$1:$D$250=Pyramid!$M162),ROW(Source!$B$1:$B$250),FALSE),I$3)),"")</f>
        <v/>
      </c>
      <c r="J162" t="str">
        <f t="array" aca="1" ref="J162" ca="1">IFERROR(INDEX(Source!$A$1:$A$250,SMALL(IF(--(Source!$B$1:$B$250=$O162)*--(Source!$E$1:$E$250=$M$3)*--(Source!$D$1:$D$250=Pyramid!$M162),ROW(Source!$B$1:$B$250),FALSE),J$3)),"")</f>
        <v/>
      </c>
      <c r="K162" t="str">
        <f t="array" aca="1" ref="K162" ca="1">IFERROR(INDEX(Source!$A$1:$A$250,SMALL(IF(--(Source!$B$1:$B$250=$O162)*--(Source!$E$1:$E$250=$M$3)*--(Source!$D$1:$D$250=Pyramid!$M162),ROW(Source!$B$1:$B$250),FALSE),K$3)),"")</f>
        <v/>
      </c>
      <c r="L162" t="str">
        <f t="array" aca="1" ref="L162" ca="1">IFERROR(INDEX(Source!$A$1:$A$250,SMALL(IF(--(Source!$B$1:$B$250=$O162)*--(Source!$E$1:$E$250=$M$3)*--(Source!$D$1:$D$250=Pyramid!$M162),ROW(Source!$B$1:$B$250),FALSE),L$3)),"")</f>
        <v/>
      </c>
      <c r="M162" t="str">
        <f t="shared" si="8"/>
        <v>29/9/2016</v>
      </c>
      <c r="N162">
        <f ca="1">COUNTIFS(Source!B:B,Pyramid!$O162,Source!$D:$D,Pyramid!$M162,Source!$E:$E,Pyramid!$M$3)</f>
        <v>0</v>
      </c>
      <c r="O162">
        <f ca="1">OFFSET(Sheet2!$N$3,INT(C162/5),)</f>
        <v>19698</v>
      </c>
      <c r="P162">
        <f ca="1">COUNTIFS(Source!B:B,Pyramid!$O162,Source!D:D,Pyramid!$Q162,Source!$E:$E,Pyramid!$Q$3)</f>
        <v>0</v>
      </c>
      <c r="Q162" t="str">
        <f t="shared" si="8"/>
        <v>29/9/2016</v>
      </c>
      <c r="R162" t="str">
        <f t="array" aca="1" ref="R162" ca="1">IFERROR(INDEX(Source!$A$1:$A$250,SMALL(IF(--(Source!$B$1:$B$250=$O162)*--(Source!$E$1:$E$250=$Q$3)*--(Source!$D$1:$D$250=Pyramid!$Q162),ROW(Source!$B$1:$B$250),FALSE),R$3)),"")</f>
        <v/>
      </c>
      <c r="S162" t="str">
        <f t="array" aca="1" ref="S162" ca="1">IFERROR(INDEX(Source!$A$1:$A$250,SMALL(IF(--(Source!$B$1:$B$250=$O162)*--(Source!$E$1:$E$250=$Q$3)*--(Source!$D$1:$D$250=Pyramid!$Q162),ROW(Source!$B$1:$B$250),FALSE),S$3)),"")</f>
        <v/>
      </c>
      <c r="T162" t="str">
        <f t="array" aca="1" ref="T162" ca="1">IFERROR(INDEX(Source!$A$1:$A$250,SMALL(IF(--(Source!$B$1:$B$250=$O162)*--(Source!$E$1:$E$250=$Q$3)*--(Source!$D$1:$D$250=Pyramid!$Q162),ROW(Source!$B$1:$B$250),FALSE),T$3)),"")</f>
        <v/>
      </c>
      <c r="U162" t="str">
        <f t="array" aca="1" ref="U162" ca="1">IFERROR(INDEX(Source!$A$1:$A$250,SMALL(IF(--(Source!$B$1:$B$250=$O162)*--(Source!$E$1:$E$250=$Q$3)*--(Source!$D$1:$D$250=Pyramid!$Q162),ROW(Source!$B$1:$B$250),FALSE),U$3)),"")</f>
        <v/>
      </c>
      <c r="V162" t="str">
        <f t="array" aca="1" ref="V162" ca="1">IFERROR(INDEX(Source!$A$1:$A$250,SMALL(IF(--(Source!$B$1:$B$250=$O162)*--(Source!$E$1:$E$250=$Q$3)*--(Source!$D$1:$D$250=Pyramid!$Q162),ROW(Source!$B$1:$B$250),FALSE),V$3)),"")</f>
        <v/>
      </c>
      <c r="W162" t="str">
        <f t="array" aca="1" ref="W162" ca="1">IFERROR(INDEX(Source!$A$1:$A$250,SMALL(IF(--(Source!$B$1:$B$250=$O162)*--(Source!$E$1:$E$250=$Q$3)*--(Source!$D$1:$D$250=Pyramid!$Q162),ROW(Source!$B$1:$B$250),FALSE),W$3)),"")</f>
        <v/>
      </c>
      <c r="X162" t="str">
        <f t="array" aca="1" ref="X162" ca="1">IFERROR(INDEX(Source!$A$1:$A$250,SMALL(IF(--(Source!$B$1:$B$250=$O162)*--(Source!$E$1:$E$250=$Q$3)*--(Source!$D$1:$D$250=Pyramid!$Q162),ROW(Source!$B$1:$B$250),FALSE),X$3)),"")</f>
        <v/>
      </c>
      <c r="Y162" s="5">
        <f t="shared" ca="1" si="9"/>
        <v>0</v>
      </c>
    </row>
    <row r="163" spans="3:25">
      <c r="C163">
        <v>159</v>
      </c>
      <c r="D163" s="5">
        <f t="shared" ca="1" si="7"/>
        <v>0</v>
      </c>
      <c r="E163" t="str">
        <f t="array" aca="1" ref="E163" ca="1">IFERROR(INDEX(Source!$A$1:$A$250,SMALL(IF(--(Source!$B$1:$B$250=$O163)*--(Source!$E$1:$E$250=$M$3)*--(Source!$D$1:$D$250=Pyramid!$M163),ROW(Source!$B$1:$B$250),FALSE),E$3)),"")</f>
        <v/>
      </c>
      <c r="F163" t="str">
        <f t="array" aca="1" ref="F163" ca="1">IFERROR(INDEX(Source!$A$1:$A$250,SMALL(IF(--(Source!$B$1:$B$250=$O163)*--(Source!$E$1:$E$250=$M$3)*--(Source!$D$1:$D$250=Pyramid!$M163),ROW(Source!$B$1:$B$250),FALSE),F$3)),"")</f>
        <v/>
      </c>
      <c r="G163" t="str">
        <f t="array" aca="1" ref="G163" ca="1">IFERROR(INDEX(Source!$A$1:$A$250,SMALL(IF(--(Source!$B$1:$B$250=$O163)*--(Source!$E$1:$E$250=$M$3)*--(Source!$D$1:$D$250=Pyramid!$M163),ROW(Source!$B$1:$B$250),FALSE),G$3)),"")</f>
        <v/>
      </c>
      <c r="H163" t="str">
        <f t="array" aca="1" ref="H163" ca="1">IFERROR(INDEX(Source!$A$1:$A$250,SMALL(IF(--(Source!$B$1:$B$250=$O163)*--(Source!$E$1:$E$250=$M$3)*--(Source!$D$1:$D$250=Pyramid!$M163),ROW(Source!$B$1:$B$250),FALSE),H$3)),"")</f>
        <v/>
      </c>
      <c r="I163" t="str">
        <f t="array" aca="1" ref="I163" ca="1">IFERROR(INDEX(Source!$A$1:$A$250,SMALL(IF(--(Source!$B$1:$B$250=$O163)*--(Source!$E$1:$E$250=$M$3)*--(Source!$D$1:$D$250=Pyramid!$M163),ROW(Source!$B$1:$B$250),FALSE),I$3)),"")</f>
        <v/>
      </c>
      <c r="J163" t="str">
        <f t="array" aca="1" ref="J163" ca="1">IFERROR(INDEX(Source!$A$1:$A$250,SMALL(IF(--(Source!$B$1:$B$250=$O163)*--(Source!$E$1:$E$250=$M$3)*--(Source!$D$1:$D$250=Pyramid!$M163),ROW(Source!$B$1:$B$250),FALSE),J$3)),"")</f>
        <v/>
      </c>
      <c r="K163" t="str">
        <f t="array" aca="1" ref="K163" ca="1">IFERROR(INDEX(Source!$A$1:$A$250,SMALL(IF(--(Source!$B$1:$B$250=$O163)*--(Source!$E$1:$E$250=$M$3)*--(Source!$D$1:$D$250=Pyramid!$M163),ROW(Source!$B$1:$B$250),FALSE),K$3)),"")</f>
        <v/>
      </c>
      <c r="L163" t="str">
        <f t="array" aca="1" ref="L163" ca="1">IFERROR(INDEX(Source!$A$1:$A$250,SMALL(IF(--(Source!$B$1:$B$250=$O163)*--(Source!$E$1:$E$250=$M$3)*--(Source!$D$1:$D$250=Pyramid!$M163),ROW(Source!$B$1:$B$250),FALSE),L$3)),"")</f>
        <v/>
      </c>
      <c r="M163" t="str">
        <f t="shared" si="8"/>
        <v>28/10/2016</v>
      </c>
      <c r="N163">
        <f ca="1">COUNTIFS(Source!B:B,Pyramid!$O163,Source!$D:$D,Pyramid!$M163,Source!$E:$E,Pyramid!$M$3)</f>
        <v>0</v>
      </c>
      <c r="O163">
        <f ca="1">OFFSET(Sheet2!$N$3,INT(C163/5),)</f>
        <v>19698</v>
      </c>
      <c r="P163">
        <f ca="1">COUNTIFS(Source!B:B,Pyramid!$O163,Source!D:D,Pyramid!$Q163,Source!$E:$E,Pyramid!$Q$3)</f>
        <v>0</v>
      </c>
      <c r="Q163" t="str">
        <f t="shared" si="8"/>
        <v>28/10/2016</v>
      </c>
      <c r="R163" t="str">
        <f t="array" aca="1" ref="R163" ca="1">IFERROR(INDEX(Source!$A$1:$A$250,SMALL(IF(--(Source!$B$1:$B$250=$O163)*--(Source!$E$1:$E$250=$Q$3)*--(Source!$D$1:$D$250=Pyramid!$Q163),ROW(Source!$B$1:$B$250),FALSE),R$3)),"")</f>
        <v/>
      </c>
      <c r="S163" t="str">
        <f t="array" aca="1" ref="S163" ca="1">IFERROR(INDEX(Source!$A$1:$A$250,SMALL(IF(--(Source!$B$1:$B$250=$O163)*--(Source!$E$1:$E$250=$Q$3)*--(Source!$D$1:$D$250=Pyramid!$Q163),ROW(Source!$B$1:$B$250),FALSE),S$3)),"")</f>
        <v/>
      </c>
      <c r="T163" t="str">
        <f t="array" aca="1" ref="T163" ca="1">IFERROR(INDEX(Source!$A$1:$A$250,SMALL(IF(--(Source!$B$1:$B$250=$O163)*--(Source!$E$1:$E$250=$Q$3)*--(Source!$D$1:$D$250=Pyramid!$Q163),ROW(Source!$B$1:$B$250),FALSE),T$3)),"")</f>
        <v/>
      </c>
      <c r="U163" t="str">
        <f t="array" aca="1" ref="U163" ca="1">IFERROR(INDEX(Source!$A$1:$A$250,SMALL(IF(--(Source!$B$1:$B$250=$O163)*--(Source!$E$1:$E$250=$Q$3)*--(Source!$D$1:$D$250=Pyramid!$Q163),ROW(Source!$B$1:$B$250),FALSE),U$3)),"")</f>
        <v/>
      </c>
      <c r="V163" t="str">
        <f t="array" aca="1" ref="V163" ca="1">IFERROR(INDEX(Source!$A$1:$A$250,SMALL(IF(--(Source!$B$1:$B$250=$O163)*--(Source!$E$1:$E$250=$Q$3)*--(Source!$D$1:$D$250=Pyramid!$Q163),ROW(Source!$B$1:$B$250),FALSE),V$3)),"")</f>
        <v/>
      </c>
      <c r="W163" t="str">
        <f t="array" aca="1" ref="W163" ca="1">IFERROR(INDEX(Source!$A$1:$A$250,SMALL(IF(--(Source!$B$1:$B$250=$O163)*--(Source!$E$1:$E$250=$Q$3)*--(Source!$D$1:$D$250=Pyramid!$Q163),ROW(Source!$B$1:$B$250),FALSE),W$3)),"")</f>
        <v/>
      </c>
      <c r="X163" t="str">
        <f t="array" aca="1" ref="X163" ca="1">IFERROR(INDEX(Source!$A$1:$A$250,SMALL(IF(--(Source!$B$1:$B$250=$O163)*--(Source!$E$1:$E$250=$Q$3)*--(Source!$D$1:$D$250=Pyramid!$Q163),ROW(Source!$B$1:$B$250),FALSE),X$3)),"")</f>
        <v/>
      </c>
      <c r="Y163" s="5">
        <f t="shared" ca="1" si="9"/>
        <v>0</v>
      </c>
    </row>
    <row r="164" spans="3:25">
      <c r="C164">
        <v>160</v>
      </c>
      <c r="D164" s="5">
        <f t="shared" ca="1" si="7"/>
        <v>0</v>
      </c>
      <c r="E164" t="str">
        <f t="array" aca="1" ref="E164" ca="1">IFERROR(INDEX(Source!$A$1:$A$250,SMALL(IF(--(Source!$B$1:$B$250=$O164)*--(Source!$E$1:$E$250=$M$3)*--(Source!$D$1:$D$250=Pyramid!$M164),ROW(Source!$B$1:$B$250),FALSE),E$3)),"")</f>
        <v/>
      </c>
      <c r="F164" t="str">
        <f t="array" aca="1" ref="F164" ca="1">IFERROR(INDEX(Source!$A$1:$A$250,SMALL(IF(--(Source!$B$1:$B$250=$O164)*--(Source!$E$1:$E$250=$M$3)*--(Source!$D$1:$D$250=Pyramid!$M164),ROW(Source!$B$1:$B$250),FALSE),F$3)),"")</f>
        <v/>
      </c>
      <c r="G164" t="str">
        <f t="array" aca="1" ref="G164" ca="1">IFERROR(INDEX(Source!$A$1:$A$250,SMALL(IF(--(Source!$B$1:$B$250=$O164)*--(Source!$E$1:$E$250=$M$3)*--(Source!$D$1:$D$250=Pyramid!$M164),ROW(Source!$B$1:$B$250),FALSE),G$3)),"")</f>
        <v/>
      </c>
      <c r="H164" t="str">
        <f t="array" aca="1" ref="H164" ca="1">IFERROR(INDEX(Source!$A$1:$A$250,SMALL(IF(--(Source!$B$1:$B$250=$O164)*--(Source!$E$1:$E$250=$M$3)*--(Source!$D$1:$D$250=Pyramid!$M164),ROW(Source!$B$1:$B$250),FALSE),H$3)),"")</f>
        <v/>
      </c>
      <c r="I164" t="str">
        <f t="array" aca="1" ref="I164" ca="1">IFERROR(INDEX(Source!$A$1:$A$250,SMALL(IF(--(Source!$B$1:$B$250=$O164)*--(Source!$E$1:$E$250=$M$3)*--(Source!$D$1:$D$250=Pyramid!$M164),ROW(Source!$B$1:$B$250),FALSE),I$3)),"")</f>
        <v/>
      </c>
      <c r="J164" t="str">
        <f t="array" aca="1" ref="J164" ca="1">IFERROR(INDEX(Source!$A$1:$A$250,SMALL(IF(--(Source!$B$1:$B$250=$O164)*--(Source!$E$1:$E$250=$M$3)*--(Source!$D$1:$D$250=Pyramid!$M164),ROW(Source!$B$1:$B$250),FALSE),J$3)),"")</f>
        <v/>
      </c>
      <c r="K164" t="str">
        <f t="array" aca="1" ref="K164" ca="1">IFERROR(INDEX(Source!$A$1:$A$250,SMALL(IF(--(Source!$B$1:$B$250=$O164)*--(Source!$E$1:$E$250=$M$3)*--(Source!$D$1:$D$250=Pyramid!$M164),ROW(Source!$B$1:$B$250),FALSE),K$3)),"")</f>
        <v/>
      </c>
      <c r="L164" t="str">
        <f t="array" aca="1" ref="L164" ca="1">IFERROR(INDEX(Source!$A$1:$A$250,SMALL(IF(--(Source!$B$1:$B$250=$O164)*--(Source!$E$1:$E$250=$M$3)*--(Source!$D$1:$D$250=Pyramid!$M164),ROW(Source!$B$1:$B$250),FALSE),L$3)),"")</f>
        <v/>
      </c>
      <c r="M164" t="str">
        <f t="shared" si="8"/>
        <v>29/6/2016</v>
      </c>
      <c r="N164">
        <f ca="1">COUNTIFS(Source!B:B,Pyramid!$O164,Source!$D:$D,Pyramid!$M164,Source!$E:$E,Pyramid!$M$3)</f>
        <v>0</v>
      </c>
      <c r="O164">
        <f ca="1">OFFSET(Sheet2!$N$3,INT(C164/5),)</f>
        <v>19708</v>
      </c>
      <c r="P164">
        <f ca="1">COUNTIFS(Source!B:B,Pyramid!$O164,Source!D:D,Pyramid!$Q164,Source!$E:$E,Pyramid!$Q$3)</f>
        <v>0</v>
      </c>
      <c r="Q164" t="str">
        <f t="shared" si="8"/>
        <v>29/6/2016</v>
      </c>
      <c r="R164" t="str">
        <f t="array" aca="1" ref="R164" ca="1">IFERROR(INDEX(Source!$A$1:$A$250,SMALL(IF(--(Source!$B$1:$B$250=$O164)*--(Source!$E$1:$E$250=$Q$3)*--(Source!$D$1:$D$250=Pyramid!$Q164),ROW(Source!$B$1:$B$250),FALSE),R$3)),"")</f>
        <v/>
      </c>
      <c r="S164" t="str">
        <f t="array" aca="1" ref="S164" ca="1">IFERROR(INDEX(Source!$A$1:$A$250,SMALL(IF(--(Source!$B$1:$B$250=$O164)*--(Source!$E$1:$E$250=$Q$3)*--(Source!$D$1:$D$250=Pyramid!$Q164),ROW(Source!$B$1:$B$250),FALSE),S$3)),"")</f>
        <v/>
      </c>
      <c r="T164" t="str">
        <f t="array" aca="1" ref="T164" ca="1">IFERROR(INDEX(Source!$A$1:$A$250,SMALL(IF(--(Source!$B$1:$B$250=$O164)*--(Source!$E$1:$E$250=$Q$3)*--(Source!$D$1:$D$250=Pyramid!$Q164),ROW(Source!$B$1:$B$250),FALSE),T$3)),"")</f>
        <v/>
      </c>
      <c r="U164" t="str">
        <f t="array" aca="1" ref="U164" ca="1">IFERROR(INDEX(Source!$A$1:$A$250,SMALL(IF(--(Source!$B$1:$B$250=$O164)*--(Source!$E$1:$E$250=$Q$3)*--(Source!$D$1:$D$250=Pyramid!$Q164),ROW(Source!$B$1:$B$250),FALSE),U$3)),"")</f>
        <v/>
      </c>
      <c r="V164" t="str">
        <f t="array" aca="1" ref="V164" ca="1">IFERROR(INDEX(Source!$A$1:$A$250,SMALL(IF(--(Source!$B$1:$B$250=$O164)*--(Source!$E$1:$E$250=$Q$3)*--(Source!$D$1:$D$250=Pyramid!$Q164),ROW(Source!$B$1:$B$250),FALSE),V$3)),"")</f>
        <v/>
      </c>
      <c r="W164" t="str">
        <f t="array" aca="1" ref="W164" ca="1">IFERROR(INDEX(Source!$A$1:$A$250,SMALL(IF(--(Source!$B$1:$B$250=$O164)*--(Source!$E$1:$E$250=$Q$3)*--(Source!$D$1:$D$250=Pyramid!$Q164),ROW(Source!$B$1:$B$250),FALSE),W$3)),"")</f>
        <v/>
      </c>
      <c r="X164" t="str">
        <f t="array" aca="1" ref="X164" ca="1">IFERROR(INDEX(Source!$A$1:$A$250,SMALL(IF(--(Source!$B$1:$B$250=$O164)*--(Source!$E$1:$E$250=$Q$3)*--(Source!$D$1:$D$250=Pyramid!$Q164),ROW(Source!$B$1:$B$250),FALSE),X$3)),"")</f>
        <v/>
      </c>
      <c r="Y164" s="5">
        <f t="shared" ca="1" si="9"/>
        <v>0</v>
      </c>
    </row>
    <row r="165" spans="3:25">
      <c r="C165">
        <v>161</v>
      </c>
      <c r="D165" s="5">
        <f t="shared" ca="1" si="7"/>
        <v>0</v>
      </c>
      <c r="E165" t="str">
        <f t="array" aca="1" ref="E165" ca="1">IFERROR(INDEX(Source!$A$1:$A$250,SMALL(IF(--(Source!$B$1:$B$250=$O165)*--(Source!$E$1:$E$250=$M$3)*--(Source!$D$1:$D$250=Pyramid!$M165),ROW(Source!$B$1:$B$250),FALSE),E$3)),"")</f>
        <v/>
      </c>
      <c r="F165" t="str">
        <f t="array" aca="1" ref="F165" ca="1">IFERROR(INDEX(Source!$A$1:$A$250,SMALL(IF(--(Source!$B$1:$B$250=$O165)*--(Source!$E$1:$E$250=$M$3)*--(Source!$D$1:$D$250=Pyramid!$M165),ROW(Source!$B$1:$B$250),FALSE),F$3)),"")</f>
        <v/>
      </c>
      <c r="G165" t="str">
        <f t="array" aca="1" ref="G165" ca="1">IFERROR(INDEX(Source!$A$1:$A$250,SMALL(IF(--(Source!$B$1:$B$250=$O165)*--(Source!$E$1:$E$250=$M$3)*--(Source!$D$1:$D$250=Pyramid!$M165),ROW(Source!$B$1:$B$250),FALSE),G$3)),"")</f>
        <v/>
      </c>
      <c r="H165" t="str">
        <f t="array" aca="1" ref="H165" ca="1">IFERROR(INDEX(Source!$A$1:$A$250,SMALL(IF(--(Source!$B$1:$B$250=$O165)*--(Source!$E$1:$E$250=$M$3)*--(Source!$D$1:$D$250=Pyramid!$M165),ROW(Source!$B$1:$B$250),FALSE),H$3)),"")</f>
        <v/>
      </c>
      <c r="I165" t="str">
        <f t="array" aca="1" ref="I165" ca="1">IFERROR(INDEX(Source!$A$1:$A$250,SMALL(IF(--(Source!$B$1:$B$250=$O165)*--(Source!$E$1:$E$250=$M$3)*--(Source!$D$1:$D$250=Pyramid!$M165),ROW(Source!$B$1:$B$250),FALSE),I$3)),"")</f>
        <v/>
      </c>
      <c r="J165" t="str">
        <f t="array" aca="1" ref="J165" ca="1">IFERROR(INDEX(Source!$A$1:$A$250,SMALL(IF(--(Source!$B$1:$B$250=$O165)*--(Source!$E$1:$E$250=$M$3)*--(Source!$D$1:$D$250=Pyramid!$M165),ROW(Source!$B$1:$B$250),FALSE),J$3)),"")</f>
        <v/>
      </c>
      <c r="K165" t="str">
        <f t="array" aca="1" ref="K165" ca="1">IFERROR(INDEX(Source!$A$1:$A$250,SMALL(IF(--(Source!$B$1:$B$250=$O165)*--(Source!$E$1:$E$250=$M$3)*--(Source!$D$1:$D$250=Pyramid!$M165),ROW(Source!$B$1:$B$250),FALSE),K$3)),"")</f>
        <v/>
      </c>
      <c r="L165" t="str">
        <f t="array" aca="1" ref="L165" ca="1">IFERROR(INDEX(Source!$A$1:$A$250,SMALL(IF(--(Source!$B$1:$B$250=$O165)*--(Source!$E$1:$E$250=$M$3)*--(Source!$D$1:$D$250=Pyramid!$M165),ROW(Source!$B$1:$B$250),FALSE),L$3)),"")</f>
        <v/>
      </c>
      <c r="M165" t="str">
        <f t="shared" si="8"/>
        <v>28/7/2016</v>
      </c>
      <c r="N165">
        <f ca="1">COUNTIFS(Source!B:B,Pyramid!$O165,Source!$D:$D,Pyramid!$M165,Source!$E:$E,Pyramid!$M$3)</f>
        <v>0</v>
      </c>
      <c r="O165">
        <f ca="1">OFFSET(Sheet2!$N$3,INT(C165/5),)</f>
        <v>19708</v>
      </c>
      <c r="P165">
        <f ca="1">COUNTIFS(Source!B:B,Pyramid!$O165,Source!D:D,Pyramid!$Q165,Source!$E:$E,Pyramid!$Q$3)</f>
        <v>1</v>
      </c>
      <c r="Q165" t="str">
        <f t="shared" si="8"/>
        <v>28/7/2016</v>
      </c>
      <c r="R165" t="str">
        <f t="array" aca="1" ref="R165" ca="1">IFERROR(INDEX(Source!$A$1:$A$250,SMALL(IF(--(Source!$B$1:$B$250=$O165)*--(Source!$E$1:$E$250=$Q$3)*--(Source!$D$1:$D$250=Pyramid!$Q165),ROW(Source!$B$1:$B$250),FALSE),R$3)),"")</f>
        <v>26921 HK Equity</v>
      </c>
      <c r="S165" t="str">
        <f t="array" aca="1" ref="S165" ca="1">IFERROR(INDEX(Source!$A$1:$A$250,SMALL(IF(--(Source!$B$1:$B$250=$O165)*--(Source!$E$1:$E$250=$Q$3)*--(Source!$D$1:$D$250=Pyramid!$Q165),ROW(Source!$B$1:$B$250),FALSE),S$3)),"")</f>
        <v/>
      </c>
      <c r="T165" t="str">
        <f t="array" aca="1" ref="T165" ca="1">IFERROR(INDEX(Source!$A$1:$A$250,SMALL(IF(--(Source!$B$1:$B$250=$O165)*--(Source!$E$1:$E$250=$Q$3)*--(Source!$D$1:$D$250=Pyramid!$Q165),ROW(Source!$B$1:$B$250),FALSE),T$3)),"")</f>
        <v/>
      </c>
      <c r="U165" t="str">
        <f t="array" aca="1" ref="U165" ca="1">IFERROR(INDEX(Source!$A$1:$A$250,SMALL(IF(--(Source!$B$1:$B$250=$O165)*--(Source!$E$1:$E$250=$Q$3)*--(Source!$D$1:$D$250=Pyramid!$Q165),ROW(Source!$B$1:$B$250),FALSE),U$3)),"")</f>
        <v/>
      </c>
      <c r="V165" t="str">
        <f t="array" aca="1" ref="V165" ca="1">IFERROR(INDEX(Source!$A$1:$A$250,SMALL(IF(--(Source!$B$1:$B$250=$O165)*--(Source!$E$1:$E$250=$Q$3)*--(Source!$D$1:$D$250=Pyramid!$Q165),ROW(Source!$B$1:$B$250),FALSE),V$3)),"")</f>
        <v/>
      </c>
      <c r="W165" t="str">
        <f t="array" aca="1" ref="W165" ca="1">IFERROR(INDEX(Source!$A$1:$A$250,SMALL(IF(--(Source!$B$1:$B$250=$O165)*--(Source!$E$1:$E$250=$Q$3)*--(Source!$D$1:$D$250=Pyramid!$Q165),ROW(Source!$B$1:$B$250),FALSE),W$3)),"")</f>
        <v/>
      </c>
      <c r="X165" t="str">
        <f t="array" aca="1" ref="X165" ca="1">IFERROR(INDEX(Source!$A$1:$A$250,SMALL(IF(--(Source!$B$1:$B$250=$O165)*--(Source!$E$1:$E$250=$Q$3)*--(Source!$D$1:$D$250=Pyramid!$Q165),ROW(Source!$B$1:$B$250),FALSE),X$3)),"")</f>
        <v/>
      </c>
      <c r="Y165" s="5">
        <f t="shared" ca="1" si="9"/>
        <v>0</v>
      </c>
    </row>
    <row r="166" spans="3:25">
      <c r="C166">
        <v>162</v>
      </c>
      <c r="D166" s="5">
        <f t="shared" ca="1" si="7"/>
        <v>0</v>
      </c>
      <c r="E166" t="str">
        <f t="array" aca="1" ref="E166" ca="1">IFERROR(INDEX(Source!$A$1:$A$250,SMALL(IF(--(Source!$B$1:$B$250=$O166)*--(Source!$E$1:$E$250=$M$3)*--(Source!$D$1:$D$250=Pyramid!$M166),ROW(Source!$B$1:$B$250),FALSE),E$3)),"")</f>
        <v/>
      </c>
      <c r="F166" t="str">
        <f t="array" aca="1" ref="F166" ca="1">IFERROR(INDEX(Source!$A$1:$A$250,SMALL(IF(--(Source!$B$1:$B$250=$O166)*--(Source!$E$1:$E$250=$M$3)*--(Source!$D$1:$D$250=Pyramid!$M166),ROW(Source!$B$1:$B$250),FALSE),F$3)),"")</f>
        <v/>
      </c>
      <c r="G166" t="str">
        <f t="array" aca="1" ref="G166" ca="1">IFERROR(INDEX(Source!$A$1:$A$250,SMALL(IF(--(Source!$B$1:$B$250=$O166)*--(Source!$E$1:$E$250=$M$3)*--(Source!$D$1:$D$250=Pyramid!$M166),ROW(Source!$B$1:$B$250),FALSE),G$3)),"")</f>
        <v/>
      </c>
      <c r="H166" t="str">
        <f t="array" aca="1" ref="H166" ca="1">IFERROR(INDEX(Source!$A$1:$A$250,SMALL(IF(--(Source!$B$1:$B$250=$O166)*--(Source!$E$1:$E$250=$M$3)*--(Source!$D$1:$D$250=Pyramid!$M166),ROW(Source!$B$1:$B$250),FALSE),H$3)),"")</f>
        <v/>
      </c>
      <c r="I166" t="str">
        <f t="array" aca="1" ref="I166" ca="1">IFERROR(INDEX(Source!$A$1:$A$250,SMALL(IF(--(Source!$B$1:$B$250=$O166)*--(Source!$E$1:$E$250=$M$3)*--(Source!$D$1:$D$250=Pyramid!$M166),ROW(Source!$B$1:$B$250),FALSE),I$3)),"")</f>
        <v/>
      </c>
      <c r="J166" t="str">
        <f t="array" aca="1" ref="J166" ca="1">IFERROR(INDEX(Source!$A$1:$A$250,SMALL(IF(--(Source!$B$1:$B$250=$O166)*--(Source!$E$1:$E$250=$M$3)*--(Source!$D$1:$D$250=Pyramid!$M166),ROW(Source!$B$1:$B$250),FALSE),J$3)),"")</f>
        <v/>
      </c>
      <c r="K166" t="str">
        <f t="array" aca="1" ref="K166" ca="1">IFERROR(INDEX(Source!$A$1:$A$250,SMALL(IF(--(Source!$B$1:$B$250=$O166)*--(Source!$E$1:$E$250=$M$3)*--(Source!$D$1:$D$250=Pyramid!$M166),ROW(Source!$B$1:$B$250),FALSE),K$3)),"")</f>
        <v/>
      </c>
      <c r="L166" t="str">
        <f t="array" aca="1" ref="L166" ca="1">IFERROR(INDEX(Source!$A$1:$A$250,SMALL(IF(--(Source!$B$1:$B$250=$O166)*--(Source!$E$1:$E$250=$M$3)*--(Source!$D$1:$D$250=Pyramid!$M166),ROW(Source!$B$1:$B$250),FALSE),L$3)),"")</f>
        <v/>
      </c>
      <c r="M166" t="str">
        <f t="shared" si="8"/>
        <v>30/8/2016</v>
      </c>
      <c r="N166">
        <f ca="1">COUNTIFS(Source!B:B,Pyramid!$O166,Source!$D:$D,Pyramid!$M166,Source!$E:$E,Pyramid!$M$3)</f>
        <v>0</v>
      </c>
      <c r="O166">
        <f ca="1">OFFSET(Sheet2!$N$3,INT(C166/5),)</f>
        <v>19708</v>
      </c>
      <c r="P166">
        <f ca="1">COUNTIFS(Source!B:B,Pyramid!$O166,Source!D:D,Pyramid!$Q166,Source!$E:$E,Pyramid!$Q$3)</f>
        <v>0</v>
      </c>
      <c r="Q166" t="str">
        <f t="shared" si="8"/>
        <v>30/8/2016</v>
      </c>
      <c r="R166" t="str">
        <f t="array" aca="1" ref="R166" ca="1">IFERROR(INDEX(Source!$A$1:$A$250,SMALL(IF(--(Source!$B$1:$B$250=$O166)*--(Source!$E$1:$E$250=$Q$3)*--(Source!$D$1:$D$250=Pyramid!$Q166),ROW(Source!$B$1:$B$250),FALSE),R$3)),"")</f>
        <v/>
      </c>
      <c r="S166" t="str">
        <f t="array" aca="1" ref="S166" ca="1">IFERROR(INDEX(Source!$A$1:$A$250,SMALL(IF(--(Source!$B$1:$B$250=$O166)*--(Source!$E$1:$E$250=$Q$3)*--(Source!$D$1:$D$250=Pyramid!$Q166),ROW(Source!$B$1:$B$250),FALSE),S$3)),"")</f>
        <v/>
      </c>
      <c r="T166" t="str">
        <f t="array" aca="1" ref="T166" ca="1">IFERROR(INDEX(Source!$A$1:$A$250,SMALL(IF(--(Source!$B$1:$B$250=$O166)*--(Source!$E$1:$E$250=$Q$3)*--(Source!$D$1:$D$250=Pyramid!$Q166),ROW(Source!$B$1:$B$250),FALSE),T$3)),"")</f>
        <v/>
      </c>
      <c r="U166" t="str">
        <f t="array" aca="1" ref="U166" ca="1">IFERROR(INDEX(Source!$A$1:$A$250,SMALL(IF(--(Source!$B$1:$B$250=$O166)*--(Source!$E$1:$E$250=$Q$3)*--(Source!$D$1:$D$250=Pyramid!$Q166),ROW(Source!$B$1:$B$250),FALSE),U$3)),"")</f>
        <v/>
      </c>
      <c r="V166" t="str">
        <f t="array" aca="1" ref="V166" ca="1">IFERROR(INDEX(Source!$A$1:$A$250,SMALL(IF(--(Source!$B$1:$B$250=$O166)*--(Source!$E$1:$E$250=$Q$3)*--(Source!$D$1:$D$250=Pyramid!$Q166),ROW(Source!$B$1:$B$250),FALSE),V$3)),"")</f>
        <v/>
      </c>
      <c r="W166" t="str">
        <f t="array" aca="1" ref="W166" ca="1">IFERROR(INDEX(Source!$A$1:$A$250,SMALL(IF(--(Source!$B$1:$B$250=$O166)*--(Source!$E$1:$E$250=$Q$3)*--(Source!$D$1:$D$250=Pyramid!$Q166),ROW(Source!$B$1:$B$250),FALSE),W$3)),"")</f>
        <v/>
      </c>
      <c r="X166" t="str">
        <f t="array" aca="1" ref="X166" ca="1">IFERROR(INDEX(Source!$A$1:$A$250,SMALL(IF(--(Source!$B$1:$B$250=$O166)*--(Source!$E$1:$E$250=$Q$3)*--(Source!$D$1:$D$250=Pyramid!$Q166),ROW(Source!$B$1:$B$250),FALSE),X$3)),"")</f>
        <v/>
      </c>
      <c r="Y166" s="5">
        <f t="shared" ca="1" si="9"/>
        <v>0</v>
      </c>
    </row>
    <row r="167" spans="3:25">
      <c r="C167">
        <v>163</v>
      </c>
      <c r="D167" s="5">
        <f t="shared" ca="1" si="7"/>
        <v>0</v>
      </c>
      <c r="E167" t="str">
        <f t="array" aca="1" ref="E167" ca="1">IFERROR(INDEX(Source!$A$1:$A$250,SMALL(IF(--(Source!$B$1:$B$250=$O167)*--(Source!$E$1:$E$250=$M$3)*--(Source!$D$1:$D$250=Pyramid!$M167),ROW(Source!$B$1:$B$250),FALSE),E$3)),"")</f>
        <v/>
      </c>
      <c r="F167" t="str">
        <f t="array" aca="1" ref="F167" ca="1">IFERROR(INDEX(Source!$A$1:$A$250,SMALL(IF(--(Source!$B$1:$B$250=$O167)*--(Source!$E$1:$E$250=$M$3)*--(Source!$D$1:$D$250=Pyramid!$M167),ROW(Source!$B$1:$B$250),FALSE),F$3)),"")</f>
        <v/>
      </c>
      <c r="G167" t="str">
        <f t="array" aca="1" ref="G167" ca="1">IFERROR(INDEX(Source!$A$1:$A$250,SMALL(IF(--(Source!$B$1:$B$250=$O167)*--(Source!$E$1:$E$250=$M$3)*--(Source!$D$1:$D$250=Pyramid!$M167),ROW(Source!$B$1:$B$250),FALSE),G$3)),"")</f>
        <v/>
      </c>
      <c r="H167" t="str">
        <f t="array" aca="1" ref="H167" ca="1">IFERROR(INDEX(Source!$A$1:$A$250,SMALL(IF(--(Source!$B$1:$B$250=$O167)*--(Source!$E$1:$E$250=$M$3)*--(Source!$D$1:$D$250=Pyramid!$M167),ROW(Source!$B$1:$B$250),FALSE),H$3)),"")</f>
        <v/>
      </c>
      <c r="I167" t="str">
        <f t="array" aca="1" ref="I167" ca="1">IFERROR(INDEX(Source!$A$1:$A$250,SMALL(IF(--(Source!$B$1:$B$250=$O167)*--(Source!$E$1:$E$250=$M$3)*--(Source!$D$1:$D$250=Pyramid!$M167),ROW(Source!$B$1:$B$250),FALSE),I$3)),"")</f>
        <v/>
      </c>
      <c r="J167" t="str">
        <f t="array" aca="1" ref="J167" ca="1">IFERROR(INDEX(Source!$A$1:$A$250,SMALL(IF(--(Source!$B$1:$B$250=$O167)*--(Source!$E$1:$E$250=$M$3)*--(Source!$D$1:$D$250=Pyramid!$M167),ROW(Source!$B$1:$B$250),FALSE),J$3)),"")</f>
        <v/>
      </c>
      <c r="K167" t="str">
        <f t="array" aca="1" ref="K167" ca="1">IFERROR(INDEX(Source!$A$1:$A$250,SMALL(IF(--(Source!$B$1:$B$250=$O167)*--(Source!$E$1:$E$250=$M$3)*--(Source!$D$1:$D$250=Pyramid!$M167),ROW(Source!$B$1:$B$250),FALSE),K$3)),"")</f>
        <v/>
      </c>
      <c r="L167" t="str">
        <f t="array" aca="1" ref="L167" ca="1">IFERROR(INDEX(Source!$A$1:$A$250,SMALL(IF(--(Source!$B$1:$B$250=$O167)*--(Source!$E$1:$E$250=$M$3)*--(Source!$D$1:$D$250=Pyramid!$M167),ROW(Source!$B$1:$B$250),FALSE),L$3)),"")</f>
        <v/>
      </c>
      <c r="M167" t="str">
        <f t="shared" si="8"/>
        <v>29/9/2016</v>
      </c>
      <c r="N167">
        <f ca="1">COUNTIFS(Source!B:B,Pyramid!$O167,Source!$D:$D,Pyramid!$M167,Source!$E:$E,Pyramid!$M$3)</f>
        <v>0</v>
      </c>
      <c r="O167">
        <f ca="1">OFFSET(Sheet2!$N$3,INT(C167/5),)</f>
        <v>19708</v>
      </c>
      <c r="P167">
        <f ca="1">COUNTIFS(Source!B:B,Pyramid!$O167,Source!D:D,Pyramid!$Q167,Source!$E:$E,Pyramid!$Q$3)</f>
        <v>0</v>
      </c>
      <c r="Q167" t="str">
        <f t="shared" si="8"/>
        <v>29/9/2016</v>
      </c>
      <c r="R167" t="str">
        <f t="array" aca="1" ref="R167" ca="1">IFERROR(INDEX(Source!$A$1:$A$250,SMALL(IF(--(Source!$B$1:$B$250=$O167)*--(Source!$E$1:$E$250=$Q$3)*--(Source!$D$1:$D$250=Pyramid!$Q167),ROW(Source!$B$1:$B$250),FALSE),R$3)),"")</f>
        <v/>
      </c>
      <c r="S167" t="str">
        <f t="array" aca="1" ref="S167" ca="1">IFERROR(INDEX(Source!$A$1:$A$250,SMALL(IF(--(Source!$B$1:$B$250=$O167)*--(Source!$E$1:$E$250=$Q$3)*--(Source!$D$1:$D$250=Pyramid!$Q167),ROW(Source!$B$1:$B$250),FALSE),S$3)),"")</f>
        <v/>
      </c>
      <c r="T167" t="str">
        <f t="array" aca="1" ref="T167" ca="1">IFERROR(INDEX(Source!$A$1:$A$250,SMALL(IF(--(Source!$B$1:$B$250=$O167)*--(Source!$E$1:$E$250=$Q$3)*--(Source!$D$1:$D$250=Pyramid!$Q167),ROW(Source!$B$1:$B$250),FALSE),T$3)),"")</f>
        <v/>
      </c>
      <c r="U167" t="str">
        <f t="array" aca="1" ref="U167" ca="1">IFERROR(INDEX(Source!$A$1:$A$250,SMALL(IF(--(Source!$B$1:$B$250=$O167)*--(Source!$E$1:$E$250=$Q$3)*--(Source!$D$1:$D$250=Pyramid!$Q167),ROW(Source!$B$1:$B$250),FALSE),U$3)),"")</f>
        <v/>
      </c>
      <c r="V167" t="str">
        <f t="array" aca="1" ref="V167" ca="1">IFERROR(INDEX(Source!$A$1:$A$250,SMALL(IF(--(Source!$B$1:$B$250=$O167)*--(Source!$E$1:$E$250=$Q$3)*--(Source!$D$1:$D$250=Pyramid!$Q167),ROW(Source!$B$1:$B$250),FALSE),V$3)),"")</f>
        <v/>
      </c>
      <c r="W167" t="str">
        <f t="array" aca="1" ref="W167" ca="1">IFERROR(INDEX(Source!$A$1:$A$250,SMALL(IF(--(Source!$B$1:$B$250=$O167)*--(Source!$E$1:$E$250=$Q$3)*--(Source!$D$1:$D$250=Pyramid!$Q167),ROW(Source!$B$1:$B$250),FALSE),W$3)),"")</f>
        <v/>
      </c>
      <c r="X167" t="str">
        <f t="array" aca="1" ref="X167" ca="1">IFERROR(INDEX(Source!$A$1:$A$250,SMALL(IF(--(Source!$B$1:$B$250=$O167)*--(Source!$E$1:$E$250=$Q$3)*--(Source!$D$1:$D$250=Pyramid!$Q167),ROW(Source!$B$1:$B$250),FALSE),X$3)),"")</f>
        <v/>
      </c>
      <c r="Y167" s="5">
        <f t="shared" ca="1" si="9"/>
        <v>0</v>
      </c>
    </row>
    <row r="168" spans="3:25">
      <c r="C168">
        <v>164</v>
      </c>
      <c r="D168" s="5">
        <f t="shared" ca="1" si="7"/>
        <v>0</v>
      </c>
      <c r="E168" t="str">
        <f t="array" aca="1" ref="E168" ca="1">IFERROR(INDEX(Source!$A$1:$A$250,SMALL(IF(--(Source!$B$1:$B$250=$O168)*--(Source!$E$1:$E$250=$M$3)*--(Source!$D$1:$D$250=Pyramid!$M168),ROW(Source!$B$1:$B$250),FALSE),E$3)),"")</f>
        <v/>
      </c>
      <c r="F168" t="str">
        <f t="array" aca="1" ref="F168" ca="1">IFERROR(INDEX(Source!$A$1:$A$250,SMALL(IF(--(Source!$B$1:$B$250=$O168)*--(Source!$E$1:$E$250=$M$3)*--(Source!$D$1:$D$250=Pyramid!$M168),ROW(Source!$B$1:$B$250),FALSE),F$3)),"")</f>
        <v/>
      </c>
      <c r="G168" t="str">
        <f t="array" aca="1" ref="G168" ca="1">IFERROR(INDEX(Source!$A$1:$A$250,SMALL(IF(--(Source!$B$1:$B$250=$O168)*--(Source!$E$1:$E$250=$M$3)*--(Source!$D$1:$D$250=Pyramid!$M168),ROW(Source!$B$1:$B$250),FALSE),G$3)),"")</f>
        <v/>
      </c>
      <c r="H168" t="str">
        <f t="array" aca="1" ref="H168" ca="1">IFERROR(INDEX(Source!$A$1:$A$250,SMALL(IF(--(Source!$B$1:$B$250=$O168)*--(Source!$E$1:$E$250=$M$3)*--(Source!$D$1:$D$250=Pyramid!$M168),ROW(Source!$B$1:$B$250),FALSE),H$3)),"")</f>
        <v/>
      </c>
      <c r="I168" t="str">
        <f t="array" aca="1" ref="I168" ca="1">IFERROR(INDEX(Source!$A$1:$A$250,SMALL(IF(--(Source!$B$1:$B$250=$O168)*--(Source!$E$1:$E$250=$M$3)*--(Source!$D$1:$D$250=Pyramid!$M168),ROW(Source!$B$1:$B$250),FALSE),I$3)),"")</f>
        <v/>
      </c>
      <c r="J168" t="str">
        <f t="array" aca="1" ref="J168" ca="1">IFERROR(INDEX(Source!$A$1:$A$250,SMALL(IF(--(Source!$B$1:$B$250=$O168)*--(Source!$E$1:$E$250=$M$3)*--(Source!$D$1:$D$250=Pyramid!$M168),ROW(Source!$B$1:$B$250),FALSE),J$3)),"")</f>
        <v/>
      </c>
      <c r="K168" t="str">
        <f t="array" aca="1" ref="K168" ca="1">IFERROR(INDEX(Source!$A$1:$A$250,SMALL(IF(--(Source!$B$1:$B$250=$O168)*--(Source!$E$1:$E$250=$M$3)*--(Source!$D$1:$D$250=Pyramid!$M168),ROW(Source!$B$1:$B$250),FALSE),K$3)),"")</f>
        <v/>
      </c>
      <c r="L168" t="str">
        <f t="array" aca="1" ref="L168" ca="1">IFERROR(INDEX(Source!$A$1:$A$250,SMALL(IF(--(Source!$B$1:$B$250=$O168)*--(Source!$E$1:$E$250=$M$3)*--(Source!$D$1:$D$250=Pyramid!$M168),ROW(Source!$B$1:$B$250),FALSE),L$3)),"")</f>
        <v/>
      </c>
      <c r="M168" t="str">
        <f t="shared" si="8"/>
        <v>28/10/2016</v>
      </c>
      <c r="N168">
        <f ca="1">COUNTIFS(Source!B:B,Pyramid!$O168,Source!$D:$D,Pyramid!$M168,Source!$E:$E,Pyramid!$M$3)</f>
        <v>0</v>
      </c>
      <c r="O168">
        <f ca="1">OFFSET(Sheet2!$N$3,INT(C168/5),)</f>
        <v>19708</v>
      </c>
      <c r="P168">
        <f ca="1">COUNTIFS(Source!B:B,Pyramid!$O168,Source!D:D,Pyramid!$Q168,Source!$E:$E,Pyramid!$Q$3)</f>
        <v>1</v>
      </c>
      <c r="Q168" t="str">
        <f t="shared" si="8"/>
        <v>28/10/2016</v>
      </c>
      <c r="R168" t="str">
        <f t="array" aca="1" ref="R168" ca="1">IFERROR(INDEX(Source!$A$1:$A$250,SMALL(IF(--(Source!$B$1:$B$250=$O168)*--(Source!$E$1:$E$250=$Q$3)*--(Source!$D$1:$D$250=Pyramid!$Q168),ROW(Source!$B$1:$B$250),FALSE),R$3)),"")</f>
        <v>27827 HK Equity</v>
      </c>
      <c r="S168" t="str">
        <f t="array" aca="1" ref="S168" ca="1">IFERROR(INDEX(Source!$A$1:$A$250,SMALL(IF(--(Source!$B$1:$B$250=$O168)*--(Source!$E$1:$E$250=$Q$3)*--(Source!$D$1:$D$250=Pyramid!$Q168),ROW(Source!$B$1:$B$250),FALSE),S$3)),"")</f>
        <v/>
      </c>
      <c r="T168" t="str">
        <f t="array" aca="1" ref="T168" ca="1">IFERROR(INDEX(Source!$A$1:$A$250,SMALL(IF(--(Source!$B$1:$B$250=$O168)*--(Source!$E$1:$E$250=$Q$3)*--(Source!$D$1:$D$250=Pyramid!$Q168),ROW(Source!$B$1:$B$250),FALSE),T$3)),"")</f>
        <v/>
      </c>
      <c r="U168" t="str">
        <f t="array" aca="1" ref="U168" ca="1">IFERROR(INDEX(Source!$A$1:$A$250,SMALL(IF(--(Source!$B$1:$B$250=$O168)*--(Source!$E$1:$E$250=$Q$3)*--(Source!$D$1:$D$250=Pyramid!$Q168),ROW(Source!$B$1:$B$250),FALSE),U$3)),"")</f>
        <v/>
      </c>
      <c r="V168" t="str">
        <f t="array" aca="1" ref="V168" ca="1">IFERROR(INDEX(Source!$A$1:$A$250,SMALL(IF(--(Source!$B$1:$B$250=$O168)*--(Source!$E$1:$E$250=$Q$3)*--(Source!$D$1:$D$250=Pyramid!$Q168),ROW(Source!$B$1:$B$250),FALSE),V$3)),"")</f>
        <v/>
      </c>
      <c r="W168" t="str">
        <f t="array" aca="1" ref="W168" ca="1">IFERROR(INDEX(Source!$A$1:$A$250,SMALL(IF(--(Source!$B$1:$B$250=$O168)*--(Source!$E$1:$E$250=$Q$3)*--(Source!$D$1:$D$250=Pyramid!$Q168),ROW(Source!$B$1:$B$250),FALSE),W$3)),"")</f>
        <v/>
      </c>
      <c r="X168" t="str">
        <f t="array" aca="1" ref="X168" ca="1">IFERROR(INDEX(Source!$A$1:$A$250,SMALL(IF(--(Source!$B$1:$B$250=$O168)*--(Source!$E$1:$E$250=$Q$3)*--(Source!$D$1:$D$250=Pyramid!$Q168),ROW(Source!$B$1:$B$250),FALSE),X$3)),"")</f>
        <v/>
      </c>
      <c r="Y168" s="5">
        <f t="shared" ca="1" si="9"/>
        <v>0</v>
      </c>
    </row>
    <row r="169" spans="3:25">
      <c r="C169">
        <v>165</v>
      </c>
      <c r="D169" s="5">
        <f t="shared" ca="1" si="7"/>
        <v>0</v>
      </c>
      <c r="E169" t="str">
        <f t="array" aca="1" ref="E169" ca="1">IFERROR(INDEX(Source!$A$1:$A$250,SMALL(IF(--(Source!$B$1:$B$250=$O169)*--(Source!$E$1:$E$250=$M$3)*--(Source!$D$1:$D$250=Pyramid!$M169),ROW(Source!$B$1:$B$250),FALSE),E$3)),"")</f>
        <v/>
      </c>
      <c r="F169" t="str">
        <f t="array" aca="1" ref="F169" ca="1">IFERROR(INDEX(Source!$A$1:$A$250,SMALL(IF(--(Source!$B$1:$B$250=$O169)*--(Source!$E$1:$E$250=$M$3)*--(Source!$D$1:$D$250=Pyramid!$M169),ROW(Source!$B$1:$B$250),FALSE),F$3)),"")</f>
        <v/>
      </c>
      <c r="G169" t="str">
        <f t="array" aca="1" ref="G169" ca="1">IFERROR(INDEX(Source!$A$1:$A$250,SMALL(IF(--(Source!$B$1:$B$250=$O169)*--(Source!$E$1:$E$250=$M$3)*--(Source!$D$1:$D$250=Pyramid!$M169),ROW(Source!$B$1:$B$250),FALSE),G$3)),"")</f>
        <v/>
      </c>
      <c r="H169" t="str">
        <f t="array" aca="1" ref="H169" ca="1">IFERROR(INDEX(Source!$A$1:$A$250,SMALL(IF(--(Source!$B$1:$B$250=$O169)*--(Source!$E$1:$E$250=$M$3)*--(Source!$D$1:$D$250=Pyramid!$M169),ROW(Source!$B$1:$B$250),FALSE),H$3)),"")</f>
        <v/>
      </c>
      <c r="I169" t="str">
        <f t="array" aca="1" ref="I169" ca="1">IFERROR(INDEX(Source!$A$1:$A$250,SMALL(IF(--(Source!$B$1:$B$250=$O169)*--(Source!$E$1:$E$250=$M$3)*--(Source!$D$1:$D$250=Pyramid!$M169),ROW(Source!$B$1:$B$250),FALSE),I$3)),"")</f>
        <v/>
      </c>
      <c r="J169" t="str">
        <f t="array" aca="1" ref="J169" ca="1">IFERROR(INDEX(Source!$A$1:$A$250,SMALL(IF(--(Source!$B$1:$B$250=$O169)*--(Source!$E$1:$E$250=$M$3)*--(Source!$D$1:$D$250=Pyramid!$M169),ROW(Source!$B$1:$B$250),FALSE),J$3)),"")</f>
        <v/>
      </c>
      <c r="K169" t="str">
        <f t="array" aca="1" ref="K169" ca="1">IFERROR(INDEX(Source!$A$1:$A$250,SMALL(IF(--(Source!$B$1:$B$250=$O169)*--(Source!$E$1:$E$250=$M$3)*--(Source!$D$1:$D$250=Pyramid!$M169),ROW(Source!$B$1:$B$250),FALSE),K$3)),"")</f>
        <v/>
      </c>
      <c r="L169" t="str">
        <f t="array" aca="1" ref="L169" ca="1">IFERROR(INDEX(Source!$A$1:$A$250,SMALL(IF(--(Source!$B$1:$B$250=$O169)*--(Source!$E$1:$E$250=$M$3)*--(Source!$D$1:$D$250=Pyramid!$M169),ROW(Source!$B$1:$B$250),FALSE),L$3)),"")</f>
        <v/>
      </c>
      <c r="M169" t="str">
        <f t="shared" si="8"/>
        <v>29/6/2016</v>
      </c>
      <c r="N169">
        <f ca="1">COUNTIFS(Source!B:B,Pyramid!$O169,Source!$D:$D,Pyramid!$M169,Source!$E:$E,Pyramid!$M$3)</f>
        <v>0</v>
      </c>
      <c r="O169">
        <f ca="1">OFFSET(Sheet2!$N$3,INT(C169/5),)</f>
        <v>19710</v>
      </c>
      <c r="P169">
        <f ca="1">COUNTIFS(Source!B:B,Pyramid!$O169,Source!D:D,Pyramid!$Q169,Source!$E:$E,Pyramid!$Q$3)</f>
        <v>0</v>
      </c>
      <c r="Q169" t="str">
        <f t="shared" si="8"/>
        <v>29/6/2016</v>
      </c>
      <c r="R169" t="str">
        <f t="array" aca="1" ref="R169" ca="1">IFERROR(INDEX(Source!$A$1:$A$250,SMALL(IF(--(Source!$B$1:$B$250=$O169)*--(Source!$E$1:$E$250=$Q$3)*--(Source!$D$1:$D$250=Pyramid!$Q169),ROW(Source!$B$1:$B$250),FALSE),R$3)),"")</f>
        <v/>
      </c>
      <c r="S169" t="str">
        <f t="array" aca="1" ref="S169" ca="1">IFERROR(INDEX(Source!$A$1:$A$250,SMALL(IF(--(Source!$B$1:$B$250=$O169)*--(Source!$E$1:$E$250=$Q$3)*--(Source!$D$1:$D$250=Pyramid!$Q169),ROW(Source!$B$1:$B$250),FALSE),S$3)),"")</f>
        <v/>
      </c>
      <c r="T169" t="str">
        <f t="array" aca="1" ref="T169" ca="1">IFERROR(INDEX(Source!$A$1:$A$250,SMALL(IF(--(Source!$B$1:$B$250=$O169)*--(Source!$E$1:$E$250=$Q$3)*--(Source!$D$1:$D$250=Pyramid!$Q169),ROW(Source!$B$1:$B$250),FALSE),T$3)),"")</f>
        <v/>
      </c>
      <c r="U169" t="str">
        <f t="array" aca="1" ref="U169" ca="1">IFERROR(INDEX(Source!$A$1:$A$250,SMALL(IF(--(Source!$B$1:$B$250=$O169)*--(Source!$E$1:$E$250=$Q$3)*--(Source!$D$1:$D$250=Pyramid!$Q169),ROW(Source!$B$1:$B$250),FALSE),U$3)),"")</f>
        <v/>
      </c>
      <c r="V169" t="str">
        <f t="array" aca="1" ref="V169" ca="1">IFERROR(INDEX(Source!$A$1:$A$250,SMALL(IF(--(Source!$B$1:$B$250=$O169)*--(Source!$E$1:$E$250=$Q$3)*--(Source!$D$1:$D$250=Pyramid!$Q169),ROW(Source!$B$1:$B$250),FALSE),V$3)),"")</f>
        <v/>
      </c>
      <c r="W169" t="str">
        <f t="array" aca="1" ref="W169" ca="1">IFERROR(INDEX(Source!$A$1:$A$250,SMALL(IF(--(Source!$B$1:$B$250=$O169)*--(Source!$E$1:$E$250=$Q$3)*--(Source!$D$1:$D$250=Pyramid!$Q169),ROW(Source!$B$1:$B$250),FALSE),W$3)),"")</f>
        <v/>
      </c>
      <c r="X169" t="str">
        <f t="array" aca="1" ref="X169" ca="1">IFERROR(INDEX(Source!$A$1:$A$250,SMALL(IF(--(Source!$B$1:$B$250=$O169)*--(Source!$E$1:$E$250=$Q$3)*--(Source!$D$1:$D$250=Pyramid!$Q169),ROW(Source!$B$1:$B$250),FALSE),X$3)),"")</f>
        <v/>
      </c>
      <c r="Y169" s="5">
        <f t="shared" ca="1" si="9"/>
        <v>0</v>
      </c>
    </row>
    <row r="170" spans="3:25">
      <c r="C170">
        <v>166</v>
      </c>
      <c r="D170" s="5">
        <f t="shared" ca="1" si="7"/>
        <v>0</v>
      </c>
      <c r="E170" t="str">
        <f t="array" aca="1" ref="E170" ca="1">IFERROR(INDEX(Source!$A$1:$A$250,SMALL(IF(--(Source!$B$1:$B$250=$O170)*--(Source!$E$1:$E$250=$M$3)*--(Source!$D$1:$D$250=Pyramid!$M170),ROW(Source!$B$1:$B$250),FALSE),E$3)),"")</f>
        <v/>
      </c>
      <c r="F170" t="str">
        <f t="array" aca="1" ref="F170" ca="1">IFERROR(INDEX(Source!$A$1:$A$250,SMALL(IF(--(Source!$B$1:$B$250=$O170)*--(Source!$E$1:$E$250=$M$3)*--(Source!$D$1:$D$250=Pyramid!$M170),ROW(Source!$B$1:$B$250),FALSE),F$3)),"")</f>
        <v/>
      </c>
      <c r="G170" t="str">
        <f t="array" aca="1" ref="G170" ca="1">IFERROR(INDEX(Source!$A$1:$A$250,SMALL(IF(--(Source!$B$1:$B$250=$O170)*--(Source!$E$1:$E$250=$M$3)*--(Source!$D$1:$D$250=Pyramid!$M170),ROW(Source!$B$1:$B$250),FALSE),G$3)),"")</f>
        <v/>
      </c>
      <c r="H170" t="str">
        <f t="array" aca="1" ref="H170" ca="1">IFERROR(INDEX(Source!$A$1:$A$250,SMALL(IF(--(Source!$B$1:$B$250=$O170)*--(Source!$E$1:$E$250=$M$3)*--(Source!$D$1:$D$250=Pyramid!$M170),ROW(Source!$B$1:$B$250),FALSE),H$3)),"")</f>
        <v/>
      </c>
      <c r="I170" t="str">
        <f t="array" aca="1" ref="I170" ca="1">IFERROR(INDEX(Source!$A$1:$A$250,SMALL(IF(--(Source!$B$1:$B$250=$O170)*--(Source!$E$1:$E$250=$M$3)*--(Source!$D$1:$D$250=Pyramid!$M170),ROW(Source!$B$1:$B$250),FALSE),I$3)),"")</f>
        <v/>
      </c>
      <c r="J170" t="str">
        <f t="array" aca="1" ref="J170" ca="1">IFERROR(INDEX(Source!$A$1:$A$250,SMALL(IF(--(Source!$B$1:$B$250=$O170)*--(Source!$E$1:$E$250=$M$3)*--(Source!$D$1:$D$250=Pyramid!$M170),ROW(Source!$B$1:$B$250),FALSE),J$3)),"")</f>
        <v/>
      </c>
      <c r="K170" t="str">
        <f t="array" aca="1" ref="K170" ca="1">IFERROR(INDEX(Source!$A$1:$A$250,SMALL(IF(--(Source!$B$1:$B$250=$O170)*--(Source!$E$1:$E$250=$M$3)*--(Source!$D$1:$D$250=Pyramid!$M170),ROW(Source!$B$1:$B$250),FALSE),K$3)),"")</f>
        <v/>
      </c>
      <c r="L170" t="str">
        <f t="array" aca="1" ref="L170" ca="1">IFERROR(INDEX(Source!$A$1:$A$250,SMALL(IF(--(Source!$B$1:$B$250=$O170)*--(Source!$E$1:$E$250=$M$3)*--(Source!$D$1:$D$250=Pyramid!$M170),ROW(Source!$B$1:$B$250),FALSE),L$3)),"")</f>
        <v/>
      </c>
      <c r="M170" t="str">
        <f t="shared" si="8"/>
        <v>28/7/2016</v>
      </c>
      <c r="N170">
        <f ca="1">COUNTIFS(Source!B:B,Pyramid!$O170,Source!$D:$D,Pyramid!$M170,Source!$E:$E,Pyramid!$M$3)</f>
        <v>0</v>
      </c>
      <c r="O170">
        <f ca="1">OFFSET(Sheet2!$N$3,INT(C170/5),)</f>
        <v>19710</v>
      </c>
      <c r="P170">
        <f ca="1">COUNTIFS(Source!B:B,Pyramid!$O170,Source!D:D,Pyramid!$Q170,Source!$E:$E,Pyramid!$Q$3)</f>
        <v>0</v>
      </c>
      <c r="Q170" t="str">
        <f t="shared" si="8"/>
        <v>28/7/2016</v>
      </c>
      <c r="R170" t="str">
        <f t="array" aca="1" ref="R170" ca="1">IFERROR(INDEX(Source!$A$1:$A$250,SMALL(IF(--(Source!$B$1:$B$250=$O170)*--(Source!$E$1:$E$250=$Q$3)*--(Source!$D$1:$D$250=Pyramid!$Q170),ROW(Source!$B$1:$B$250),FALSE),R$3)),"")</f>
        <v/>
      </c>
      <c r="S170" t="str">
        <f t="array" aca="1" ref="S170" ca="1">IFERROR(INDEX(Source!$A$1:$A$250,SMALL(IF(--(Source!$B$1:$B$250=$O170)*--(Source!$E$1:$E$250=$Q$3)*--(Source!$D$1:$D$250=Pyramid!$Q170),ROW(Source!$B$1:$B$250),FALSE),S$3)),"")</f>
        <v/>
      </c>
      <c r="T170" t="str">
        <f t="array" aca="1" ref="T170" ca="1">IFERROR(INDEX(Source!$A$1:$A$250,SMALL(IF(--(Source!$B$1:$B$250=$O170)*--(Source!$E$1:$E$250=$Q$3)*--(Source!$D$1:$D$250=Pyramid!$Q170),ROW(Source!$B$1:$B$250),FALSE),T$3)),"")</f>
        <v/>
      </c>
      <c r="U170" t="str">
        <f t="array" aca="1" ref="U170" ca="1">IFERROR(INDEX(Source!$A$1:$A$250,SMALL(IF(--(Source!$B$1:$B$250=$O170)*--(Source!$E$1:$E$250=$Q$3)*--(Source!$D$1:$D$250=Pyramid!$Q170),ROW(Source!$B$1:$B$250),FALSE),U$3)),"")</f>
        <v/>
      </c>
      <c r="V170" t="str">
        <f t="array" aca="1" ref="V170" ca="1">IFERROR(INDEX(Source!$A$1:$A$250,SMALL(IF(--(Source!$B$1:$B$250=$O170)*--(Source!$E$1:$E$250=$Q$3)*--(Source!$D$1:$D$250=Pyramid!$Q170),ROW(Source!$B$1:$B$250),FALSE),V$3)),"")</f>
        <v/>
      </c>
      <c r="W170" t="str">
        <f t="array" aca="1" ref="W170" ca="1">IFERROR(INDEX(Source!$A$1:$A$250,SMALL(IF(--(Source!$B$1:$B$250=$O170)*--(Source!$E$1:$E$250=$Q$3)*--(Source!$D$1:$D$250=Pyramid!$Q170),ROW(Source!$B$1:$B$250),FALSE),W$3)),"")</f>
        <v/>
      </c>
      <c r="X170" t="str">
        <f t="array" aca="1" ref="X170" ca="1">IFERROR(INDEX(Source!$A$1:$A$250,SMALL(IF(--(Source!$B$1:$B$250=$O170)*--(Source!$E$1:$E$250=$Q$3)*--(Source!$D$1:$D$250=Pyramid!$Q170),ROW(Source!$B$1:$B$250),FALSE),X$3)),"")</f>
        <v/>
      </c>
      <c r="Y170" s="5">
        <f t="shared" ca="1" si="9"/>
        <v>0</v>
      </c>
    </row>
    <row r="171" spans="3:25">
      <c r="C171">
        <v>167</v>
      </c>
      <c r="D171" s="5">
        <f t="shared" ca="1" si="7"/>
        <v>0</v>
      </c>
      <c r="E171" t="str">
        <f t="array" aca="1" ref="E171" ca="1">IFERROR(INDEX(Source!$A$1:$A$250,SMALL(IF(--(Source!$B$1:$B$250=$O171)*--(Source!$E$1:$E$250=$M$3)*--(Source!$D$1:$D$250=Pyramid!$M171),ROW(Source!$B$1:$B$250),FALSE),E$3)),"")</f>
        <v/>
      </c>
      <c r="F171" t="str">
        <f t="array" aca="1" ref="F171" ca="1">IFERROR(INDEX(Source!$A$1:$A$250,SMALL(IF(--(Source!$B$1:$B$250=$O171)*--(Source!$E$1:$E$250=$M$3)*--(Source!$D$1:$D$250=Pyramid!$M171),ROW(Source!$B$1:$B$250),FALSE),F$3)),"")</f>
        <v/>
      </c>
      <c r="G171" t="str">
        <f t="array" aca="1" ref="G171" ca="1">IFERROR(INDEX(Source!$A$1:$A$250,SMALL(IF(--(Source!$B$1:$B$250=$O171)*--(Source!$E$1:$E$250=$M$3)*--(Source!$D$1:$D$250=Pyramid!$M171),ROW(Source!$B$1:$B$250),FALSE),G$3)),"")</f>
        <v/>
      </c>
      <c r="H171" t="str">
        <f t="array" aca="1" ref="H171" ca="1">IFERROR(INDEX(Source!$A$1:$A$250,SMALL(IF(--(Source!$B$1:$B$250=$O171)*--(Source!$E$1:$E$250=$M$3)*--(Source!$D$1:$D$250=Pyramid!$M171),ROW(Source!$B$1:$B$250),FALSE),H$3)),"")</f>
        <v/>
      </c>
      <c r="I171" t="str">
        <f t="array" aca="1" ref="I171" ca="1">IFERROR(INDEX(Source!$A$1:$A$250,SMALL(IF(--(Source!$B$1:$B$250=$O171)*--(Source!$E$1:$E$250=$M$3)*--(Source!$D$1:$D$250=Pyramid!$M171),ROW(Source!$B$1:$B$250),FALSE),I$3)),"")</f>
        <v/>
      </c>
      <c r="J171" t="str">
        <f t="array" aca="1" ref="J171" ca="1">IFERROR(INDEX(Source!$A$1:$A$250,SMALL(IF(--(Source!$B$1:$B$250=$O171)*--(Source!$E$1:$E$250=$M$3)*--(Source!$D$1:$D$250=Pyramid!$M171),ROW(Source!$B$1:$B$250),FALSE),J$3)),"")</f>
        <v/>
      </c>
      <c r="K171" t="str">
        <f t="array" aca="1" ref="K171" ca="1">IFERROR(INDEX(Source!$A$1:$A$250,SMALL(IF(--(Source!$B$1:$B$250=$O171)*--(Source!$E$1:$E$250=$M$3)*--(Source!$D$1:$D$250=Pyramid!$M171),ROW(Source!$B$1:$B$250),FALSE),K$3)),"")</f>
        <v/>
      </c>
      <c r="L171" t="str">
        <f t="array" aca="1" ref="L171" ca="1">IFERROR(INDEX(Source!$A$1:$A$250,SMALL(IF(--(Source!$B$1:$B$250=$O171)*--(Source!$E$1:$E$250=$M$3)*--(Source!$D$1:$D$250=Pyramid!$M171),ROW(Source!$B$1:$B$250),FALSE),L$3)),"")</f>
        <v/>
      </c>
      <c r="M171" t="str">
        <f t="shared" si="8"/>
        <v>30/8/2016</v>
      </c>
      <c r="N171">
        <f ca="1">COUNTIFS(Source!B:B,Pyramid!$O171,Source!$D:$D,Pyramid!$M171,Source!$E:$E,Pyramid!$M$3)</f>
        <v>0</v>
      </c>
      <c r="O171">
        <f ca="1">OFFSET(Sheet2!$N$3,INT(C171/5),)</f>
        <v>19710</v>
      </c>
      <c r="P171">
        <f ca="1">COUNTIFS(Source!B:B,Pyramid!$O171,Source!D:D,Pyramid!$Q171,Source!$E:$E,Pyramid!$Q$3)</f>
        <v>0</v>
      </c>
      <c r="Q171" t="str">
        <f t="shared" si="8"/>
        <v>30/8/2016</v>
      </c>
      <c r="R171" t="str">
        <f t="array" aca="1" ref="R171" ca="1">IFERROR(INDEX(Source!$A$1:$A$250,SMALL(IF(--(Source!$B$1:$B$250=$O171)*--(Source!$E$1:$E$250=$Q$3)*--(Source!$D$1:$D$250=Pyramid!$Q171),ROW(Source!$B$1:$B$250),FALSE),R$3)),"")</f>
        <v/>
      </c>
      <c r="S171" t="str">
        <f t="array" aca="1" ref="S171" ca="1">IFERROR(INDEX(Source!$A$1:$A$250,SMALL(IF(--(Source!$B$1:$B$250=$O171)*--(Source!$E$1:$E$250=$Q$3)*--(Source!$D$1:$D$250=Pyramid!$Q171),ROW(Source!$B$1:$B$250),FALSE),S$3)),"")</f>
        <v/>
      </c>
      <c r="T171" t="str">
        <f t="array" aca="1" ref="T171" ca="1">IFERROR(INDEX(Source!$A$1:$A$250,SMALL(IF(--(Source!$B$1:$B$250=$O171)*--(Source!$E$1:$E$250=$Q$3)*--(Source!$D$1:$D$250=Pyramid!$Q171),ROW(Source!$B$1:$B$250),FALSE),T$3)),"")</f>
        <v/>
      </c>
      <c r="U171" t="str">
        <f t="array" aca="1" ref="U171" ca="1">IFERROR(INDEX(Source!$A$1:$A$250,SMALL(IF(--(Source!$B$1:$B$250=$O171)*--(Source!$E$1:$E$250=$Q$3)*--(Source!$D$1:$D$250=Pyramid!$Q171),ROW(Source!$B$1:$B$250),FALSE),U$3)),"")</f>
        <v/>
      </c>
      <c r="V171" t="str">
        <f t="array" aca="1" ref="V171" ca="1">IFERROR(INDEX(Source!$A$1:$A$250,SMALL(IF(--(Source!$B$1:$B$250=$O171)*--(Source!$E$1:$E$250=$Q$3)*--(Source!$D$1:$D$250=Pyramid!$Q171),ROW(Source!$B$1:$B$250),FALSE),V$3)),"")</f>
        <v/>
      </c>
      <c r="W171" t="str">
        <f t="array" aca="1" ref="W171" ca="1">IFERROR(INDEX(Source!$A$1:$A$250,SMALL(IF(--(Source!$B$1:$B$250=$O171)*--(Source!$E$1:$E$250=$Q$3)*--(Source!$D$1:$D$250=Pyramid!$Q171),ROW(Source!$B$1:$B$250),FALSE),W$3)),"")</f>
        <v/>
      </c>
      <c r="X171" t="str">
        <f t="array" aca="1" ref="X171" ca="1">IFERROR(INDEX(Source!$A$1:$A$250,SMALL(IF(--(Source!$B$1:$B$250=$O171)*--(Source!$E$1:$E$250=$Q$3)*--(Source!$D$1:$D$250=Pyramid!$Q171),ROW(Source!$B$1:$B$250),FALSE),X$3)),"")</f>
        <v/>
      </c>
      <c r="Y171" s="5">
        <f t="shared" ca="1" si="9"/>
        <v>0</v>
      </c>
    </row>
    <row r="172" spans="3:25">
      <c r="C172">
        <v>168</v>
      </c>
      <c r="D172" s="5">
        <f t="shared" ca="1" si="7"/>
        <v>0</v>
      </c>
      <c r="E172" t="str">
        <f t="array" aca="1" ref="E172" ca="1">IFERROR(INDEX(Source!$A$1:$A$250,SMALL(IF(--(Source!$B$1:$B$250=$O172)*--(Source!$E$1:$E$250=$M$3)*--(Source!$D$1:$D$250=Pyramid!$M172),ROW(Source!$B$1:$B$250),FALSE),E$3)),"")</f>
        <v/>
      </c>
      <c r="F172" t="str">
        <f t="array" aca="1" ref="F172" ca="1">IFERROR(INDEX(Source!$A$1:$A$250,SMALL(IF(--(Source!$B$1:$B$250=$O172)*--(Source!$E$1:$E$250=$M$3)*--(Source!$D$1:$D$250=Pyramid!$M172),ROW(Source!$B$1:$B$250),FALSE),F$3)),"")</f>
        <v/>
      </c>
      <c r="G172" t="str">
        <f t="array" aca="1" ref="G172" ca="1">IFERROR(INDEX(Source!$A$1:$A$250,SMALL(IF(--(Source!$B$1:$B$250=$O172)*--(Source!$E$1:$E$250=$M$3)*--(Source!$D$1:$D$250=Pyramid!$M172),ROW(Source!$B$1:$B$250),FALSE),G$3)),"")</f>
        <v/>
      </c>
      <c r="H172" t="str">
        <f t="array" aca="1" ref="H172" ca="1">IFERROR(INDEX(Source!$A$1:$A$250,SMALL(IF(--(Source!$B$1:$B$250=$O172)*--(Source!$E$1:$E$250=$M$3)*--(Source!$D$1:$D$250=Pyramid!$M172),ROW(Source!$B$1:$B$250),FALSE),H$3)),"")</f>
        <v/>
      </c>
      <c r="I172" t="str">
        <f t="array" aca="1" ref="I172" ca="1">IFERROR(INDEX(Source!$A$1:$A$250,SMALL(IF(--(Source!$B$1:$B$250=$O172)*--(Source!$E$1:$E$250=$M$3)*--(Source!$D$1:$D$250=Pyramid!$M172),ROW(Source!$B$1:$B$250),FALSE),I$3)),"")</f>
        <v/>
      </c>
      <c r="J172" t="str">
        <f t="array" aca="1" ref="J172" ca="1">IFERROR(INDEX(Source!$A$1:$A$250,SMALL(IF(--(Source!$B$1:$B$250=$O172)*--(Source!$E$1:$E$250=$M$3)*--(Source!$D$1:$D$250=Pyramid!$M172),ROW(Source!$B$1:$B$250),FALSE),J$3)),"")</f>
        <v/>
      </c>
      <c r="K172" t="str">
        <f t="array" aca="1" ref="K172" ca="1">IFERROR(INDEX(Source!$A$1:$A$250,SMALL(IF(--(Source!$B$1:$B$250=$O172)*--(Source!$E$1:$E$250=$M$3)*--(Source!$D$1:$D$250=Pyramid!$M172),ROW(Source!$B$1:$B$250),FALSE),K$3)),"")</f>
        <v/>
      </c>
      <c r="L172" t="str">
        <f t="array" aca="1" ref="L172" ca="1">IFERROR(INDEX(Source!$A$1:$A$250,SMALL(IF(--(Source!$B$1:$B$250=$O172)*--(Source!$E$1:$E$250=$M$3)*--(Source!$D$1:$D$250=Pyramid!$M172),ROW(Source!$B$1:$B$250),FALSE),L$3)),"")</f>
        <v/>
      </c>
      <c r="M172" t="str">
        <f t="shared" si="8"/>
        <v>29/9/2016</v>
      </c>
      <c r="N172">
        <f ca="1">COUNTIFS(Source!B:B,Pyramid!$O172,Source!$D:$D,Pyramid!$M172,Source!$E:$E,Pyramid!$M$3)</f>
        <v>0</v>
      </c>
      <c r="O172">
        <f ca="1">OFFSET(Sheet2!$N$3,INT(C172/5),)</f>
        <v>19710</v>
      </c>
      <c r="P172">
        <f ca="1">COUNTIFS(Source!B:B,Pyramid!$O172,Source!D:D,Pyramid!$Q172,Source!$E:$E,Pyramid!$Q$3)</f>
        <v>0</v>
      </c>
      <c r="Q172" t="str">
        <f t="shared" si="8"/>
        <v>29/9/2016</v>
      </c>
      <c r="R172" t="str">
        <f t="array" aca="1" ref="R172" ca="1">IFERROR(INDEX(Source!$A$1:$A$250,SMALL(IF(--(Source!$B$1:$B$250=$O172)*--(Source!$E$1:$E$250=$Q$3)*--(Source!$D$1:$D$250=Pyramid!$Q172),ROW(Source!$B$1:$B$250),FALSE),R$3)),"")</f>
        <v/>
      </c>
      <c r="S172" t="str">
        <f t="array" aca="1" ref="S172" ca="1">IFERROR(INDEX(Source!$A$1:$A$250,SMALL(IF(--(Source!$B$1:$B$250=$O172)*--(Source!$E$1:$E$250=$Q$3)*--(Source!$D$1:$D$250=Pyramid!$Q172),ROW(Source!$B$1:$B$250),FALSE),S$3)),"")</f>
        <v/>
      </c>
      <c r="T172" t="str">
        <f t="array" aca="1" ref="T172" ca="1">IFERROR(INDEX(Source!$A$1:$A$250,SMALL(IF(--(Source!$B$1:$B$250=$O172)*--(Source!$E$1:$E$250=$Q$3)*--(Source!$D$1:$D$250=Pyramid!$Q172),ROW(Source!$B$1:$B$250),FALSE),T$3)),"")</f>
        <v/>
      </c>
      <c r="U172" t="str">
        <f t="array" aca="1" ref="U172" ca="1">IFERROR(INDEX(Source!$A$1:$A$250,SMALL(IF(--(Source!$B$1:$B$250=$O172)*--(Source!$E$1:$E$250=$Q$3)*--(Source!$D$1:$D$250=Pyramid!$Q172),ROW(Source!$B$1:$B$250),FALSE),U$3)),"")</f>
        <v/>
      </c>
      <c r="V172" t="str">
        <f t="array" aca="1" ref="V172" ca="1">IFERROR(INDEX(Source!$A$1:$A$250,SMALL(IF(--(Source!$B$1:$B$250=$O172)*--(Source!$E$1:$E$250=$Q$3)*--(Source!$D$1:$D$250=Pyramid!$Q172),ROW(Source!$B$1:$B$250),FALSE),V$3)),"")</f>
        <v/>
      </c>
      <c r="W172" t="str">
        <f t="array" aca="1" ref="W172" ca="1">IFERROR(INDEX(Source!$A$1:$A$250,SMALL(IF(--(Source!$B$1:$B$250=$O172)*--(Source!$E$1:$E$250=$Q$3)*--(Source!$D$1:$D$250=Pyramid!$Q172),ROW(Source!$B$1:$B$250),FALSE),W$3)),"")</f>
        <v/>
      </c>
      <c r="X172" t="str">
        <f t="array" aca="1" ref="X172" ca="1">IFERROR(INDEX(Source!$A$1:$A$250,SMALL(IF(--(Source!$B$1:$B$250=$O172)*--(Source!$E$1:$E$250=$Q$3)*--(Source!$D$1:$D$250=Pyramid!$Q172),ROW(Source!$B$1:$B$250),FALSE),X$3)),"")</f>
        <v/>
      </c>
      <c r="Y172" s="5">
        <f t="shared" ca="1" si="9"/>
        <v>0</v>
      </c>
    </row>
    <row r="173" spans="3:25">
      <c r="C173">
        <v>169</v>
      </c>
      <c r="D173" s="5">
        <f t="shared" ca="1" si="7"/>
        <v>0</v>
      </c>
      <c r="E173" t="str">
        <f t="array" aca="1" ref="E173" ca="1">IFERROR(INDEX(Source!$A$1:$A$250,SMALL(IF(--(Source!$B$1:$B$250=$O173)*--(Source!$E$1:$E$250=$M$3)*--(Source!$D$1:$D$250=Pyramid!$M173),ROW(Source!$B$1:$B$250),FALSE),E$3)),"")</f>
        <v/>
      </c>
      <c r="F173" t="str">
        <f t="array" aca="1" ref="F173" ca="1">IFERROR(INDEX(Source!$A$1:$A$250,SMALL(IF(--(Source!$B$1:$B$250=$O173)*--(Source!$E$1:$E$250=$M$3)*--(Source!$D$1:$D$250=Pyramid!$M173),ROW(Source!$B$1:$B$250),FALSE),F$3)),"")</f>
        <v/>
      </c>
      <c r="G173" t="str">
        <f t="array" aca="1" ref="G173" ca="1">IFERROR(INDEX(Source!$A$1:$A$250,SMALL(IF(--(Source!$B$1:$B$250=$O173)*--(Source!$E$1:$E$250=$M$3)*--(Source!$D$1:$D$250=Pyramid!$M173),ROW(Source!$B$1:$B$250),FALSE),G$3)),"")</f>
        <v/>
      </c>
      <c r="H173" t="str">
        <f t="array" aca="1" ref="H173" ca="1">IFERROR(INDEX(Source!$A$1:$A$250,SMALL(IF(--(Source!$B$1:$B$250=$O173)*--(Source!$E$1:$E$250=$M$3)*--(Source!$D$1:$D$250=Pyramid!$M173),ROW(Source!$B$1:$B$250),FALSE),H$3)),"")</f>
        <v/>
      </c>
      <c r="I173" t="str">
        <f t="array" aca="1" ref="I173" ca="1">IFERROR(INDEX(Source!$A$1:$A$250,SMALL(IF(--(Source!$B$1:$B$250=$O173)*--(Source!$E$1:$E$250=$M$3)*--(Source!$D$1:$D$250=Pyramid!$M173),ROW(Source!$B$1:$B$250),FALSE),I$3)),"")</f>
        <v/>
      </c>
      <c r="J173" t="str">
        <f t="array" aca="1" ref="J173" ca="1">IFERROR(INDEX(Source!$A$1:$A$250,SMALL(IF(--(Source!$B$1:$B$250=$O173)*--(Source!$E$1:$E$250=$M$3)*--(Source!$D$1:$D$250=Pyramid!$M173),ROW(Source!$B$1:$B$250),FALSE),J$3)),"")</f>
        <v/>
      </c>
      <c r="K173" t="str">
        <f t="array" aca="1" ref="K173" ca="1">IFERROR(INDEX(Source!$A$1:$A$250,SMALL(IF(--(Source!$B$1:$B$250=$O173)*--(Source!$E$1:$E$250=$M$3)*--(Source!$D$1:$D$250=Pyramid!$M173),ROW(Source!$B$1:$B$250),FALSE),K$3)),"")</f>
        <v/>
      </c>
      <c r="L173" t="str">
        <f t="array" aca="1" ref="L173" ca="1">IFERROR(INDEX(Source!$A$1:$A$250,SMALL(IF(--(Source!$B$1:$B$250=$O173)*--(Source!$E$1:$E$250=$M$3)*--(Source!$D$1:$D$250=Pyramid!$M173),ROW(Source!$B$1:$B$250),FALSE),L$3)),"")</f>
        <v/>
      </c>
      <c r="M173" t="str">
        <f t="shared" si="8"/>
        <v>28/10/2016</v>
      </c>
      <c r="N173">
        <f ca="1">COUNTIFS(Source!B:B,Pyramid!$O173,Source!$D:$D,Pyramid!$M173,Source!$E:$E,Pyramid!$M$3)</f>
        <v>0</v>
      </c>
      <c r="O173">
        <f ca="1">OFFSET(Sheet2!$N$3,INT(C173/5),)</f>
        <v>19710</v>
      </c>
      <c r="P173">
        <f ca="1">COUNTIFS(Source!B:B,Pyramid!$O173,Source!D:D,Pyramid!$Q173,Source!$E:$E,Pyramid!$Q$3)</f>
        <v>1</v>
      </c>
      <c r="Q173" t="str">
        <f t="shared" si="8"/>
        <v>28/10/2016</v>
      </c>
      <c r="R173" t="str">
        <f t="array" aca="1" ref="R173" ca="1">IFERROR(INDEX(Source!$A$1:$A$250,SMALL(IF(--(Source!$B$1:$B$250=$O173)*--(Source!$E$1:$E$250=$Q$3)*--(Source!$D$1:$D$250=Pyramid!$Q173),ROW(Source!$B$1:$B$250),FALSE),R$3)),"")</f>
        <v>27893 HK Equity</v>
      </c>
      <c r="S173" t="str">
        <f t="array" aca="1" ref="S173" ca="1">IFERROR(INDEX(Source!$A$1:$A$250,SMALL(IF(--(Source!$B$1:$B$250=$O173)*--(Source!$E$1:$E$250=$Q$3)*--(Source!$D$1:$D$250=Pyramid!$Q173),ROW(Source!$B$1:$B$250),FALSE),S$3)),"")</f>
        <v/>
      </c>
      <c r="T173" t="str">
        <f t="array" aca="1" ref="T173" ca="1">IFERROR(INDEX(Source!$A$1:$A$250,SMALL(IF(--(Source!$B$1:$B$250=$O173)*--(Source!$E$1:$E$250=$Q$3)*--(Source!$D$1:$D$250=Pyramid!$Q173),ROW(Source!$B$1:$B$250),FALSE),T$3)),"")</f>
        <v/>
      </c>
      <c r="U173" t="str">
        <f t="array" aca="1" ref="U173" ca="1">IFERROR(INDEX(Source!$A$1:$A$250,SMALL(IF(--(Source!$B$1:$B$250=$O173)*--(Source!$E$1:$E$250=$Q$3)*--(Source!$D$1:$D$250=Pyramid!$Q173),ROW(Source!$B$1:$B$250),FALSE),U$3)),"")</f>
        <v/>
      </c>
      <c r="V173" t="str">
        <f t="array" aca="1" ref="V173" ca="1">IFERROR(INDEX(Source!$A$1:$A$250,SMALL(IF(--(Source!$B$1:$B$250=$O173)*--(Source!$E$1:$E$250=$Q$3)*--(Source!$D$1:$D$250=Pyramid!$Q173),ROW(Source!$B$1:$B$250),FALSE),V$3)),"")</f>
        <v/>
      </c>
      <c r="W173" t="str">
        <f t="array" aca="1" ref="W173" ca="1">IFERROR(INDEX(Source!$A$1:$A$250,SMALL(IF(--(Source!$B$1:$B$250=$O173)*--(Source!$E$1:$E$250=$Q$3)*--(Source!$D$1:$D$250=Pyramid!$Q173),ROW(Source!$B$1:$B$250),FALSE),W$3)),"")</f>
        <v/>
      </c>
      <c r="X173" t="str">
        <f t="array" aca="1" ref="X173" ca="1">IFERROR(INDEX(Source!$A$1:$A$250,SMALL(IF(--(Source!$B$1:$B$250=$O173)*--(Source!$E$1:$E$250=$Q$3)*--(Source!$D$1:$D$250=Pyramid!$Q173),ROW(Source!$B$1:$B$250),FALSE),X$3)),"")</f>
        <v/>
      </c>
      <c r="Y173" s="5">
        <f t="shared" ca="1" si="9"/>
        <v>0</v>
      </c>
    </row>
    <row r="174" spans="3:25">
      <c r="C174">
        <v>170</v>
      </c>
      <c r="D174" s="5">
        <f t="shared" ca="1" si="7"/>
        <v>0</v>
      </c>
      <c r="E174" t="str">
        <f t="array" aca="1" ref="E174" ca="1">IFERROR(INDEX(Source!$A$1:$A$250,SMALL(IF(--(Source!$B$1:$B$250=$O174)*--(Source!$E$1:$E$250=$M$3)*--(Source!$D$1:$D$250=Pyramid!$M174),ROW(Source!$B$1:$B$250),FALSE),E$3)),"")</f>
        <v/>
      </c>
      <c r="F174" t="str">
        <f t="array" aca="1" ref="F174" ca="1">IFERROR(INDEX(Source!$A$1:$A$250,SMALL(IF(--(Source!$B$1:$B$250=$O174)*--(Source!$E$1:$E$250=$M$3)*--(Source!$D$1:$D$250=Pyramid!$M174),ROW(Source!$B$1:$B$250),FALSE),F$3)),"")</f>
        <v/>
      </c>
      <c r="G174" t="str">
        <f t="array" aca="1" ref="G174" ca="1">IFERROR(INDEX(Source!$A$1:$A$250,SMALL(IF(--(Source!$B$1:$B$250=$O174)*--(Source!$E$1:$E$250=$M$3)*--(Source!$D$1:$D$250=Pyramid!$M174),ROW(Source!$B$1:$B$250),FALSE),G$3)),"")</f>
        <v/>
      </c>
      <c r="H174" t="str">
        <f t="array" aca="1" ref="H174" ca="1">IFERROR(INDEX(Source!$A$1:$A$250,SMALL(IF(--(Source!$B$1:$B$250=$O174)*--(Source!$E$1:$E$250=$M$3)*--(Source!$D$1:$D$250=Pyramid!$M174),ROW(Source!$B$1:$B$250),FALSE),H$3)),"")</f>
        <v/>
      </c>
      <c r="I174" t="str">
        <f t="array" aca="1" ref="I174" ca="1">IFERROR(INDEX(Source!$A$1:$A$250,SMALL(IF(--(Source!$B$1:$B$250=$O174)*--(Source!$E$1:$E$250=$M$3)*--(Source!$D$1:$D$250=Pyramid!$M174),ROW(Source!$B$1:$B$250),FALSE),I$3)),"")</f>
        <v/>
      </c>
      <c r="J174" t="str">
        <f t="array" aca="1" ref="J174" ca="1">IFERROR(INDEX(Source!$A$1:$A$250,SMALL(IF(--(Source!$B$1:$B$250=$O174)*--(Source!$E$1:$E$250=$M$3)*--(Source!$D$1:$D$250=Pyramid!$M174),ROW(Source!$B$1:$B$250),FALSE),J$3)),"")</f>
        <v/>
      </c>
      <c r="K174" t="str">
        <f t="array" aca="1" ref="K174" ca="1">IFERROR(INDEX(Source!$A$1:$A$250,SMALL(IF(--(Source!$B$1:$B$250=$O174)*--(Source!$E$1:$E$250=$M$3)*--(Source!$D$1:$D$250=Pyramid!$M174),ROW(Source!$B$1:$B$250),FALSE),K$3)),"")</f>
        <v/>
      </c>
      <c r="L174" t="str">
        <f t="array" aca="1" ref="L174" ca="1">IFERROR(INDEX(Source!$A$1:$A$250,SMALL(IF(--(Source!$B$1:$B$250=$O174)*--(Source!$E$1:$E$250=$M$3)*--(Source!$D$1:$D$250=Pyramid!$M174),ROW(Source!$B$1:$B$250),FALSE),L$3)),"")</f>
        <v/>
      </c>
      <c r="M174" t="str">
        <f t="shared" si="8"/>
        <v>29/6/2016</v>
      </c>
      <c r="N174">
        <f ca="1">COUNTIFS(Source!B:B,Pyramid!$O174,Source!$D:$D,Pyramid!$M174,Source!$E:$E,Pyramid!$M$3)</f>
        <v>0</v>
      </c>
      <c r="O174">
        <f ca="1">OFFSET(Sheet2!$N$3,INT(C174/5),)</f>
        <v>19768</v>
      </c>
      <c r="P174">
        <f ca="1">COUNTIFS(Source!B:B,Pyramid!$O174,Source!D:D,Pyramid!$Q174,Source!$E:$E,Pyramid!$Q$3)</f>
        <v>0</v>
      </c>
      <c r="Q174" t="str">
        <f t="shared" si="8"/>
        <v>29/6/2016</v>
      </c>
      <c r="R174" t="str">
        <f t="array" aca="1" ref="R174" ca="1">IFERROR(INDEX(Source!$A$1:$A$250,SMALL(IF(--(Source!$B$1:$B$250=$O174)*--(Source!$E$1:$E$250=$Q$3)*--(Source!$D$1:$D$250=Pyramid!$Q174),ROW(Source!$B$1:$B$250),FALSE),R$3)),"")</f>
        <v/>
      </c>
      <c r="S174" t="str">
        <f t="array" aca="1" ref="S174" ca="1">IFERROR(INDEX(Source!$A$1:$A$250,SMALL(IF(--(Source!$B$1:$B$250=$O174)*--(Source!$E$1:$E$250=$Q$3)*--(Source!$D$1:$D$250=Pyramid!$Q174),ROW(Source!$B$1:$B$250),FALSE),S$3)),"")</f>
        <v/>
      </c>
      <c r="T174" t="str">
        <f t="array" aca="1" ref="T174" ca="1">IFERROR(INDEX(Source!$A$1:$A$250,SMALL(IF(--(Source!$B$1:$B$250=$O174)*--(Source!$E$1:$E$250=$Q$3)*--(Source!$D$1:$D$250=Pyramid!$Q174),ROW(Source!$B$1:$B$250),FALSE),T$3)),"")</f>
        <v/>
      </c>
      <c r="U174" t="str">
        <f t="array" aca="1" ref="U174" ca="1">IFERROR(INDEX(Source!$A$1:$A$250,SMALL(IF(--(Source!$B$1:$B$250=$O174)*--(Source!$E$1:$E$250=$Q$3)*--(Source!$D$1:$D$250=Pyramid!$Q174),ROW(Source!$B$1:$B$250),FALSE),U$3)),"")</f>
        <v/>
      </c>
      <c r="V174" t="str">
        <f t="array" aca="1" ref="V174" ca="1">IFERROR(INDEX(Source!$A$1:$A$250,SMALL(IF(--(Source!$B$1:$B$250=$O174)*--(Source!$E$1:$E$250=$Q$3)*--(Source!$D$1:$D$250=Pyramid!$Q174),ROW(Source!$B$1:$B$250),FALSE),V$3)),"")</f>
        <v/>
      </c>
      <c r="W174" t="str">
        <f t="array" aca="1" ref="W174" ca="1">IFERROR(INDEX(Source!$A$1:$A$250,SMALL(IF(--(Source!$B$1:$B$250=$O174)*--(Source!$E$1:$E$250=$Q$3)*--(Source!$D$1:$D$250=Pyramid!$Q174),ROW(Source!$B$1:$B$250),FALSE),W$3)),"")</f>
        <v/>
      </c>
      <c r="X174" t="str">
        <f t="array" aca="1" ref="X174" ca="1">IFERROR(INDEX(Source!$A$1:$A$250,SMALL(IF(--(Source!$B$1:$B$250=$O174)*--(Source!$E$1:$E$250=$Q$3)*--(Source!$D$1:$D$250=Pyramid!$Q174),ROW(Source!$B$1:$B$250),FALSE),X$3)),"")</f>
        <v/>
      </c>
      <c r="Y174" s="5">
        <f t="shared" ca="1" si="9"/>
        <v>0</v>
      </c>
    </row>
    <row r="175" spans="3:25">
      <c r="C175">
        <v>171</v>
      </c>
      <c r="D175" s="5">
        <f t="shared" ca="1" si="7"/>
        <v>0</v>
      </c>
      <c r="E175" t="str">
        <f t="array" aca="1" ref="E175" ca="1">IFERROR(INDEX(Source!$A$1:$A$250,SMALL(IF(--(Source!$B$1:$B$250=$O175)*--(Source!$E$1:$E$250=$M$3)*--(Source!$D$1:$D$250=Pyramid!$M175),ROW(Source!$B$1:$B$250),FALSE),E$3)),"")</f>
        <v/>
      </c>
      <c r="F175" t="str">
        <f t="array" aca="1" ref="F175" ca="1">IFERROR(INDEX(Source!$A$1:$A$250,SMALL(IF(--(Source!$B$1:$B$250=$O175)*--(Source!$E$1:$E$250=$M$3)*--(Source!$D$1:$D$250=Pyramid!$M175),ROW(Source!$B$1:$B$250),FALSE),F$3)),"")</f>
        <v/>
      </c>
      <c r="G175" t="str">
        <f t="array" aca="1" ref="G175" ca="1">IFERROR(INDEX(Source!$A$1:$A$250,SMALL(IF(--(Source!$B$1:$B$250=$O175)*--(Source!$E$1:$E$250=$M$3)*--(Source!$D$1:$D$250=Pyramid!$M175),ROW(Source!$B$1:$B$250),FALSE),G$3)),"")</f>
        <v/>
      </c>
      <c r="H175" t="str">
        <f t="array" aca="1" ref="H175" ca="1">IFERROR(INDEX(Source!$A$1:$A$250,SMALL(IF(--(Source!$B$1:$B$250=$O175)*--(Source!$E$1:$E$250=$M$3)*--(Source!$D$1:$D$250=Pyramid!$M175),ROW(Source!$B$1:$B$250),FALSE),H$3)),"")</f>
        <v/>
      </c>
      <c r="I175" t="str">
        <f t="array" aca="1" ref="I175" ca="1">IFERROR(INDEX(Source!$A$1:$A$250,SMALL(IF(--(Source!$B$1:$B$250=$O175)*--(Source!$E$1:$E$250=$M$3)*--(Source!$D$1:$D$250=Pyramid!$M175),ROW(Source!$B$1:$B$250),FALSE),I$3)),"")</f>
        <v/>
      </c>
      <c r="J175" t="str">
        <f t="array" aca="1" ref="J175" ca="1">IFERROR(INDEX(Source!$A$1:$A$250,SMALL(IF(--(Source!$B$1:$B$250=$O175)*--(Source!$E$1:$E$250=$M$3)*--(Source!$D$1:$D$250=Pyramid!$M175),ROW(Source!$B$1:$B$250),FALSE),J$3)),"")</f>
        <v/>
      </c>
      <c r="K175" t="str">
        <f t="array" aca="1" ref="K175" ca="1">IFERROR(INDEX(Source!$A$1:$A$250,SMALL(IF(--(Source!$B$1:$B$250=$O175)*--(Source!$E$1:$E$250=$M$3)*--(Source!$D$1:$D$250=Pyramid!$M175),ROW(Source!$B$1:$B$250),FALSE),K$3)),"")</f>
        <v/>
      </c>
      <c r="L175" t="str">
        <f t="array" aca="1" ref="L175" ca="1">IFERROR(INDEX(Source!$A$1:$A$250,SMALL(IF(--(Source!$B$1:$B$250=$O175)*--(Source!$E$1:$E$250=$M$3)*--(Source!$D$1:$D$250=Pyramid!$M175),ROW(Source!$B$1:$B$250),FALSE),L$3)),"")</f>
        <v/>
      </c>
      <c r="M175" t="str">
        <f t="shared" si="8"/>
        <v>28/7/2016</v>
      </c>
      <c r="N175">
        <f ca="1">COUNTIFS(Source!B:B,Pyramid!$O175,Source!$D:$D,Pyramid!$M175,Source!$E:$E,Pyramid!$M$3)</f>
        <v>0</v>
      </c>
      <c r="O175">
        <f ca="1">OFFSET(Sheet2!$N$3,INT(C175/5),)</f>
        <v>19768</v>
      </c>
      <c r="P175">
        <f ca="1">COUNTIFS(Source!B:B,Pyramid!$O175,Source!D:D,Pyramid!$Q175,Source!$E:$E,Pyramid!$Q$3)</f>
        <v>0</v>
      </c>
      <c r="Q175" t="str">
        <f t="shared" si="8"/>
        <v>28/7/2016</v>
      </c>
      <c r="R175" t="str">
        <f t="array" aca="1" ref="R175" ca="1">IFERROR(INDEX(Source!$A$1:$A$250,SMALL(IF(--(Source!$B$1:$B$250=$O175)*--(Source!$E$1:$E$250=$Q$3)*--(Source!$D$1:$D$250=Pyramid!$Q175),ROW(Source!$B$1:$B$250),FALSE),R$3)),"")</f>
        <v/>
      </c>
      <c r="S175" t="str">
        <f t="array" aca="1" ref="S175" ca="1">IFERROR(INDEX(Source!$A$1:$A$250,SMALL(IF(--(Source!$B$1:$B$250=$O175)*--(Source!$E$1:$E$250=$Q$3)*--(Source!$D$1:$D$250=Pyramid!$Q175),ROW(Source!$B$1:$B$250),FALSE),S$3)),"")</f>
        <v/>
      </c>
      <c r="T175" t="str">
        <f t="array" aca="1" ref="T175" ca="1">IFERROR(INDEX(Source!$A$1:$A$250,SMALL(IF(--(Source!$B$1:$B$250=$O175)*--(Source!$E$1:$E$250=$Q$3)*--(Source!$D$1:$D$250=Pyramid!$Q175),ROW(Source!$B$1:$B$250),FALSE),T$3)),"")</f>
        <v/>
      </c>
      <c r="U175" t="str">
        <f t="array" aca="1" ref="U175" ca="1">IFERROR(INDEX(Source!$A$1:$A$250,SMALL(IF(--(Source!$B$1:$B$250=$O175)*--(Source!$E$1:$E$250=$Q$3)*--(Source!$D$1:$D$250=Pyramid!$Q175),ROW(Source!$B$1:$B$250),FALSE),U$3)),"")</f>
        <v/>
      </c>
      <c r="V175" t="str">
        <f t="array" aca="1" ref="V175" ca="1">IFERROR(INDEX(Source!$A$1:$A$250,SMALL(IF(--(Source!$B$1:$B$250=$O175)*--(Source!$E$1:$E$250=$Q$3)*--(Source!$D$1:$D$250=Pyramid!$Q175),ROW(Source!$B$1:$B$250),FALSE),V$3)),"")</f>
        <v/>
      </c>
      <c r="W175" t="str">
        <f t="array" aca="1" ref="W175" ca="1">IFERROR(INDEX(Source!$A$1:$A$250,SMALL(IF(--(Source!$B$1:$B$250=$O175)*--(Source!$E$1:$E$250=$Q$3)*--(Source!$D$1:$D$250=Pyramid!$Q175),ROW(Source!$B$1:$B$250),FALSE),W$3)),"")</f>
        <v/>
      </c>
      <c r="X175" t="str">
        <f t="array" aca="1" ref="X175" ca="1">IFERROR(INDEX(Source!$A$1:$A$250,SMALL(IF(--(Source!$B$1:$B$250=$O175)*--(Source!$E$1:$E$250=$Q$3)*--(Source!$D$1:$D$250=Pyramid!$Q175),ROW(Source!$B$1:$B$250),FALSE),X$3)),"")</f>
        <v/>
      </c>
      <c r="Y175" s="5">
        <f t="shared" ca="1" si="9"/>
        <v>0</v>
      </c>
    </row>
    <row r="176" spans="3:25">
      <c r="C176">
        <v>172</v>
      </c>
      <c r="D176" s="5">
        <f t="shared" ca="1" si="7"/>
        <v>0</v>
      </c>
      <c r="E176" t="str">
        <f t="array" aca="1" ref="E176" ca="1">IFERROR(INDEX(Source!$A$1:$A$250,SMALL(IF(--(Source!$B$1:$B$250=$O176)*--(Source!$E$1:$E$250=$M$3)*--(Source!$D$1:$D$250=Pyramid!$M176),ROW(Source!$B$1:$B$250),FALSE),E$3)),"")</f>
        <v/>
      </c>
      <c r="F176" t="str">
        <f t="array" aca="1" ref="F176" ca="1">IFERROR(INDEX(Source!$A$1:$A$250,SMALL(IF(--(Source!$B$1:$B$250=$O176)*--(Source!$E$1:$E$250=$M$3)*--(Source!$D$1:$D$250=Pyramid!$M176),ROW(Source!$B$1:$B$250),FALSE),F$3)),"")</f>
        <v/>
      </c>
      <c r="G176" t="str">
        <f t="array" aca="1" ref="G176" ca="1">IFERROR(INDEX(Source!$A$1:$A$250,SMALL(IF(--(Source!$B$1:$B$250=$O176)*--(Source!$E$1:$E$250=$M$3)*--(Source!$D$1:$D$250=Pyramid!$M176),ROW(Source!$B$1:$B$250),FALSE),G$3)),"")</f>
        <v/>
      </c>
      <c r="H176" t="str">
        <f t="array" aca="1" ref="H176" ca="1">IFERROR(INDEX(Source!$A$1:$A$250,SMALL(IF(--(Source!$B$1:$B$250=$O176)*--(Source!$E$1:$E$250=$M$3)*--(Source!$D$1:$D$250=Pyramid!$M176),ROW(Source!$B$1:$B$250),FALSE),H$3)),"")</f>
        <v/>
      </c>
      <c r="I176" t="str">
        <f t="array" aca="1" ref="I176" ca="1">IFERROR(INDEX(Source!$A$1:$A$250,SMALL(IF(--(Source!$B$1:$B$250=$O176)*--(Source!$E$1:$E$250=$M$3)*--(Source!$D$1:$D$250=Pyramid!$M176),ROW(Source!$B$1:$B$250),FALSE),I$3)),"")</f>
        <v/>
      </c>
      <c r="J176" t="str">
        <f t="array" aca="1" ref="J176" ca="1">IFERROR(INDEX(Source!$A$1:$A$250,SMALL(IF(--(Source!$B$1:$B$250=$O176)*--(Source!$E$1:$E$250=$M$3)*--(Source!$D$1:$D$250=Pyramid!$M176),ROW(Source!$B$1:$B$250),FALSE),J$3)),"")</f>
        <v/>
      </c>
      <c r="K176" t="str">
        <f t="array" aca="1" ref="K176" ca="1">IFERROR(INDEX(Source!$A$1:$A$250,SMALL(IF(--(Source!$B$1:$B$250=$O176)*--(Source!$E$1:$E$250=$M$3)*--(Source!$D$1:$D$250=Pyramid!$M176),ROW(Source!$B$1:$B$250),FALSE),K$3)),"")</f>
        <v/>
      </c>
      <c r="L176" t="str">
        <f t="array" aca="1" ref="L176" ca="1">IFERROR(INDEX(Source!$A$1:$A$250,SMALL(IF(--(Source!$B$1:$B$250=$O176)*--(Source!$E$1:$E$250=$M$3)*--(Source!$D$1:$D$250=Pyramid!$M176),ROW(Source!$B$1:$B$250),FALSE),L$3)),"")</f>
        <v/>
      </c>
      <c r="M176" t="str">
        <f t="shared" si="8"/>
        <v>30/8/2016</v>
      </c>
      <c r="N176">
        <f ca="1">COUNTIFS(Source!B:B,Pyramid!$O176,Source!$D:$D,Pyramid!$M176,Source!$E:$E,Pyramid!$M$3)</f>
        <v>0</v>
      </c>
      <c r="O176">
        <f ca="1">OFFSET(Sheet2!$N$3,INT(C176/5),)</f>
        <v>19768</v>
      </c>
      <c r="P176">
        <f ca="1">COUNTIFS(Source!B:B,Pyramid!$O176,Source!D:D,Pyramid!$Q176,Source!$E:$E,Pyramid!$Q$3)</f>
        <v>0</v>
      </c>
      <c r="Q176" t="str">
        <f t="shared" si="8"/>
        <v>30/8/2016</v>
      </c>
      <c r="R176" t="str">
        <f t="array" aca="1" ref="R176" ca="1">IFERROR(INDEX(Source!$A$1:$A$250,SMALL(IF(--(Source!$B$1:$B$250=$O176)*--(Source!$E$1:$E$250=$Q$3)*--(Source!$D$1:$D$250=Pyramid!$Q176),ROW(Source!$B$1:$B$250),FALSE),R$3)),"")</f>
        <v/>
      </c>
      <c r="S176" t="str">
        <f t="array" aca="1" ref="S176" ca="1">IFERROR(INDEX(Source!$A$1:$A$250,SMALL(IF(--(Source!$B$1:$B$250=$O176)*--(Source!$E$1:$E$250=$Q$3)*--(Source!$D$1:$D$250=Pyramid!$Q176),ROW(Source!$B$1:$B$250),FALSE),S$3)),"")</f>
        <v/>
      </c>
      <c r="T176" t="str">
        <f t="array" aca="1" ref="T176" ca="1">IFERROR(INDEX(Source!$A$1:$A$250,SMALL(IF(--(Source!$B$1:$B$250=$O176)*--(Source!$E$1:$E$250=$Q$3)*--(Source!$D$1:$D$250=Pyramid!$Q176),ROW(Source!$B$1:$B$250),FALSE),T$3)),"")</f>
        <v/>
      </c>
      <c r="U176" t="str">
        <f t="array" aca="1" ref="U176" ca="1">IFERROR(INDEX(Source!$A$1:$A$250,SMALL(IF(--(Source!$B$1:$B$250=$O176)*--(Source!$E$1:$E$250=$Q$3)*--(Source!$D$1:$D$250=Pyramid!$Q176),ROW(Source!$B$1:$B$250),FALSE),U$3)),"")</f>
        <v/>
      </c>
      <c r="V176" t="str">
        <f t="array" aca="1" ref="V176" ca="1">IFERROR(INDEX(Source!$A$1:$A$250,SMALL(IF(--(Source!$B$1:$B$250=$O176)*--(Source!$E$1:$E$250=$Q$3)*--(Source!$D$1:$D$250=Pyramid!$Q176),ROW(Source!$B$1:$B$250),FALSE),V$3)),"")</f>
        <v/>
      </c>
      <c r="W176" t="str">
        <f t="array" aca="1" ref="W176" ca="1">IFERROR(INDEX(Source!$A$1:$A$250,SMALL(IF(--(Source!$B$1:$B$250=$O176)*--(Source!$E$1:$E$250=$Q$3)*--(Source!$D$1:$D$250=Pyramid!$Q176),ROW(Source!$B$1:$B$250),FALSE),W$3)),"")</f>
        <v/>
      </c>
      <c r="X176" t="str">
        <f t="array" aca="1" ref="X176" ca="1">IFERROR(INDEX(Source!$A$1:$A$250,SMALL(IF(--(Source!$B$1:$B$250=$O176)*--(Source!$E$1:$E$250=$Q$3)*--(Source!$D$1:$D$250=Pyramid!$Q176),ROW(Source!$B$1:$B$250),FALSE),X$3)),"")</f>
        <v/>
      </c>
      <c r="Y176" s="5">
        <f t="shared" ca="1" si="9"/>
        <v>0</v>
      </c>
    </row>
    <row r="177" spans="3:25">
      <c r="C177">
        <v>173</v>
      </c>
      <c r="D177" s="5">
        <f t="shared" ca="1" si="7"/>
        <v>0</v>
      </c>
      <c r="E177" t="str">
        <f t="array" aca="1" ref="E177" ca="1">IFERROR(INDEX(Source!$A$1:$A$250,SMALL(IF(--(Source!$B$1:$B$250=$O177)*--(Source!$E$1:$E$250=$M$3)*--(Source!$D$1:$D$250=Pyramid!$M177),ROW(Source!$B$1:$B$250),FALSE),E$3)),"")</f>
        <v/>
      </c>
      <c r="F177" t="str">
        <f t="array" aca="1" ref="F177" ca="1">IFERROR(INDEX(Source!$A$1:$A$250,SMALL(IF(--(Source!$B$1:$B$250=$O177)*--(Source!$E$1:$E$250=$M$3)*--(Source!$D$1:$D$250=Pyramid!$M177),ROW(Source!$B$1:$B$250),FALSE),F$3)),"")</f>
        <v/>
      </c>
      <c r="G177" t="str">
        <f t="array" aca="1" ref="G177" ca="1">IFERROR(INDEX(Source!$A$1:$A$250,SMALL(IF(--(Source!$B$1:$B$250=$O177)*--(Source!$E$1:$E$250=$M$3)*--(Source!$D$1:$D$250=Pyramid!$M177),ROW(Source!$B$1:$B$250),FALSE),G$3)),"")</f>
        <v/>
      </c>
      <c r="H177" t="str">
        <f t="array" aca="1" ref="H177" ca="1">IFERROR(INDEX(Source!$A$1:$A$250,SMALL(IF(--(Source!$B$1:$B$250=$O177)*--(Source!$E$1:$E$250=$M$3)*--(Source!$D$1:$D$250=Pyramid!$M177),ROW(Source!$B$1:$B$250),FALSE),H$3)),"")</f>
        <v/>
      </c>
      <c r="I177" t="str">
        <f t="array" aca="1" ref="I177" ca="1">IFERROR(INDEX(Source!$A$1:$A$250,SMALL(IF(--(Source!$B$1:$B$250=$O177)*--(Source!$E$1:$E$250=$M$3)*--(Source!$D$1:$D$250=Pyramid!$M177),ROW(Source!$B$1:$B$250),FALSE),I$3)),"")</f>
        <v/>
      </c>
      <c r="J177" t="str">
        <f t="array" aca="1" ref="J177" ca="1">IFERROR(INDEX(Source!$A$1:$A$250,SMALL(IF(--(Source!$B$1:$B$250=$O177)*--(Source!$E$1:$E$250=$M$3)*--(Source!$D$1:$D$250=Pyramid!$M177),ROW(Source!$B$1:$B$250),FALSE),J$3)),"")</f>
        <v/>
      </c>
      <c r="K177" t="str">
        <f t="array" aca="1" ref="K177" ca="1">IFERROR(INDEX(Source!$A$1:$A$250,SMALL(IF(--(Source!$B$1:$B$250=$O177)*--(Source!$E$1:$E$250=$M$3)*--(Source!$D$1:$D$250=Pyramid!$M177),ROW(Source!$B$1:$B$250),FALSE),K$3)),"")</f>
        <v/>
      </c>
      <c r="L177" t="str">
        <f t="array" aca="1" ref="L177" ca="1">IFERROR(INDEX(Source!$A$1:$A$250,SMALL(IF(--(Source!$B$1:$B$250=$O177)*--(Source!$E$1:$E$250=$M$3)*--(Source!$D$1:$D$250=Pyramid!$M177),ROW(Source!$B$1:$B$250),FALSE),L$3)),"")</f>
        <v/>
      </c>
      <c r="M177" t="str">
        <f t="shared" si="8"/>
        <v>29/9/2016</v>
      </c>
      <c r="N177">
        <f ca="1">COUNTIFS(Source!B:B,Pyramid!$O177,Source!$D:$D,Pyramid!$M177,Source!$E:$E,Pyramid!$M$3)</f>
        <v>0</v>
      </c>
      <c r="O177">
        <f ca="1">OFFSET(Sheet2!$N$3,INT(C177/5),)</f>
        <v>19768</v>
      </c>
      <c r="P177">
        <f ca="1">COUNTIFS(Source!B:B,Pyramid!$O177,Source!D:D,Pyramid!$Q177,Source!$E:$E,Pyramid!$Q$3)</f>
        <v>0</v>
      </c>
      <c r="Q177" t="str">
        <f t="shared" si="8"/>
        <v>29/9/2016</v>
      </c>
      <c r="R177" t="str">
        <f t="array" aca="1" ref="R177" ca="1">IFERROR(INDEX(Source!$A$1:$A$250,SMALL(IF(--(Source!$B$1:$B$250=$O177)*--(Source!$E$1:$E$250=$Q$3)*--(Source!$D$1:$D$250=Pyramid!$Q177),ROW(Source!$B$1:$B$250),FALSE),R$3)),"")</f>
        <v/>
      </c>
      <c r="S177" t="str">
        <f t="array" aca="1" ref="S177" ca="1">IFERROR(INDEX(Source!$A$1:$A$250,SMALL(IF(--(Source!$B$1:$B$250=$O177)*--(Source!$E$1:$E$250=$Q$3)*--(Source!$D$1:$D$250=Pyramid!$Q177),ROW(Source!$B$1:$B$250),FALSE),S$3)),"")</f>
        <v/>
      </c>
      <c r="T177" t="str">
        <f t="array" aca="1" ref="T177" ca="1">IFERROR(INDEX(Source!$A$1:$A$250,SMALL(IF(--(Source!$B$1:$B$250=$O177)*--(Source!$E$1:$E$250=$Q$3)*--(Source!$D$1:$D$250=Pyramid!$Q177),ROW(Source!$B$1:$B$250),FALSE),T$3)),"")</f>
        <v/>
      </c>
      <c r="U177" t="str">
        <f t="array" aca="1" ref="U177" ca="1">IFERROR(INDEX(Source!$A$1:$A$250,SMALL(IF(--(Source!$B$1:$B$250=$O177)*--(Source!$E$1:$E$250=$Q$3)*--(Source!$D$1:$D$250=Pyramid!$Q177),ROW(Source!$B$1:$B$250),FALSE),U$3)),"")</f>
        <v/>
      </c>
      <c r="V177" t="str">
        <f t="array" aca="1" ref="V177" ca="1">IFERROR(INDEX(Source!$A$1:$A$250,SMALL(IF(--(Source!$B$1:$B$250=$O177)*--(Source!$E$1:$E$250=$Q$3)*--(Source!$D$1:$D$250=Pyramid!$Q177),ROW(Source!$B$1:$B$250),FALSE),V$3)),"")</f>
        <v/>
      </c>
      <c r="W177" t="str">
        <f t="array" aca="1" ref="W177" ca="1">IFERROR(INDEX(Source!$A$1:$A$250,SMALL(IF(--(Source!$B$1:$B$250=$O177)*--(Source!$E$1:$E$250=$Q$3)*--(Source!$D$1:$D$250=Pyramid!$Q177),ROW(Source!$B$1:$B$250),FALSE),W$3)),"")</f>
        <v/>
      </c>
      <c r="X177" t="str">
        <f t="array" aca="1" ref="X177" ca="1">IFERROR(INDEX(Source!$A$1:$A$250,SMALL(IF(--(Source!$B$1:$B$250=$O177)*--(Source!$E$1:$E$250=$Q$3)*--(Source!$D$1:$D$250=Pyramid!$Q177),ROW(Source!$B$1:$B$250),FALSE),X$3)),"")</f>
        <v/>
      </c>
      <c r="Y177" s="5">
        <f t="shared" ca="1" si="9"/>
        <v>0</v>
      </c>
    </row>
    <row r="178" spans="3:25">
      <c r="C178">
        <v>174</v>
      </c>
      <c r="D178" s="5">
        <f t="shared" ca="1" si="7"/>
        <v>0</v>
      </c>
      <c r="E178" t="str">
        <f t="array" aca="1" ref="E178" ca="1">IFERROR(INDEX(Source!$A$1:$A$250,SMALL(IF(--(Source!$B$1:$B$250=$O178)*--(Source!$E$1:$E$250=$M$3)*--(Source!$D$1:$D$250=Pyramid!$M178),ROW(Source!$B$1:$B$250),FALSE),E$3)),"")</f>
        <v/>
      </c>
      <c r="F178" t="str">
        <f t="array" aca="1" ref="F178" ca="1">IFERROR(INDEX(Source!$A$1:$A$250,SMALL(IF(--(Source!$B$1:$B$250=$O178)*--(Source!$E$1:$E$250=$M$3)*--(Source!$D$1:$D$250=Pyramid!$M178),ROW(Source!$B$1:$B$250),FALSE),F$3)),"")</f>
        <v/>
      </c>
      <c r="G178" t="str">
        <f t="array" aca="1" ref="G178" ca="1">IFERROR(INDEX(Source!$A$1:$A$250,SMALL(IF(--(Source!$B$1:$B$250=$O178)*--(Source!$E$1:$E$250=$M$3)*--(Source!$D$1:$D$250=Pyramid!$M178),ROW(Source!$B$1:$B$250),FALSE),G$3)),"")</f>
        <v/>
      </c>
      <c r="H178" t="str">
        <f t="array" aca="1" ref="H178" ca="1">IFERROR(INDEX(Source!$A$1:$A$250,SMALL(IF(--(Source!$B$1:$B$250=$O178)*--(Source!$E$1:$E$250=$M$3)*--(Source!$D$1:$D$250=Pyramid!$M178),ROW(Source!$B$1:$B$250),FALSE),H$3)),"")</f>
        <v/>
      </c>
      <c r="I178" t="str">
        <f t="array" aca="1" ref="I178" ca="1">IFERROR(INDEX(Source!$A$1:$A$250,SMALL(IF(--(Source!$B$1:$B$250=$O178)*--(Source!$E$1:$E$250=$M$3)*--(Source!$D$1:$D$250=Pyramid!$M178),ROW(Source!$B$1:$B$250),FALSE),I$3)),"")</f>
        <v/>
      </c>
      <c r="J178" t="str">
        <f t="array" aca="1" ref="J178" ca="1">IFERROR(INDEX(Source!$A$1:$A$250,SMALL(IF(--(Source!$B$1:$B$250=$O178)*--(Source!$E$1:$E$250=$M$3)*--(Source!$D$1:$D$250=Pyramid!$M178),ROW(Source!$B$1:$B$250),FALSE),J$3)),"")</f>
        <v/>
      </c>
      <c r="K178" t="str">
        <f t="array" aca="1" ref="K178" ca="1">IFERROR(INDEX(Source!$A$1:$A$250,SMALL(IF(--(Source!$B$1:$B$250=$O178)*--(Source!$E$1:$E$250=$M$3)*--(Source!$D$1:$D$250=Pyramid!$M178),ROW(Source!$B$1:$B$250),FALSE),K$3)),"")</f>
        <v/>
      </c>
      <c r="L178" t="str">
        <f t="array" aca="1" ref="L178" ca="1">IFERROR(INDEX(Source!$A$1:$A$250,SMALL(IF(--(Source!$B$1:$B$250=$O178)*--(Source!$E$1:$E$250=$M$3)*--(Source!$D$1:$D$250=Pyramid!$M178),ROW(Source!$B$1:$B$250),FALSE),L$3)),"")</f>
        <v>28025 HK Equity</v>
      </c>
      <c r="M178" t="str">
        <f t="shared" si="8"/>
        <v>28/10/2016</v>
      </c>
      <c r="N178">
        <f ca="1">COUNTIFS(Source!B:B,Pyramid!$O178,Source!$D:$D,Pyramid!$M178,Source!$E:$E,Pyramid!$M$3)</f>
        <v>1</v>
      </c>
      <c r="O178">
        <f ca="1">OFFSET(Sheet2!$N$3,INT(C178/5),)</f>
        <v>19768</v>
      </c>
      <c r="P178">
        <f ca="1">COUNTIFS(Source!B:B,Pyramid!$O178,Source!D:D,Pyramid!$Q178,Source!$E:$E,Pyramid!$Q$3)</f>
        <v>0</v>
      </c>
      <c r="Q178" t="str">
        <f t="shared" si="8"/>
        <v>28/10/2016</v>
      </c>
      <c r="R178" t="str">
        <f t="array" aca="1" ref="R178" ca="1">IFERROR(INDEX(Source!$A$1:$A$250,SMALL(IF(--(Source!$B$1:$B$250=$O178)*--(Source!$E$1:$E$250=$Q$3)*--(Source!$D$1:$D$250=Pyramid!$Q178),ROW(Source!$B$1:$B$250),FALSE),R$3)),"")</f>
        <v/>
      </c>
      <c r="S178" t="str">
        <f t="array" aca="1" ref="S178" ca="1">IFERROR(INDEX(Source!$A$1:$A$250,SMALL(IF(--(Source!$B$1:$B$250=$O178)*--(Source!$E$1:$E$250=$Q$3)*--(Source!$D$1:$D$250=Pyramid!$Q178),ROW(Source!$B$1:$B$250),FALSE),S$3)),"")</f>
        <v/>
      </c>
      <c r="T178" t="str">
        <f t="array" aca="1" ref="T178" ca="1">IFERROR(INDEX(Source!$A$1:$A$250,SMALL(IF(--(Source!$B$1:$B$250=$O178)*--(Source!$E$1:$E$250=$Q$3)*--(Source!$D$1:$D$250=Pyramid!$Q178),ROW(Source!$B$1:$B$250),FALSE),T$3)),"")</f>
        <v/>
      </c>
      <c r="U178" t="str">
        <f t="array" aca="1" ref="U178" ca="1">IFERROR(INDEX(Source!$A$1:$A$250,SMALL(IF(--(Source!$B$1:$B$250=$O178)*--(Source!$E$1:$E$250=$Q$3)*--(Source!$D$1:$D$250=Pyramid!$Q178),ROW(Source!$B$1:$B$250),FALSE),U$3)),"")</f>
        <v/>
      </c>
      <c r="V178" t="str">
        <f t="array" aca="1" ref="V178" ca="1">IFERROR(INDEX(Source!$A$1:$A$250,SMALL(IF(--(Source!$B$1:$B$250=$O178)*--(Source!$E$1:$E$250=$Q$3)*--(Source!$D$1:$D$250=Pyramid!$Q178),ROW(Source!$B$1:$B$250),FALSE),V$3)),"")</f>
        <v/>
      </c>
      <c r="W178" t="str">
        <f t="array" aca="1" ref="W178" ca="1">IFERROR(INDEX(Source!$A$1:$A$250,SMALL(IF(--(Source!$B$1:$B$250=$O178)*--(Source!$E$1:$E$250=$Q$3)*--(Source!$D$1:$D$250=Pyramid!$Q178),ROW(Source!$B$1:$B$250),FALSE),W$3)),"")</f>
        <v/>
      </c>
      <c r="X178" t="str">
        <f t="array" aca="1" ref="X178" ca="1">IFERROR(INDEX(Source!$A$1:$A$250,SMALL(IF(--(Source!$B$1:$B$250=$O178)*--(Source!$E$1:$E$250=$Q$3)*--(Source!$D$1:$D$250=Pyramid!$Q178),ROW(Source!$B$1:$B$250),FALSE),X$3)),"")</f>
        <v/>
      </c>
      <c r="Y178" s="5">
        <f t="shared" ca="1" si="9"/>
        <v>0</v>
      </c>
    </row>
    <row r="179" spans="3:25">
      <c r="C179">
        <v>175</v>
      </c>
      <c r="D179" s="5">
        <f t="shared" ca="1" si="7"/>
        <v>0</v>
      </c>
      <c r="E179" t="str">
        <f t="array" aca="1" ref="E179" ca="1">IFERROR(INDEX(Source!$A$1:$A$250,SMALL(IF(--(Source!$B$1:$B$250=$O179)*--(Source!$E$1:$E$250=$M$3)*--(Source!$D$1:$D$250=Pyramid!$M179),ROW(Source!$B$1:$B$250),FALSE),E$3)),"")</f>
        <v/>
      </c>
      <c r="F179" t="str">
        <f t="array" aca="1" ref="F179" ca="1">IFERROR(INDEX(Source!$A$1:$A$250,SMALL(IF(--(Source!$B$1:$B$250=$O179)*--(Source!$E$1:$E$250=$M$3)*--(Source!$D$1:$D$250=Pyramid!$M179),ROW(Source!$B$1:$B$250),FALSE),F$3)),"")</f>
        <v/>
      </c>
      <c r="G179" t="str">
        <f t="array" aca="1" ref="G179" ca="1">IFERROR(INDEX(Source!$A$1:$A$250,SMALL(IF(--(Source!$B$1:$B$250=$O179)*--(Source!$E$1:$E$250=$M$3)*--(Source!$D$1:$D$250=Pyramid!$M179),ROW(Source!$B$1:$B$250),FALSE),G$3)),"")</f>
        <v/>
      </c>
      <c r="H179" t="str">
        <f t="array" aca="1" ref="H179" ca="1">IFERROR(INDEX(Source!$A$1:$A$250,SMALL(IF(--(Source!$B$1:$B$250=$O179)*--(Source!$E$1:$E$250=$M$3)*--(Source!$D$1:$D$250=Pyramid!$M179),ROW(Source!$B$1:$B$250),FALSE),H$3)),"")</f>
        <v/>
      </c>
      <c r="I179" t="str">
        <f t="array" aca="1" ref="I179" ca="1">IFERROR(INDEX(Source!$A$1:$A$250,SMALL(IF(--(Source!$B$1:$B$250=$O179)*--(Source!$E$1:$E$250=$M$3)*--(Source!$D$1:$D$250=Pyramid!$M179),ROW(Source!$B$1:$B$250),FALSE),I$3)),"")</f>
        <v/>
      </c>
      <c r="J179" t="str">
        <f t="array" aca="1" ref="J179" ca="1">IFERROR(INDEX(Source!$A$1:$A$250,SMALL(IF(--(Source!$B$1:$B$250=$O179)*--(Source!$E$1:$E$250=$M$3)*--(Source!$D$1:$D$250=Pyramid!$M179),ROW(Source!$B$1:$B$250),FALSE),J$3)),"")</f>
        <v/>
      </c>
      <c r="K179" t="str">
        <f t="array" aca="1" ref="K179" ca="1">IFERROR(INDEX(Source!$A$1:$A$250,SMALL(IF(--(Source!$B$1:$B$250=$O179)*--(Source!$E$1:$E$250=$M$3)*--(Source!$D$1:$D$250=Pyramid!$M179),ROW(Source!$B$1:$B$250),FALSE),K$3)),"")</f>
        <v/>
      </c>
      <c r="L179" t="str">
        <f t="array" aca="1" ref="L179" ca="1">IFERROR(INDEX(Source!$A$1:$A$250,SMALL(IF(--(Source!$B$1:$B$250=$O179)*--(Source!$E$1:$E$250=$M$3)*--(Source!$D$1:$D$250=Pyramid!$M179),ROW(Source!$B$1:$B$250),FALSE),L$3)),"")</f>
        <v/>
      </c>
      <c r="M179" t="str">
        <f t="shared" si="8"/>
        <v>29/6/2016</v>
      </c>
      <c r="N179">
        <f ca="1">COUNTIFS(Source!B:B,Pyramid!$O179,Source!$D:$D,Pyramid!$M179,Source!$E:$E,Pyramid!$M$3)</f>
        <v>0</v>
      </c>
      <c r="O179">
        <f ca="1">OFFSET(Sheet2!$N$3,INT(C179/5),)</f>
        <v>19800</v>
      </c>
      <c r="P179">
        <f ca="1">COUNTIFS(Source!B:B,Pyramid!$O179,Source!D:D,Pyramid!$Q179,Source!$E:$E,Pyramid!$Q$3)</f>
        <v>0</v>
      </c>
      <c r="Q179" t="str">
        <f t="shared" si="8"/>
        <v>29/6/2016</v>
      </c>
      <c r="R179" t="str">
        <f t="array" aca="1" ref="R179" ca="1">IFERROR(INDEX(Source!$A$1:$A$250,SMALL(IF(--(Source!$B$1:$B$250=$O179)*--(Source!$E$1:$E$250=$Q$3)*--(Source!$D$1:$D$250=Pyramid!$Q179),ROW(Source!$B$1:$B$250),FALSE),R$3)),"")</f>
        <v/>
      </c>
      <c r="S179" t="str">
        <f t="array" aca="1" ref="S179" ca="1">IFERROR(INDEX(Source!$A$1:$A$250,SMALL(IF(--(Source!$B$1:$B$250=$O179)*--(Source!$E$1:$E$250=$Q$3)*--(Source!$D$1:$D$250=Pyramid!$Q179),ROW(Source!$B$1:$B$250),FALSE),S$3)),"")</f>
        <v/>
      </c>
      <c r="T179" t="str">
        <f t="array" aca="1" ref="T179" ca="1">IFERROR(INDEX(Source!$A$1:$A$250,SMALL(IF(--(Source!$B$1:$B$250=$O179)*--(Source!$E$1:$E$250=$Q$3)*--(Source!$D$1:$D$250=Pyramid!$Q179),ROW(Source!$B$1:$B$250),FALSE),T$3)),"")</f>
        <v/>
      </c>
      <c r="U179" t="str">
        <f t="array" aca="1" ref="U179" ca="1">IFERROR(INDEX(Source!$A$1:$A$250,SMALL(IF(--(Source!$B$1:$B$250=$O179)*--(Source!$E$1:$E$250=$Q$3)*--(Source!$D$1:$D$250=Pyramid!$Q179),ROW(Source!$B$1:$B$250),FALSE),U$3)),"")</f>
        <v/>
      </c>
      <c r="V179" t="str">
        <f t="array" aca="1" ref="V179" ca="1">IFERROR(INDEX(Source!$A$1:$A$250,SMALL(IF(--(Source!$B$1:$B$250=$O179)*--(Source!$E$1:$E$250=$Q$3)*--(Source!$D$1:$D$250=Pyramid!$Q179),ROW(Source!$B$1:$B$250),FALSE),V$3)),"")</f>
        <v/>
      </c>
      <c r="W179" t="str">
        <f t="array" aca="1" ref="W179" ca="1">IFERROR(INDEX(Source!$A$1:$A$250,SMALL(IF(--(Source!$B$1:$B$250=$O179)*--(Source!$E$1:$E$250=$Q$3)*--(Source!$D$1:$D$250=Pyramid!$Q179),ROW(Source!$B$1:$B$250),FALSE),W$3)),"")</f>
        <v/>
      </c>
      <c r="X179" t="str">
        <f t="array" aca="1" ref="X179" ca="1">IFERROR(INDEX(Source!$A$1:$A$250,SMALL(IF(--(Source!$B$1:$B$250=$O179)*--(Source!$E$1:$E$250=$Q$3)*--(Source!$D$1:$D$250=Pyramid!$Q179),ROW(Source!$B$1:$B$250),FALSE),X$3)),"")</f>
        <v/>
      </c>
      <c r="Y179" s="5">
        <f t="shared" ca="1" si="9"/>
        <v>0</v>
      </c>
    </row>
    <row r="180" spans="3:25">
      <c r="C180">
        <v>176</v>
      </c>
      <c r="D180" s="5">
        <f t="shared" ca="1" si="7"/>
        <v>0</v>
      </c>
      <c r="E180" t="str">
        <f t="array" aca="1" ref="E180" ca="1">IFERROR(INDEX(Source!$A$1:$A$250,SMALL(IF(--(Source!$B$1:$B$250=$O180)*--(Source!$E$1:$E$250=$M$3)*--(Source!$D$1:$D$250=Pyramid!$M180),ROW(Source!$B$1:$B$250),FALSE),E$3)),"")</f>
        <v/>
      </c>
      <c r="F180" t="str">
        <f t="array" aca="1" ref="F180" ca="1">IFERROR(INDEX(Source!$A$1:$A$250,SMALL(IF(--(Source!$B$1:$B$250=$O180)*--(Source!$E$1:$E$250=$M$3)*--(Source!$D$1:$D$250=Pyramid!$M180),ROW(Source!$B$1:$B$250),FALSE),F$3)),"")</f>
        <v/>
      </c>
      <c r="G180" t="str">
        <f t="array" aca="1" ref="G180" ca="1">IFERROR(INDEX(Source!$A$1:$A$250,SMALL(IF(--(Source!$B$1:$B$250=$O180)*--(Source!$E$1:$E$250=$M$3)*--(Source!$D$1:$D$250=Pyramid!$M180),ROW(Source!$B$1:$B$250),FALSE),G$3)),"")</f>
        <v/>
      </c>
      <c r="H180" t="str">
        <f t="array" aca="1" ref="H180" ca="1">IFERROR(INDEX(Source!$A$1:$A$250,SMALL(IF(--(Source!$B$1:$B$250=$O180)*--(Source!$E$1:$E$250=$M$3)*--(Source!$D$1:$D$250=Pyramid!$M180),ROW(Source!$B$1:$B$250),FALSE),H$3)),"")</f>
        <v/>
      </c>
      <c r="I180" t="str">
        <f t="array" aca="1" ref="I180" ca="1">IFERROR(INDEX(Source!$A$1:$A$250,SMALL(IF(--(Source!$B$1:$B$250=$O180)*--(Source!$E$1:$E$250=$M$3)*--(Source!$D$1:$D$250=Pyramid!$M180),ROW(Source!$B$1:$B$250),FALSE),I$3)),"")</f>
        <v/>
      </c>
      <c r="J180" t="str">
        <f t="array" aca="1" ref="J180" ca="1">IFERROR(INDEX(Source!$A$1:$A$250,SMALL(IF(--(Source!$B$1:$B$250=$O180)*--(Source!$E$1:$E$250=$M$3)*--(Source!$D$1:$D$250=Pyramid!$M180),ROW(Source!$B$1:$B$250),FALSE),J$3)),"")</f>
        <v/>
      </c>
      <c r="K180" t="str">
        <f t="array" aca="1" ref="K180" ca="1">IFERROR(INDEX(Source!$A$1:$A$250,SMALL(IF(--(Source!$B$1:$B$250=$O180)*--(Source!$E$1:$E$250=$M$3)*--(Source!$D$1:$D$250=Pyramid!$M180),ROW(Source!$B$1:$B$250),FALSE),K$3)),"")</f>
        <v/>
      </c>
      <c r="L180" t="str">
        <f t="array" aca="1" ref="L180" ca="1">IFERROR(INDEX(Source!$A$1:$A$250,SMALL(IF(--(Source!$B$1:$B$250=$O180)*--(Source!$E$1:$E$250=$M$3)*--(Source!$D$1:$D$250=Pyramid!$M180),ROW(Source!$B$1:$B$250),FALSE),L$3)),"")</f>
        <v/>
      </c>
      <c r="M180" t="str">
        <f t="shared" si="8"/>
        <v>28/7/2016</v>
      </c>
      <c r="N180">
        <f ca="1">COUNTIFS(Source!B:B,Pyramid!$O180,Source!$D:$D,Pyramid!$M180,Source!$E:$E,Pyramid!$M$3)</f>
        <v>0</v>
      </c>
      <c r="O180">
        <f ca="1">OFFSET(Sheet2!$N$3,INT(C180/5),)</f>
        <v>19800</v>
      </c>
      <c r="P180">
        <f ca="1">COUNTIFS(Source!B:B,Pyramid!$O180,Source!D:D,Pyramid!$Q180,Source!$E:$E,Pyramid!$Q$3)</f>
        <v>3</v>
      </c>
      <c r="Q180" t="str">
        <f t="shared" si="8"/>
        <v>28/7/2016</v>
      </c>
      <c r="R180" t="str">
        <f t="array" aca="1" ref="R180" ca="1">IFERROR(INDEX(Source!$A$1:$A$250,SMALL(IF(--(Source!$B$1:$B$250=$O180)*--(Source!$E$1:$E$250=$Q$3)*--(Source!$D$1:$D$250=Pyramid!$Q180),ROW(Source!$B$1:$B$250),FALSE),R$3)),"")</f>
        <v>25272 HK Equity</v>
      </c>
      <c r="S180" t="str">
        <f t="array" aca="1" ref="S180" ca="1">IFERROR(INDEX(Source!$A$1:$A$250,SMALL(IF(--(Source!$B$1:$B$250=$O180)*--(Source!$E$1:$E$250=$Q$3)*--(Source!$D$1:$D$250=Pyramid!$Q180),ROW(Source!$B$1:$B$250),FALSE),S$3)),"")</f>
        <v>27284 HK Equity</v>
      </c>
      <c r="T180" t="str">
        <f t="array" aca="1" ref="T180" ca="1">IFERROR(INDEX(Source!$A$1:$A$250,SMALL(IF(--(Source!$B$1:$B$250=$O180)*--(Source!$E$1:$E$250=$Q$3)*--(Source!$D$1:$D$250=Pyramid!$Q180),ROW(Source!$B$1:$B$250),FALSE),T$3)),"")</f>
        <v>27129 HK Equity</v>
      </c>
      <c r="U180" t="str">
        <f t="array" aca="1" ref="U180" ca="1">IFERROR(INDEX(Source!$A$1:$A$250,SMALL(IF(--(Source!$B$1:$B$250=$O180)*--(Source!$E$1:$E$250=$Q$3)*--(Source!$D$1:$D$250=Pyramid!$Q180),ROW(Source!$B$1:$B$250),FALSE),U$3)),"")</f>
        <v/>
      </c>
      <c r="V180" t="str">
        <f t="array" aca="1" ref="V180" ca="1">IFERROR(INDEX(Source!$A$1:$A$250,SMALL(IF(--(Source!$B$1:$B$250=$O180)*--(Source!$E$1:$E$250=$Q$3)*--(Source!$D$1:$D$250=Pyramid!$Q180),ROW(Source!$B$1:$B$250),FALSE),V$3)),"")</f>
        <v/>
      </c>
      <c r="W180" t="str">
        <f t="array" aca="1" ref="W180" ca="1">IFERROR(INDEX(Source!$A$1:$A$250,SMALL(IF(--(Source!$B$1:$B$250=$O180)*--(Source!$E$1:$E$250=$Q$3)*--(Source!$D$1:$D$250=Pyramid!$Q180),ROW(Source!$B$1:$B$250),FALSE),W$3)),"")</f>
        <v/>
      </c>
      <c r="X180" t="str">
        <f t="array" aca="1" ref="X180" ca="1">IFERROR(INDEX(Source!$A$1:$A$250,SMALL(IF(--(Source!$B$1:$B$250=$O180)*--(Source!$E$1:$E$250=$Q$3)*--(Source!$D$1:$D$250=Pyramid!$Q180),ROW(Source!$B$1:$B$250),FALSE),X$3)),"")</f>
        <v/>
      </c>
      <c r="Y180" s="5">
        <f t="shared" ca="1" si="9"/>
        <v>0</v>
      </c>
    </row>
    <row r="181" spans="3:25">
      <c r="C181">
        <v>177</v>
      </c>
      <c r="D181" s="5">
        <f t="shared" ca="1" si="7"/>
        <v>0</v>
      </c>
      <c r="E181" t="str">
        <f t="array" aca="1" ref="E181" ca="1">IFERROR(INDEX(Source!$A$1:$A$250,SMALL(IF(--(Source!$B$1:$B$250=$O181)*--(Source!$E$1:$E$250=$M$3)*--(Source!$D$1:$D$250=Pyramid!$M181),ROW(Source!$B$1:$B$250),FALSE),E$3)),"")</f>
        <v/>
      </c>
      <c r="F181" t="str">
        <f t="array" aca="1" ref="F181" ca="1">IFERROR(INDEX(Source!$A$1:$A$250,SMALL(IF(--(Source!$B$1:$B$250=$O181)*--(Source!$E$1:$E$250=$M$3)*--(Source!$D$1:$D$250=Pyramid!$M181),ROW(Source!$B$1:$B$250),FALSE),F$3)),"")</f>
        <v/>
      </c>
      <c r="G181" t="str">
        <f t="array" aca="1" ref="G181" ca="1">IFERROR(INDEX(Source!$A$1:$A$250,SMALL(IF(--(Source!$B$1:$B$250=$O181)*--(Source!$E$1:$E$250=$M$3)*--(Source!$D$1:$D$250=Pyramid!$M181),ROW(Source!$B$1:$B$250),FALSE),G$3)),"")</f>
        <v/>
      </c>
      <c r="H181" t="str">
        <f t="array" aca="1" ref="H181" ca="1">IFERROR(INDEX(Source!$A$1:$A$250,SMALL(IF(--(Source!$B$1:$B$250=$O181)*--(Source!$E$1:$E$250=$M$3)*--(Source!$D$1:$D$250=Pyramid!$M181),ROW(Source!$B$1:$B$250),FALSE),H$3)),"")</f>
        <v/>
      </c>
      <c r="I181" t="str">
        <f t="array" aca="1" ref="I181" ca="1">IFERROR(INDEX(Source!$A$1:$A$250,SMALL(IF(--(Source!$B$1:$B$250=$O181)*--(Source!$E$1:$E$250=$M$3)*--(Source!$D$1:$D$250=Pyramid!$M181),ROW(Source!$B$1:$B$250),FALSE),I$3)),"")</f>
        <v/>
      </c>
      <c r="J181" t="str">
        <f t="array" aca="1" ref="J181" ca="1">IFERROR(INDEX(Source!$A$1:$A$250,SMALL(IF(--(Source!$B$1:$B$250=$O181)*--(Source!$E$1:$E$250=$M$3)*--(Source!$D$1:$D$250=Pyramid!$M181),ROW(Source!$B$1:$B$250),FALSE),J$3)),"")</f>
        <v>28120 HK Equity</v>
      </c>
      <c r="K181" t="str">
        <f t="array" aca="1" ref="K181" ca="1">IFERROR(INDEX(Source!$A$1:$A$250,SMALL(IF(--(Source!$B$1:$B$250=$O181)*--(Source!$E$1:$E$250=$M$3)*--(Source!$D$1:$D$250=Pyramid!$M181),ROW(Source!$B$1:$B$250),FALSE),K$3)),"")</f>
        <v>26585 HK Equity</v>
      </c>
      <c r="L181" t="str">
        <f t="array" aca="1" ref="L181" ca="1">IFERROR(INDEX(Source!$A$1:$A$250,SMALL(IF(--(Source!$B$1:$B$250=$O181)*--(Source!$E$1:$E$250=$M$3)*--(Source!$D$1:$D$250=Pyramid!$M181),ROW(Source!$B$1:$B$250),FALSE),L$3)),"")</f>
        <v>26092 HK Equity</v>
      </c>
      <c r="M181" t="str">
        <f t="shared" si="8"/>
        <v>30/8/2016</v>
      </c>
      <c r="N181">
        <f ca="1">COUNTIFS(Source!B:B,Pyramid!$O181,Source!$D:$D,Pyramid!$M181,Source!$E:$E,Pyramid!$M$3)</f>
        <v>3</v>
      </c>
      <c r="O181">
        <f ca="1">OFFSET(Sheet2!$N$3,INT(C181/5),)</f>
        <v>19800</v>
      </c>
      <c r="P181">
        <f ca="1">COUNTIFS(Source!B:B,Pyramid!$O181,Source!D:D,Pyramid!$Q181,Source!$E:$E,Pyramid!$Q$3)</f>
        <v>0</v>
      </c>
      <c r="Q181" t="str">
        <f t="shared" si="8"/>
        <v>30/8/2016</v>
      </c>
      <c r="R181" t="str">
        <f t="array" aca="1" ref="R181" ca="1">IFERROR(INDEX(Source!$A$1:$A$250,SMALL(IF(--(Source!$B$1:$B$250=$O181)*--(Source!$E$1:$E$250=$Q$3)*--(Source!$D$1:$D$250=Pyramid!$Q181),ROW(Source!$B$1:$B$250),FALSE),R$3)),"")</f>
        <v/>
      </c>
      <c r="S181" t="str">
        <f t="array" aca="1" ref="S181" ca="1">IFERROR(INDEX(Source!$A$1:$A$250,SMALL(IF(--(Source!$B$1:$B$250=$O181)*--(Source!$E$1:$E$250=$Q$3)*--(Source!$D$1:$D$250=Pyramid!$Q181),ROW(Source!$B$1:$B$250),FALSE),S$3)),"")</f>
        <v/>
      </c>
      <c r="T181" t="str">
        <f t="array" aca="1" ref="T181" ca="1">IFERROR(INDEX(Source!$A$1:$A$250,SMALL(IF(--(Source!$B$1:$B$250=$O181)*--(Source!$E$1:$E$250=$Q$3)*--(Source!$D$1:$D$250=Pyramid!$Q181),ROW(Source!$B$1:$B$250),FALSE),T$3)),"")</f>
        <v/>
      </c>
      <c r="U181" t="str">
        <f t="array" aca="1" ref="U181" ca="1">IFERROR(INDEX(Source!$A$1:$A$250,SMALL(IF(--(Source!$B$1:$B$250=$O181)*--(Source!$E$1:$E$250=$Q$3)*--(Source!$D$1:$D$250=Pyramid!$Q181),ROW(Source!$B$1:$B$250),FALSE),U$3)),"")</f>
        <v/>
      </c>
      <c r="V181" t="str">
        <f t="array" aca="1" ref="V181" ca="1">IFERROR(INDEX(Source!$A$1:$A$250,SMALL(IF(--(Source!$B$1:$B$250=$O181)*--(Source!$E$1:$E$250=$Q$3)*--(Source!$D$1:$D$250=Pyramid!$Q181),ROW(Source!$B$1:$B$250),FALSE),V$3)),"")</f>
        <v/>
      </c>
      <c r="W181" t="str">
        <f t="array" aca="1" ref="W181" ca="1">IFERROR(INDEX(Source!$A$1:$A$250,SMALL(IF(--(Source!$B$1:$B$250=$O181)*--(Source!$E$1:$E$250=$Q$3)*--(Source!$D$1:$D$250=Pyramid!$Q181),ROW(Source!$B$1:$B$250),FALSE),W$3)),"")</f>
        <v/>
      </c>
      <c r="X181" t="str">
        <f t="array" aca="1" ref="X181" ca="1">IFERROR(INDEX(Source!$A$1:$A$250,SMALL(IF(--(Source!$B$1:$B$250=$O181)*--(Source!$E$1:$E$250=$Q$3)*--(Source!$D$1:$D$250=Pyramid!$Q181),ROW(Source!$B$1:$B$250),FALSE),X$3)),"")</f>
        <v/>
      </c>
      <c r="Y181" s="5">
        <f t="shared" ca="1" si="9"/>
        <v>0</v>
      </c>
    </row>
    <row r="182" spans="3:25">
      <c r="C182">
        <v>178</v>
      </c>
      <c r="D182" s="5">
        <f t="shared" ca="1" si="7"/>
        <v>0</v>
      </c>
      <c r="E182" t="str">
        <f t="array" aca="1" ref="E182" ca="1">IFERROR(INDEX(Source!$A$1:$A$250,SMALL(IF(--(Source!$B$1:$B$250=$O182)*--(Source!$E$1:$E$250=$M$3)*--(Source!$D$1:$D$250=Pyramid!$M182),ROW(Source!$B$1:$B$250),FALSE),E$3)),"")</f>
        <v/>
      </c>
      <c r="F182" t="str">
        <f t="array" aca="1" ref="F182" ca="1">IFERROR(INDEX(Source!$A$1:$A$250,SMALL(IF(--(Source!$B$1:$B$250=$O182)*--(Source!$E$1:$E$250=$M$3)*--(Source!$D$1:$D$250=Pyramid!$M182),ROW(Source!$B$1:$B$250),FALSE),F$3)),"")</f>
        <v/>
      </c>
      <c r="G182" t="str">
        <f t="array" aca="1" ref="G182" ca="1">IFERROR(INDEX(Source!$A$1:$A$250,SMALL(IF(--(Source!$B$1:$B$250=$O182)*--(Source!$E$1:$E$250=$M$3)*--(Source!$D$1:$D$250=Pyramid!$M182),ROW(Source!$B$1:$B$250),FALSE),G$3)),"")</f>
        <v/>
      </c>
      <c r="H182" t="str">
        <f t="array" aca="1" ref="H182" ca="1">IFERROR(INDEX(Source!$A$1:$A$250,SMALL(IF(--(Source!$B$1:$B$250=$O182)*--(Source!$E$1:$E$250=$M$3)*--(Source!$D$1:$D$250=Pyramid!$M182),ROW(Source!$B$1:$B$250),FALSE),H$3)),"")</f>
        <v/>
      </c>
      <c r="I182" t="str">
        <f t="array" aca="1" ref="I182" ca="1">IFERROR(INDEX(Source!$A$1:$A$250,SMALL(IF(--(Source!$B$1:$B$250=$O182)*--(Source!$E$1:$E$250=$M$3)*--(Source!$D$1:$D$250=Pyramid!$M182),ROW(Source!$B$1:$B$250),FALSE),I$3)),"")</f>
        <v/>
      </c>
      <c r="J182" t="str">
        <f t="array" aca="1" ref="J182" ca="1">IFERROR(INDEX(Source!$A$1:$A$250,SMALL(IF(--(Source!$B$1:$B$250=$O182)*--(Source!$E$1:$E$250=$M$3)*--(Source!$D$1:$D$250=Pyramid!$M182),ROW(Source!$B$1:$B$250),FALSE),J$3)),"")</f>
        <v/>
      </c>
      <c r="K182" t="str">
        <f t="array" aca="1" ref="K182" ca="1">IFERROR(INDEX(Source!$A$1:$A$250,SMALL(IF(--(Source!$B$1:$B$250=$O182)*--(Source!$E$1:$E$250=$M$3)*--(Source!$D$1:$D$250=Pyramid!$M182),ROW(Source!$B$1:$B$250),FALSE),K$3)),"")</f>
        <v/>
      </c>
      <c r="L182" t="str">
        <f t="array" aca="1" ref="L182" ca="1">IFERROR(INDEX(Source!$A$1:$A$250,SMALL(IF(--(Source!$B$1:$B$250=$O182)*--(Source!$E$1:$E$250=$M$3)*--(Source!$D$1:$D$250=Pyramid!$M182),ROW(Source!$B$1:$B$250),FALSE),L$3)),"")</f>
        <v/>
      </c>
      <c r="M182" t="str">
        <f t="shared" si="8"/>
        <v>29/9/2016</v>
      </c>
      <c r="N182">
        <f ca="1">COUNTIFS(Source!B:B,Pyramid!$O182,Source!$D:$D,Pyramid!$M182,Source!$E:$E,Pyramid!$M$3)</f>
        <v>0</v>
      </c>
      <c r="O182">
        <f ca="1">OFFSET(Sheet2!$N$3,INT(C182/5),)</f>
        <v>19800</v>
      </c>
      <c r="P182">
        <f ca="1">COUNTIFS(Source!B:B,Pyramid!$O182,Source!D:D,Pyramid!$Q182,Source!$E:$E,Pyramid!$Q$3)</f>
        <v>0</v>
      </c>
      <c r="Q182" t="str">
        <f t="shared" si="8"/>
        <v>29/9/2016</v>
      </c>
      <c r="R182" t="str">
        <f t="array" aca="1" ref="R182" ca="1">IFERROR(INDEX(Source!$A$1:$A$250,SMALL(IF(--(Source!$B$1:$B$250=$O182)*--(Source!$E$1:$E$250=$Q$3)*--(Source!$D$1:$D$250=Pyramid!$Q182),ROW(Source!$B$1:$B$250),FALSE),R$3)),"")</f>
        <v/>
      </c>
      <c r="S182" t="str">
        <f t="array" aca="1" ref="S182" ca="1">IFERROR(INDEX(Source!$A$1:$A$250,SMALL(IF(--(Source!$B$1:$B$250=$O182)*--(Source!$E$1:$E$250=$Q$3)*--(Source!$D$1:$D$250=Pyramid!$Q182),ROW(Source!$B$1:$B$250),FALSE),S$3)),"")</f>
        <v/>
      </c>
      <c r="T182" t="str">
        <f t="array" aca="1" ref="T182" ca="1">IFERROR(INDEX(Source!$A$1:$A$250,SMALL(IF(--(Source!$B$1:$B$250=$O182)*--(Source!$E$1:$E$250=$Q$3)*--(Source!$D$1:$D$250=Pyramid!$Q182),ROW(Source!$B$1:$B$250),FALSE),T$3)),"")</f>
        <v/>
      </c>
      <c r="U182" t="str">
        <f t="array" aca="1" ref="U182" ca="1">IFERROR(INDEX(Source!$A$1:$A$250,SMALL(IF(--(Source!$B$1:$B$250=$O182)*--(Source!$E$1:$E$250=$Q$3)*--(Source!$D$1:$D$250=Pyramid!$Q182),ROW(Source!$B$1:$B$250),FALSE),U$3)),"")</f>
        <v/>
      </c>
      <c r="V182" t="str">
        <f t="array" aca="1" ref="V182" ca="1">IFERROR(INDEX(Source!$A$1:$A$250,SMALL(IF(--(Source!$B$1:$B$250=$O182)*--(Source!$E$1:$E$250=$Q$3)*--(Source!$D$1:$D$250=Pyramid!$Q182),ROW(Source!$B$1:$B$250),FALSE),V$3)),"")</f>
        <v/>
      </c>
      <c r="W182" t="str">
        <f t="array" aca="1" ref="W182" ca="1">IFERROR(INDEX(Source!$A$1:$A$250,SMALL(IF(--(Source!$B$1:$B$250=$O182)*--(Source!$E$1:$E$250=$Q$3)*--(Source!$D$1:$D$250=Pyramid!$Q182),ROW(Source!$B$1:$B$250),FALSE),W$3)),"")</f>
        <v/>
      </c>
      <c r="X182" t="str">
        <f t="array" aca="1" ref="X182" ca="1">IFERROR(INDEX(Source!$A$1:$A$250,SMALL(IF(--(Source!$B$1:$B$250=$O182)*--(Source!$E$1:$E$250=$Q$3)*--(Source!$D$1:$D$250=Pyramid!$Q182),ROW(Source!$B$1:$B$250),FALSE),X$3)),"")</f>
        <v/>
      </c>
      <c r="Y182" s="5">
        <f t="shared" ca="1" si="9"/>
        <v>0</v>
      </c>
    </row>
    <row r="183" spans="3:25">
      <c r="C183">
        <v>179</v>
      </c>
      <c r="D183" s="5">
        <f t="shared" ca="1" si="7"/>
        <v>0</v>
      </c>
      <c r="E183" t="str">
        <f t="array" aca="1" ref="E183" ca="1">IFERROR(INDEX(Source!$A$1:$A$250,SMALL(IF(--(Source!$B$1:$B$250=$O183)*--(Source!$E$1:$E$250=$M$3)*--(Source!$D$1:$D$250=Pyramid!$M183),ROW(Source!$B$1:$B$250),FALSE),E$3)),"")</f>
        <v/>
      </c>
      <c r="F183" t="str">
        <f t="array" aca="1" ref="F183" ca="1">IFERROR(INDEX(Source!$A$1:$A$250,SMALL(IF(--(Source!$B$1:$B$250=$O183)*--(Source!$E$1:$E$250=$M$3)*--(Source!$D$1:$D$250=Pyramid!$M183),ROW(Source!$B$1:$B$250),FALSE),F$3)),"")</f>
        <v/>
      </c>
      <c r="G183" t="str">
        <f t="array" aca="1" ref="G183" ca="1">IFERROR(INDEX(Source!$A$1:$A$250,SMALL(IF(--(Source!$B$1:$B$250=$O183)*--(Source!$E$1:$E$250=$M$3)*--(Source!$D$1:$D$250=Pyramid!$M183),ROW(Source!$B$1:$B$250),FALSE),G$3)),"")</f>
        <v/>
      </c>
      <c r="H183" t="str">
        <f t="array" aca="1" ref="H183" ca="1">IFERROR(INDEX(Source!$A$1:$A$250,SMALL(IF(--(Source!$B$1:$B$250=$O183)*--(Source!$E$1:$E$250=$M$3)*--(Source!$D$1:$D$250=Pyramid!$M183),ROW(Source!$B$1:$B$250),FALSE),H$3)),"")</f>
        <v/>
      </c>
      <c r="I183" t="str">
        <f t="array" aca="1" ref="I183" ca="1">IFERROR(INDEX(Source!$A$1:$A$250,SMALL(IF(--(Source!$B$1:$B$250=$O183)*--(Source!$E$1:$E$250=$M$3)*--(Source!$D$1:$D$250=Pyramid!$M183),ROW(Source!$B$1:$B$250),FALSE),I$3)),"")</f>
        <v/>
      </c>
      <c r="J183" t="str">
        <f t="array" aca="1" ref="J183" ca="1">IFERROR(INDEX(Source!$A$1:$A$250,SMALL(IF(--(Source!$B$1:$B$250=$O183)*--(Source!$E$1:$E$250=$M$3)*--(Source!$D$1:$D$250=Pyramid!$M183),ROW(Source!$B$1:$B$250),FALSE),J$3)),"")</f>
        <v/>
      </c>
      <c r="K183" t="str">
        <f t="array" aca="1" ref="K183" ca="1">IFERROR(INDEX(Source!$A$1:$A$250,SMALL(IF(--(Source!$B$1:$B$250=$O183)*--(Source!$E$1:$E$250=$M$3)*--(Source!$D$1:$D$250=Pyramid!$M183),ROW(Source!$B$1:$B$250),FALSE),K$3)),"")</f>
        <v>28374 HK Equity</v>
      </c>
      <c r="L183" t="str">
        <f t="array" aca="1" ref="L183" ca="1">IFERROR(INDEX(Source!$A$1:$A$250,SMALL(IF(--(Source!$B$1:$B$250=$O183)*--(Source!$E$1:$E$250=$M$3)*--(Source!$D$1:$D$250=Pyramid!$M183),ROW(Source!$B$1:$B$250),FALSE),L$3)),"")</f>
        <v>26390 HK Equity</v>
      </c>
      <c r="M183" t="str">
        <f t="shared" si="8"/>
        <v>28/10/2016</v>
      </c>
      <c r="N183">
        <f ca="1">COUNTIFS(Source!B:B,Pyramid!$O183,Source!$D:$D,Pyramid!$M183,Source!$E:$E,Pyramid!$M$3)</f>
        <v>2</v>
      </c>
      <c r="O183">
        <f ca="1">OFFSET(Sheet2!$N$3,INT(C183/5),)</f>
        <v>19800</v>
      </c>
      <c r="P183">
        <f ca="1">COUNTIFS(Source!B:B,Pyramid!$O183,Source!D:D,Pyramid!$Q183,Source!$E:$E,Pyramid!$Q$3)</f>
        <v>1</v>
      </c>
      <c r="Q183" t="str">
        <f t="shared" si="8"/>
        <v>28/10/2016</v>
      </c>
      <c r="R183" t="str">
        <f t="array" aca="1" ref="R183" ca="1">IFERROR(INDEX(Source!$A$1:$A$250,SMALL(IF(--(Source!$B$1:$B$250=$O183)*--(Source!$E$1:$E$250=$Q$3)*--(Source!$D$1:$D$250=Pyramid!$Q183),ROW(Source!$B$1:$B$250),FALSE),R$3)),"")</f>
        <v>27394 HK Equity</v>
      </c>
      <c r="S183" t="str">
        <f t="array" aca="1" ref="S183" ca="1">IFERROR(INDEX(Source!$A$1:$A$250,SMALL(IF(--(Source!$B$1:$B$250=$O183)*--(Source!$E$1:$E$250=$Q$3)*--(Source!$D$1:$D$250=Pyramid!$Q183),ROW(Source!$B$1:$B$250),FALSE),S$3)),"")</f>
        <v/>
      </c>
      <c r="T183" t="str">
        <f t="array" aca="1" ref="T183" ca="1">IFERROR(INDEX(Source!$A$1:$A$250,SMALL(IF(--(Source!$B$1:$B$250=$O183)*--(Source!$E$1:$E$250=$Q$3)*--(Source!$D$1:$D$250=Pyramid!$Q183),ROW(Source!$B$1:$B$250),FALSE),T$3)),"")</f>
        <v/>
      </c>
      <c r="U183" t="str">
        <f t="array" aca="1" ref="U183" ca="1">IFERROR(INDEX(Source!$A$1:$A$250,SMALL(IF(--(Source!$B$1:$B$250=$O183)*--(Source!$E$1:$E$250=$Q$3)*--(Source!$D$1:$D$250=Pyramid!$Q183),ROW(Source!$B$1:$B$250),FALSE),U$3)),"")</f>
        <v/>
      </c>
      <c r="V183" t="str">
        <f t="array" aca="1" ref="V183" ca="1">IFERROR(INDEX(Source!$A$1:$A$250,SMALL(IF(--(Source!$B$1:$B$250=$O183)*--(Source!$E$1:$E$250=$Q$3)*--(Source!$D$1:$D$250=Pyramid!$Q183),ROW(Source!$B$1:$B$250),FALSE),V$3)),"")</f>
        <v/>
      </c>
      <c r="W183" t="str">
        <f t="array" aca="1" ref="W183" ca="1">IFERROR(INDEX(Source!$A$1:$A$250,SMALL(IF(--(Source!$B$1:$B$250=$O183)*--(Source!$E$1:$E$250=$Q$3)*--(Source!$D$1:$D$250=Pyramid!$Q183),ROW(Source!$B$1:$B$250),FALSE),W$3)),"")</f>
        <v/>
      </c>
      <c r="X183" t="str">
        <f t="array" aca="1" ref="X183" ca="1">IFERROR(INDEX(Source!$A$1:$A$250,SMALL(IF(--(Source!$B$1:$B$250=$O183)*--(Source!$E$1:$E$250=$Q$3)*--(Source!$D$1:$D$250=Pyramid!$Q183),ROW(Source!$B$1:$B$250),FALSE),X$3)),"")</f>
        <v/>
      </c>
      <c r="Y183" s="5">
        <f t="shared" ca="1" si="9"/>
        <v>0</v>
      </c>
    </row>
    <row r="184" spans="3:25">
      <c r="C184">
        <v>180</v>
      </c>
      <c r="D184" s="5">
        <f t="shared" ca="1" si="7"/>
        <v>0</v>
      </c>
      <c r="E184" t="str">
        <f t="array" aca="1" ref="E184" ca="1">IFERROR(INDEX(Source!$A$1:$A$250,SMALL(IF(--(Source!$B$1:$B$250=$O184)*--(Source!$E$1:$E$250=$M$3)*--(Source!$D$1:$D$250=Pyramid!$M184),ROW(Source!$B$1:$B$250),FALSE),E$3)),"")</f>
        <v/>
      </c>
      <c r="F184" t="str">
        <f t="array" aca="1" ref="F184" ca="1">IFERROR(INDEX(Source!$A$1:$A$250,SMALL(IF(--(Source!$B$1:$B$250=$O184)*--(Source!$E$1:$E$250=$M$3)*--(Source!$D$1:$D$250=Pyramid!$M184),ROW(Source!$B$1:$B$250),FALSE),F$3)),"")</f>
        <v/>
      </c>
      <c r="G184" t="str">
        <f t="array" aca="1" ref="G184" ca="1">IFERROR(INDEX(Source!$A$1:$A$250,SMALL(IF(--(Source!$B$1:$B$250=$O184)*--(Source!$E$1:$E$250=$M$3)*--(Source!$D$1:$D$250=Pyramid!$M184),ROW(Source!$B$1:$B$250),FALSE),G$3)),"")</f>
        <v/>
      </c>
      <c r="H184" t="str">
        <f t="array" aca="1" ref="H184" ca="1">IFERROR(INDEX(Source!$A$1:$A$250,SMALL(IF(--(Source!$B$1:$B$250=$O184)*--(Source!$E$1:$E$250=$M$3)*--(Source!$D$1:$D$250=Pyramid!$M184),ROW(Source!$B$1:$B$250),FALSE),H$3)),"")</f>
        <v/>
      </c>
      <c r="I184" t="str">
        <f t="array" aca="1" ref="I184" ca="1">IFERROR(INDEX(Source!$A$1:$A$250,SMALL(IF(--(Source!$B$1:$B$250=$O184)*--(Source!$E$1:$E$250=$M$3)*--(Source!$D$1:$D$250=Pyramid!$M184),ROW(Source!$B$1:$B$250),FALSE),I$3)),"")</f>
        <v/>
      </c>
      <c r="J184" t="str">
        <f t="array" aca="1" ref="J184" ca="1">IFERROR(INDEX(Source!$A$1:$A$250,SMALL(IF(--(Source!$B$1:$B$250=$O184)*--(Source!$E$1:$E$250=$M$3)*--(Source!$D$1:$D$250=Pyramid!$M184),ROW(Source!$B$1:$B$250),FALSE),J$3)),"")</f>
        <v/>
      </c>
      <c r="K184" t="str">
        <f t="array" aca="1" ref="K184" ca="1">IFERROR(INDEX(Source!$A$1:$A$250,SMALL(IF(--(Source!$B$1:$B$250=$O184)*--(Source!$E$1:$E$250=$M$3)*--(Source!$D$1:$D$250=Pyramid!$M184),ROW(Source!$B$1:$B$250),FALSE),K$3)),"")</f>
        <v/>
      </c>
      <c r="L184" t="str">
        <f t="array" aca="1" ref="L184" ca="1">IFERROR(INDEX(Source!$A$1:$A$250,SMALL(IF(--(Source!$B$1:$B$250=$O184)*--(Source!$E$1:$E$250=$M$3)*--(Source!$D$1:$D$250=Pyramid!$M184),ROW(Source!$B$1:$B$250),FALSE),L$3)),"")</f>
        <v/>
      </c>
      <c r="M184" t="str">
        <f t="shared" si="8"/>
        <v>29/6/2016</v>
      </c>
      <c r="N184">
        <f ca="1">COUNTIFS(Source!B:B,Pyramid!$O184,Source!$D:$D,Pyramid!$M184,Source!$E:$E,Pyramid!$M$3)</f>
        <v>0</v>
      </c>
      <c r="O184">
        <f ca="1">OFFSET(Sheet2!$N$3,INT(C184/5),)</f>
        <v>19888</v>
      </c>
      <c r="P184">
        <f ca="1">COUNTIFS(Source!B:B,Pyramid!$O184,Source!D:D,Pyramid!$Q184,Source!$E:$E,Pyramid!$Q$3)</f>
        <v>0</v>
      </c>
      <c r="Q184" t="str">
        <f t="shared" si="8"/>
        <v>29/6/2016</v>
      </c>
      <c r="R184" t="str">
        <f t="array" aca="1" ref="R184" ca="1">IFERROR(INDEX(Source!$A$1:$A$250,SMALL(IF(--(Source!$B$1:$B$250=$O184)*--(Source!$E$1:$E$250=$Q$3)*--(Source!$D$1:$D$250=Pyramid!$Q184),ROW(Source!$B$1:$B$250),FALSE),R$3)),"")</f>
        <v/>
      </c>
      <c r="S184" t="str">
        <f t="array" aca="1" ref="S184" ca="1">IFERROR(INDEX(Source!$A$1:$A$250,SMALL(IF(--(Source!$B$1:$B$250=$O184)*--(Source!$E$1:$E$250=$Q$3)*--(Source!$D$1:$D$250=Pyramid!$Q184),ROW(Source!$B$1:$B$250),FALSE),S$3)),"")</f>
        <v/>
      </c>
      <c r="T184" t="str">
        <f t="array" aca="1" ref="T184" ca="1">IFERROR(INDEX(Source!$A$1:$A$250,SMALL(IF(--(Source!$B$1:$B$250=$O184)*--(Source!$E$1:$E$250=$Q$3)*--(Source!$D$1:$D$250=Pyramid!$Q184),ROW(Source!$B$1:$B$250),FALSE),T$3)),"")</f>
        <v/>
      </c>
      <c r="U184" t="str">
        <f t="array" aca="1" ref="U184" ca="1">IFERROR(INDEX(Source!$A$1:$A$250,SMALL(IF(--(Source!$B$1:$B$250=$O184)*--(Source!$E$1:$E$250=$Q$3)*--(Source!$D$1:$D$250=Pyramid!$Q184),ROW(Source!$B$1:$B$250),FALSE),U$3)),"")</f>
        <v/>
      </c>
      <c r="V184" t="str">
        <f t="array" aca="1" ref="V184" ca="1">IFERROR(INDEX(Source!$A$1:$A$250,SMALL(IF(--(Source!$B$1:$B$250=$O184)*--(Source!$E$1:$E$250=$Q$3)*--(Source!$D$1:$D$250=Pyramid!$Q184),ROW(Source!$B$1:$B$250),FALSE),V$3)),"")</f>
        <v/>
      </c>
      <c r="W184" t="str">
        <f t="array" aca="1" ref="W184" ca="1">IFERROR(INDEX(Source!$A$1:$A$250,SMALL(IF(--(Source!$B$1:$B$250=$O184)*--(Source!$E$1:$E$250=$Q$3)*--(Source!$D$1:$D$250=Pyramid!$Q184),ROW(Source!$B$1:$B$250),FALSE),W$3)),"")</f>
        <v/>
      </c>
      <c r="X184" t="str">
        <f t="array" aca="1" ref="X184" ca="1">IFERROR(INDEX(Source!$A$1:$A$250,SMALL(IF(--(Source!$B$1:$B$250=$O184)*--(Source!$E$1:$E$250=$Q$3)*--(Source!$D$1:$D$250=Pyramid!$Q184),ROW(Source!$B$1:$B$250),FALSE),X$3)),"")</f>
        <v/>
      </c>
      <c r="Y184" s="5">
        <f t="shared" ca="1" si="9"/>
        <v>0</v>
      </c>
    </row>
    <row r="185" spans="3:25">
      <c r="C185">
        <v>181</v>
      </c>
      <c r="D185" s="5">
        <f t="shared" ca="1" si="7"/>
        <v>0</v>
      </c>
      <c r="E185" t="str">
        <f t="array" aca="1" ref="E185" ca="1">IFERROR(INDEX(Source!$A$1:$A$250,SMALL(IF(--(Source!$B$1:$B$250=$O185)*--(Source!$E$1:$E$250=$M$3)*--(Source!$D$1:$D$250=Pyramid!$M185),ROW(Source!$B$1:$B$250),FALSE),E$3)),"")</f>
        <v/>
      </c>
      <c r="F185" t="str">
        <f t="array" aca="1" ref="F185" ca="1">IFERROR(INDEX(Source!$A$1:$A$250,SMALL(IF(--(Source!$B$1:$B$250=$O185)*--(Source!$E$1:$E$250=$M$3)*--(Source!$D$1:$D$250=Pyramid!$M185),ROW(Source!$B$1:$B$250),FALSE),F$3)),"")</f>
        <v/>
      </c>
      <c r="G185" t="str">
        <f t="array" aca="1" ref="G185" ca="1">IFERROR(INDEX(Source!$A$1:$A$250,SMALL(IF(--(Source!$B$1:$B$250=$O185)*--(Source!$E$1:$E$250=$M$3)*--(Source!$D$1:$D$250=Pyramid!$M185),ROW(Source!$B$1:$B$250),FALSE),G$3)),"")</f>
        <v/>
      </c>
      <c r="H185" t="str">
        <f t="array" aca="1" ref="H185" ca="1">IFERROR(INDEX(Source!$A$1:$A$250,SMALL(IF(--(Source!$B$1:$B$250=$O185)*--(Source!$E$1:$E$250=$M$3)*--(Source!$D$1:$D$250=Pyramid!$M185),ROW(Source!$B$1:$B$250),FALSE),H$3)),"")</f>
        <v/>
      </c>
      <c r="I185" t="str">
        <f t="array" aca="1" ref="I185" ca="1">IFERROR(INDEX(Source!$A$1:$A$250,SMALL(IF(--(Source!$B$1:$B$250=$O185)*--(Source!$E$1:$E$250=$M$3)*--(Source!$D$1:$D$250=Pyramid!$M185),ROW(Source!$B$1:$B$250),FALSE),I$3)),"")</f>
        <v/>
      </c>
      <c r="J185" t="str">
        <f t="array" aca="1" ref="J185" ca="1">IFERROR(INDEX(Source!$A$1:$A$250,SMALL(IF(--(Source!$B$1:$B$250=$O185)*--(Source!$E$1:$E$250=$M$3)*--(Source!$D$1:$D$250=Pyramid!$M185),ROW(Source!$B$1:$B$250),FALSE),J$3)),"")</f>
        <v/>
      </c>
      <c r="K185" t="str">
        <f t="array" aca="1" ref="K185" ca="1">IFERROR(INDEX(Source!$A$1:$A$250,SMALL(IF(--(Source!$B$1:$B$250=$O185)*--(Source!$E$1:$E$250=$M$3)*--(Source!$D$1:$D$250=Pyramid!$M185),ROW(Source!$B$1:$B$250),FALSE),K$3)),"")</f>
        <v/>
      </c>
      <c r="L185" t="str">
        <f t="array" aca="1" ref="L185" ca="1">IFERROR(INDEX(Source!$A$1:$A$250,SMALL(IF(--(Source!$B$1:$B$250=$O185)*--(Source!$E$1:$E$250=$M$3)*--(Source!$D$1:$D$250=Pyramid!$M185),ROW(Source!$B$1:$B$250),FALSE),L$3)),"")</f>
        <v/>
      </c>
      <c r="M185" t="str">
        <f t="shared" si="8"/>
        <v>28/7/2016</v>
      </c>
      <c r="N185">
        <f ca="1">COUNTIFS(Source!B:B,Pyramid!$O185,Source!$D:$D,Pyramid!$M185,Source!$E:$E,Pyramid!$M$3)</f>
        <v>0</v>
      </c>
      <c r="O185">
        <f ca="1">OFFSET(Sheet2!$N$3,INT(C185/5),)</f>
        <v>19888</v>
      </c>
      <c r="P185">
        <f ca="1">COUNTIFS(Source!B:B,Pyramid!$O185,Source!D:D,Pyramid!$Q185,Source!$E:$E,Pyramid!$Q$3)</f>
        <v>0</v>
      </c>
      <c r="Q185" t="str">
        <f t="shared" si="8"/>
        <v>28/7/2016</v>
      </c>
      <c r="R185" t="str">
        <f t="array" aca="1" ref="R185" ca="1">IFERROR(INDEX(Source!$A$1:$A$250,SMALL(IF(--(Source!$B$1:$B$250=$O185)*--(Source!$E$1:$E$250=$Q$3)*--(Source!$D$1:$D$250=Pyramid!$Q185),ROW(Source!$B$1:$B$250),FALSE),R$3)),"")</f>
        <v/>
      </c>
      <c r="S185" t="str">
        <f t="array" aca="1" ref="S185" ca="1">IFERROR(INDEX(Source!$A$1:$A$250,SMALL(IF(--(Source!$B$1:$B$250=$O185)*--(Source!$E$1:$E$250=$Q$3)*--(Source!$D$1:$D$250=Pyramid!$Q185),ROW(Source!$B$1:$B$250),FALSE),S$3)),"")</f>
        <v/>
      </c>
      <c r="T185" t="str">
        <f t="array" aca="1" ref="T185" ca="1">IFERROR(INDEX(Source!$A$1:$A$250,SMALL(IF(--(Source!$B$1:$B$250=$O185)*--(Source!$E$1:$E$250=$Q$3)*--(Source!$D$1:$D$250=Pyramid!$Q185),ROW(Source!$B$1:$B$250),FALSE),T$3)),"")</f>
        <v/>
      </c>
      <c r="U185" t="str">
        <f t="array" aca="1" ref="U185" ca="1">IFERROR(INDEX(Source!$A$1:$A$250,SMALL(IF(--(Source!$B$1:$B$250=$O185)*--(Source!$E$1:$E$250=$Q$3)*--(Source!$D$1:$D$250=Pyramid!$Q185),ROW(Source!$B$1:$B$250),FALSE),U$3)),"")</f>
        <v/>
      </c>
      <c r="V185" t="str">
        <f t="array" aca="1" ref="V185" ca="1">IFERROR(INDEX(Source!$A$1:$A$250,SMALL(IF(--(Source!$B$1:$B$250=$O185)*--(Source!$E$1:$E$250=$Q$3)*--(Source!$D$1:$D$250=Pyramid!$Q185),ROW(Source!$B$1:$B$250),FALSE),V$3)),"")</f>
        <v/>
      </c>
      <c r="W185" t="str">
        <f t="array" aca="1" ref="W185" ca="1">IFERROR(INDEX(Source!$A$1:$A$250,SMALL(IF(--(Source!$B$1:$B$250=$O185)*--(Source!$E$1:$E$250=$Q$3)*--(Source!$D$1:$D$250=Pyramid!$Q185),ROW(Source!$B$1:$B$250),FALSE),W$3)),"")</f>
        <v/>
      </c>
      <c r="X185" t="str">
        <f t="array" aca="1" ref="X185" ca="1">IFERROR(INDEX(Source!$A$1:$A$250,SMALL(IF(--(Source!$B$1:$B$250=$O185)*--(Source!$E$1:$E$250=$Q$3)*--(Source!$D$1:$D$250=Pyramid!$Q185),ROW(Source!$B$1:$B$250),FALSE),X$3)),"")</f>
        <v/>
      </c>
      <c r="Y185" s="5">
        <f t="shared" ca="1" si="9"/>
        <v>0</v>
      </c>
    </row>
    <row r="186" spans="3:25">
      <c r="C186">
        <v>182</v>
      </c>
      <c r="D186" s="5">
        <f t="shared" ca="1" si="7"/>
        <v>0</v>
      </c>
      <c r="E186" t="str">
        <f t="array" aca="1" ref="E186" ca="1">IFERROR(INDEX(Source!$A$1:$A$250,SMALL(IF(--(Source!$B$1:$B$250=$O186)*--(Source!$E$1:$E$250=$M$3)*--(Source!$D$1:$D$250=Pyramid!$M186),ROW(Source!$B$1:$B$250),FALSE),E$3)),"")</f>
        <v/>
      </c>
      <c r="F186" t="str">
        <f t="array" aca="1" ref="F186" ca="1">IFERROR(INDEX(Source!$A$1:$A$250,SMALL(IF(--(Source!$B$1:$B$250=$O186)*--(Source!$E$1:$E$250=$M$3)*--(Source!$D$1:$D$250=Pyramid!$M186),ROW(Source!$B$1:$B$250),FALSE),F$3)),"")</f>
        <v/>
      </c>
      <c r="G186" t="str">
        <f t="array" aca="1" ref="G186" ca="1">IFERROR(INDEX(Source!$A$1:$A$250,SMALL(IF(--(Source!$B$1:$B$250=$O186)*--(Source!$E$1:$E$250=$M$3)*--(Source!$D$1:$D$250=Pyramid!$M186),ROW(Source!$B$1:$B$250),FALSE),G$3)),"")</f>
        <v/>
      </c>
      <c r="H186" t="str">
        <f t="array" aca="1" ref="H186" ca="1">IFERROR(INDEX(Source!$A$1:$A$250,SMALL(IF(--(Source!$B$1:$B$250=$O186)*--(Source!$E$1:$E$250=$M$3)*--(Source!$D$1:$D$250=Pyramid!$M186),ROW(Source!$B$1:$B$250),FALSE),H$3)),"")</f>
        <v/>
      </c>
      <c r="I186" t="str">
        <f t="array" aca="1" ref="I186" ca="1">IFERROR(INDEX(Source!$A$1:$A$250,SMALL(IF(--(Source!$B$1:$B$250=$O186)*--(Source!$E$1:$E$250=$M$3)*--(Source!$D$1:$D$250=Pyramid!$M186),ROW(Source!$B$1:$B$250),FALSE),I$3)),"")</f>
        <v/>
      </c>
      <c r="J186" t="str">
        <f t="array" aca="1" ref="J186" ca="1">IFERROR(INDEX(Source!$A$1:$A$250,SMALL(IF(--(Source!$B$1:$B$250=$O186)*--(Source!$E$1:$E$250=$M$3)*--(Source!$D$1:$D$250=Pyramid!$M186),ROW(Source!$B$1:$B$250),FALSE),J$3)),"")</f>
        <v/>
      </c>
      <c r="K186" t="str">
        <f t="array" aca="1" ref="K186" ca="1">IFERROR(INDEX(Source!$A$1:$A$250,SMALL(IF(--(Source!$B$1:$B$250=$O186)*--(Source!$E$1:$E$250=$M$3)*--(Source!$D$1:$D$250=Pyramid!$M186),ROW(Source!$B$1:$B$250),FALSE),K$3)),"")</f>
        <v/>
      </c>
      <c r="L186" t="str">
        <f t="array" aca="1" ref="L186" ca="1">IFERROR(INDEX(Source!$A$1:$A$250,SMALL(IF(--(Source!$B$1:$B$250=$O186)*--(Source!$E$1:$E$250=$M$3)*--(Source!$D$1:$D$250=Pyramid!$M186),ROW(Source!$B$1:$B$250),FALSE),L$3)),"")</f>
        <v/>
      </c>
      <c r="M186" t="str">
        <f t="shared" si="8"/>
        <v>30/8/2016</v>
      </c>
      <c r="N186">
        <f ca="1">COUNTIFS(Source!B:B,Pyramid!$O186,Source!$D:$D,Pyramid!$M186,Source!$E:$E,Pyramid!$M$3)</f>
        <v>0</v>
      </c>
      <c r="O186">
        <f ca="1">OFFSET(Sheet2!$N$3,INT(C186/5),)</f>
        <v>19888</v>
      </c>
      <c r="P186">
        <f ca="1">COUNTIFS(Source!B:B,Pyramid!$O186,Source!D:D,Pyramid!$Q186,Source!$E:$E,Pyramid!$Q$3)</f>
        <v>0</v>
      </c>
      <c r="Q186" t="str">
        <f t="shared" si="8"/>
        <v>30/8/2016</v>
      </c>
      <c r="R186" t="str">
        <f t="array" aca="1" ref="R186" ca="1">IFERROR(INDEX(Source!$A$1:$A$250,SMALL(IF(--(Source!$B$1:$B$250=$O186)*--(Source!$E$1:$E$250=$Q$3)*--(Source!$D$1:$D$250=Pyramid!$Q186),ROW(Source!$B$1:$B$250),FALSE),R$3)),"")</f>
        <v/>
      </c>
      <c r="S186" t="str">
        <f t="array" aca="1" ref="S186" ca="1">IFERROR(INDEX(Source!$A$1:$A$250,SMALL(IF(--(Source!$B$1:$B$250=$O186)*--(Source!$E$1:$E$250=$Q$3)*--(Source!$D$1:$D$250=Pyramid!$Q186),ROW(Source!$B$1:$B$250),FALSE),S$3)),"")</f>
        <v/>
      </c>
      <c r="T186" t="str">
        <f t="array" aca="1" ref="T186" ca="1">IFERROR(INDEX(Source!$A$1:$A$250,SMALL(IF(--(Source!$B$1:$B$250=$O186)*--(Source!$E$1:$E$250=$Q$3)*--(Source!$D$1:$D$250=Pyramid!$Q186),ROW(Source!$B$1:$B$250),FALSE),T$3)),"")</f>
        <v/>
      </c>
      <c r="U186" t="str">
        <f t="array" aca="1" ref="U186" ca="1">IFERROR(INDEX(Source!$A$1:$A$250,SMALL(IF(--(Source!$B$1:$B$250=$O186)*--(Source!$E$1:$E$250=$Q$3)*--(Source!$D$1:$D$250=Pyramid!$Q186),ROW(Source!$B$1:$B$250),FALSE),U$3)),"")</f>
        <v/>
      </c>
      <c r="V186" t="str">
        <f t="array" aca="1" ref="V186" ca="1">IFERROR(INDEX(Source!$A$1:$A$250,SMALL(IF(--(Source!$B$1:$B$250=$O186)*--(Source!$E$1:$E$250=$Q$3)*--(Source!$D$1:$D$250=Pyramid!$Q186),ROW(Source!$B$1:$B$250),FALSE),V$3)),"")</f>
        <v/>
      </c>
      <c r="W186" t="str">
        <f t="array" aca="1" ref="W186" ca="1">IFERROR(INDEX(Source!$A$1:$A$250,SMALL(IF(--(Source!$B$1:$B$250=$O186)*--(Source!$E$1:$E$250=$Q$3)*--(Source!$D$1:$D$250=Pyramid!$Q186),ROW(Source!$B$1:$B$250),FALSE),W$3)),"")</f>
        <v/>
      </c>
      <c r="X186" t="str">
        <f t="array" aca="1" ref="X186" ca="1">IFERROR(INDEX(Source!$A$1:$A$250,SMALL(IF(--(Source!$B$1:$B$250=$O186)*--(Source!$E$1:$E$250=$Q$3)*--(Source!$D$1:$D$250=Pyramid!$Q186),ROW(Source!$B$1:$B$250),FALSE),X$3)),"")</f>
        <v/>
      </c>
      <c r="Y186" s="5">
        <f t="shared" ca="1" si="9"/>
        <v>0</v>
      </c>
    </row>
    <row r="187" spans="3:25">
      <c r="C187">
        <v>183</v>
      </c>
      <c r="D187" s="5">
        <f t="shared" ca="1" si="7"/>
        <v>0</v>
      </c>
      <c r="E187" t="str">
        <f t="array" aca="1" ref="E187" ca="1">IFERROR(INDEX(Source!$A$1:$A$250,SMALL(IF(--(Source!$B$1:$B$250=$O187)*--(Source!$E$1:$E$250=$M$3)*--(Source!$D$1:$D$250=Pyramid!$M187),ROW(Source!$B$1:$B$250),FALSE),E$3)),"")</f>
        <v/>
      </c>
      <c r="F187" t="str">
        <f t="array" aca="1" ref="F187" ca="1">IFERROR(INDEX(Source!$A$1:$A$250,SMALL(IF(--(Source!$B$1:$B$250=$O187)*--(Source!$E$1:$E$250=$M$3)*--(Source!$D$1:$D$250=Pyramid!$M187),ROW(Source!$B$1:$B$250),FALSE),F$3)),"")</f>
        <v/>
      </c>
      <c r="G187" t="str">
        <f t="array" aca="1" ref="G187" ca="1">IFERROR(INDEX(Source!$A$1:$A$250,SMALL(IF(--(Source!$B$1:$B$250=$O187)*--(Source!$E$1:$E$250=$M$3)*--(Source!$D$1:$D$250=Pyramid!$M187),ROW(Source!$B$1:$B$250),FALSE),G$3)),"")</f>
        <v/>
      </c>
      <c r="H187" t="str">
        <f t="array" aca="1" ref="H187" ca="1">IFERROR(INDEX(Source!$A$1:$A$250,SMALL(IF(--(Source!$B$1:$B$250=$O187)*--(Source!$E$1:$E$250=$M$3)*--(Source!$D$1:$D$250=Pyramid!$M187),ROW(Source!$B$1:$B$250),FALSE),H$3)),"")</f>
        <v/>
      </c>
      <c r="I187" t="str">
        <f t="array" aca="1" ref="I187" ca="1">IFERROR(INDEX(Source!$A$1:$A$250,SMALL(IF(--(Source!$B$1:$B$250=$O187)*--(Source!$E$1:$E$250=$M$3)*--(Source!$D$1:$D$250=Pyramid!$M187),ROW(Source!$B$1:$B$250),FALSE),I$3)),"")</f>
        <v/>
      </c>
      <c r="J187" t="str">
        <f t="array" aca="1" ref="J187" ca="1">IFERROR(INDEX(Source!$A$1:$A$250,SMALL(IF(--(Source!$B$1:$B$250=$O187)*--(Source!$E$1:$E$250=$M$3)*--(Source!$D$1:$D$250=Pyramid!$M187),ROW(Source!$B$1:$B$250),FALSE),J$3)),"")</f>
        <v/>
      </c>
      <c r="K187" t="str">
        <f t="array" aca="1" ref="K187" ca="1">IFERROR(INDEX(Source!$A$1:$A$250,SMALL(IF(--(Source!$B$1:$B$250=$O187)*--(Source!$E$1:$E$250=$M$3)*--(Source!$D$1:$D$250=Pyramid!$M187),ROW(Source!$B$1:$B$250),FALSE),K$3)),"")</f>
        <v/>
      </c>
      <c r="L187" t="str">
        <f t="array" aca="1" ref="L187" ca="1">IFERROR(INDEX(Source!$A$1:$A$250,SMALL(IF(--(Source!$B$1:$B$250=$O187)*--(Source!$E$1:$E$250=$M$3)*--(Source!$D$1:$D$250=Pyramid!$M187),ROW(Source!$B$1:$B$250),FALSE),L$3)),"")</f>
        <v/>
      </c>
      <c r="M187" t="str">
        <f t="shared" si="8"/>
        <v>29/9/2016</v>
      </c>
      <c r="N187">
        <f ca="1">COUNTIFS(Source!B:B,Pyramid!$O187,Source!$D:$D,Pyramid!$M187,Source!$E:$E,Pyramid!$M$3)</f>
        <v>0</v>
      </c>
      <c r="O187">
        <f ca="1">OFFSET(Sheet2!$N$3,INT(C187/5),)</f>
        <v>19888</v>
      </c>
      <c r="P187">
        <f ca="1">COUNTIFS(Source!B:B,Pyramid!$O187,Source!D:D,Pyramid!$Q187,Source!$E:$E,Pyramid!$Q$3)</f>
        <v>0</v>
      </c>
      <c r="Q187" t="str">
        <f t="shared" si="8"/>
        <v>29/9/2016</v>
      </c>
      <c r="R187" t="str">
        <f t="array" aca="1" ref="R187" ca="1">IFERROR(INDEX(Source!$A$1:$A$250,SMALL(IF(--(Source!$B$1:$B$250=$O187)*--(Source!$E$1:$E$250=$Q$3)*--(Source!$D$1:$D$250=Pyramid!$Q187),ROW(Source!$B$1:$B$250),FALSE),R$3)),"")</f>
        <v/>
      </c>
      <c r="S187" t="str">
        <f t="array" aca="1" ref="S187" ca="1">IFERROR(INDEX(Source!$A$1:$A$250,SMALL(IF(--(Source!$B$1:$B$250=$O187)*--(Source!$E$1:$E$250=$Q$3)*--(Source!$D$1:$D$250=Pyramid!$Q187),ROW(Source!$B$1:$B$250),FALSE),S$3)),"")</f>
        <v/>
      </c>
      <c r="T187" t="str">
        <f t="array" aca="1" ref="T187" ca="1">IFERROR(INDEX(Source!$A$1:$A$250,SMALL(IF(--(Source!$B$1:$B$250=$O187)*--(Source!$E$1:$E$250=$Q$3)*--(Source!$D$1:$D$250=Pyramid!$Q187),ROW(Source!$B$1:$B$250),FALSE),T$3)),"")</f>
        <v/>
      </c>
      <c r="U187" t="str">
        <f t="array" aca="1" ref="U187" ca="1">IFERROR(INDEX(Source!$A$1:$A$250,SMALL(IF(--(Source!$B$1:$B$250=$O187)*--(Source!$E$1:$E$250=$Q$3)*--(Source!$D$1:$D$250=Pyramid!$Q187),ROW(Source!$B$1:$B$250),FALSE),U$3)),"")</f>
        <v/>
      </c>
      <c r="V187" t="str">
        <f t="array" aca="1" ref="V187" ca="1">IFERROR(INDEX(Source!$A$1:$A$250,SMALL(IF(--(Source!$B$1:$B$250=$O187)*--(Source!$E$1:$E$250=$Q$3)*--(Source!$D$1:$D$250=Pyramid!$Q187),ROW(Source!$B$1:$B$250),FALSE),V$3)),"")</f>
        <v/>
      </c>
      <c r="W187" t="str">
        <f t="array" aca="1" ref="W187" ca="1">IFERROR(INDEX(Source!$A$1:$A$250,SMALL(IF(--(Source!$B$1:$B$250=$O187)*--(Source!$E$1:$E$250=$Q$3)*--(Source!$D$1:$D$250=Pyramid!$Q187),ROW(Source!$B$1:$B$250),FALSE),W$3)),"")</f>
        <v/>
      </c>
      <c r="X187" t="str">
        <f t="array" aca="1" ref="X187" ca="1">IFERROR(INDEX(Source!$A$1:$A$250,SMALL(IF(--(Source!$B$1:$B$250=$O187)*--(Source!$E$1:$E$250=$Q$3)*--(Source!$D$1:$D$250=Pyramid!$Q187),ROW(Source!$B$1:$B$250),FALSE),X$3)),"")</f>
        <v/>
      </c>
      <c r="Y187" s="5">
        <f t="shared" ca="1" si="9"/>
        <v>0</v>
      </c>
    </row>
    <row r="188" spans="3:25">
      <c r="C188">
        <v>184</v>
      </c>
      <c r="D188" s="5">
        <f t="shared" ca="1" si="7"/>
        <v>0</v>
      </c>
      <c r="E188" t="str">
        <f t="array" aca="1" ref="E188" ca="1">IFERROR(INDEX(Source!$A$1:$A$250,SMALL(IF(--(Source!$B$1:$B$250=$O188)*--(Source!$E$1:$E$250=$M$3)*--(Source!$D$1:$D$250=Pyramid!$M188),ROW(Source!$B$1:$B$250),FALSE),E$3)),"")</f>
        <v/>
      </c>
      <c r="F188" t="str">
        <f t="array" aca="1" ref="F188" ca="1">IFERROR(INDEX(Source!$A$1:$A$250,SMALL(IF(--(Source!$B$1:$B$250=$O188)*--(Source!$E$1:$E$250=$M$3)*--(Source!$D$1:$D$250=Pyramid!$M188),ROW(Source!$B$1:$B$250),FALSE),F$3)),"")</f>
        <v/>
      </c>
      <c r="G188" t="str">
        <f t="array" aca="1" ref="G188" ca="1">IFERROR(INDEX(Source!$A$1:$A$250,SMALL(IF(--(Source!$B$1:$B$250=$O188)*--(Source!$E$1:$E$250=$M$3)*--(Source!$D$1:$D$250=Pyramid!$M188),ROW(Source!$B$1:$B$250),FALSE),G$3)),"")</f>
        <v/>
      </c>
      <c r="H188" t="str">
        <f t="array" aca="1" ref="H188" ca="1">IFERROR(INDEX(Source!$A$1:$A$250,SMALL(IF(--(Source!$B$1:$B$250=$O188)*--(Source!$E$1:$E$250=$M$3)*--(Source!$D$1:$D$250=Pyramid!$M188),ROW(Source!$B$1:$B$250),FALSE),H$3)),"")</f>
        <v/>
      </c>
      <c r="I188" t="str">
        <f t="array" aca="1" ref="I188" ca="1">IFERROR(INDEX(Source!$A$1:$A$250,SMALL(IF(--(Source!$B$1:$B$250=$O188)*--(Source!$E$1:$E$250=$M$3)*--(Source!$D$1:$D$250=Pyramid!$M188),ROW(Source!$B$1:$B$250),FALSE),I$3)),"")</f>
        <v/>
      </c>
      <c r="J188" t="str">
        <f t="array" aca="1" ref="J188" ca="1">IFERROR(INDEX(Source!$A$1:$A$250,SMALL(IF(--(Source!$B$1:$B$250=$O188)*--(Source!$E$1:$E$250=$M$3)*--(Source!$D$1:$D$250=Pyramid!$M188),ROW(Source!$B$1:$B$250),FALSE),J$3)),"")</f>
        <v/>
      </c>
      <c r="K188" t="str">
        <f t="array" aca="1" ref="K188" ca="1">IFERROR(INDEX(Source!$A$1:$A$250,SMALL(IF(--(Source!$B$1:$B$250=$O188)*--(Source!$E$1:$E$250=$M$3)*--(Source!$D$1:$D$250=Pyramid!$M188),ROW(Source!$B$1:$B$250),FALSE),K$3)),"")</f>
        <v/>
      </c>
      <c r="L188" t="str">
        <f t="array" aca="1" ref="L188" ca="1">IFERROR(INDEX(Source!$A$1:$A$250,SMALL(IF(--(Source!$B$1:$B$250=$O188)*--(Source!$E$1:$E$250=$M$3)*--(Source!$D$1:$D$250=Pyramid!$M188),ROW(Source!$B$1:$B$250),FALSE),L$3)),"")</f>
        <v>28080 HK Equity</v>
      </c>
      <c r="M188" t="str">
        <f t="shared" si="8"/>
        <v>28/10/2016</v>
      </c>
      <c r="N188">
        <f ca="1">COUNTIFS(Source!B:B,Pyramid!$O188,Source!$D:$D,Pyramid!$M188,Source!$E:$E,Pyramid!$M$3)</f>
        <v>1</v>
      </c>
      <c r="O188">
        <f ca="1">OFFSET(Sheet2!$N$3,INT(C188/5),)</f>
        <v>19888</v>
      </c>
      <c r="P188">
        <f ca="1">COUNTIFS(Source!B:B,Pyramid!$O188,Source!D:D,Pyramid!$Q188,Source!$E:$E,Pyramid!$Q$3)</f>
        <v>0</v>
      </c>
      <c r="Q188" t="str">
        <f t="shared" si="8"/>
        <v>28/10/2016</v>
      </c>
      <c r="R188" t="str">
        <f t="array" aca="1" ref="R188" ca="1">IFERROR(INDEX(Source!$A$1:$A$250,SMALL(IF(--(Source!$B$1:$B$250=$O188)*--(Source!$E$1:$E$250=$Q$3)*--(Source!$D$1:$D$250=Pyramid!$Q188),ROW(Source!$B$1:$B$250),FALSE),R$3)),"")</f>
        <v/>
      </c>
      <c r="S188" t="str">
        <f t="array" aca="1" ref="S188" ca="1">IFERROR(INDEX(Source!$A$1:$A$250,SMALL(IF(--(Source!$B$1:$B$250=$O188)*--(Source!$E$1:$E$250=$Q$3)*--(Source!$D$1:$D$250=Pyramid!$Q188),ROW(Source!$B$1:$B$250),FALSE),S$3)),"")</f>
        <v/>
      </c>
      <c r="T188" t="str">
        <f t="array" aca="1" ref="T188" ca="1">IFERROR(INDEX(Source!$A$1:$A$250,SMALL(IF(--(Source!$B$1:$B$250=$O188)*--(Source!$E$1:$E$250=$Q$3)*--(Source!$D$1:$D$250=Pyramid!$Q188),ROW(Source!$B$1:$B$250),FALSE),T$3)),"")</f>
        <v/>
      </c>
      <c r="U188" t="str">
        <f t="array" aca="1" ref="U188" ca="1">IFERROR(INDEX(Source!$A$1:$A$250,SMALL(IF(--(Source!$B$1:$B$250=$O188)*--(Source!$E$1:$E$250=$Q$3)*--(Source!$D$1:$D$250=Pyramid!$Q188),ROW(Source!$B$1:$B$250),FALSE),U$3)),"")</f>
        <v/>
      </c>
      <c r="V188" t="str">
        <f t="array" aca="1" ref="V188" ca="1">IFERROR(INDEX(Source!$A$1:$A$250,SMALL(IF(--(Source!$B$1:$B$250=$O188)*--(Source!$E$1:$E$250=$Q$3)*--(Source!$D$1:$D$250=Pyramid!$Q188),ROW(Source!$B$1:$B$250),FALSE),V$3)),"")</f>
        <v/>
      </c>
      <c r="W188" t="str">
        <f t="array" aca="1" ref="W188" ca="1">IFERROR(INDEX(Source!$A$1:$A$250,SMALL(IF(--(Source!$B$1:$B$250=$O188)*--(Source!$E$1:$E$250=$Q$3)*--(Source!$D$1:$D$250=Pyramid!$Q188),ROW(Source!$B$1:$B$250),FALSE),W$3)),"")</f>
        <v/>
      </c>
      <c r="X188" t="str">
        <f t="array" aca="1" ref="X188" ca="1">IFERROR(INDEX(Source!$A$1:$A$250,SMALL(IF(--(Source!$B$1:$B$250=$O188)*--(Source!$E$1:$E$250=$Q$3)*--(Source!$D$1:$D$250=Pyramid!$Q188),ROW(Source!$B$1:$B$250),FALSE),X$3)),"")</f>
        <v/>
      </c>
      <c r="Y188" s="5">
        <f t="shared" ca="1" si="9"/>
        <v>0</v>
      </c>
    </row>
    <row r="189" spans="3:25">
      <c r="C189">
        <v>185</v>
      </c>
      <c r="D189" s="5">
        <f t="shared" ca="1" si="7"/>
        <v>0</v>
      </c>
      <c r="E189" t="str">
        <f t="array" aca="1" ref="E189" ca="1">IFERROR(INDEX(Source!$A$1:$A$250,SMALL(IF(--(Source!$B$1:$B$250=$O189)*--(Source!$E$1:$E$250=$M$3)*--(Source!$D$1:$D$250=Pyramid!$M189),ROW(Source!$B$1:$B$250),FALSE),E$3)),"")</f>
        <v/>
      </c>
      <c r="F189" t="str">
        <f t="array" aca="1" ref="F189" ca="1">IFERROR(INDEX(Source!$A$1:$A$250,SMALL(IF(--(Source!$B$1:$B$250=$O189)*--(Source!$E$1:$E$250=$M$3)*--(Source!$D$1:$D$250=Pyramid!$M189),ROW(Source!$B$1:$B$250),FALSE),F$3)),"")</f>
        <v/>
      </c>
      <c r="G189" t="str">
        <f t="array" aca="1" ref="G189" ca="1">IFERROR(INDEX(Source!$A$1:$A$250,SMALL(IF(--(Source!$B$1:$B$250=$O189)*--(Source!$E$1:$E$250=$M$3)*--(Source!$D$1:$D$250=Pyramid!$M189),ROW(Source!$B$1:$B$250),FALSE),G$3)),"")</f>
        <v/>
      </c>
      <c r="H189" t="str">
        <f t="array" aca="1" ref="H189" ca="1">IFERROR(INDEX(Source!$A$1:$A$250,SMALL(IF(--(Source!$B$1:$B$250=$O189)*--(Source!$E$1:$E$250=$M$3)*--(Source!$D$1:$D$250=Pyramid!$M189),ROW(Source!$B$1:$B$250),FALSE),H$3)),"")</f>
        <v>25618 HK Equity</v>
      </c>
      <c r="I189" t="str">
        <f t="array" aca="1" ref="I189" ca="1">IFERROR(INDEX(Source!$A$1:$A$250,SMALL(IF(--(Source!$B$1:$B$250=$O189)*--(Source!$E$1:$E$250=$M$3)*--(Source!$D$1:$D$250=Pyramid!$M189),ROW(Source!$B$1:$B$250),FALSE),I$3)),"")</f>
        <v>11153 HK Equity</v>
      </c>
      <c r="J189" t="str">
        <f t="array" aca="1" ref="J189" ca="1">IFERROR(INDEX(Source!$A$1:$A$250,SMALL(IF(--(Source!$B$1:$B$250=$O189)*--(Source!$E$1:$E$250=$M$3)*--(Source!$D$1:$D$250=Pyramid!$M189),ROW(Source!$B$1:$B$250),FALSE),J$3)),"")</f>
        <v>25473 HK Equity</v>
      </c>
      <c r="K189" t="str">
        <f t="array" aca="1" ref="K189" ca="1">IFERROR(INDEX(Source!$A$1:$A$250,SMALL(IF(--(Source!$B$1:$B$250=$O189)*--(Source!$E$1:$E$250=$M$3)*--(Source!$D$1:$D$250=Pyramid!$M189),ROW(Source!$B$1:$B$250),FALSE),K$3)),"")</f>
        <v>24315 HK Equity</v>
      </c>
      <c r="L189" t="str">
        <f t="array" aca="1" ref="L189" ca="1">IFERROR(INDEX(Source!$A$1:$A$250,SMALL(IF(--(Source!$B$1:$B$250=$O189)*--(Source!$E$1:$E$250=$M$3)*--(Source!$D$1:$D$250=Pyramid!$M189),ROW(Source!$B$1:$B$250),FALSE),L$3)),"")</f>
        <v>25599 HK Equity</v>
      </c>
      <c r="M189" t="str">
        <f t="shared" si="8"/>
        <v>29/6/2016</v>
      </c>
      <c r="N189">
        <f ca="1">COUNTIFS(Source!B:B,Pyramid!$O189,Source!$D:$D,Pyramid!$M189,Source!$E:$E,Pyramid!$M$3)</f>
        <v>5</v>
      </c>
      <c r="O189">
        <f ca="1">OFFSET(Sheet2!$N$3,INT(C189/5),)</f>
        <v>20000</v>
      </c>
      <c r="P189">
        <f ca="1">COUNTIFS(Source!B:B,Pyramid!$O189,Source!D:D,Pyramid!$Q189,Source!$E:$E,Pyramid!$Q$3)</f>
        <v>3</v>
      </c>
      <c r="Q189" t="str">
        <f t="shared" si="8"/>
        <v>29/6/2016</v>
      </c>
      <c r="R189" t="str">
        <f t="array" aca="1" ref="R189" ca="1">IFERROR(INDEX(Source!$A$1:$A$250,SMALL(IF(--(Source!$B$1:$B$250=$O189)*--(Source!$E$1:$E$250=$Q$3)*--(Source!$D$1:$D$250=Pyramid!$Q189),ROW(Source!$B$1:$B$250),FALSE),R$3)),"")</f>
        <v>24684 HK Equity</v>
      </c>
      <c r="S189" t="str">
        <f t="array" aca="1" ref="S189" ca="1">IFERROR(INDEX(Source!$A$1:$A$250,SMALL(IF(--(Source!$B$1:$B$250=$O189)*--(Source!$E$1:$E$250=$Q$3)*--(Source!$D$1:$D$250=Pyramid!$Q189),ROW(Source!$B$1:$B$250),FALSE),S$3)),"")</f>
        <v>22822 HK Equity</v>
      </c>
      <c r="T189" t="str">
        <f t="array" aca="1" ref="T189" ca="1">IFERROR(INDEX(Source!$A$1:$A$250,SMALL(IF(--(Source!$B$1:$B$250=$O189)*--(Source!$E$1:$E$250=$Q$3)*--(Source!$D$1:$D$250=Pyramid!$Q189),ROW(Source!$B$1:$B$250),FALSE),T$3)),"")</f>
        <v>26014 HK Equity</v>
      </c>
      <c r="U189" t="str">
        <f t="array" aca="1" ref="U189" ca="1">IFERROR(INDEX(Source!$A$1:$A$250,SMALL(IF(--(Source!$B$1:$B$250=$O189)*--(Source!$E$1:$E$250=$Q$3)*--(Source!$D$1:$D$250=Pyramid!$Q189),ROW(Source!$B$1:$B$250),FALSE),U$3)),"")</f>
        <v/>
      </c>
      <c r="V189" t="str">
        <f t="array" aca="1" ref="V189" ca="1">IFERROR(INDEX(Source!$A$1:$A$250,SMALL(IF(--(Source!$B$1:$B$250=$O189)*--(Source!$E$1:$E$250=$Q$3)*--(Source!$D$1:$D$250=Pyramid!$Q189),ROW(Source!$B$1:$B$250),FALSE),V$3)),"")</f>
        <v/>
      </c>
      <c r="W189" t="str">
        <f t="array" aca="1" ref="W189" ca="1">IFERROR(INDEX(Source!$A$1:$A$250,SMALL(IF(--(Source!$B$1:$B$250=$O189)*--(Source!$E$1:$E$250=$Q$3)*--(Source!$D$1:$D$250=Pyramid!$Q189),ROW(Source!$B$1:$B$250),FALSE),W$3)),"")</f>
        <v/>
      </c>
      <c r="X189" t="str">
        <f t="array" aca="1" ref="X189" ca="1">IFERROR(INDEX(Source!$A$1:$A$250,SMALL(IF(--(Source!$B$1:$B$250=$O189)*--(Source!$E$1:$E$250=$Q$3)*--(Source!$D$1:$D$250=Pyramid!$Q189),ROW(Source!$B$1:$B$250),FALSE),X$3)),"")</f>
        <v/>
      </c>
      <c r="Y189" s="5">
        <f t="shared" ca="1" si="9"/>
        <v>0</v>
      </c>
    </row>
    <row r="190" spans="3:25">
      <c r="C190">
        <v>186</v>
      </c>
      <c r="D190" s="5">
        <f t="shared" ca="1" si="7"/>
        <v>0</v>
      </c>
      <c r="E190" t="str">
        <f t="array" aca="1" ref="E190" ca="1">IFERROR(INDEX(Source!$A$1:$A$250,SMALL(IF(--(Source!$B$1:$B$250=$O190)*--(Source!$E$1:$E$250=$M$3)*--(Source!$D$1:$D$250=Pyramid!$M190),ROW(Source!$B$1:$B$250),FALSE),E$3)),"")</f>
        <v/>
      </c>
      <c r="F190" t="str">
        <f t="array" aca="1" ref="F190" ca="1">IFERROR(INDEX(Source!$A$1:$A$250,SMALL(IF(--(Source!$B$1:$B$250=$O190)*--(Source!$E$1:$E$250=$M$3)*--(Source!$D$1:$D$250=Pyramid!$M190),ROW(Source!$B$1:$B$250),FALSE),F$3)),"")</f>
        <v/>
      </c>
      <c r="G190" t="str">
        <f t="array" aca="1" ref="G190" ca="1">IFERROR(INDEX(Source!$A$1:$A$250,SMALL(IF(--(Source!$B$1:$B$250=$O190)*--(Source!$E$1:$E$250=$M$3)*--(Source!$D$1:$D$250=Pyramid!$M190),ROW(Source!$B$1:$B$250),FALSE),G$3)),"")</f>
        <v/>
      </c>
      <c r="H190" t="str">
        <f t="array" aca="1" ref="H190" ca="1">IFERROR(INDEX(Source!$A$1:$A$250,SMALL(IF(--(Source!$B$1:$B$250=$O190)*--(Source!$E$1:$E$250=$M$3)*--(Source!$D$1:$D$250=Pyramid!$M190),ROW(Source!$B$1:$B$250),FALSE),H$3)),"")</f>
        <v/>
      </c>
      <c r="I190" t="str">
        <f t="array" aca="1" ref="I190" ca="1">IFERROR(INDEX(Source!$A$1:$A$250,SMALL(IF(--(Source!$B$1:$B$250=$O190)*--(Source!$E$1:$E$250=$M$3)*--(Source!$D$1:$D$250=Pyramid!$M190),ROW(Source!$B$1:$B$250),FALSE),I$3)),"")</f>
        <v/>
      </c>
      <c r="J190" t="str">
        <f t="array" aca="1" ref="J190" ca="1">IFERROR(INDEX(Source!$A$1:$A$250,SMALL(IF(--(Source!$B$1:$B$250=$O190)*--(Source!$E$1:$E$250=$M$3)*--(Source!$D$1:$D$250=Pyramid!$M190),ROW(Source!$B$1:$B$250),FALSE),J$3)),"")</f>
        <v/>
      </c>
      <c r="K190" t="str">
        <f t="array" aca="1" ref="K190" ca="1">IFERROR(INDEX(Source!$A$1:$A$250,SMALL(IF(--(Source!$B$1:$B$250=$O190)*--(Source!$E$1:$E$250=$M$3)*--(Source!$D$1:$D$250=Pyramid!$M190),ROW(Source!$B$1:$B$250),FALSE),K$3)),"")</f>
        <v/>
      </c>
      <c r="L190" t="str">
        <f t="array" aca="1" ref="L190" ca="1">IFERROR(INDEX(Source!$A$1:$A$250,SMALL(IF(--(Source!$B$1:$B$250=$O190)*--(Source!$E$1:$E$250=$M$3)*--(Source!$D$1:$D$250=Pyramid!$M190),ROW(Source!$B$1:$B$250),FALSE),L$3)),"")</f>
        <v/>
      </c>
      <c r="M190" t="str">
        <f t="shared" si="8"/>
        <v>28/7/2016</v>
      </c>
      <c r="N190">
        <f ca="1">COUNTIFS(Source!B:B,Pyramid!$O190,Source!$D:$D,Pyramid!$M190,Source!$E:$E,Pyramid!$M$3)</f>
        <v>0</v>
      </c>
      <c r="O190">
        <f ca="1">OFFSET(Sheet2!$N$3,INT(C190/5),)</f>
        <v>20000</v>
      </c>
      <c r="P190">
        <f ca="1">COUNTIFS(Source!B:B,Pyramid!$O190,Source!D:D,Pyramid!$Q190,Source!$E:$E,Pyramid!$Q$3)</f>
        <v>0</v>
      </c>
      <c r="Q190" t="str">
        <f t="shared" si="8"/>
        <v>28/7/2016</v>
      </c>
      <c r="R190" t="str">
        <f t="array" aca="1" ref="R190" ca="1">IFERROR(INDEX(Source!$A$1:$A$250,SMALL(IF(--(Source!$B$1:$B$250=$O190)*--(Source!$E$1:$E$250=$Q$3)*--(Source!$D$1:$D$250=Pyramid!$Q190),ROW(Source!$B$1:$B$250),FALSE),R$3)),"")</f>
        <v/>
      </c>
      <c r="S190" t="str">
        <f t="array" aca="1" ref="S190" ca="1">IFERROR(INDEX(Source!$A$1:$A$250,SMALL(IF(--(Source!$B$1:$B$250=$O190)*--(Source!$E$1:$E$250=$Q$3)*--(Source!$D$1:$D$250=Pyramid!$Q190),ROW(Source!$B$1:$B$250),FALSE),S$3)),"")</f>
        <v/>
      </c>
      <c r="T190" t="str">
        <f t="array" aca="1" ref="T190" ca="1">IFERROR(INDEX(Source!$A$1:$A$250,SMALL(IF(--(Source!$B$1:$B$250=$O190)*--(Source!$E$1:$E$250=$Q$3)*--(Source!$D$1:$D$250=Pyramid!$Q190),ROW(Source!$B$1:$B$250),FALSE),T$3)),"")</f>
        <v/>
      </c>
      <c r="U190" t="str">
        <f t="array" aca="1" ref="U190" ca="1">IFERROR(INDEX(Source!$A$1:$A$250,SMALL(IF(--(Source!$B$1:$B$250=$O190)*--(Source!$E$1:$E$250=$Q$3)*--(Source!$D$1:$D$250=Pyramid!$Q190),ROW(Source!$B$1:$B$250),FALSE),U$3)),"")</f>
        <v/>
      </c>
      <c r="V190" t="str">
        <f t="array" aca="1" ref="V190" ca="1">IFERROR(INDEX(Source!$A$1:$A$250,SMALL(IF(--(Source!$B$1:$B$250=$O190)*--(Source!$E$1:$E$250=$Q$3)*--(Source!$D$1:$D$250=Pyramid!$Q190),ROW(Source!$B$1:$B$250),FALSE),V$3)),"")</f>
        <v/>
      </c>
      <c r="W190" t="str">
        <f t="array" aca="1" ref="W190" ca="1">IFERROR(INDEX(Source!$A$1:$A$250,SMALL(IF(--(Source!$B$1:$B$250=$O190)*--(Source!$E$1:$E$250=$Q$3)*--(Source!$D$1:$D$250=Pyramid!$Q190),ROW(Source!$B$1:$B$250),FALSE),W$3)),"")</f>
        <v/>
      </c>
      <c r="X190" t="str">
        <f t="array" aca="1" ref="X190" ca="1">IFERROR(INDEX(Source!$A$1:$A$250,SMALL(IF(--(Source!$B$1:$B$250=$O190)*--(Source!$E$1:$E$250=$Q$3)*--(Source!$D$1:$D$250=Pyramid!$Q190),ROW(Source!$B$1:$B$250),FALSE),X$3)),"")</f>
        <v/>
      </c>
      <c r="Y190" s="5">
        <f t="shared" ca="1" si="9"/>
        <v>0</v>
      </c>
    </row>
    <row r="191" spans="3:25">
      <c r="C191">
        <v>187</v>
      </c>
      <c r="D191" s="5">
        <f t="shared" ca="1" si="7"/>
        <v>0</v>
      </c>
      <c r="E191" t="str">
        <f t="array" aca="1" ref="E191" ca="1">IFERROR(INDEX(Source!$A$1:$A$250,SMALL(IF(--(Source!$B$1:$B$250=$O191)*--(Source!$E$1:$E$250=$M$3)*--(Source!$D$1:$D$250=Pyramid!$M191),ROW(Source!$B$1:$B$250),FALSE),E$3)),"")</f>
        <v/>
      </c>
      <c r="F191" t="str">
        <f t="array" aca="1" ref="F191" ca="1">IFERROR(INDEX(Source!$A$1:$A$250,SMALL(IF(--(Source!$B$1:$B$250=$O191)*--(Source!$E$1:$E$250=$M$3)*--(Source!$D$1:$D$250=Pyramid!$M191),ROW(Source!$B$1:$B$250),FALSE),F$3)),"")</f>
        <v/>
      </c>
      <c r="G191" t="str">
        <f t="array" aca="1" ref="G191" ca="1">IFERROR(INDEX(Source!$A$1:$A$250,SMALL(IF(--(Source!$B$1:$B$250=$O191)*--(Source!$E$1:$E$250=$M$3)*--(Source!$D$1:$D$250=Pyramid!$M191),ROW(Source!$B$1:$B$250),FALSE),G$3)),"")</f>
        <v/>
      </c>
      <c r="H191" t="str">
        <f t="array" aca="1" ref="H191" ca="1">IFERROR(INDEX(Source!$A$1:$A$250,SMALL(IF(--(Source!$B$1:$B$250=$O191)*--(Source!$E$1:$E$250=$M$3)*--(Source!$D$1:$D$250=Pyramid!$M191),ROW(Source!$B$1:$B$250),FALSE),H$3)),"")</f>
        <v/>
      </c>
      <c r="I191" t="str">
        <f t="array" aca="1" ref="I191" ca="1">IFERROR(INDEX(Source!$A$1:$A$250,SMALL(IF(--(Source!$B$1:$B$250=$O191)*--(Source!$E$1:$E$250=$M$3)*--(Source!$D$1:$D$250=Pyramid!$M191),ROW(Source!$B$1:$B$250),FALSE),I$3)),"")</f>
        <v/>
      </c>
      <c r="J191" t="str">
        <f t="array" aca="1" ref="J191" ca="1">IFERROR(INDEX(Source!$A$1:$A$250,SMALL(IF(--(Source!$B$1:$B$250=$O191)*--(Source!$E$1:$E$250=$M$3)*--(Source!$D$1:$D$250=Pyramid!$M191),ROW(Source!$B$1:$B$250),FALSE),J$3)),"")</f>
        <v/>
      </c>
      <c r="K191" t="str">
        <f t="array" aca="1" ref="K191" ca="1">IFERROR(INDEX(Source!$A$1:$A$250,SMALL(IF(--(Source!$B$1:$B$250=$O191)*--(Source!$E$1:$E$250=$M$3)*--(Source!$D$1:$D$250=Pyramid!$M191),ROW(Source!$B$1:$B$250),FALSE),K$3)),"")</f>
        <v/>
      </c>
      <c r="L191" t="str">
        <f t="array" aca="1" ref="L191" ca="1">IFERROR(INDEX(Source!$A$1:$A$250,SMALL(IF(--(Source!$B$1:$B$250=$O191)*--(Source!$E$1:$E$250=$M$3)*--(Source!$D$1:$D$250=Pyramid!$M191),ROW(Source!$B$1:$B$250),FALSE),L$3)),"")</f>
        <v/>
      </c>
      <c r="M191" t="str">
        <f t="shared" si="8"/>
        <v>30/8/2016</v>
      </c>
      <c r="N191">
        <f ca="1">COUNTIFS(Source!B:B,Pyramid!$O191,Source!$D:$D,Pyramid!$M191,Source!$E:$E,Pyramid!$M$3)</f>
        <v>0</v>
      </c>
      <c r="O191">
        <f ca="1">OFFSET(Sheet2!$N$3,INT(C191/5),)</f>
        <v>20000</v>
      </c>
      <c r="P191">
        <f ca="1">COUNTIFS(Source!B:B,Pyramid!$O191,Source!D:D,Pyramid!$Q191,Source!$E:$E,Pyramid!$Q$3)</f>
        <v>0</v>
      </c>
      <c r="Q191" t="str">
        <f t="shared" si="8"/>
        <v>30/8/2016</v>
      </c>
      <c r="R191" t="str">
        <f t="array" aca="1" ref="R191" ca="1">IFERROR(INDEX(Source!$A$1:$A$250,SMALL(IF(--(Source!$B$1:$B$250=$O191)*--(Source!$E$1:$E$250=$Q$3)*--(Source!$D$1:$D$250=Pyramid!$Q191),ROW(Source!$B$1:$B$250),FALSE),R$3)),"")</f>
        <v/>
      </c>
      <c r="S191" t="str">
        <f t="array" aca="1" ref="S191" ca="1">IFERROR(INDEX(Source!$A$1:$A$250,SMALL(IF(--(Source!$B$1:$B$250=$O191)*--(Source!$E$1:$E$250=$Q$3)*--(Source!$D$1:$D$250=Pyramid!$Q191),ROW(Source!$B$1:$B$250),FALSE),S$3)),"")</f>
        <v/>
      </c>
      <c r="T191" t="str">
        <f t="array" aca="1" ref="T191" ca="1">IFERROR(INDEX(Source!$A$1:$A$250,SMALL(IF(--(Source!$B$1:$B$250=$O191)*--(Source!$E$1:$E$250=$Q$3)*--(Source!$D$1:$D$250=Pyramid!$Q191),ROW(Source!$B$1:$B$250),FALSE),T$3)),"")</f>
        <v/>
      </c>
      <c r="U191" t="str">
        <f t="array" aca="1" ref="U191" ca="1">IFERROR(INDEX(Source!$A$1:$A$250,SMALL(IF(--(Source!$B$1:$B$250=$O191)*--(Source!$E$1:$E$250=$Q$3)*--(Source!$D$1:$D$250=Pyramid!$Q191),ROW(Source!$B$1:$B$250),FALSE),U$3)),"")</f>
        <v/>
      </c>
      <c r="V191" t="str">
        <f t="array" aca="1" ref="V191" ca="1">IFERROR(INDEX(Source!$A$1:$A$250,SMALL(IF(--(Source!$B$1:$B$250=$O191)*--(Source!$E$1:$E$250=$Q$3)*--(Source!$D$1:$D$250=Pyramid!$Q191),ROW(Source!$B$1:$B$250),FALSE),V$3)),"")</f>
        <v/>
      </c>
      <c r="W191" t="str">
        <f t="array" aca="1" ref="W191" ca="1">IFERROR(INDEX(Source!$A$1:$A$250,SMALL(IF(--(Source!$B$1:$B$250=$O191)*--(Source!$E$1:$E$250=$Q$3)*--(Source!$D$1:$D$250=Pyramid!$Q191),ROW(Source!$B$1:$B$250),FALSE),W$3)),"")</f>
        <v/>
      </c>
      <c r="X191" t="str">
        <f t="array" aca="1" ref="X191" ca="1">IFERROR(INDEX(Source!$A$1:$A$250,SMALL(IF(--(Source!$B$1:$B$250=$O191)*--(Source!$E$1:$E$250=$Q$3)*--(Source!$D$1:$D$250=Pyramid!$Q191),ROW(Source!$B$1:$B$250),FALSE),X$3)),"")</f>
        <v/>
      </c>
      <c r="Y191" s="5">
        <f t="shared" ca="1" si="9"/>
        <v>0</v>
      </c>
    </row>
    <row r="192" spans="3:25">
      <c r="C192">
        <v>188</v>
      </c>
      <c r="D192" s="5">
        <f t="shared" ca="1" si="7"/>
        <v>0</v>
      </c>
      <c r="E192" t="str">
        <f t="array" aca="1" ref="E192" ca="1">IFERROR(INDEX(Source!$A$1:$A$250,SMALL(IF(--(Source!$B$1:$B$250=$O192)*--(Source!$E$1:$E$250=$M$3)*--(Source!$D$1:$D$250=Pyramid!$M192),ROW(Source!$B$1:$B$250),FALSE),E$3)),"")</f>
        <v/>
      </c>
      <c r="F192" t="str">
        <f t="array" aca="1" ref="F192" ca="1">IFERROR(INDEX(Source!$A$1:$A$250,SMALL(IF(--(Source!$B$1:$B$250=$O192)*--(Source!$E$1:$E$250=$M$3)*--(Source!$D$1:$D$250=Pyramid!$M192),ROW(Source!$B$1:$B$250),FALSE),F$3)),"")</f>
        <v/>
      </c>
      <c r="G192" t="str">
        <f t="array" aca="1" ref="G192" ca="1">IFERROR(INDEX(Source!$A$1:$A$250,SMALL(IF(--(Source!$B$1:$B$250=$O192)*--(Source!$E$1:$E$250=$M$3)*--(Source!$D$1:$D$250=Pyramid!$M192),ROW(Source!$B$1:$B$250),FALSE),G$3)),"")</f>
        <v/>
      </c>
      <c r="H192" t="str">
        <f t="array" aca="1" ref="H192" ca="1">IFERROR(INDEX(Source!$A$1:$A$250,SMALL(IF(--(Source!$B$1:$B$250=$O192)*--(Source!$E$1:$E$250=$M$3)*--(Source!$D$1:$D$250=Pyramid!$M192),ROW(Source!$B$1:$B$250),FALSE),H$3)),"")</f>
        <v/>
      </c>
      <c r="I192" t="str">
        <f t="array" aca="1" ref="I192" ca="1">IFERROR(INDEX(Source!$A$1:$A$250,SMALL(IF(--(Source!$B$1:$B$250=$O192)*--(Source!$E$1:$E$250=$M$3)*--(Source!$D$1:$D$250=Pyramid!$M192),ROW(Source!$B$1:$B$250),FALSE),I$3)),"")</f>
        <v/>
      </c>
      <c r="J192" t="str">
        <f t="array" aca="1" ref="J192" ca="1">IFERROR(INDEX(Source!$A$1:$A$250,SMALL(IF(--(Source!$B$1:$B$250=$O192)*--(Source!$E$1:$E$250=$M$3)*--(Source!$D$1:$D$250=Pyramid!$M192),ROW(Source!$B$1:$B$250),FALSE),J$3)),"")</f>
        <v/>
      </c>
      <c r="K192" t="str">
        <f t="array" aca="1" ref="K192" ca="1">IFERROR(INDEX(Source!$A$1:$A$250,SMALL(IF(--(Source!$B$1:$B$250=$O192)*--(Source!$E$1:$E$250=$M$3)*--(Source!$D$1:$D$250=Pyramid!$M192),ROW(Source!$B$1:$B$250),FALSE),K$3)),"")</f>
        <v/>
      </c>
      <c r="L192" t="str">
        <f t="array" aca="1" ref="L192" ca="1">IFERROR(INDEX(Source!$A$1:$A$250,SMALL(IF(--(Source!$B$1:$B$250=$O192)*--(Source!$E$1:$E$250=$M$3)*--(Source!$D$1:$D$250=Pyramid!$M192),ROW(Source!$B$1:$B$250),FALSE),L$3)),"")</f>
        <v/>
      </c>
      <c r="M192" t="str">
        <f t="shared" si="8"/>
        <v>29/9/2016</v>
      </c>
      <c r="N192">
        <f ca="1">COUNTIFS(Source!B:B,Pyramid!$O192,Source!$D:$D,Pyramid!$M192,Source!$E:$E,Pyramid!$M$3)</f>
        <v>0</v>
      </c>
      <c r="O192">
        <f ca="1">OFFSET(Sheet2!$N$3,INT(C192/5),)</f>
        <v>20000</v>
      </c>
      <c r="P192">
        <f ca="1">COUNTIFS(Source!B:B,Pyramid!$O192,Source!D:D,Pyramid!$Q192,Source!$E:$E,Pyramid!$Q$3)</f>
        <v>0</v>
      </c>
      <c r="Q192" t="str">
        <f t="shared" si="8"/>
        <v>29/9/2016</v>
      </c>
      <c r="R192" t="str">
        <f t="array" aca="1" ref="R192" ca="1">IFERROR(INDEX(Source!$A$1:$A$250,SMALL(IF(--(Source!$B$1:$B$250=$O192)*--(Source!$E$1:$E$250=$Q$3)*--(Source!$D$1:$D$250=Pyramid!$Q192),ROW(Source!$B$1:$B$250),FALSE),R$3)),"")</f>
        <v/>
      </c>
      <c r="S192" t="str">
        <f t="array" aca="1" ref="S192" ca="1">IFERROR(INDEX(Source!$A$1:$A$250,SMALL(IF(--(Source!$B$1:$B$250=$O192)*--(Source!$E$1:$E$250=$Q$3)*--(Source!$D$1:$D$250=Pyramid!$Q192),ROW(Source!$B$1:$B$250),FALSE),S$3)),"")</f>
        <v/>
      </c>
      <c r="T192" t="str">
        <f t="array" aca="1" ref="T192" ca="1">IFERROR(INDEX(Source!$A$1:$A$250,SMALL(IF(--(Source!$B$1:$B$250=$O192)*--(Source!$E$1:$E$250=$Q$3)*--(Source!$D$1:$D$250=Pyramid!$Q192),ROW(Source!$B$1:$B$250),FALSE),T$3)),"")</f>
        <v/>
      </c>
      <c r="U192" t="str">
        <f t="array" aca="1" ref="U192" ca="1">IFERROR(INDEX(Source!$A$1:$A$250,SMALL(IF(--(Source!$B$1:$B$250=$O192)*--(Source!$E$1:$E$250=$Q$3)*--(Source!$D$1:$D$250=Pyramid!$Q192),ROW(Source!$B$1:$B$250),FALSE),U$3)),"")</f>
        <v/>
      </c>
      <c r="V192" t="str">
        <f t="array" aca="1" ref="V192" ca="1">IFERROR(INDEX(Source!$A$1:$A$250,SMALL(IF(--(Source!$B$1:$B$250=$O192)*--(Source!$E$1:$E$250=$Q$3)*--(Source!$D$1:$D$250=Pyramid!$Q192),ROW(Source!$B$1:$B$250),FALSE),V$3)),"")</f>
        <v/>
      </c>
      <c r="W192" t="str">
        <f t="array" aca="1" ref="W192" ca="1">IFERROR(INDEX(Source!$A$1:$A$250,SMALL(IF(--(Source!$B$1:$B$250=$O192)*--(Source!$E$1:$E$250=$Q$3)*--(Source!$D$1:$D$250=Pyramid!$Q192),ROW(Source!$B$1:$B$250),FALSE),W$3)),"")</f>
        <v/>
      </c>
      <c r="X192" t="str">
        <f t="array" aca="1" ref="X192" ca="1">IFERROR(INDEX(Source!$A$1:$A$250,SMALL(IF(--(Source!$B$1:$B$250=$O192)*--(Source!$E$1:$E$250=$Q$3)*--(Source!$D$1:$D$250=Pyramid!$Q192),ROW(Source!$B$1:$B$250),FALSE),X$3)),"")</f>
        <v/>
      </c>
      <c r="Y192" s="5">
        <f t="shared" ca="1" si="9"/>
        <v>0</v>
      </c>
    </row>
    <row r="193" spans="3:25">
      <c r="C193">
        <v>189</v>
      </c>
      <c r="D193" s="5">
        <f t="shared" ca="1" si="7"/>
        <v>0</v>
      </c>
      <c r="E193" t="str">
        <f t="array" aca="1" ref="E193" ca="1">IFERROR(INDEX(Source!$A$1:$A$250,SMALL(IF(--(Source!$B$1:$B$250=$O193)*--(Source!$E$1:$E$250=$M$3)*--(Source!$D$1:$D$250=Pyramid!$M193),ROW(Source!$B$1:$B$250),FALSE),E$3)),"")</f>
        <v/>
      </c>
      <c r="F193" t="str">
        <f t="array" aca="1" ref="F193" ca="1">IFERROR(INDEX(Source!$A$1:$A$250,SMALL(IF(--(Source!$B$1:$B$250=$O193)*--(Source!$E$1:$E$250=$M$3)*--(Source!$D$1:$D$250=Pyramid!$M193),ROW(Source!$B$1:$B$250),FALSE),F$3)),"")</f>
        <v/>
      </c>
      <c r="G193" t="str">
        <f t="array" aca="1" ref="G193" ca="1">IFERROR(INDEX(Source!$A$1:$A$250,SMALL(IF(--(Source!$B$1:$B$250=$O193)*--(Source!$E$1:$E$250=$M$3)*--(Source!$D$1:$D$250=Pyramid!$M193),ROW(Source!$B$1:$B$250),FALSE),G$3)),"")</f>
        <v/>
      </c>
      <c r="H193" t="str">
        <f t="array" aca="1" ref="H193" ca="1">IFERROR(INDEX(Source!$A$1:$A$250,SMALL(IF(--(Source!$B$1:$B$250=$O193)*--(Source!$E$1:$E$250=$M$3)*--(Source!$D$1:$D$250=Pyramid!$M193),ROW(Source!$B$1:$B$250),FALSE),H$3)),"")</f>
        <v/>
      </c>
      <c r="I193" t="str">
        <f t="array" aca="1" ref="I193" ca="1">IFERROR(INDEX(Source!$A$1:$A$250,SMALL(IF(--(Source!$B$1:$B$250=$O193)*--(Source!$E$1:$E$250=$M$3)*--(Source!$D$1:$D$250=Pyramid!$M193),ROW(Source!$B$1:$B$250),FALSE),I$3)),"")</f>
        <v/>
      </c>
      <c r="J193" t="str">
        <f t="array" aca="1" ref="J193" ca="1">IFERROR(INDEX(Source!$A$1:$A$250,SMALL(IF(--(Source!$B$1:$B$250=$O193)*--(Source!$E$1:$E$250=$M$3)*--(Source!$D$1:$D$250=Pyramid!$M193),ROW(Source!$B$1:$B$250),FALSE),J$3)),"")</f>
        <v/>
      </c>
      <c r="K193" t="str">
        <f t="array" aca="1" ref="K193" ca="1">IFERROR(INDEX(Source!$A$1:$A$250,SMALL(IF(--(Source!$B$1:$B$250=$O193)*--(Source!$E$1:$E$250=$M$3)*--(Source!$D$1:$D$250=Pyramid!$M193),ROW(Source!$B$1:$B$250),FALSE),K$3)),"")</f>
        <v/>
      </c>
      <c r="L193" t="str">
        <f t="array" aca="1" ref="L193" ca="1">IFERROR(INDEX(Source!$A$1:$A$250,SMALL(IF(--(Source!$B$1:$B$250=$O193)*--(Source!$E$1:$E$250=$M$3)*--(Source!$D$1:$D$250=Pyramid!$M193),ROW(Source!$B$1:$B$250),FALSE),L$3)),"")</f>
        <v/>
      </c>
      <c r="M193" t="str">
        <f t="shared" si="8"/>
        <v>28/10/2016</v>
      </c>
      <c r="N193">
        <f ca="1">COUNTIFS(Source!B:B,Pyramid!$O193,Source!$D:$D,Pyramid!$M193,Source!$E:$E,Pyramid!$M$3)</f>
        <v>0</v>
      </c>
      <c r="O193">
        <f ca="1">OFFSET(Sheet2!$N$3,INT(C193/5),)</f>
        <v>20000</v>
      </c>
      <c r="P193">
        <f ca="1">COUNTIFS(Source!B:B,Pyramid!$O193,Source!D:D,Pyramid!$Q193,Source!$E:$E,Pyramid!$Q$3)</f>
        <v>2</v>
      </c>
      <c r="Q193" t="str">
        <f t="shared" si="8"/>
        <v>28/10/2016</v>
      </c>
      <c r="R193" t="str">
        <f t="array" aca="1" ref="R193" ca="1">IFERROR(INDEX(Source!$A$1:$A$250,SMALL(IF(--(Source!$B$1:$B$250=$O193)*--(Source!$E$1:$E$250=$Q$3)*--(Source!$D$1:$D$250=Pyramid!$Q193),ROW(Source!$B$1:$B$250),FALSE),R$3)),"")</f>
        <v>27360 HK Equity</v>
      </c>
      <c r="S193" t="str">
        <f t="array" aca="1" ref="S193" ca="1">IFERROR(INDEX(Source!$A$1:$A$250,SMALL(IF(--(Source!$B$1:$B$250=$O193)*--(Source!$E$1:$E$250=$Q$3)*--(Source!$D$1:$D$250=Pyramid!$Q193),ROW(Source!$B$1:$B$250),FALSE),S$3)),"")</f>
        <v>27356 HK Equity</v>
      </c>
      <c r="T193" t="str">
        <f t="array" aca="1" ref="T193" ca="1">IFERROR(INDEX(Source!$A$1:$A$250,SMALL(IF(--(Source!$B$1:$B$250=$O193)*--(Source!$E$1:$E$250=$Q$3)*--(Source!$D$1:$D$250=Pyramid!$Q193),ROW(Source!$B$1:$B$250),FALSE),T$3)),"")</f>
        <v/>
      </c>
      <c r="U193" t="str">
        <f t="array" aca="1" ref="U193" ca="1">IFERROR(INDEX(Source!$A$1:$A$250,SMALL(IF(--(Source!$B$1:$B$250=$O193)*--(Source!$E$1:$E$250=$Q$3)*--(Source!$D$1:$D$250=Pyramid!$Q193),ROW(Source!$B$1:$B$250),FALSE),U$3)),"")</f>
        <v/>
      </c>
      <c r="V193" t="str">
        <f t="array" aca="1" ref="V193" ca="1">IFERROR(INDEX(Source!$A$1:$A$250,SMALL(IF(--(Source!$B$1:$B$250=$O193)*--(Source!$E$1:$E$250=$Q$3)*--(Source!$D$1:$D$250=Pyramid!$Q193),ROW(Source!$B$1:$B$250),FALSE),V$3)),"")</f>
        <v/>
      </c>
      <c r="W193" t="str">
        <f t="array" aca="1" ref="W193" ca="1">IFERROR(INDEX(Source!$A$1:$A$250,SMALL(IF(--(Source!$B$1:$B$250=$O193)*--(Source!$E$1:$E$250=$Q$3)*--(Source!$D$1:$D$250=Pyramid!$Q193),ROW(Source!$B$1:$B$250),FALSE),W$3)),"")</f>
        <v/>
      </c>
      <c r="X193" t="str">
        <f t="array" aca="1" ref="X193" ca="1">IFERROR(INDEX(Source!$A$1:$A$250,SMALL(IF(--(Source!$B$1:$B$250=$O193)*--(Source!$E$1:$E$250=$Q$3)*--(Source!$D$1:$D$250=Pyramid!$Q193),ROW(Source!$B$1:$B$250),FALSE),X$3)),"")</f>
        <v/>
      </c>
      <c r="Y193" s="5">
        <f t="shared" ca="1" si="9"/>
        <v>0</v>
      </c>
    </row>
    <row r="194" spans="3:25">
      <c r="C194">
        <v>190</v>
      </c>
      <c r="D194" s="5">
        <f t="shared" ca="1" si="7"/>
        <v>0</v>
      </c>
      <c r="E194" t="str">
        <f t="array" aca="1" ref="E194" ca="1">IFERROR(INDEX(Source!$A$1:$A$250,SMALL(IF(--(Source!$B$1:$B$250=$O194)*--(Source!$E$1:$E$250=$M$3)*--(Source!$D$1:$D$250=Pyramid!$M194),ROW(Source!$B$1:$B$250),FALSE),E$3)),"")</f>
        <v/>
      </c>
      <c r="F194" t="str">
        <f t="array" aca="1" ref="F194" ca="1">IFERROR(INDEX(Source!$A$1:$A$250,SMALL(IF(--(Source!$B$1:$B$250=$O194)*--(Source!$E$1:$E$250=$M$3)*--(Source!$D$1:$D$250=Pyramid!$M194),ROW(Source!$B$1:$B$250),FALSE),F$3)),"")</f>
        <v/>
      </c>
      <c r="G194" t="str">
        <f t="array" aca="1" ref="G194" ca="1">IFERROR(INDEX(Source!$A$1:$A$250,SMALL(IF(--(Source!$B$1:$B$250=$O194)*--(Source!$E$1:$E$250=$M$3)*--(Source!$D$1:$D$250=Pyramid!$M194),ROW(Source!$B$1:$B$250),FALSE),G$3)),"")</f>
        <v/>
      </c>
      <c r="H194" t="str">
        <f t="array" aca="1" ref="H194" ca="1">IFERROR(INDEX(Source!$A$1:$A$250,SMALL(IF(--(Source!$B$1:$B$250=$O194)*--(Source!$E$1:$E$250=$M$3)*--(Source!$D$1:$D$250=Pyramid!$M194),ROW(Source!$B$1:$B$250),FALSE),H$3)),"")</f>
        <v/>
      </c>
      <c r="I194" t="str">
        <f t="array" aca="1" ref="I194" ca="1">IFERROR(INDEX(Source!$A$1:$A$250,SMALL(IF(--(Source!$B$1:$B$250=$O194)*--(Source!$E$1:$E$250=$M$3)*--(Source!$D$1:$D$250=Pyramid!$M194),ROW(Source!$B$1:$B$250),FALSE),I$3)),"")</f>
        <v/>
      </c>
      <c r="J194" t="str">
        <f t="array" aca="1" ref="J194" ca="1">IFERROR(INDEX(Source!$A$1:$A$250,SMALL(IF(--(Source!$B$1:$B$250=$O194)*--(Source!$E$1:$E$250=$M$3)*--(Source!$D$1:$D$250=Pyramid!$M194),ROW(Source!$B$1:$B$250),FALSE),J$3)),"")</f>
        <v/>
      </c>
      <c r="K194" t="str">
        <f t="array" aca="1" ref="K194" ca="1">IFERROR(INDEX(Source!$A$1:$A$250,SMALL(IF(--(Source!$B$1:$B$250=$O194)*--(Source!$E$1:$E$250=$M$3)*--(Source!$D$1:$D$250=Pyramid!$M194),ROW(Source!$B$1:$B$250),FALSE),K$3)),"")</f>
        <v/>
      </c>
      <c r="L194" t="str">
        <f t="array" aca="1" ref="L194" ca="1">IFERROR(INDEX(Source!$A$1:$A$250,SMALL(IF(--(Source!$B$1:$B$250=$O194)*--(Source!$E$1:$E$250=$M$3)*--(Source!$D$1:$D$250=Pyramid!$M194),ROW(Source!$B$1:$B$250),FALSE),L$3)),"")</f>
        <v>25722 HK Equity</v>
      </c>
      <c r="M194" t="str">
        <f t="shared" si="8"/>
        <v>29/6/2016</v>
      </c>
      <c r="N194">
        <f ca="1">COUNTIFS(Source!B:B,Pyramid!$O194,Source!$D:$D,Pyramid!$M194,Source!$E:$E,Pyramid!$M$3)</f>
        <v>1</v>
      </c>
      <c r="O194">
        <f ca="1">OFFSET(Sheet2!$N$3,INT(C194/5),)</f>
        <v>20088</v>
      </c>
      <c r="P194">
        <f ca="1">COUNTIFS(Source!B:B,Pyramid!$O194,Source!D:D,Pyramid!$Q194,Source!$E:$E,Pyramid!$Q$3)</f>
        <v>1</v>
      </c>
      <c r="Q194" t="str">
        <f t="shared" si="8"/>
        <v>29/6/2016</v>
      </c>
      <c r="R194" t="str">
        <f t="array" aca="1" ref="R194" ca="1">IFERROR(INDEX(Source!$A$1:$A$250,SMALL(IF(--(Source!$B$1:$B$250=$O194)*--(Source!$E$1:$E$250=$Q$3)*--(Source!$D$1:$D$250=Pyramid!$Q194),ROW(Source!$B$1:$B$250),FALSE),R$3)),"")</f>
        <v>22990 HK Equity</v>
      </c>
      <c r="S194" t="str">
        <f t="array" aca="1" ref="S194" ca="1">IFERROR(INDEX(Source!$A$1:$A$250,SMALL(IF(--(Source!$B$1:$B$250=$O194)*--(Source!$E$1:$E$250=$Q$3)*--(Source!$D$1:$D$250=Pyramid!$Q194),ROW(Source!$B$1:$B$250),FALSE),S$3)),"")</f>
        <v/>
      </c>
      <c r="T194" t="str">
        <f t="array" aca="1" ref="T194" ca="1">IFERROR(INDEX(Source!$A$1:$A$250,SMALL(IF(--(Source!$B$1:$B$250=$O194)*--(Source!$E$1:$E$250=$Q$3)*--(Source!$D$1:$D$250=Pyramid!$Q194),ROW(Source!$B$1:$B$250),FALSE),T$3)),"")</f>
        <v/>
      </c>
      <c r="U194" t="str">
        <f t="array" aca="1" ref="U194" ca="1">IFERROR(INDEX(Source!$A$1:$A$250,SMALL(IF(--(Source!$B$1:$B$250=$O194)*--(Source!$E$1:$E$250=$Q$3)*--(Source!$D$1:$D$250=Pyramid!$Q194),ROW(Source!$B$1:$B$250),FALSE),U$3)),"")</f>
        <v/>
      </c>
      <c r="V194" t="str">
        <f t="array" aca="1" ref="V194" ca="1">IFERROR(INDEX(Source!$A$1:$A$250,SMALL(IF(--(Source!$B$1:$B$250=$O194)*--(Source!$E$1:$E$250=$Q$3)*--(Source!$D$1:$D$250=Pyramid!$Q194),ROW(Source!$B$1:$B$250),FALSE),V$3)),"")</f>
        <v/>
      </c>
      <c r="W194" t="str">
        <f t="array" aca="1" ref="W194" ca="1">IFERROR(INDEX(Source!$A$1:$A$250,SMALL(IF(--(Source!$B$1:$B$250=$O194)*--(Source!$E$1:$E$250=$Q$3)*--(Source!$D$1:$D$250=Pyramid!$Q194),ROW(Source!$B$1:$B$250),FALSE),W$3)),"")</f>
        <v/>
      </c>
      <c r="X194" t="str">
        <f t="array" aca="1" ref="X194" ca="1">IFERROR(INDEX(Source!$A$1:$A$250,SMALL(IF(--(Source!$B$1:$B$250=$O194)*--(Source!$E$1:$E$250=$Q$3)*--(Source!$D$1:$D$250=Pyramid!$Q194),ROW(Source!$B$1:$B$250),FALSE),X$3)),"")</f>
        <v/>
      </c>
      <c r="Y194" s="5">
        <f t="shared" ca="1" si="9"/>
        <v>0</v>
      </c>
    </row>
    <row r="195" spans="3:25">
      <c r="C195">
        <v>191</v>
      </c>
      <c r="D195" s="5">
        <f t="shared" ca="1" si="7"/>
        <v>0</v>
      </c>
      <c r="E195" t="str">
        <f t="array" aca="1" ref="E195" ca="1">IFERROR(INDEX(Source!$A$1:$A$250,SMALL(IF(--(Source!$B$1:$B$250=$O195)*--(Source!$E$1:$E$250=$M$3)*--(Source!$D$1:$D$250=Pyramid!$M195),ROW(Source!$B$1:$B$250),FALSE),E$3)),"")</f>
        <v/>
      </c>
      <c r="F195" t="str">
        <f t="array" aca="1" ref="F195" ca="1">IFERROR(INDEX(Source!$A$1:$A$250,SMALL(IF(--(Source!$B$1:$B$250=$O195)*--(Source!$E$1:$E$250=$M$3)*--(Source!$D$1:$D$250=Pyramid!$M195),ROW(Source!$B$1:$B$250),FALSE),F$3)),"")</f>
        <v/>
      </c>
      <c r="G195" t="str">
        <f t="array" aca="1" ref="G195" ca="1">IFERROR(INDEX(Source!$A$1:$A$250,SMALL(IF(--(Source!$B$1:$B$250=$O195)*--(Source!$E$1:$E$250=$M$3)*--(Source!$D$1:$D$250=Pyramid!$M195),ROW(Source!$B$1:$B$250),FALSE),G$3)),"")</f>
        <v/>
      </c>
      <c r="H195" t="str">
        <f t="array" aca="1" ref="H195" ca="1">IFERROR(INDEX(Source!$A$1:$A$250,SMALL(IF(--(Source!$B$1:$B$250=$O195)*--(Source!$E$1:$E$250=$M$3)*--(Source!$D$1:$D$250=Pyramid!$M195),ROW(Source!$B$1:$B$250),FALSE),H$3)),"")</f>
        <v/>
      </c>
      <c r="I195" t="str">
        <f t="array" aca="1" ref="I195" ca="1">IFERROR(INDEX(Source!$A$1:$A$250,SMALL(IF(--(Source!$B$1:$B$250=$O195)*--(Source!$E$1:$E$250=$M$3)*--(Source!$D$1:$D$250=Pyramid!$M195),ROW(Source!$B$1:$B$250),FALSE),I$3)),"")</f>
        <v/>
      </c>
      <c r="J195" t="str">
        <f t="array" aca="1" ref="J195" ca="1">IFERROR(INDEX(Source!$A$1:$A$250,SMALL(IF(--(Source!$B$1:$B$250=$O195)*--(Source!$E$1:$E$250=$M$3)*--(Source!$D$1:$D$250=Pyramid!$M195),ROW(Source!$B$1:$B$250),FALSE),J$3)),"")</f>
        <v/>
      </c>
      <c r="K195" t="str">
        <f t="array" aca="1" ref="K195" ca="1">IFERROR(INDEX(Source!$A$1:$A$250,SMALL(IF(--(Source!$B$1:$B$250=$O195)*--(Source!$E$1:$E$250=$M$3)*--(Source!$D$1:$D$250=Pyramid!$M195),ROW(Source!$B$1:$B$250),FALSE),K$3)),"")</f>
        <v/>
      </c>
      <c r="L195" t="str">
        <f t="array" aca="1" ref="L195" ca="1">IFERROR(INDEX(Source!$A$1:$A$250,SMALL(IF(--(Source!$B$1:$B$250=$O195)*--(Source!$E$1:$E$250=$M$3)*--(Source!$D$1:$D$250=Pyramid!$M195),ROW(Source!$B$1:$B$250),FALSE),L$3)),"")</f>
        <v/>
      </c>
      <c r="M195" t="str">
        <f t="shared" si="8"/>
        <v>28/7/2016</v>
      </c>
      <c r="N195">
        <f ca="1">COUNTIFS(Source!B:B,Pyramid!$O195,Source!$D:$D,Pyramid!$M195,Source!$E:$E,Pyramid!$M$3)</f>
        <v>0</v>
      </c>
      <c r="O195">
        <f ca="1">OFFSET(Sheet2!$N$3,INT(C195/5),)</f>
        <v>20088</v>
      </c>
      <c r="P195">
        <f ca="1">COUNTIFS(Source!B:B,Pyramid!$O195,Source!D:D,Pyramid!$Q195,Source!$E:$E,Pyramid!$Q$3)</f>
        <v>0</v>
      </c>
      <c r="Q195" t="str">
        <f t="shared" si="8"/>
        <v>28/7/2016</v>
      </c>
      <c r="R195" t="str">
        <f t="array" aca="1" ref="R195" ca="1">IFERROR(INDEX(Source!$A$1:$A$250,SMALL(IF(--(Source!$B$1:$B$250=$O195)*--(Source!$E$1:$E$250=$Q$3)*--(Source!$D$1:$D$250=Pyramid!$Q195),ROW(Source!$B$1:$B$250),FALSE),R$3)),"")</f>
        <v/>
      </c>
      <c r="S195" t="str">
        <f t="array" aca="1" ref="S195" ca="1">IFERROR(INDEX(Source!$A$1:$A$250,SMALL(IF(--(Source!$B$1:$B$250=$O195)*--(Source!$E$1:$E$250=$Q$3)*--(Source!$D$1:$D$250=Pyramid!$Q195),ROW(Source!$B$1:$B$250),FALSE),S$3)),"")</f>
        <v/>
      </c>
      <c r="T195" t="str">
        <f t="array" aca="1" ref="T195" ca="1">IFERROR(INDEX(Source!$A$1:$A$250,SMALL(IF(--(Source!$B$1:$B$250=$O195)*--(Source!$E$1:$E$250=$Q$3)*--(Source!$D$1:$D$250=Pyramid!$Q195),ROW(Source!$B$1:$B$250),FALSE),T$3)),"")</f>
        <v/>
      </c>
      <c r="U195" t="str">
        <f t="array" aca="1" ref="U195" ca="1">IFERROR(INDEX(Source!$A$1:$A$250,SMALL(IF(--(Source!$B$1:$B$250=$O195)*--(Source!$E$1:$E$250=$Q$3)*--(Source!$D$1:$D$250=Pyramid!$Q195),ROW(Source!$B$1:$B$250),FALSE),U$3)),"")</f>
        <v/>
      </c>
      <c r="V195" t="str">
        <f t="array" aca="1" ref="V195" ca="1">IFERROR(INDEX(Source!$A$1:$A$250,SMALL(IF(--(Source!$B$1:$B$250=$O195)*--(Source!$E$1:$E$250=$Q$3)*--(Source!$D$1:$D$250=Pyramid!$Q195),ROW(Source!$B$1:$B$250),FALSE),V$3)),"")</f>
        <v/>
      </c>
      <c r="W195" t="str">
        <f t="array" aca="1" ref="W195" ca="1">IFERROR(INDEX(Source!$A$1:$A$250,SMALL(IF(--(Source!$B$1:$B$250=$O195)*--(Source!$E$1:$E$250=$Q$3)*--(Source!$D$1:$D$250=Pyramid!$Q195),ROW(Source!$B$1:$B$250),FALSE),W$3)),"")</f>
        <v/>
      </c>
      <c r="X195" t="str">
        <f t="array" aca="1" ref="X195" ca="1">IFERROR(INDEX(Source!$A$1:$A$250,SMALL(IF(--(Source!$B$1:$B$250=$O195)*--(Source!$E$1:$E$250=$Q$3)*--(Source!$D$1:$D$250=Pyramid!$Q195),ROW(Source!$B$1:$B$250),FALSE),X$3)),"")</f>
        <v/>
      </c>
      <c r="Y195" s="5">
        <f t="shared" ca="1" si="9"/>
        <v>0</v>
      </c>
    </row>
    <row r="196" spans="3:25">
      <c r="C196">
        <v>192</v>
      </c>
      <c r="D196" s="5">
        <f t="shared" ca="1" si="7"/>
        <v>0</v>
      </c>
      <c r="E196" t="str">
        <f t="array" aca="1" ref="E196" ca="1">IFERROR(INDEX(Source!$A$1:$A$250,SMALL(IF(--(Source!$B$1:$B$250=$O196)*--(Source!$E$1:$E$250=$M$3)*--(Source!$D$1:$D$250=Pyramid!$M196),ROW(Source!$B$1:$B$250),FALSE),E$3)),"")</f>
        <v/>
      </c>
      <c r="F196" t="str">
        <f t="array" aca="1" ref="F196" ca="1">IFERROR(INDEX(Source!$A$1:$A$250,SMALL(IF(--(Source!$B$1:$B$250=$O196)*--(Source!$E$1:$E$250=$M$3)*--(Source!$D$1:$D$250=Pyramid!$M196),ROW(Source!$B$1:$B$250),FALSE),F$3)),"")</f>
        <v/>
      </c>
      <c r="G196" t="str">
        <f t="array" aca="1" ref="G196" ca="1">IFERROR(INDEX(Source!$A$1:$A$250,SMALL(IF(--(Source!$B$1:$B$250=$O196)*--(Source!$E$1:$E$250=$M$3)*--(Source!$D$1:$D$250=Pyramid!$M196),ROW(Source!$B$1:$B$250),FALSE),G$3)),"")</f>
        <v/>
      </c>
      <c r="H196" t="str">
        <f t="array" aca="1" ref="H196" ca="1">IFERROR(INDEX(Source!$A$1:$A$250,SMALL(IF(--(Source!$B$1:$B$250=$O196)*--(Source!$E$1:$E$250=$M$3)*--(Source!$D$1:$D$250=Pyramid!$M196),ROW(Source!$B$1:$B$250),FALSE),H$3)),"")</f>
        <v/>
      </c>
      <c r="I196" t="str">
        <f t="array" aca="1" ref="I196" ca="1">IFERROR(INDEX(Source!$A$1:$A$250,SMALL(IF(--(Source!$B$1:$B$250=$O196)*--(Source!$E$1:$E$250=$M$3)*--(Source!$D$1:$D$250=Pyramid!$M196),ROW(Source!$B$1:$B$250),FALSE),I$3)),"")</f>
        <v/>
      </c>
      <c r="J196" t="str">
        <f t="array" aca="1" ref="J196" ca="1">IFERROR(INDEX(Source!$A$1:$A$250,SMALL(IF(--(Source!$B$1:$B$250=$O196)*--(Source!$E$1:$E$250=$M$3)*--(Source!$D$1:$D$250=Pyramid!$M196),ROW(Source!$B$1:$B$250),FALSE),J$3)),"")</f>
        <v/>
      </c>
      <c r="K196" t="str">
        <f t="array" aca="1" ref="K196" ca="1">IFERROR(INDEX(Source!$A$1:$A$250,SMALL(IF(--(Source!$B$1:$B$250=$O196)*--(Source!$E$1:$E$250=$M$3)*--(Source!$D$1:$D$250=Pyramid!$M196),ROW(Source!$B$1:$B$250),FALSE),K$3)),"")</f>
        <v/>
      </c>
      <c r="L196" t="str">
        <f t="array" aca="1" ref="L196" ca="1">IFERROR(INDEX(Source!$A$1:$A$250,SMALL(IF(--(Source!$B$1:$B$250=$O196)*--(Source!$E$1:$E$250=$M$3)*--(Source!$D$1:$D$250=Pyramid!$M196),ROW(Source!$B$1:$B$250),FALSE),L$3)),"")</f>
        <v/>
      </c>
      <c r="M196" t="str">
        <f t="shared" si="8"/>
        <v>30/8/2016</v>
      </c>
      <c r="N196">
        <f ca="1">COUNTIFS(Source!B:B,Pyramid!$O196,Source!$D:$D,Pyramid!$M196,Source!$E:$E,Pyramid!$M$3)</f>
        <v>0</v>
      </c>
      <c r="O196">
        <f ca="1">OFFSET(Sheet2!$N$3,INT(C196/5),)</f>
        <v>20088</v>
      </c>
      <c r="P196">
        <f ca="1">COUNTIFS(Source!B:B,Pyramid!$O196,Source!D:D,Pyramid!$Q196,Source!$E:$E,Pyramid!$Q$3)</f>
        <v>0</v>
      </c>
      <c r="Q196" t="str">
        <f t="shared" si="8"/>
        <v>30/8/2016</v>
      </c>
      <c r="R196" t="str">
        <f t="array" aca="1" ref="R196" ca="1">IFERROR(INDEX(Source!$A$1:$A$250,SMALL(IF(--(Source!$B$1:$B$250=$O196)*--(Source!$E$1:$E$250=$Q$3)*--(Source!$D$1:$D$250=Pyramid!$Q196),ROW(Source!$B$1:$B$250),FALSE),R$3)),"")</f>
        <v/>
      </c>
      <c r="S196" t="str">
        <f t="array" aca="1" ref="S196" ca="1">IFERROR(INDEX(Source!$A$1:$A$250,SMALL(IF(--(Source!$B$1:$B$250=$O196)*--(Source!$E$1:$E$250=$Q$3)*--(Source!$D$1:$D$250=Pyramid!$Q196),ROW(Source!$B$1:$B$250),FALSE),S$3)),"")</f>
        <v/>
      </c>
      <c r="T196" t="str">
        <f t="array" aca="1" ref="T196" ca="1">IFERROR(INDEX(Source!$A$1:$A$250,SMALL(IF(--(Source!$B$1:$B$250=$O196)*--(Source!$E$1:$E$250=$Q$3)*--(Source!$D$1:$D$250=Pyramid!$Q196),ROW(Source!$B$1:$B$250),FALSE),T$3)),"")</f>
        <v/>
      </c>
      <c r="U196" t="str">
        <f t="array" aca="1" ref="U196" ca="1">IFERROR(INDEX(Source!$A$1:$A$250,SMALL(IF(--(Source!$B$1:$B$250=$O196)*--(Source!$E$1:$E$250=$Q$3)*--(Source!$D$1:$D$250=Pyramid!$Q196),ROW(Source!$B$1:$B$250),FALSE),U$3)),"")</f>
        <v/>
      </c>
      <c r="V196" t="str">
        <f t="array" aca="1" ref="V196" ca="1">IFERROR(INDEX(Source!$A$1:$A$250,SMALL(IF(--(Source!$B$1:$B$250=$O196)*--(Source!$E$1:$E$250=$Q$3)*--(Source!$D$1:$D$250=Pyramid!$Q196),ROW(Source!$B$1:$B$250),FALSE),V$3)),"")</f>
        <v/>
      </c>
      <c r="W196" t="str">
        <f t="array" aca="1" ref="W196" ca="1">IFERROR(INDEX(Source!$A$1:$A$250,SMALL(IF(--(Source!$B$1:$B$250=$O196)*--(Source!$E$1:$E$250=$Q$3)*--(Source!$D$1:$D$250=Pyramid!$Q196),ROW(Source!$B$1:$B$250),FALSE),W$3)),"")</f>
        <v/>
      </c>
      <c r="X196" t="str">
        <f t="array" aca="1" ref="X196" ca="1">IFERROR(INDEX(Source!$A$1:$A$250,SMALL(IF(--(Source!$B$1:$B$250=$O196)*--(Source!$E$1:$E$250=$Q$3)*--(Source!$D$1:$D$250=Pyramid!$Q196),ROW(Source!$B$1:$B$250),FALSE),X$3)),"")</f>
        <v/>
      </c>
      <c r="Y196" s="5">
        <f t="shared" ca="1" si="9"/>
        <v>0</v>
      </c>
    </row>
    <row r="197" spans="3:25">
      <c r="C197">
        <v>193</v>
      </c>
      <c r="D197" s="5">
        <f t="shared" ref="D197:D260" ca="1" si="10">SUMPRODUCT(--(E197:L197&lt;&gt;""))-N197</f>
        <v>0</v>
      </c>
      <c r="E197" t="str">
        <f t="array" aca="1" ref="E197" ca="1">IFERROR(INDEX(Source!$A$1:$A$250,SMALL(IF(--(Source!$B$1:$B$250=$O197)*--(Source!$E$1:$E$250=$M$3)*--(Source!$D$1:$D$250=Pyramid!$M197),ROW(Source!$B$1:$B$250),FALSE),E$3)),"")</f>
        <v/>
      </c>
      <c r="F197" t="str">
        <f t="array" aca="1" ref="F197" ca="1">IFERROR(INDEX(Source!$A$1:$A$250,SMALL(IF(--(Source!$B$1:$B$250=$O197)*--(Source!$E$1:$E$250=$M$3)*--(Source!$D$1:$D$250=Pyramid!$M197),ROW(Source!$B$1:$B$250),FALSE),F$3)),"")</f>
        <v/>
      </c>
      <c r="G197" t="str">
        <f t="array" aca="1" ref="G197" ca="1">IFERROR(INDEX(Source!$A$1:$A$250,SMALL(IF(--(Source!$B$1:$B$250=$O197)*--(Source!$E$1:$E$250=$M$3)*--(Source!$D$1:$D$250=Pyramid!$M197),ROW(Source!$B$1:$B$250),FALSE),G$3)),"")</f>
        <v/>
      </c>
      <c r="H197" t="str">
        <f t="array" aca="1" ref="H197" ca="1">IFERROR(INDEX(Source!$A$1:$A$250,SMALL(IF(--(Source!$B$1:$B$250=$O197)*--(Source!$E$1:$E$250=$M$3)*--(Source!$D$1:$D$250=Pyramid!$M197),ROW(Source!$B$1:$B$250),FALSE),H$3)),"")</f>
        <v/>
      </c>
      <c r="I197" t="str">
        <f t="array" aca="1" ref="I197" ca="1">IFERROR(INDEX(Source!$A$1:$A$250,SMALL(IF(--(Source!$B$1:$B$250=$O197)*--(Source!$E$1:$E$250=$M$3)*--(Source!$D$1:$D$250=Pyramid!$M197),ROW(Source!$B$1:$B$250),FALSE),I$3)),"")</f>
        <v/>
      </c>
      <c r="J197" t="str">
        <f t="array" aca="1" ref="J197" ca="1">IFERROR(INDEX(Source!$A$1:$A$250,SMALL(IF(--(Source!$B$1:$B$250=$O197)*--(Source!$E$1:$E$250=$M$3)*--(Source!$D$1:$D$250=Pyramid!$M197),ROW(Source!$B$1:$B$250),FALSE),J$3)),"")</f>
        <v/>
      </c>
      <c r="K197" t="str">
        <f t="array" aca="1" ref="K197" ca="1">IFERROR(INDEX(Source!$A$1:$A$250,SMALL(IF(--(Source!$B$1:$B$250=$O197)*--(Source!$E$1:$E$250=$M$3)*--(Source!$D$1:$D$250=Pyramid!$M197),ROW(Source!$B$1:$B$250),FALSE),K$3)),"")</f>
        <v/>
      </c>
      <c r="L197" t="str">
        <f t="array" aca="1" ref="L197" ca="1">IFERROR(INDEX(Source!$A$1:$A$250,SMALL(IF(--(Source!$B$1:$B$250=$O197)*--(Source!$E$1:$E$250=$M$3)*--(Source!$D$1:$D$250=Pyramid!$M197),ROW(Source!$B$1:$B$250),FALSE),L$3)),"")</f>
        <v/>
      </c>
      <c r="M197" t="str">
        <f t="shared" ref="M197:Q260" si="11">INDEX($A$4:$A$8,MOD($C197,5)+1)</f>
        <v>29/9/2016</v>
      </c>
      <c r="N197">
        <f ca="1">COUNTIFS(Source!B:B,Pyramid!$O197,Source!$D:$D,Pyramid!$M197,Source!$E:$E,Pyramid!$M$3)</f>
        <v>0</v>
      </c>
      <c r="O197">
        <f ca="1">OFFSET(Sheet2!$N$3,INT(C197/5),)</f>
        <v>20088</v>
      </c>
      <c r="P197">
        <f ca="1">COUNTIFS(Source!B:B,Pyramid!$O197,Source!D:D,Pyramid!$Q197,Source!$E:$E,Pyramid!$Q$3)</f>
        <v>0</v>
      </c>
      <c r="Q197" t="str">
        <f t="shared" si="11"/>
        <v>29/9/2016</v>
      </c>
      <c r="R197" t="str">
        <f t="array" aca="1" ref="R197" ca="1">IFERROR(INDEX(Source!$A$1:$A$250,SMALL(IF(--(Source!$B$1:$B$250=$O197)*--(Source!$E$1:$E$250=$Q$3)*--(Source!$D$1:$D$250=Pyramid!$Q197),ROW(Source!$B$1:$B$250),FALSE),R$3)),"")</f>
        <v/>
      </c>
      <c r="S197" t="str">
        <f t="array" aca="1" ref="S197" ca="1">IFERROR(INDEX(Source!$A$1:$A$250,SMALL(IF(--(Source!$B$1:$B$250=$O197)*--(Source!$E$1:$E$250=$Q$3)*--(Source!$D$1:$D$250=Pyramid!$Q197),ROW(Source!$B$1:$B$250),FALSE),S$3)),"")</f>
        <v/>
      </c>
      <c r="T197" t="str">
        <f t="array" aca="1" ref="T197" ca="1">IFERROR(INDEX(Source!$A$1:$A$250,SMALL(IF(--(Source!$B$1:$B$250=$O197)*--(Source!$E$1:$E$250=$Q$3)*--(Source!$D$1:$D$250=Pyramid!$Q197),ROW(Source!$B$1:$B$250),FALSE),T$3)),"")</f>
        <v/>
      </c>
      <c r="U197" t="str">
        <f t="array" aca="1" ref="U197" ca="1">IFERROR(INDEX(Source!$A$1:$A$250,SMALL(IF(--(Source!$B$1:$B$250=$O197)*--(Source!$E$1:$E$250=$Q$3)*--(Source!$D$1:$D$250=Pyramid!$Q197),ROW(Source!$B$1:$B$250),FALSE),U$3)),"")</f>
        <v/>
      </c>
      <c r="V197" t="str">
        <f t="array" aca="1" ref="V197" ca="1">IFERROR(INDEX(Source!$A$1:$A$250,SMALL(IF(--(Source!$B$1:$B$250=$O197)*--(Source!$E$1:$E$250=$Q$3)*--(Source!$D$1:$D$250=Pyramid!$Q197),ROW(Source!$B$1:$B$250),FALSE),V$3)),"")</f>
        <v/>
      </c>
      <c r="W197" t="str">
        <f t="array" aca="1" ref="W197" ca="1">IFERROR(INDEX(Source!$A$1:$A$250,SMALL(IF(--(Source!$B$1:$B$250=$O197)*--(Source!$E$1:$E$250=$Q$3)*--(Source!$D$1:$D$250=Pyramid!$Q197),ROW(Source!$B$1:$B$250),FALSE),W$3)),"")</f>
        <v/>
      </c>
      <c r="X197" t="str">
        <f t="array" aca="1" ref="X197" ca="1">IFERROR(INDEX(Source!$A$1:$A$250,SMALL(IF(--(Source!$B$1:$B$250=$O197)*--(Source!$E$1:$E$250=$Q$3)*--(Source!$D$1:$D$250=Pyramid!$Q197),ROW(Source!$B$1:$B$250),FALSE),X$3)),"")</f>
        <v/>
      </c>
      <c r="Y197" s="5">
        <f t="shared" ref="Y197:Y260" ca="1" si="12">SUMPRODUCT(--(R197:X197&lt;&gt;""))-P197</f>
        <v>0</v>
      </c>
    </row>
    <row r="198" spans="3:25">
      <c r="C198">
        <v>194</v>
      </c>
      <c r="D198" s="5">
        <f t="shared" ca="1" si="10"/>
        <v>0</v>
      </c>
      <c r="E198" t="str">
        <f t="array" aca="1" ref="E198" ca="1">IFERROR(INDEX(Source!$A$1:$A$250,SMALL(IF(--(Source!$B$1:$B$250=$O198)*--(Source!$E$1:$E$250=$M$3)*--(Source!$D$1:$D$250=Pyramid!$M198),ROW(Source!$B$1:$B$250),FALSE),E$3)),"")</f>
        <v/>
      </c>
      <c r="F198" t="str">
        <f t="array" aca="1" ref="F198" ca="1">IFERROR(INDEX(Source!$A$1:$A$250,SMALL(IF(--(Source!$B$1:$B$250=$O198)*--(Source!$E$1:$E$250=$M$3)*--(Source!$D$1:$D$250=Pyramid!$M198),ROW(Source!$B$1:$B$250),FALSE),F$3)),"")</f>
        <v/>
      </c>
      <c r="G198" t="str">
        <f t="array" aca="1" ref="G198" ca="1">IFERROR(INDEX(Source!$A$1:$A$250,SMALL(IF(--(Source!$B$1:$B$250=$O198)*--(Source!$E$1:$E$250=$M$3)*--(Source!$D$1:$D$250=Pyramid!$M198),ROW(Source!$B$1:$B$250),FALSE),G$3)),"")</f>
        <v/>
      </c>
      <c r="H198" t="str">
        <f t="array" aca="1" ref="H198" ca="1">IFERROR(INDEX(Source!$A$1:$A$250,SMALL(IF(--(Source!$B$1:$B$250=$O198)*--(Source!$E$1:$E$250=$M$3)*--(Source!$D$1:$D$250=Pyramid!$M198),ROW(Source!$B$1:$B$250),FALSE),H$3)),"")</f>
        <v/>
      </c>
      <c r="I198" t="str">
        <f t="array" aca="1" ref="I198" ca="1">IFERROR(INDEX(Source!$A$1:$A$250,SMALL(IF(--(Source!$B$1:$B$250=$O198)*--(Source!$E$1:$E$250=$M$3)*--(Source!$D$1:$D$250=Pyramid!$M198),ROW(Source!$B$1:$B$250),FALSE),I$3)),"")</f>
        <v/>
      </c>
      <c r="J198" t="str">
        <f t="array" aca="1" ref="J198" ca="1">IFERROR(INDEX(Source!$A$1:$A$250,SMALL(IF(--(Source!$B$1:$B$250=$O198)*--(Source!$E$1:$E$250=$M$3)*--(Source!$D$1:$D$250=Pyramid!$M198),ROW(Source!$B$1:$B$250),FALSE),J$3)),"")</f>
        <v/>
      </c>
      <c r="K198" t="str">
        <f t="array" aca="1" ref="K198" ca="1">IFERROR(INDEX(Source!$A$1:$A$250,SMALL(IF(--(Source!$B$1:$B$250=$O198)*--(Source!$E$1:$E$250=$M$3)*--(Source!$D$1:$D$250=Pyramid!$M198),ROW(Source!$B$1:$B$250),FALSE),K$3)),"")</f>
        <v/>
      </c>
      <c r="L198" t="str">
        <f t="array" aca="1" ref="L198" ca="1">IFERROR(INDEX(Source!$A$1:$A$250,SMALL(IF(--(Source!$B$1:$B$250=$O198)*--(Source!$E$1:$E$250=$M$3)*--(Source!$D$1:$D$250=Pyramid!$M198),ROW(Source!$B$1:$B$250),FALSE),L$3)),"")</f>
        <v/>
      </c>
      <c r="M198" t="str">
        <f t="shared" si="11"/>
        <v>28/10/2016</v>
      </c>
      <c r="N198">
        <f ca="1">COUNTIFS(Source!B:B,Pyramid!$O198,Source!$D:$D,Pyramid!$M198,Source!$E:$E,Pyramid!$M$3)</f>
        <v>0</v>
      </c>
      <c r="O198">
        <f ca="1">OFFSET(Sheet2!$N$3,INT(C198/5),)</f>
        <v>20088</v>
      </c>
      <c r="P198">
        <f ca="1">COUNTIFS(Source!B:B,Pyramid!$O198,Source!D:D,Pyramid!$Q198,Source!$E:$E,Pyramid!$Q$3)</f>
        <v>0</v>
      </c>
      <c r="Q198" t="str">
        <f t="shared" si="11"/>
        <v>28/10/2016</v>
      </c>
      <c r="R198" t="str">
        <f t="array" aca="1" ref="R198" ca="1">IFERROR(INDEX(Source!$A$1:$A$250,SMALL(IF(--(Source!$B$1:$B$250=$O198)*--(Source!$E$1:$E$250=$Q$3)*--(Source!$D$1:$D$250=Pyramid!$Q198),ROW(Source!$B$1:$B$250),FALSE),R$3)),"")</f>
        <v/>
      </c>
      <c r="S198" t="str">
        <f t="array" aca="1" ref="S198" ca="1">IFERROR(INDEX(Source!$A$1:$A$250,SMALL(IF(--(Source!$B$1:$B$250=$O198)*--(Source!$E$1:$E$250=$Q$3)*--(Source!$D$1:$D$250=Pyramid!$Q198),ROW(Source!$B$1:$B$250),FALSE),S$3)),"")</f>
        <v/>
      </c>
      <c r="T198" t="str">
        <f t="array" aca="1" ref="T198" ca="1">IFERROR(INDEX(Source!$A$1:$A$250,SMALL(IF(--(Source!$B$1:$B$250=$O198)*--(Source!$E$1:$E$250=$Q$3)*--(Source!$D$1:$D$250=Pyramid!$Q198),ROW(Source!$B$1:$B$250),FALSE),T$3)),"")</f>
        <v/>
      </c>
      <c r="U198" t="str">
        <f t="array" aca="1" ref="U198" ca="1">IFERROR(INDEX(Source!$A$1:$A$250,SMALL(IF(--(Source!$B$1:$B$250=$O198)*--(Source!$E$1:$E$250=$Q$3)*--(Source!$D$1:$D$250=Pyramid!$Q198),ROW(Source!$B$1:$B$250),FALSE),U$3)),"")</f>
        <v/>
      </c>
      <c r="V198" t="str">
        <f t="array" aca="1" ref="V198" ca="1">IFERROR(INDEX(Source!$A$1:$A$250,SMALL(IF(--(Source!$B$1:$B$250=$O198)*--(Source!$E$1:$E$250=$Q$3)*--(Source!$D$1:$D$250=Pyramid!$Q198),ROW(Source!$B$1:$B$250),FALSE),V$3)),"")</f>
        <v/>
      </c>
      <c r="W198" t="str">
        <f t="array" aca="1" ref="W198" ca="1">IFERROR(INDEX(Source!$A$1:$A$250,SMALL(IF(--(Source!$B$1:$B$250=$O198)*--(Source!$E$1:$E$250=$Q$3)*--(Source!$D$1:$D$250=Pyramid!$Q198),ROW(Source!$B$1:$B$250),FALSE),W$3)),"")</f>
        <v/>
      </c>
      <c r="X198" t="str">
        <f t="array" aca="1" ref="X198" ca="1">IFERROR(INDEX(Source!$A$1:$A$250,SMALL(IF(--(Source!$B$1:$B$250=$O198)*--(Source!$E$1:$E$250=$Q$3)*--(Source!$D$1:$D$250=Pyramid!$Q198),ROW(Source!$B$1:$B$250),FALSE),X$3)),"")</f>
        <v/>
      </c>
      <c r="Y198" s="5">
        <f t="shared" ca="1" si="12"/>
        <v>0</v>
      </c>
    </row>
    <row r="199" spans="3:25">
      <c r="C199">
        <v>195</v>
      </c>
      <c r="D199" s="5">
        <f t="shared" ca="1" si="10"/>
        <v>0</v>
      </c>
      <c r="E199" t="str">
        <f t="array" aca="1" ref="E199" ca="1">IFERROR(INDEX(Source!$A$1:$A$250,SMALL(IF(--(Source!$B$1:$B$250=$O199)*--(Source!$E$1:$E$250=$M$3)*--(Source!$D$1:$D$250=Pyramid!$M199),ROW(Source!$B$1:$B$250),FALSE),E$3)),"")</f>
        <v/>
      </c>
      <c r="F199" t="str">
        <f t="array" aca="1" ref="F199" ca="1">IFERROR(INDEX(Source!$A$1:$A$250,SMALL(IF(--(Source!$B$1:$B$250=$O199)*--(Source!$E$1:$E$250=$M$3)*--(Source!$D$1:$D$250=Pyramid!$M199),ROW(Source!$B$1:$B$250),FALSE),F$3)),"")</f>
        <v/>
      </c>
      <c r="G199" t="str">
        <f t="array" aca="1" ref="G199" ca="1">IFERROR(INDEX(Source!$A$1:$A$250,SMALL(IF(--(Source!$B$1:$B$250=$O199)*--(Source!$E$1:$E$250=$M$3)*--(Source!$D$1:$D$250=Pyramid!$M199),ROW(Source!$B$1:$B$250),FALSE),G$3)),"")</f>
        <v/>
      </c>
      <c r="H199" t="str">
        <f t="array" aca="1" ref="H199" ca="1">IFERROR(INDEX(Source!$A$1:$A$250,SMALL(IF(--(Source!$B$1:$B$250=$O199)*--(Source!$E$1:$E$250=$M$3)*--(Source!$D$1:$D$250=Pyramid!$M199),ROW(Source!$B$1:$B$250),FALSE),H$3)),"")</f>
        <v/>
      </c>
      <c r="I199" t="str">
        <f t="array" aca="1" ref="I199" ca="1">IFERROR(INDEX(Source!$A$1:$A$250,SMALL(IF(--(Source!$B$1:$B$250=$O199)*--(Source!$E$1:$E$250=$M$3)*--(Source!$D$1:$D$250=Pyramid!$M199),ROW(Source!$B$1:$B$250),FALSE),I$3)),"")</f>
        <v/>
      </c>
      <c r="J199" t="str">
        <f t="array" aca="1" ref="J199" ca="1">IFERROR(INDEX(Source!$A$1:$A$250,SMALL(IF(--(Source!$B$1:$B$250=$O199)*--(Source!$E$1:$E$250=$M$3)*--(Source!$D$1:$D$250=Pyramid!$M199),ROW(Source!$B$1:$B$250),FALSE),J$3)),"")</f>
        <v/>
      </c>
      <c r="K199" t="str">
        <f t="array" aca="1" ref="K199" ca="1">IFERROR(INDEX(Source!$A$1:$A$250,SMALL(IF(--(Source!$B$1:$B$250=$O199)*--(Source!$E$1:$E$250=$M$3)*--(Source!$D$1:$D$250=Pyramid!$M199),ROW(Source!$B$1:$B$250),FALSE),K$3)),"")</f>
        <v/>
      </c>
      <c r="L199" t="str">
        <f t="array" aca="1" ref="L199" ca="1">IFERROR(INDEX(Source!$A$1:$A$250,SMALL(IF(--(Source!$B$1:$B$250=$O199)*--(Source!$E$1:$E$250=$M$3)*--(Source!$D$1:$D$250=Pyramid!$M199),ROW(Source!$B$1:$B$250),FALSE),L$3)),"")</f>
        <v/>
      </c>
      <c r="M199" t="str">
        <f t="shared" si="11"/>
        <v>29/6/2016</v>
      </c>
      <c r="N199">
        <f ca="1">COUNTIFS(Source!B:B,Pyramid!$O199,Source!$D:$D,Pyramid!$M199,Source!$E:$E,Pyramid!$M$3)</f>
        <v>0</v>
      </c>
      <c r="O199">
        <f ca="1">OFFSET(Sheet2!$N$3,INT(C199/5),)</f>
        <v>20200</v>
      </c>
      <c r="P199">
        <f ca="1">COUNTIFS(Source!B:B,Pyramid!$O199,Source!D:D,Pyramid!$Q199,Source!$E:$E,Pyramid!$Q$3)</f>
        <v>0</v>
      </c>
      <c r="Q199" t="str">
        <f t="shared" si="11"/>
        <v>29/6/2016</v>
      </c>
      <c r="R199" t="str">
        <f t="array" aca="1" ref="R199" ca="1">IFERROR(INDEX(Source!$A$1:$A$250,SMALL(IF(--(Source!$B$1:$B$250=$O199)*--(Source!$E$1:$E$250=$Q$3)*--(Source!$D$1:$D$250=Pyramid!$Q199),ROW(Source!$B$1:$B$250),FALSE),R$3)),"")</f>
        <v/>
      </c>
      <c r="S199" t="str">
        <f t="array" aca="1" ref="S199" ca="1">IFERROR(INDEX(Source!$A$1:$A$250,SMALL(IF(--(Source!$B$1:$B$250=$O199)*--(Source!$E$1:$E$250=$Q$3)*--(Source!$D$1:$D$250=Pyramid!$Q199),ROW(Source!$B$1:$B$250),FALSE),S$3)),"")</f>
        <v/>
      </c>
      <c r="T199" t="str">
        <f t="array" aca="1" ref="T199" ca="1">IFERROR(INDEX(Source!$A$1:$A$250,SMALL(IF(--(Source!$B$1:$B$250=$O199)*--(Source!$E$1:$E$250=$Q$3)*--(Source!$D$1:$D$250=Pyramid!$Q199),ROW(Source!$B$1:$B$250),FALSE),T$3)),"")</f>
        <v/>
      </c>
      <c r="U199" t="str">
        <f t="array" aca="1" ref="U199" ca="1">IFERROR(INDEX(Source!$A$1:$A$250,SMALL(IF(--(Source!$B$1:$B$250=$O199)*--(Source!$E$1:$E$250=$Q$3)*--(Source!$D$1:$D$250=Pyramid!$Q199),ROW(Source!$B$1:$B$250),FALSE),U$3)),"")</f>
        <v/>
      </c>
      <c r="V199" t="str">
        <f t="array" aca="1" ref="V199" ca="1">IFERROR(INDEX(Source!$A$1:$A$250,SMALL(IF(--(Source!$B$1:$B$250=$O199)*--(Source!$E$1:$E$250=$Q$3)*--(Source!$D$1:$D$250=Pyramid!$Q199),ROW(Source!$B$1:$B$250),FALSE),V$3)),"")</f>
        <v/>
      </c>
      <c r="W199" t="str">
        <f t="array" aca="1" ref="W199" ca="1">IFERROR(INDEX(Source!$A$1:$A$250,SMALL(IF(--(Source!$B$1:$B$250=$O199)*--(Source!$E$1:$E$250=$Q$3)*--(Source!$D$1:$D$250=Pyramid!$Q199),ROW(Source!$B$1:$B$250),FALSE),W$3)),"")</f>
        <v/>
      </c>
      <c r="X199" t="str">
        <f t="array" aca="1" ref="X199" ca="1">IFERROR(INDEX(Source!$A$1:$A$250,SMALL(IF(--(Source!$B$1:$B$250=$O199)*--(Source!$E$1:$E$250=$Q$3)*--(Source!$D$1:$D$250=Pyramid!$Q199),ROW(Source!$B$1:$B$250),FALSE),X$3)),"")</f>
        <v/>
      </c>
      <c r="Y199" s="5">
        <f t="shared" ca="1" si="12"/>
        <v>0</v>
      </c>
    </row>
    <row r="200" spans="3:25">
      <c r="C200">
        <v>196</v>
      </c>
      <c r="D200" s="5">
        <f t="shared" ca="1" si="10"/>
        <v>0</v>
      </c>
      <c r="E200" t="str">
        <f t="array" aca="1" ref="E200" ca="1">IFERROR(INDEX(Source!$A$1:$A$250,SMALL(IF(--(Source!$B$1:$B$250=$O200)*--(Source!$E$1:$E$250=$M$3)*--(Source!$D$1:$D$250=Pyramid!$M200),ROW(Source!$B$1:$B$250),FALSE),E$3)),"")</f>
        <v/>
      </c>
      <c r="F200" t="str">
        <f t="array" aca="1" ref="F200" ca="1">IFERROR(INDEX(Source!$A$1:$A$250,SMALL(IF(--(Source!$B$1:$B$250=$O200)*--(Source!$E$1:$E$250=$M$3)*--(Source!$D$1:$D$250=Pyramid!$M200),ROW(Source!$B$1:$B$250),FALSE),F$3)),"")</f>
        <v/>
      </c>
      <c r="G200" t="str">
        <f t="array" aca="1" ref="G200" ca="1">IFERROR(INDEX(Source!$A$1:$A$250,SMALL(IF(--(Source!$B$1:$B$250=$O200)*--(Source!$E$1:$E$250=$M$3)*--(Source!$D$1:$D$250=Pyramid!$M200),ROW(Source!$B$1:$B$250),FALSE),G$3)),"")</f>
        <v/>
      </c>
      <c r="H200" t="str">
        <f t="array" aca="1" ref="H200" ca="1">IFERROR(INDEX(Source!$A$1:$A$250,SMALL(IF(--(Source!$B$1:$B$250=$O200)*--(Source!$E$1:$E$250=$M$3)*--(Source!$D$1:$D$250=Pyramid!$M200),ROW(Source!$B$1:$B$250),FALSE),H$3)),"")</f>
        <v/>
      </c>
      <c r="I200" t="str">
        <f t="array" aca="1" ref="I200" ca="1">IFERROR(INDEX(Source!$A$1:$A$250,SMALL(IF(--(Source!$B$1:$B$250=$O200)*--(Source!$E$1:$E$250=$M$3)*--(Source!$D$1:$D$250=Pyramid!$M200),ROW(Source!$B$1:$B$250),FALSE),I$3)),"")</f>
        <v/>
      </c>
      <c r="J200" t="str">
        <f t="array" aca="1" ref="J200" ca="1">IFERROR(INDEX(Source!$A$1:$A$250,SMALL(IF(--(Source!$B$1:$B$250=$O200)*--(Source!$E$1:$E$250=$M$3)*--(Source!$D$1:$D$250=Pyramid!$M200),ROW(Source!$B$1:$B$250),FALSE),J$3)),"")</f>
        <v/>
      </c>
      <c r="K200" t="str">
        <f t="array" aca="1" ref="K200" ca="1">IFERROR(INDEX(Source!$A$1:$A$250,SMALL(IF(--(Source!$B$1:$B$250=$O200)*--(Source!$E$1:$E$250=$M$3)*--(Source!$D$1:$D$250=Pyramid!$M200),ROW(Source!$B$1:$B$250),FALSE),K$3)),"")</f>
        <v/>
      </c>
      <c r="L200" t="str">
        <f t="array" aca="1" ref="L200" ca="1">IFERROR(INDEX(Source!$A$1:$A$250,SMALL(IF(--(Source!$B$1:$B$250=$O200)*--(Source!$E$1:$E$250=$M$3)*--(Source!$D$1:$D$250=Pyramid!$M200),ROW(Source!$B$1:$B$250),FALSE),L$3)),"")</f>
        <v/>
      </c>
      <c r="M200" t="str">
        <f t="shared" si="11"/>
        <v>28/7/2016</v>
      </c>
      <c r="N200">
        <f ca="1">COUNTIFS(Source!B:B,Pyramid!$O200,Source!$D:$D,Pyramid!$M200,Source!$E:$E,Pyramid!$M$3)</f>
        <v>0</v>
      </c>
      <c r="O200">
        <f ca="1">OFFSET(Sheet2!$N$3,INT(C200/5),)</f>
        <v>20200</v>
      </c>
      <c r="P200">
        <f ca="1">COUNTIFS(Source!B:B,Pyramid!$O200,Source!D:D,Pyramid!$Q200,Source!$E:$E,Pyramid!$Q$3)</f>
        <v>0</v>
      </c>
      <c r="Q200" t="str">
        <f t="shared" si="11"/>
        <v>28/7/2016</v>
      </c>
      <c r="R200" t="str">
        <f t="array" aca="1" ref="R200" ca="1">IFERROR(INDEX(Source!$A$1:$A$250,SMALL(IF(--(Source!$B$1:$B$250=$O200)*--(Source!$E$1:$E$250=$Q$3)*--(Source!$D$1:$D$250=Pyramid!$Q200),ROW(Source!$B$1:$B$250),FALSE),R$3)),"")</f>
        <v/>
      </c>
      <c r="S200" t="str">
        <f t="array" aca="1" ref="S200" ca="1">IFERROR(INDEX(Source!$A$1:$A$250,SMALL(IF(--(Source!$B$1:$B$250=$O200)*--(Source!$E$1:$E$250=$Q$3)*--(Source!$D$1:$D$250=Pyramid!$Q200),ROW(Source!$B$1:$B$250),FALSE),S$3)),"")</f>
        <v/>
      </c>
      <c r="T200" t="str">
        <f t="array" aca="1" ref="T200" ca="1">IFERROR(INDEX(Source!$A$1:$A$250,SMALL(IF(--(Source!$B$1:$B$250=$O200)*--(Source!$E$1:$E$250=$Q$3)*--(Source!$D$1:$D$250=Pyramid!$Q200),ROW(Source!$B$1:$B$250),FALSE),T$3)),"")</f>
        <v/>
      </c>
      <c r="U200" t="str">
        <f t="array" aca="1" ref="U200" ca="1">IFERROR(INDEX(Source!$A$1:$A$250,SMALL(IF(--(Source!$B$1:$B$250=$O200)*--(Source!$E$1:$E$250=$Q$3)*--(Source!$D$1:$D$250=Pyramid!$Q200),ROW(Source!$B$1:$B$250),FALSE),U$3)),"")</f>
        <v/>
      </c>
      <c r="V200" t="str">
        <f t="array" aca="1" ref="V200" ca="1">IFERROR(INDEX(Source!$A$1:$A$250,SMALL(IF(--(Source!$B$1:$B$250=$O200)*--(Source!$E$1:$E$250=$Q$3)*--(Source!$D$1:$D$250=Pyramid!$Q200),ROW(Source!$B$1:$B$250),FALSE),V$3)),"")</f>
        <v/>
      </c>
      <c r="W200" t="str">
        <f t="array" aca="1" ref="W200" ca="1">IFERROR(INDEX(Source!$A$1:$A$250,SMALL(IF(--(Source!$B$1:$B$250=$O200)*--(Source!$E$1:$E$250=$Q$3)*--(Source!$D$1:$D$250=Pyramid!$Q200),ROW(Source!$B$1:$B$250),FALSE),W$3)),"")</f>
        <v/>
      </c>
      <c r="X200" t="str">
        <f t="array" aca="1" ref="X200" ca="1">IFERROR(INDEX(Source!$A$1:$A$250,SMALL(IF(--(Source!$B$1:$B$250=$O200)*--(Source!$E$1:$E$250=$Q$3)*--(Source!$D$1:$D$250=Pyramid!$Q200),ROW(Source!$B$1:$B$250),FALSE),X$3)),"")</f>
        <v/>
      </c>
      <c r="Y200" s="5">
        <f t="shared" ca="1" si="12"/>
        <v>0</v>
      </c>
    </row>
    <row r="201" spans="3:25">
      <c r="C201">
        <v>197</v>
      </c>
      <c r="D201" s="5">
        <f t="shared" ca="1" si="10"/>
        <v>0</v>
      </c>
      <c r="E201" t="str">
        <f t="array" aca="1" ref="E201" ca="1">IFERROR(INDEX(Source!$A$1:$A$250,SMALL(IF(--(Source!$B$1:$B$250=$O201)*--(Source!$E$1:$E$250=$M$3)*--(Source!$D$1:$D$250=Pyramid!$M201),ROW(Source!$B$1:$B$250),FALSE),E$3)),"")</f>
        <v/>
      </c>
      <c r="F201" t="str">
        <f t="array" aca="1" ref="F201" ca="1">IFERROR(INDEX(Source!$A$1:$A$250,SMALL(IF(--(Source!$B$1:$B$250=$O201)*--(Source!$E$1:$E$250=$M$3)*--(Source!$D$1:$D$250=Pyramid!$M201),ROW(Source!$B$1:$B$250),FALSE),F$3)),"")</f>
        <v/>
      </c>
      <c r="G201" t="str">
        <f t="array" aca="1" ref="G201" ca="1">IFERROR(INDEX(Source!$A$1:$A$250,SMALL(IF(--(Source!$B$1:$B$250=$O201)*--(Source!$E$1:$E$250=$M$3)*--(Source!$D$1:$D$250=Pyramid!$M201),ROW(Source!$B$1:$B$250),FALSE),G$3)),"")</f>
        <v/>
      </c>
      <c r="H201" t="str">
        <f t="array" aca="1" ref="H201" ca="1">IFERROR(INDEX(Source!$A$1:$A$250,SMALL(IF(--(Source!$B$1:$B$250=$O201)*--(Source!$E$1:$E$250=$M$3)*--(Source!$D$1:$D$250=Pyramid!$M201),ROW(Source!$B$1:$B$250),FALSE),H$3)),"")</f>
        <v/>
      </c>
      <c r="I201" t="str">
        <f t="array" aca="1" ref="I201" ca="1">IFERROR(INDEX(Source!$A$1:$A$250,SMALL(IF(--(Source!$B$1:$B$250=$O201)*--(Source!$E$1:$E$250=$M$3)*--(Source!$D$1:$D$250=Pyramid!$M201),ROW(Source!$B$1:$B$250),FALSE),I$3)),"")</f>
        <v/>
      </c>
      <c r="J201" t="str">
        <f t="array" aca="1" ref="J201" ca="1">IFERROR(INDEX(Source!$A$1:$A$250,SMALL(IF(--(Source!$B$1:$B$250=$O201)*--(Source!$E$1:$E$250=$M$3)*--(Source!$D$1:$D$250=Pyramid!$M201),ROW(Source!$B$1:$B$250),FALSE),J$3)),"")</f>
        <v/>
      </c>
      <c r="K201" t="str">
        <f t="array" aca="1" ref="K201" ca="1">IFERROR(INDEX(Source!$A$1:$A$250,SMALL(IF(--(Source!$B$1:$B$250=$O201)*--(Source!$E$1:$E$250=$M$3)*--(Source!$D$1:$D$250=Pyramid!$M201),ROW(Source!$B$1:$B$250),FALSE),K$3)),"")</f>
        <v>25787 HK Equity</v>
      </c>
      <c r="L201" t="str">
        <f t="array" aca="1" ref="L201" ca="1">IFERROR(INDEX(Source!$A$1:$A$250,SMALL(IF(--(Source!$B$1:$B$250=$O201)*--(Source!$E$1:$E$250=$M$3)*--(Source!$D$1:$D$250=Pyramid!$M201),ROW(Source!$B$1:$B$250),FALSE),L$3)),"")</f>
        <v>27286 HK Equity</v>
      </c>
      <c r="M201" t="str">
        <f t="shared" si="11"/>
        <v>30/8/2016</v>
      </c>
      <c r="N201">
        <f ca="1">COUNTIFS(Source!B:B,Pyramid!$O201,Source!$D:$D,Pyramid!$M201,Source!$E:$E,Pyramid!$M$3)</f>
        <v>2</v>
      </c>
      <c r="O201">
        <f ca="1">OFFSET(Sheet2!$N$3,INT(C201/5),)</f>
        <v>20200</v>
      </c>
      <c r="P201">
        <f ca="1">COUNTIFS(Source!B:B,Pyramid!$O201,Source!D:D,Pyramid!$Q201,Source!$E:$E,Pyramid!$Q$3)</f>
        <v>0</v>
      </c>
      <c r="Q201" t="str">
        <f t="shared" si="11"/>
        <v>30/8/2016</v>
      </c>
      <c r="R201" t="str">
        <f t="array" aca="1" ref="R201" ca="1">IFERROR(INDEX(Source!$A$1:$A$250,SMALL(IF(--(Source!$B$1:$B$250=$O201)*--(Source!$E$1:$E$250=$Q$3)*--(Source!$D$1:$D$250=Pyramid!$Q201),ROW(Source!$B$1:$B$250),FALSE),R$3)),"")</f>
        <v/>
      </c>
      <c r="S201" t="str">
        <f t="array" aca="1" ref="S201" ca="1">IFERROR(INDEX(Source!$A$1:$A$250,SMALL(IF(--(Source!$B$1:$B$250=$O201)*--(Source!$E$1:$E$250=$Q$3)*--(Source!$D$1:$D$250=Pyramid!$Q201),ROW(Source!$B$1:$B$250),FALSE),S$3)),"")</f>
        <v/>
      </c>
      <c r="T201" t="str">
        <f t="array" aca="1" ref="T201" ca="1">IFERROR(INDEX(Source!$A$1:$A$250,SMALL(IF(--(Source!$B$1:$B$250=$O201)*--(Source!$E$1:$E$250=$Q$3)*--(Source!$D$1:$D$250=Pyramid!$Q201),ROW(Source!$B$1:$B$250),FALSE),T$3)),"")</f>
        <v/>
      </c>
      <c r="U201" t="str">
        <f t="array" aca="1" ref="U201" ca="1">IFERROR(INDEX(Source!$A$1:$A$250,SMALL(IF(--(Source!$B$1:$B$250=$O201)*--(Source!$E$1:$E$250=$Q$3)*--(Source!$D$1:$D$250=Pyramid!$Q201),ROW(Source!$B$1:$B$250),FALSE),U$3)),"")</f>
        <v/>
      </c>
      <c r="V201" t="str">
        <f t="array" aca="1" ref="V201" ca="1">IFERROR(INDEX(Source!$A$1:$A$250,SMALL(IF(--(Source!$B$1:$B$250=$O201)*--(Source!$E$1:$E$250=$Q$3)*--(Source!$D$1:$D$250=Pyramid!$Q201),ROW(Source!$B$1:$B$250),FALSE),V$3)),"")</f>
        <v/>
      </c>
      <c r="W201" t="str">
        <f t="array" aca="1" ref="W201" ca="1">IFERROR(INDEX(Source!$A$1:$A$250,SMALL(IF(--(Source!$B$1:$B$250=$O201)*--(Source!$E$1:$E$250=$Q$3)*--(Source!$D$1:$D$250=Pyramid!$Q201),ROW(Source!$B$1:$B$250),FALSE),W$3)),"")</f>
        <v/>
      </c>
      <c r="X201" t="str">
        <f t="array" aca="1" ref="X201" ca="1">IFERROR(INDEX(Source!$A$1:$A$250,SMALL(IF(--(Source!$B$1:$B$250=$O201)*--(Source!$E$1:$E$250=$Q$3)*--(Source!$D$1:$D$250=Pyramid!$Q201),ROW(Source!$B$1:$B$250),FALSE),X$3)),"")</f>
        <v/>
      </c>
      <c r="Y201" s="5">
        <f t="shared" ca="1" si="12"/>
        <v>0</v>
      </c>
    </row>
    <row r="202" spans="3:25">
      <c r="C202">
        <v>198</v>
      </c>
      <c r="D202" s="5">
        <f t="shared" ca="1" si="10"/>
        <v>0</v>
      </c>
      <c r="E202" t="str">
        <f t="array" aca="1" ref="E202" ca="1">IFERROR(INDEX(Source!$A$1:$A$250,SMALL(IF(--(Source!$B$1:$B$250=$O202)*--(Source!$E$1:$E$250=$M$3)*--(Source!$D$1:$D$250=Pyramid!$M202),ROW(Source!$B$1:$B$250),FALSE),E$3)),"")</f>
        <v/>
      </c>
      <c r="F202" t="str">
        <f t="array" aca="1" ref="F202" ca="1">IFERROR(INDEX(Source!$A$1:$A$250,SMALL(IF(--(Source!$B$1:$B$250=$O202)*--(Source!$E$1:$E$250=$M$3)*--(Source!$D$1:$D$250=Pyramid!$M202),ROW(Source!$B$1:$B$250),FALSE),F$3)),"")</f>
        <v/>
      </c>
      <c r="G202" t="str">
        <f t="array" aca="1" ref="G202" ca="1">IFERROR(INDEX(Source!$A$1:$A$250,SMALL(IF(--(Source!$B$1:$B$250=$O202)*--(Source!$E$1:$E$250=$M$3)*--(Source!$D$1:$D$250=Pyramid!$M202),ROW(Source!$B$1:$B$250),FALSE),G$3)),"")</f>
        <v/>
      </c>
      <c r="H202" t="str">
        <f t="array" aca="1" ref="H202" ca="1">IFERROR(INDEX(Source!$A$1:$A$250,SMALL(IF(--(Source!$B$1:$B$250=$O202)*--(Source!$E$1:$E$250=$M$3)*--(Source!$D$1:$D$250=Pyramid!$M202),ROW(Source!$B$1:$B$250),FALSE),H$3)),"")</f>
        <v/>
      </c>
      <c r="I202" t="str">
        <f t="array" aca="1" ref="I202" ca="1">IFERROR(INDEX(Source!$A$1:$A$250,SMALL(IF(--(Source!$B$1:$B$250=$O202)*--(Source!$E$1:$E$250=$M$3)*--(Source!$D$1:$D$250=Pyramid!$M202),ROW(Source!$B$1:$B$250),FALSE),I$3)),"")</f>
        <v/>
      </c>
      <c r="J202" t="str">
        <f t="array" aca="1" ref="J202" ca="1">IFERROR(INDEX(Source!$A$1:$A$250,SMALL(IF(--(Source!$B$1:$B$250=$O202)*--(Source!$E$1:$E$250=$M$3)*--(Source!$D$1:$D$250=Pyramid!$M202),ROW(Source!$B$1:$B$250),FALSE),J$3)),"")</f>
        <v/>
      </c>
      <c r="K202" t="str">
        <f t="array" aca="1" ref="K202" ca="1">IFERROR(INDEX(Source!$A$1:$A$250,SMALL(IF(--(Source!$B$1:$B$250=$O202)*--(Source!$E$1:$E$250=$M$3)*--(Source!$D$1:$D$250=Pyramid!$M202),ROW(Source!$B$1:$B$250),FALSE),K$3)),"")</f>
        <v>26589 HK Equity</v>
      </c>
      <c r="L202" t="str">
        <f t="array" aca="1" ref="L202" ca="1">IFERROR(INDEX(Source!$A$1:$A$250,SMALL(IF(--(Source!$B$1:$B$250=$O202)*--(Source!$E$1:$E$250=$M$3)*--(Source!$D$1:$D$250=Pyramid!$M202),ROW(Source!$B$1:$B$250),FALSE),L$3)),"")</f>
        <v>25803 HK Equity</v>
      </c>
      <c r="M202" t="str">
        <f t="shared" si="11"/>
        <v>29/9/2016</v>
      </c>
      <c r="N202">
        <f ca="1">COUNTIFS(Source!B:B,Pyramid!$O202,Source!$D:$D,Pyramid!$M202,Source!$E:$E,Pyramid!$M$3)</f>
        <v>2</v>
      </c>
      <c r="O202">
        <f ca="1">OFFSET(Sheet2!$N$3,INT(C202/5),)</f>
        <v>20200</v>
      </c>
      <c r="P202">
        <f ca="1">COUNTIFS(Source!B:B,Pyramid!$O202,Source!D:D,Pyramid!$Q202,Source!$E:$E,Pyramid!$Q$3)</f>
        <v>0</v>
      </c>
      <c r="Q202" t="str">
        <f t="shared" si="11"/>
        <v>29/9/2016</v>
      </c>
      <c r="R202" t="str">
        <f t="array" aca="1" ref="R202" ca="1">IFERROR(INDEX(Source!$A$1:$A$250,SMALL(IF(--(Source!$B$1:$B$250=$O202)*--(Source!$E$1:$E$250=$Q$3)*--(Source!$D$1:$D$250=Pyramid!$Q202),ROW(Source!$B$1:$B$250),FALSE),R$3)),"")</f>
        <v/>
      </c>
      <c r="S202" t="str">
        <f t="array" aca="1" ref="S202" ca="1">IFERROR(INDEX(Source!$A$1:$A$250,SMALL(IF(--(Source!$B$1:$B$250=$O202)*--(Source!$E$1:$E$250=$Q$3)*--(Source!$D$1:$D$250=Pyramid!$Q202),ROW(Source!$B$1:$B$250),FALSE),S$3)),"")</f>
        <v/>
      </c>
      <c r="T202" t="str">
        <f t="array" aca="1" ref="T202" ca="1">IFERROR(INDEX(Source!$A$1:$A$250,SMALL(IF(--(Source!$B$1:$B$250=$O202)*--(Source!$E$1:$E$250=$Q$3)*--(Source!$D$1:$D$250=Pyramid!$Q202),ROW(Source!$B$1:$B$250),FALSE),T$3)),"")</f>
        <v/>
      </c>
      <c r="U202" t="str">
        <f t="array" aca="1" ref="U202" ca="1">IFERROR(INDEX(Source!$A$1:$A$250,SMALL(IF(--(Source!$B$1:$B$250=$O202)*--(Source!$E$1:$E$250=$Q$3)*--(Source!$D$1:$D$250=Pyramid!$Q202),ROW(Source!$B$1:$B$250),FALSE),U$3)),"")</f>
        <v/>
      </c>
      <c r="V202" t="str">
        <f t="array" aca="1" ref="V202" ca="1">IFERROR(INDEX(Source!$A$1:$A$250,SMALL(IF(--(Source!$B$1:$B$250=$O202)*--(Source!$E$1:$E$250=$Q$3)*--(Source!$D$1:$D$250=Pyramid!$Q202),ROW(Source!$B$1:$B$250),FALSE),V$3)),"")</f>
        <v/>
      </c>
      <c r="W202" t="str">
        <f t="array" aca="1" ref="W202" ca="1">IFERROR(INDEX(Source!$A$1:$A$250,SMALL(IF(--(Source!$B$1:$B$250=$O202)*--(Source!$E$1:$E$250=$Q$3)*--(Source!$D$1:$D$250=Pyramid!$Q202),ROW(Source!$B$1:$B$250),FALSE),W$3)),"")</f>
        <v/>
      </c>
      <c r="X202" t="str">
        <f t="array" aca="1" ref="X202" ca="1">IFERROR(INDEX(Source!$A$1:$A$250,SMALL(IF(--(Source!$B$1:$B$250=$O202)*--(Source!$E$1:$E$250=$Q$3)*--(Source!$D$1:$D$250=Pyramid!$Q202),ROW(Source!$B$1:$B$250),FALSE),X$3)),"")</f>
        <v/>
      </c>
      <c r="Y202" s="5">
        <f t="shared" ca="1" si="12"/>
        <v>0</v>
      </c>
    </row>
    <row r="203" spans="3:25">
      <c r="C203">
        <v>199</v>
      </c>
      <c r="D203" s="5">
        <f t="shared" ca="1" si="10"/>
        <v>0</v>
      </c>
      <c r="E203" t="str">
        <f t="array" aca="1" ref="E203" ca="1">IFERROR(INDEX(Source!$A$1:$A$250,SMALL(IF(--(Source!$B$1:$B$250=$O203)*--(Source!$E$1:$E$250=$M$3)*--(Source!$D$1:$D$250=Pyramid!$M203),ROW(Source!$B$1:$B$250),FALSE),E$3)),"")</f>
        <v/>
      </c>
      <c r="F203" t="str">
        <f t="array" aca="1" ref="F203" ca="1">IFERROR(INDEX(Source!$A$1:$A$250,SMALL(IF(--(Source!$B$1:$B$250=$O203)*--(Source!$E$1:$E$250=$M$3)*--(Source!$D$1:$D$250=Pyramid!$M203),ROW(Source!$B$1:$B$250),FALSE),F$3)),"")</f>
        <v/>
      </c>
      <c r="G203" t="str">
        <f t="array" aca="1" ref="G203" ca="1">IFERROR(INDEX(Source!$A$1:$A$250,SMALL(IF(--(Source!$B$1:$B$250=$O203)*--(Source!$E$1:$E$250=$M$3)*--(Source!$D$1:$D$250=Pyramid!$M203),ROW(Source!$B$1:$B$250),FALSE),G$3)),"")</f>
        <v/>
      </c>
      <c r="H203" t="str">
        <f t="array" aca="1" ref="H203" ca="1">IFERROR(INDEX(Source!$A$1:$A$250,SMALL(IF(--(Source!$B$1:$B$250=$O203)*--(Source!$E$1:$E$250=$M$3)*--(Source!$D$1:$D$250=Pyramid!$M203),ROW(Source!$B$1:$B$250),FALSE),H$3)),"")</f>
        <v/>
      </c>
      <c r="I203" t="str">
        <f t="array" aca="1" ref="I203" ca="1">IFERROR(INDEX(Source!$A$1:$A$250,SMALL(IF(--(Source!$B$1:$B$250=$O203)*--(Source!$E$1:$E$250=$M$3)*--(Source!$D$1:$D$250=Pyramid!$M203),ROW(Source!$B$1:$B$250),FALSE),I$3)),"")</f>
        <v/>
      </c>
      <c r="J203" t="str">
        <f t="array" aca="1" ref="J203" ca="1">IFERROR(INDEX(Source!$A$1:$A$250,SMALL(IF(--(Source!$B$1:$B$250=$O203)*--(Source!$E$1:$E$250=$M$3)*--(Source!$D$1:$D$250=Pyramid!$M203),ROW(Source!$B$1:$B$250),FALSE),J$3)),"")</f>
        <v/>
      </c>
      <c r="K203" t="str">
        <f t="array" aca="1" ref="K203" ca="1">IFERROR(INDEX(Source!$A$1:$A$250,SMALL(IF(--(Source!$B$1:$B$250=$O203)*--(Source!$E$1:$E$250=$M$3)*--(Source!$D$1:$D$250=Pyramid!$M203),ROW(Source!$B$1:$B$250),FALSE),K$3)),"")</f>
        <v/>
      </c>
      <c r="L203" t="str">
        <f t="array" aca="1" ref="L203" ca="1">IFERROR(INDEX(Source!$A$1:$A$250,SMALL(IF(--(Source!$B$1:$B$250=$O203)*--(Source!$E$1:$E$250=$M$3)*--(Source!$D$1:$D$250=Pyramid!$M203),ROW(Source!$B$1:$B$250),FALSE),L$3)),"")</f>
        <v/>
      </c>
      <c r="M203" t="str">
        <f t="shared" si="11"/>
        <v>28/10/2016</v>
      </c>
      <c r="N203">
        <f ca="1">COUNTIFS(Source!B:B,Pyramid!$O203,Source!$D:$D,Pyramid!$M203,Source!$E:$E,Pyramid!$M$3)</f>
        <v>0</v>
      </c>
      <c r="O203">
        <f ca="1">OFFSET(Sheet2!$N$3,INT(C203/5),)</f>
        <v>20200</v>
      </c>
      <c r="P203">
        <f ca="1">COUNTIFS(Source!B:B,Pyramid!$O203,Source!D:D,Pyramid!$Q203,Source!$E:$E,Pyramid!$Q$3)</f>
        <v>0</v>
      </c>
      <c r="Q203" t="str">
        <f t="shared" si="11"/>
        <v>28/10/2016</v>
      </c>
      <c r="R203" t="str">
        <f t="array" aca="1" ref="R203" ca="1">IFERROR(INDEX(Source!$A$1:$A$250,SMALL(IF(--(Source!$B$1:$B$250=$O203)*--(Source!$E$1:$E$250=$Q$3)*--(Source!$D$1:$D$250=Pyramid!$Q203),ROW(Source!$B$1:$B$250),FALSE),R$3)),"")</f>
        <v/>
      </c>
      <c r="S203" t="str">
        <f t="array" aca="1" ref="S203" ca="1">IFERROR(INDEX(Source!$A$1:$A$250,SMALL(IF(--(Source!$B$1:$B$250=$O203)*--(Source!$E$1:$E$250=$Q$3)*--(Source!$D$1:$D$250=Pyramid!$Q203),ROW(Source!$B$1:$B$250),FALSE),S$3)),"")</f>
        <v/>
      </c>
      <c r="T203" t="str">
        <f t="array" aca="1" ref="T203" ca="1">IFERROR(INDEX(Source!$A$1:$A$250,SMALL(IF(--(Source!$B$1:$B$250=$O203)*--(Source!$E$1:$E$250=$Q$3)*--(Source!$D$1:$D$250=Pyramid!$Q203),ROW(Source!$B$1:$B$250),FALSE),T$3)),"")</f>
        <v/>
      </c>
      <c r="U203" t="str">
        <f t="array" aca="1" ref="U203" ca="1">IFERROR(INDEX(Source!$A$1:$A$250,SMALL(IF(--(Source!$B$1:$B$250=$O203)*--(Source!$E$1:$E$250=$Q$3)*--(Source!$D$1:$D$250=Pyramid!$Q203),ROW(Source!$B$1:$B$250),FALSE),U$3)),"")</f>
        <v/>
      </c>
      <c r="V203" t="str">
        <f t="array" aca="1" ref="V203" ca="1">IFERROR(INDEX(Source!$A$1:$A$250,SMALL(IF(--(Source!$B$1:$B$250=$O203)*--(Source!$E$1:$E$250=$Q$3)*--(Source!$D$1:$D$250=Pyramid!$Q203),ROW(Source!$B$1:$B$250),FALSE),V$3)),"")</f>
        <v/>
      </c>
      <c r="W203" t="str">
        <f t="array" aca="1" ref="W203" ca="1">IFERROR(INDEX(Source!$A$1:$A$250,SMALL(IF(--(Source!$B$1:$B$250=$O203)*--(Source!$E$1:$E$250=$Q$3)*--(Source!$D$1:$D$250=Pyramid!$Q203),ROW(Source!$B$1:$B$250),FALSE),W$3)),"")</f>
        <v/>
      </c>
      <c r="X203" t="str">
        <f t="array" aca="1" ref="X203" ca="1">IFERROR(INDEX(Source!$A$1:$A$250,SMALL(IF(--(Source!$B$1:$B$250=$O203)*--(Source!$E$1:$E$250=$Q$3)*--(Source!$D$1:$D$250=Pyramid!$Q203),ROW(Source!$B$1:$B$250),FALSE),X$3)),"")</f>
        <v/>
      </c>
      <c r="Y203" s="5">
        <f t="shared" ca="1" si="12"/>
        <v>0</v>
      </c>
    </row>
    <row r="204" spans="3:25">
      <c r="C204">
        <v>200</v>
      </c>
      <c r="D204" s="5">
        <f t="shared" ca="1" si="10"/>
        <v>0</v>
      </c>
      <c r="E204" t="str">
        <f t="array" aca="1" ref="E204" ca="1">IFERROR(INDEX(Source!$A$1:$A$250,SMALL(IF(--(Source!$B$1:$B$250=$O204)*--(Source!$E$1:$E$250=$M$3)*--(Source!$D$1:$D$250=Pyramid!$M204),ROW(Source!$B$1:$B$250),FALSE),E$3)),"")</f>
        <v/>
      </c>
      <c r="F204" t="str">
        <f t="array" aca="1" ref="F204" ca="1">IFERROR(INDEX(Source!$A$1:$A$250,SMALL(IF(--(Source!$B$1:$B$250=$O204)*--(Source!$E$1:$E$250=$M$3)*--(Source!$D$1:$D$250=Pyramid!$M204),ROW(Source!$B$1:$B$250),FALSE),F$3)),"")</f>
        <v/>
      </c>
      <c r="G204" t="str">
        <f t="array" aca="1" ref="G204" ca="1">IFERROR(INDEX(Source!$A$1:$A$250,SMALL(IF(--(Source!$B$1:$B$250=$O204)*--(Source!$E$1:$E$250=$M$3)*--(Source!$D$1:$D$250=Pyramid!$M204),ROW(Source!$B$1:$B$250),FALSE),G$3)),"")</f>
        <v/>
      </c>
      <c r="H204" t="str">
        <f t="array" aca="1" ref="H204" ca="1">IFERROR(INDEX(Source!$A$1:$A$250,SMALL(IF(--(Source!$B$1:$B$250=$O204)*--(Source!$E$1:$E$250=$M$3)*--(Source!$D$1:$D$250=Pyramid!$M204),ROW(Source!$B$1:$B$250),FALSE),H$3)),"")</f>
        <v/>
      </c>
      <c r="I204" t="str">
        <f t="array" aca="1" ref="I204" ca="1">IFERROR(INDEX(Source!$A$1:$A$250,SMALL(IF(--(Source!$B$1:$B$250=$O204)*--(Source!$E$1:$E$250=$M$3)*--(Source!$D$1:$D$250=Pyramid!$M204),ROW(Source!$B$1:$B$250),FALSE),I$3)),"")</f>
        <v/>
      </c>
      <c r="J204" t="str">
        <f t="array" aca="1" ref="J204" ca="1">IFERROR(INDEX(Source!$A$1:$A$250,SMALL(IF(--(Source!$B$1:$B$250=$O204)*--(Source!$E$1:$E$250=$M$3)*--(Source!$D$1:$D$250=Pyramid!$M204),ROW(Source!$B$1:$B$250),FALSE),J$3)),"")</f>
        <v/>
      </c>
      <c r="K204" t="str">
        <f t="array" aca="1" ref="K204" ca="1">IFERROR(INDEX(Source!$A$1:$A$250,SMALL(IF(--(Source!$B$1:$B$250=$O204)*--(Source!$E$1:$E$250=$M$3)*--(Source!$D$1:$D$250=Pyramid!$M204),ROW(Source!$B$1:$B$250),FALSE),K$3)),"")</f>
        <v/>
      </c>
      <c r="L204" t="str">
        <f t="array" aca="1" ref="L204" ca="1">IFERROR(INDEX(Source!$A$1:$A$250,SMALL(IF(--(Source!$B$1:$B$250=$O204)*--(Source!$E$1:$E$250=$M$3)*--(Source!$D$1:$D$250=Pyramid!$M204),ROW(Source!$B$1:$B$250),FALSE),L$3)),"")</f>
        <v/>
      </c>
      <c r="M204" t="str">
        <f t="shared" si="11"/>
        <v>29/6/2016</v>
      </c>
      <c r="N204">
        <f ca="1">COUNTIFS(Source!B:B,Pyramid!$O204,Source!$D:$D,Pyramid!$M204,Source!$E:$E,Pyramid!$M$3)</f>
        <v>0</v>
      </c>
      <c r="O204">
        <f ca="1">OFFSET(Sheet2!$N$3,INT(C204/5),)</f>
        <v>20298</v>
      </c>
      <c r="P204">
        <f ca="1">COUNTIFS(Source!B:B,Pyramid!$O204,Source!D:D,Pyramid!$Q204,Source!$E:$E,Pyramid!$Q$3)</f>
        <v>0</v>
      </c>
      <c r="Q204" t="str">
        <f t="shared" si="11"/>
        <v>29/6/2016</v>
      </c>
      <c r="R204" t="str">
        <f t="array" aca="1" ref="R204" ca="1">IFERROR(INDEX(Source!$A$1:$A$250,SMALL(IF(--(Source!$B$1:$B$250=$O204)*--(Source!$E$1:$E$250=$Q$3)*--(Source!$D$1:$D$250=Pyramid!$Q204),ROW(Source!$B$1:$B$250),FALSE),R$3)),"")</f>
        <v/>
      </c>
      <c r="S204" t="str">
        <f t="array" aca="1" ref="S204" ca="1">IFERROR(INDEX(Source!$A$1:$A$250,SMALL(IF(--(Source!$B$1:$B$250=$O204)*--(Source!$E$1:$E$250=$Q$3)*--(Source!$D$1:$D$250=Pyramid!$Q204),ROW(Source!$B$1:$B$250),FALSE),S$3)),"")</f>
        <v/>
      </c>
      <c r="T204" t="str">
        <f t="array" aca="1" ref="T204" ca="1">IFERROR(INDEX(Source!$A$1:$A$250,SMALL(IF(--(Source!$B$1:$B$250=$O204)*--(Source!$E$1:$E$250=$Q$3)*--(Source!$D$1:$D$250=Pyramid!$Q204),ROW(Source!$B$1:$B$250),FALSE),T$3)),"")</f>
        <v/>
      </c>
      <c r="U204" t="str">
        <f t="array" aca="1" ref="U204" ca="1">IFERROR(INDEX(Source!$A$1:$A$250,SMALL(IF(--(Source!$B$1:$B$250=$O204)*--(Source!$E$1:$E$250=$Q$3)*--(Source!$D$1:$D$250=Pyramid!$Q204),ROW(Source!$B$1:$B$250),FALSE),U$3)),"")</f>
        <v/>
      </c>
      <c r="V204" t="str">
        <f t="array" aca="1" ref="V204" ca="1">IFERROR(INDEX(Source!$A$1:$A$250,SMALL(IF(--(Source!$B$1:$B$250=$O204)*--(Source!$E$1:$E$250=$Q$3)*--(Source!$D$1:$D$250=Pyramid!$Q204),ROW(Source!$B$1:$B$250),FALSE),V$3)),"")</f>
        <v/>
      </c>
      <c r="W204" t="str">
        <f t="array" aca="1" ref="W204" ca="1">IFERROR(INDEX(Source!$A$1:$A$250,SMALL(IF(--(Source!$B$1:$B$250=$O204)*--(Source!$E$1:$E$250=$Q$3)*--(Source!$D$1:$D$250=Pyramid!$Q204),ROW(Source!$B$1:$B$250),FALSE),W$3)),"")</f>
        <v/>
      </c>
      <c r="X204" t="str">
        <f t="array" aca="1" ref="X204" ca="1">IFERROR(INDEX(Source!$A$1:$A$250,SMALL(IF(--(Source!$B$1:$B$250=$O204)*--(Source!$E$1:$E$250=$Q$3)*--(Source!$D$1:$D$250=Pyramid!$Q204),ROW(Source!$B$1:$B$250),FALSE),X$3)),"")</f>
        <v/>
      </c>
      <c r="Y204" s="5">
        <f t="shared" ca="1" si="12"/>
        <v>0</v>
      </c>
    </row>
    <row r="205" spans="3:25">
      <c r="C205">
        <v>201</v>
      </c>
      <c r="D205" s="5">
        <f t="shared" ca="1" si="10"/>
        <v>0</v>
      </c>
      <c r="E205" t="str">
        <f t="array" aca="1" ref="E205" ca="1">IFERROR(INDEX(Source!$A$1:$A$250,SMALL(IF(--(Source!$B$1:$B$250=$O205)*--(Source!$E$1:$E$250=$M$3)*--(Source!$D$1:$D$250=Pyramid!$M205),ROW(Source!$B$1:$B$250),FALSE),E$3)),"")</f>
        <v/>
      </c>
      <c r="F205" t="str">
        <f t="array" aca="1" ref="F205" ca="1">IFERROR(INDEX(Source!$A$1:$A$250,SMALL(IF(--(Source!$B$1:$B$250=$O205)*--(Source!$E$1:$E$250=$M$3)*--(Source!$D$1:$D$250=Pyramid!$M205),ROW(Source!$B$1:$B$250),FALSE),F$3)),"")</f>
        <v/>
      </c>
      <c r="G205" t="str">
        <f t="array" aca="1" ref="G205" ca="1">IFERROR(INDEX(Source!$A$1:$A$250,SMALL(IF(--(Source!$B$1:$B$250=$O205)*--(Source!$E$1:$E$250=$M$3)*--(Source!$D$1:$D$250=Pyramid!$M205),ROW(Source!$B$1:$B$250),FALSE),G$3)),"")</f>
        <v/>
      </c>
      <c r="H205" t="str">
        <f t="array" aca="1" ref="H205" ca="1">IFERROR(INDEX(Source!$A$1:$A$250,SMALL(IF(--(Source!$B$1:$B$250=$O205)*--(Source!$E$1:$E$250=$M$3)*--(Source!$D$1:$D$250=Pyramid!$M205),ROW(Source!$B$1:$B$250),FALSE),H$3)),"")</f>
        <v/>
      </c>
      <c r="I205" t="str">
        <f t="array" aca="1" ref="I205" ca="1">IFERROR(INDEX(Source!$A$1:$A$250,SMALL(IF(--(Source!$B$1:$B$250=$O205)*--(Source!$E$1:$E$250=$M$3)*--(Source!$D$1:$D$250=Pyramid!$M205),ROW(Source!$B$1:$B$250),FALSE),I$3)),"")</f>
        <v/>
      </c>
      <c r="J205" t="str">
        <f t="array" aca="1" ref="J205" ca="1">IFERROR(INDEX(Source!$A$1:$A$250,SMALL(IF(--(Source!$B$1:$B$250=$O205)*--(Source!$E$1:$E$250=$M$3)*--(Source!$D$1:$D$250=Pyramid!$M205),ROW(Source!$B$1:$B$250),FALSE),J$3)),"")</f>
        <v/>
      </c>
      <c r="K205" t="str">
        <f t="array" aca="1" ref="K205" ca="1">IFERROR(INDEX(Source!$A$1:$A$250,SMALL(IF(--(Source!$B$1:$B$250=$O205)*--(Source!$E$1:$E$250=$M$3)*--(Source!$D$1:$D$250=Pyramid!$M205),ROW(Source!$B$1:$B$250),FALSE),K$3)),"")</f>
        <v/>
      </c>
      <c r="L205" t="str">
        <f t="array" aca="1" ref="L205" ca="1">IFERROR(INDEX(Source!$A$1:$A$250,SMALL(IF(--(Source!$B$1:$B$250=$O205)*--(Source!$E$1:$E$250=$M$3)*--(Source!$D$1:$D$250=Pyramid!$M205),ROW(Source!$B$1:$B$250),FALSE),L$3)),"")</f>
        <v/>
      </c>
      <c r="M205" t="str">
        <f t="shared" si="11"/>
        <v>28/7/2016</v>
      </c>
      <c r="N205">
        <f ca="1">COUNTIFS(Source!B:B,Pyramid!$O205,Source!$D:$D,Pyramid!$M205,Source!$E:$E,Pyramid!$M$3)</f>
        <v>0</v>
      </c>
      <c r="O205">
        <f ca="1">OFFSET(Sheet2!$N$3,INT(C205/5),)</f>
        <v>20298</v>
      </c>
      <c r="P205">
        <f ca="1">COUNTIFS(Source!B:B,Pyramid!$O205,Source!D:D,Pyramid!$Q205,Source!$E:$E,Pyramid!$Q$3)</f>
        <v>0</v>
      </c>
      <c r="Q205" t="str">
        <f t="shared" si="11"/>
        <v>28/7/2016</v>
      </c>
      <c r="R205" t="str">
        <f t="array" aca="1" ref="R205" ca="1">IFERROR(INDEX(Source!$A$1:$A$250,SMALL(IF(--(Source!$B$1:$B$250=$O205)*--(Source!$E$1:$E$250=$Q$3)*--(Source!$D$1:$D$250=Pyramid!$Q205),ROW(Source!$B$1:$B$250),FALSE),R$3)),"")</f>
        <v/>
      </c>
      <c r="S205" t="str">
        <f t="array" aca="1" ref="S205" ca="1">IFERROR(INDEX(Source!$A$1:$A$250,SMALL(IF(--(Source!$B$1:$B$250=$O205)*--(Source!$E$1:$E$250=$Q$3)*--(Source!$D$1:$D$250=Pyramid!$Q205),ROW(Source!$B$1:$B$250),FALSE),S$3)),"")</f>
        <v/>
      </c>
      <c r="T205" t="str">
        <f t="array" aca="1" ref="T205" ca="1">IFERROR(INDEX(Source!$A$1:$A$250,SMALL(IF(--(Source!$B$1:$B$250=$O205)*--(Source!$E$1:$E$250=$Q$3)*--(Source!$D$1:$D$250=Pyramid!$Q205),ROW(Source!$B$1:$B$250),FALSE),T$3)),"")</f>
        <v/>
      </c>
      <c r="U205" t="str">
        <f t="array" aca="1" ref="U205" ca="1">IFERROR(INDEX(Source!$A$1:$A$250,SMALL(IF(--(Source!$B$1:$B$250=$O205)*--(Source!$E$1:$E$250=$Q$3)*--(Source!$D$1:$D$250=Pyramid!$Q205),ROW(Source!$B$1:$B$250),FALSE),U$3)),"")</f>
        <v/>
      </c>
      <c r="V205" t="str">
        <f t="array" aca="1" ref="V205" ca="1">IFERROR(INDEX(Source!$A$1:$A$250,SMALL(IF(--(Source!$B$1:$B$250=$O205)*--(Source!$E$1:$E$250=$Q$3)*--(Source!$D$1:$D$250=Pyramid!$Q205),ROW(Source!$B$1:$B$250),FALSE),V$3)),"")</f>
        <v/>
      </c>
      <c r="W205" t="str">
        <f t="array" aca="1" ref="W205" ca="1">IFERROR(INDEX(Source!$A$1:$A$250,SMALL(IF(--(Source!$B$1:$B$250=$O205)*--(Source!$E$1:$E$250=$Q$3)*--(Source!$D$1:$D$250=Pyramid!$Q205),ROW(Source!$B$1:$B$250),FALSE),W$3)),"")</f>
        <v/>
      </c>
      <c r="X205" t="str">
        <f t="array" aca="1" ref="X205" ca="1">IFERROR(INDEX(Source!$A$1:$A$250,SMALL(IF(--(Source!$B$1:$B$250=$O205)*--(Source!$E$1:$E$250=$Q$3)*--(Source!$D$1:$D$250=Pyramid!$Q205),ROW(Source!$B$1:$B$250),FALSE),X$3)),"")</f>
        <v/>
      </c>
      <c r="Y205" s="5">
        <f t="shared" ca="1" si="12"/>
        <v>0</v>
      </c>
    </row>
    <row r="206" spans="3:25">
      <c r="C206">
        <v>202</v>
      </c>
      <c r="D206" s="5">
        <f t="shared" ca="1" si="10"/>
        <v>0</v>
      </c>
      <c r="E206" t="str">
        <f t="array" aca="1" ref="E206" ca="1">IFERROR(INDEX(Source!$A$1:$A$250,SMALL(IF(--(Source!$B$1:$B$250=$O206)*--(Source!$E$1:$E$250=$M$3)*--(Source!$D$1:$D$250=Pyramid!$M206),ROW(Source!$B$1:$B$250),FALSE),E$3)),"")</f>
        <v/>
      </c>
      <c r="F206" t="str">
        <f t="array" aca="1" ref="F206" ca="1">IFERROR(INDEX(Source!$A$1:$A$250,SMALL(IF(--(Source!$B$1:$B$250=$O206)*--(Source!$E$1:$E$250=$M$3)*--(Source!$D$1:$D$250=Pyramid!$M206),ROW(Source!$B$1:$B$250),FALSE),F$3)),"")</f>
        <v/>
      </c>
      <c r="G206" t="str">
        <f t="array" aca="1" ref="G206" ca="1">IFERROR(INDEX(Source!$A$1:$A$250,SMALL(IF(--(Source!$B$1:$B$250=$O206)*--(Source!$E$1:$E$250=$M$3)*--(Source!$D$1:$D$250=Pyramid!$M206),ROW(Source!$B$1:$B$250),FALSE),G$3)),"")</f>
        <v/>
      </c>
      <c r="H206" t="str">
        <f t="array" aca="1" ref="H206" ca="1">IFERROR(INDEX(Source!$A$1:$A$250,SMALL(IF(--(Source!$B$1:$B$250=$O206)*--(Source!$E$1:$E$250=$M$3)*--(Source!$D$1:$D$250=Pyramid!$M206),ROW(Source!$B$1:$B$250),FALSE),H$3)),"")</f>
        <v/>
      </c>
      <c r="I206" t="str">
        <f t="array" aca="1" ref="I206" ca="1">IFERROR(INDEX(Source!$A$1:$A$250,SMALL(IF(--(Source!$B$1:$B$250=$O206)*--(Source!$E$1:$E$250=$M$3)*--(Source!$D$1:$D$250=Pyramid!$M206),ROW(Source!$B$1:$B$250),FALSE),I$3)),"")</f>
        <v/>
      </c>
      <c r="J206" t="str">
        <f t="array" aca="1" ref="J206" ca="1">IFERROR(INDEX(Source!$A$1:$A$250,SMALL(IF(--(Source!$B$1:$B$250=$O206)*--(Source!$E$1:$E$250=$M$3)*--(Source!$D$1:$D$250=Pyramid!$M206),ROW(Source!$B$1:$B$250),FALSE),J$3)),"")</f>
        <v/>
      </c>
      <c r="K206" t="str">
        <f t="array" aca="1" ref="K206" ca="1">IFERROR(INDEX(Source!$A$1:$A$250,SMALL(IF(--(Source!$B$1:$B$250=$O206)*--(Source!$E$1:$E$250=$M$3)*--(Source!$D$1:$D$250=Pyramid!$M206),ROW(Source!$B$1:$B$250),FALSE),K$3)),"")</f>
        <v/>
      </c>
      <c r="L206" t="str">
        <f t="array" aca="1" ref="L206" ca="1">IFERROR(INDEX(Source!$A$1:$A$250,SMALL(IF(--(Source!$B$1:$B$250=$O206)*--(Source!$E$1:$E$250=$M$3)*--(Source!$D$1:$D$250=Pyramid!$M206),ROW(Source!$B$1:$B$250),FALSE),L$3)),"")</f>
        <v>26559 HK Equity</v>
      </c>
      <c r="M206" t="str">
        <f t="shared" si="11"/>
        <v>30/8/2016</v>
      </c>
      <c r="N206">
        <f ca="1">COUNTIFS(Source!B:B,Pyramid!$O206,Source!$D:$D,Pyramid!$M206,Source!$E:$E,Pyramid!$M$3)</f>
        <v>1</v>
      </c>
      <c r="O206">
        <f ca="1">OFFSET(Sheet2!$N$3,INT(C206/5),)</f>
        <v>20298</v>
      </c>
      <c r="P206">
        <f ca="1">COUNTIFS(Source!B:B,Pyramid!$O206,Source!D:D,Pyramid!$Q206,Source!$E:$E,Pyramid!$Q$3)</f>
        <v>0</v>
      </c>
      <c r="Q206" t="str">
        <f t="shared" si="11"/>
        <v>30/8/2016</v>
      </c>
      <c r="R206" t="str">
        <f t="array" aca="1" ref="R206" ca="1">IFERROR(INDEX(Source!$A$1:$A$250,SMALL(IF(--(Source!$B$1:$B$250=$O206)*--(Source!$E$1:$E$250=$Q$3)*--(Source!$D$1:$D$250=Pyramid!$Q206),ROW(Source!$B$1:$B$250),FALSE),R$3)),"")</f>
        <v/>
      </c>
      <c r="S206" t="str">
        <f t="array" aca="1" ref="S206" ca="1">IFERROR(INDEX(Source!$A$1:$A$250,SMALL(IF(--(Source!$B$1:$B$250=$O206)*--(Source!$E$1:$E$250=$Q$3)*--(Source!$D$1:$D$250=Pyramid!$Q206),ROW(Source!$B$1:$B$250),FALSE),S$3)),"")</f>
        <v/>
      </c>
      <c r="T206" t="str">
        <f t="array" aca="1" ref="T206" ca="1">IFERROR(INDEX(Source!$A$1:$A$250,SMALL(IF(--(Source!$B$1:$B$250=$O206)*--(Source!$E$1:$E$250=$Q$3)*--(Source!$D$1:$D$250=Pyramid!$Q206),ROW(Source!$B$1:$B$250),FALSE),T$3)),"")</f>
        <v/>
      </c>
      <c r="U206" t="str">
        <f t="array" aca="1" ref="U206" ca="1">IFERROR(INDEX(Source!$A$1:$A$250,SMALL(IF(--(Source!$B$1:$B$250=$O206)*--(Source!$E$1:$E$250=$Q$3)*--(Source!$D$1:$D$250=Pyramid!$Q206),ROW(Source!$B$1:$B$250),FALSE),U$3)),"")</f>
        <v/>
      </c>
      <c r="V206" t="str">
        <f t="array" aca="1" ref="V206" ca="1">IFERROR(INDEX(Source!$A$1:$A$250,SMALL(IF(--(Source!$B$1:$B$250=$O206)*--(Source!$E$1:$E$250=$Q$3)*--(Source!$D$1:$D$250=Pyramid!$Q206),ROW(Source!$B$1:$B$250),FALSE),V$3)),"")</f>
        <v/>
      </c>
      <c r="W206" t="str">
        <f t="array" aca="1" ref="W206" ca="1">IFERROR(INDEX(Source!$A$1:$A$250,SMALL(IF(--(Source!$B$1:$B$250=$O206)*--(Source!$E$1:$E$250=$Q$3)*--(Source!$D$1:$D$250=Pyramid!$Q206),ROW(Source!$B$1:$B$250),FALSE),W$3)),"")</f>
        <v/>
      </c>
      <c r="X206" t="str">
        <f t="array" aca="1" ref="X206" ca="1">IFERROR(INDEX(Source!$A$1:$A$250,SMALL(IF(--(Source!$B$1:$B$250=$O206)*--(Source!$E$1:$E$250=$Q$3)*--(Source!$D$1:$D$250=Pyramid!$Q206),ROW(Source!$B$1:$B$250),FALSE),X$3)),"")</f>
        <v/>
      </c>
      <c r="Y206" s="5">
        <f t="shared" ca="1" si="12"/>
        <v>0</v>
      </c>
    </row>
    <row r="207" spans="3:25">
      <c r="C207">
        <v>203</v>
      </c>
      <c r="D207" s="5">
        <f t="shared" ca="1" si="10"/>
        <v>0</v>
      </c>
      <c r="E207" t="str">
        <f t="array" aca="1" ref="E207" ca="1">IFERROR(INDEX(Source!$A$1:$A$250,SMALL(IF(--(Source!$B$1:$B$250=$O207)*--(Source!$E$1:$E$250=$M$3)*--(Source!$D$1:$D$250=Pyramid!$M207),ROW(Source!$B$1:$B$250),FALSE),E$3)),"")</f>
        <v/>
      </c>
      <c r="F207" t="str">
        <f t="array" aca="1" ref="F207" ca="1">IFERROR(INDEX(Source!$A$1:$A$250,SMALL(IF(--(Source!$B$1:$B$250=$O207)*--(Source!$E$1:$E$250=$M$3)*--(Source!$D$1:$D$250=Pyramid!$M207),ROW(Source!$B$1:$B$250),FALSE),F$3)),"")</f>
        <v/>
      </c>
      <c r="G207" t="str">
        <f t="array" aca="1" ref="G207" ca="1">IFERROR(INDEX(Source!$A$1:$A$250,SMALL(IF(--(Source!$B$1:$B$250=$O207)*--(Source!$E$1:$E$250=$M$3)*--(Source!$D$1:$D$250=Pyramid!$M207),ROW(Source!$B$1:$B$250),FALSE),G$3)),"")</f>
        <v/>
      </c>
      <c r="H207" t="str">
        <f t="array" aca="1" ref="H207" ca="1">IFERROR(INDEX(Source!$A$1:$A$250,SMALL(IF(--(Source!$B$1:$B$250=$O207)*--(Source!$E$1:$E$250=$M$3)*--(Source!$D$1:$D$250=Pyramid!$M207),ROW(Source!$B$1:$B$250),FALSE),H$3)),"")</f>
        <v/>
      </c>
      <c r="I207" t="str">
        <f t="array" aca="1" ref="I207" ca="1">IFERROR(INDEX(Source!$A$1:$A$250,SMALL(IF(--(Source!$B$1:$B$250=$O207)*--(Source!$E$1:$E$250=$M$3)*--(Source!$D$1:$D$250=Pyramid!$M207),ROW(Source!$B$1:$B$250),FALSE),I$3)),"")</f>
        <v/>
      </c>
      <c r="J207" t="str">
        <f t="array" aca="1" ref="J207" ca="1">IFERROR(INDEX(Source!$A$1:$A$250,SMALL(IF(--(Source!$B$1:$B$250=$O207)*--(Source!$E$1:$E$250=$M$3)*--(Source!$D$1:$D$250=Pyramid!$M207),ROW(Source!$B$1:$B$250),FALSE),J$3)),"")</f>
        <v/>
      </c>
      <c r="K207" t="str">
        <f t="array" aca="1" ref="K207" ca="1">IFERROR(INDEX(Source!$A$1:$A$250,SMALL(IF(--(Source!$B$1:$B$250=$O207)*--(Source!$E$1:$E$250=$M$3)*--(Source!$D$1:$D$250=Pyramid!$M207),ROW(Source!$B$1:$B$250),FALSE),K$3)),"")</f>
        <v/>
      </c>
      <c r="L207" t="str">
        <f t="array" aca="1" ref="L207" ca="1">IFERROR(INDEX(Source!$A$1:$A$250,SMALL(IF(--(Source!$B$1:$B$250=$O207)*--(Source!$E$1:$E$250=$M$3)*--(Source!$D$1:$D$250=Pyramid!$M207),ROW(Source!$B$1:$B$250),FALSE),L$3)),"")</f>
        <v/>
      </c>
      <c r="M207" t="str">
        <f t="shared" si="11"/>
        <v>29/9/2016</v>
      </c>
      <c r="N207">
        <f ca="1">COUNTIFS(Source!B:B,Pyramid!$O207,Source!$D:$D,Pyramid!$M207,Source!$E:$E,Pyramid!$M$3)</f>
        <v>0</v>
      </c>
      <c r="O207">
        <f ca="1">OFFSET(Sheet2!$N$3,INT(C207/5),)</f>
        <v>20298</v>
      </c>
      <c r="P207">
        <f ca="1">COUNTIFS(Source!B:B,Pyramid!$O207,Source!D:D,Pyramid!$Q207,Source!$E:$E,Pyramid!$Q$3)</f>
        <v>1</v>
      </c>
      <c r="Q207" t="str">
        <f t="shared" si="11"/>
        <v>29/9/2016</v>
      </c>
      <c r="R207" t="str">
        <f t="array" aca="1" ref="R207" ca="1">IFERROR(INDEX(Source!$A$1:$A$250,SMALL(IF(--(Source!$B$1:$B$250=$O207)*--(Source!$E$1:$E$250=$Q$3)*--(Source!$D$1:$D$250=Pyramid!$Q207),ROW(Source!$B$1:$B$250),FALSE),R$3)),"")</f>
        <v>27562 HK Equity</v>
      </c>
      <c r="S207" t="str">
        <f t="array" aca="1" ref="S207" ca="1">IFERROR(INDEX(Source!$A$1:$A$250,SMALL(IF(--(Source!$B$1:$B$250=$O207)*--(Source!$E$1:$E$250=$Q$3)*--(Source!$D$1:$D$250=Pyramid!$Q207),ROW(Source!$B$1:$B$250),FALSE),S$3)),"")</f>
        <v/>
      </c>
      <c r="T207" t="str">
        <f t="array" aca="1" ref="T207" ca="1">IFERROR(INDEX(Source!$A$1:$A$250,SMALL(IF(--(Source!$B$1:$B$250=$O207)*--(Source!$E$1:$E$250=$Q$3)*--(Source!$D$1:$D$250=Pyramid!$Q207),ROW(Source!$B$1:$B$250),FALSE),T$3)),"")</f>
        <v/>
      </c>
      <c r="U207" t="str">
        <f t="array" aca="1" ref="U207" ca="1">IFERROR(INDEX(Source!$A$1:$A$250,SMALL(IF(--(Source!$B$1:$B$250=$O207)*--(Source!$E$1:$E$250=$Q$3)*--(Source!$D$1:$D$250=Pyramid!$Q207),ROW(Source!$B$1:$B$250),FALSE),U$3)),"")</f>
        <v/>
      </c>
      <c r="V207" t="str">
        <f t="array" aca="1" ref="V207" ca="1">IFERROR(INDEX(Source!$A$1:$A$250,SMALL(IF(--(Source!$B$1:$B$250=$O207)*--(Source!$E$1:$E$250=$Q$3)*--(Source!$D$1:$D$250=Pyramid!$Q207),ROW(Source!$B$1:$B$250),FALSE),V$3)),"")</f>
        <v/>
      </c>
      <c r="W207" t="str">
        <f t="array" aca="1" ref="W207" ca="1">IFERROR(INDEX(Source!$A$1:$A$250,SMALL(IF(--(Source!$B$1:$B$250=$O207)*--(Source!$E$1:$E$250=$Q$3)*--(Source!$D$1:$D$250=Pyramid!$Q207),ROW(Source!$B$1:$B$250),FALSE),W$3)),"")</f>
        <v/>
      </c>
      <c r="X207" t="str">
        <f t="array" aca="1" ref="X207" ca="1">IFERROR(INDEX(Source!$A$1:$A$250,SMALL(IF(--(Source!$B$1:$B$250=$O207)*--(Source!$E$1:$E$250=$Q$3)*--(Source!$D$1:$D$250=Pyramid!$Q207),ROW(Source!$B$1:$B$250),FALSE),X$3)),"")</f>
        <v/>
      </c>
      <c r="Y207" s="5">
        <f t="shared" ca="1" si="12"/>
        <v>0</v>
      </c>
    </row>
    <row r="208" spans="3:25">
      <c r="C208">
        <v>204</v>
      </c>
      <c r="D208" s="5">
        <f t="shared" ca="1" si="10"/>
        <v>0</v>
      </c>
      <c r="E208" t="str">
        <f t="array" aca="1" ref="E208" ca="1">IFERROR(INDEX(Source!$A$1:$A$250,SMALL(IF(--(Source!$B$1:$B$250=$O208)*--(Source!$E$1:$E$250=$M$3)*--(Source!$D$1:$D$250=Pyramid!$M208),ROW(Source!$B$1:$B$250),FALSE),E$3)),"")</f>
        <v/>
      </c>
      <c r="F208" t="str">
        <f t="array" aca="1" ref="F208" ca="1">IFERROR(INDEX(Source!$A$1:$A$250,SMALL(IF(--(Source!$B$1:$B$250=$O208)*--(Source!$E$1:$E$250=$M$3)*--(Source!$D$1:$D$250=Pyramid!$M208),ROW(Source!$B$1:$B$250),FALSE),F$3)),"")</f>
        <v/>
      </c>
      <c r="G208" t="str">
        <f t="array" aca="1" ref="G208" ca="1">IFERROR(INDEX(Source!$A$1:$A$250,SMALL(IF(--(Source!$B$1:$B$250=$O208)*--(Source!$E$1:$E$250=$M$3)*--(Source!$D$1:$D$250=Pyramid!$M208),ROW(Source!$B$1:$B$250),FALSE),G$3)),"")</f>
        <v/>
      </c>
      <c r="H208" t="str">
        <f t="array" aca="1" ref="H208" ca="1">IFERROR(INDEX(Source!$A$1:$A$250,SMALL(IF(--(Source!$B$1:$B$250=$O208)*--(Source!$E$1:$E$250=$M$3)*--(Source!$D$1:$D$250=Pyramid!$M208),ROW(Source!$B$1:$B$250),FALSE),H$3)),"")</f>
        <v/>
      </c>
      <c r="I208" t="str">
        <f t="array" aca="1" ref="I208" ca="1">IFERROR(INDEX(Source!$A$1:$A$250,SMALL(IF(--(Source!$B$1:$B$250=$O208)*--(Source!$E$1:$E$250=$M$3)*--(Source!$D$1:$D$250=Pyramid!$M208),ROW(Source!$B$1:$B$250),FALSE),I$3)),"")</f>
        <v/>
      </c>
      <c r="J208" t="str">
        <f t="array" aca="1" ref="J208" ca="1">IFERROR(INDEX(Source!$A$1:$A$250,SMALL(IF(--(Source!$B$1:$B$250=$O208)*--(Source!$E$1:$E$250=$M$3)*--(Source!$D$1:$D$250=Pyramid!$M208),ROW(Source!$B$1:$B$250),FALSE),J$3)),"")</f>
        <v/>
      </c>
      <c r="K208" t="str">
        <f t="array" aca="1" ref="K208" ca="1">IFERROR(INDEX(Source!$A$1:$A$250,SMALL(IF(--(Source!$B$1:$B$250=$O208)*--(Source!$E$1:$E$250=$M$3)*--(Source!$D$1:$D$250=Pyramid!$M208),ROW(Source!$B$1:$B$250),FALSE),K$3)),"")</f>
        <v/>
      </c>
      <c r="L208" t="str">
        <f t="array" aca="1" ref="L208" ca="1">IFERROR(INDEX(Source!$A$1:$A$250,SMALL(IF(--(Source!$B$1:$B$250=$O208)*--(Source!$E$1:$E$250=$M$3)*--(Source!$D$1:$D$250=Pyramid!$M208),ROW(Source!$B$1:$B$250),FALSE),L$3)),"")</f>
        <v/>
      </c>
      <c r="M208" t="str">
        <f t="shared" si="11"/>
        <v>28/10/2016</v>
      </c>
      <c r="N208">
        <f ca="1">COUNTIFS(Source!B:B,Pyramid!$O208,Source!$D:$D,Pyramid!$M208,Source!$E:$E,Pyramid!$M$3)</f>
        <v>0</v>
      </c>
      <c r="O208">
        <f ca="1">OFFSET(Sheet2!$N$3,INT(C208/5),)</f>
        <v>20298</v>
      </c>
      <c r="P208">
        <f ca="1">COUNTIFS(Source!B:B,Pyramid!$O208,Source!D:D,Pyramid!$Q208,Source!$E:$E,Pyramid!$Q$3)</f>
        <v>0</v>
      </c>
      <c r="Q208" t="str">
        <f t="shared" si="11"/>
        <v>28/10/2016</v>
      </c>
      <c r="R208" t="str">
        <f t="array" aca="1" ref="R208" ca="1">IFERROR(INDEX(Source!$A$1:$A$250,SMALL(IF(--(Source!$B$1:$B$250=$O208)*--(Source!$E$1:$E$250=$Q$3)*--(Source!$D$1:$D$250=Pyramid!$Q208),ROW(Source!$B$1:$B$250),FALSE),R$3)),"")</f>
        <v/>
      </c>
      <c r="S208" t="str">
        <f t="array" aca="1" ref="S208" ca="1">IFERROR(INDEX(Source!$A$1:$A$250,SMALL(IF(--(Source!$B$1:$B$250=$O208)*--(Source!$E$1:$E$250=$Q$3)*--(Source!$D$1:$D$250=Pyramid!$Q208),ROW(Source!$B$1:$B$250),FALSE),S$3)),"")</f>
        <v/>
      </c>
      <c r="T208" t="str">
        <f t="array" aca="1" ref="T208" ca="1">IFERROR(INDEX(Source!$A$1:$A$250,SMALL(IF(--(Source!$B$1:$B$250=$O208)*--(Source!$E$1:$E$250=$Q$3)*--(Source!$D$1:$D$250=Pyramid!$Q208),ROW(Source!$B$1:$B$250),FALSE),T$3)),"")</f>
        <v/>
      </c>
      <c r="U208" t="str">
        <f t="array" aca="1" ref="U208" ca="1">IFERROR(INDEX(Source!$A$1:$A$250,SMALL(IF(--(Source!$B$1:$B$250=$O208)*--(Source!$E$1:$E$250=$Q$3)*--(Source!$D$1:$D$250=Pyramid!$Q208),ROW(Source!$B$1:$B$250),FALSE),U$3)),"")</f>
        <v/>
      </c>
      <c r="V208" t="str">
        <f t="array" aca="1" ref="V208" ca="1">IFERROR(INDEX(Source!$A$1:$A$250,SMALL(IF(--(Source!$B$1:$B$250=$O208)*--(Source!$E$1:$E$250=$Q$3)*--(Source!$D$1:$D$250=Pyramid!$Q208),ROW(Source!$B$1:$B$250),FALSE),V$3)),"")</f>
        <v/>
      </c>
      <c r="W208" t="str">
        <f t="array" aca="1" ref="W208" ca="1">IFERROR(INDEX(Source!$A$1:$A$250,SMALL(IF(--(Source!$B$1:$B$250=$O208)*--(Source!$E$1:$E$250=$Q$3)*--(Source!$D$1:$D$250=Pyramid!$Q208),ROW(Source!$B$1:$B$250),FALSE),W$3)),"")</f>
        <v/>
      </c>
      <c r="X208" t="str">
        <f t="array" aca="1" ref="X208" ca="1">IFERROR(INDEX(Source!$A$1:$A$250,SMALL(IF(--(Source!$B$1:$B$250=$O208)*--(Source!$E$1:$E$250=$Q$3)*--(Source!$D$1:$D$250=Pyramid!$Q208),ROW(Source!$B$1:$B$250),FALSE),X$3)),"")</f>
        <v/>
      </c>
      <c r="Y208" s="5">
        <f t="shared" ca="1" si="12"/>
        <v>0</v>
      </c>
    </row>
    <row r="209" spans="3:25">
      <c r="C209">
        <v>205</v>
      </c>
      <c r="D209" s="5">
        <f t="shared" ca="1" si="10"/>
        <v>0</v>
      </c>
      <c r="E209" t="str">
        <f t="array" aca="1" ref="E209" ca="1">IFERROR(INDEX(Source!$A$1:$A$250,SMALL(IF(--(Source!$B$1:$B$250=$O209)*--(Source!$E$1:$E$250=$M$3)*--(Source!$D$1:$D$250=Pyramid!$M209),ROW(Source!$B$1:$B$250),FALSE),E$3)),"")</f>
        <v/>
      </c>
      <c r="F209" t="str">
        <f t="array" aca="1" ref="F209" ca="1">IFERROR(INDEX(Source!$A$1:$A$250,SMALL(IF(--(Source!$B$1:$B$250=$O209)*--(Source!$E$1:$E$250=$M$3)*--(Source!$D$1:$D$250=Pyramid!$M209),ROW(Source!$B$1:$B$250),FALSE),F$3)),"")</f>
        <v/>
      </c>
      <c r="G209" t="str">
        <f t="array" aca="1" ref="G209" ca="1">IFERROR(INDEX(Source!$A$1:$A$250,SMALL(IF(--(Source!$B$1:$B$250=$O209)*--(Source!$E$1:$E$250=$M$3)*--(Source!$D$1:$D$250=Pyramid!$M209),ROW(Source!$B$1:$B$250),FALSE),G$3)),"")</f>
        <v/>
      </c>
      <c r="H209" t="str">
        <f t="array" aca="1" ref="H209" ca="1">IFERROR(INDEX(Source!$A$1:$A$250,SMALL(IF(--(Source!$B$1:$B$250=$O209)*--(Source!$E$1:$E$250=$M$3)*--(Source!$D$1:$D$250=Pyramid!$M209),ROW(Source!$B$1:$B$250),FALSE),H$3)),"")</f>
        <v/>
      </c>
      <c r="I209" t="str">
        <f t="array" aca="1" ref="I209" ca="1">IFERROR(INDEX(Source!$A$1:$A$250,SMALL(IF(--(Source!$B$1:$B$250=$O209)*--(Source!$E$1:$E$250=$M$3)*--(Source!$D$1:$D$250=Pyramid!$M209),ROW(Source!$B$1:$B$250),FALSE),I$3)),"")</f>
        <v/>
      </c>
      <c r="J209" t="str">
        <f t="array" aca="1" ref="J209" ca="1">IFERROR(INDEX(Source!$A$1:$A$250,SMALL(IF(--(Source!$B$1:$B$250=$O209)*--(Source!$E$1:$E$250=$M$3)*--(Source!$D$1:$D$250=Pyramid!$M209),ROW(Source!$B$1:$B$250),FALSE),J$3)),"")</f>
        <v/>
      </c>
      <c r="K209" t="str">
        <f t="array" aca="1" ref="K209" ca="1">IFERROR(INDEX(Source!$A$1:$A$250,SMALL(IF(--(Source!$B$1:$B$250=$O209)*--(Source!$E$1:$E$250=$M$3)*--(Source!$D$1:$D$250=Pyramid!$M209),ROW(Source!$B$1:$B$250),FALSE),K$3)),"")</f>
        <v/>
      </c>
      <c r="L209" t="str">
        <f t="array" aca="1" ref="L209" ca="1">IFERROR(INDEX(Source!$A$1:$A$250,SMALL(IF(--(Source!$B$1:$B$250=$O209)*--(Source!$E$1:$E$250=$M$3)*--(Source!$D$1:$D$250=Pyramid!$M209),ROW(Source!$B$1:$B$250),FALSE),L$3)),"")</f>
        <v/>
      </c>
      <c r="M209" t="str">
        <f t="shared" si="11"/>
        <v>29/6/2016</v>
      </c>
      <c r="N209">
        <f ca="1">COUNTIFS(Source!B:B,Pyramid!$O209,Source!$D:$D,Pyramid!$M209,Source!$E:$E,Pyramid!$M$3)</f>
        <v>0</v>
      </c>
      <c r="O209">
        <f ca="1">OFFSET(Sheet2!$N$3,INT(C209/5),)</f>
        <v>20300</v>
      </c>
      <c r="P209">
        <f ca="1">COUNTIFS(Source!B:B,Pyramid!$O209,Source!D:D,Pyramid!$Q209,Source!$E:$E,Pyramid!$Q$3)</f>
        <v>0</v>
      </c>
      <c r="Q209" t="str">
        <f t="shared" si="11"/>
        <v>29/6/2016</v>
      </c>
      <c r="R209" t="str">
        <f t="array" aca="1" ref="R209" ca="1">IFERROR(INDEX(Source!$A$1:$A$250,SMALL(IF(--(Source!$B$1:$B$250=$O209)*--(Source!$E$1:$E$250=$Q$3)*--(Source!$D$1:$D$250=Pyramid!$Q209),ROW(Source!$B$1:$B$250),FALSE),R$3)),"")</f>
        <v/>
      </c>
      <c r="S209" t="str">
        <f t="array" aca="1" ref="S209" ca="1">IFERROR(INDEX(Source!$A$1:$A$250,SMALL(IF(--(Source!$B$1:$B$250=$O209)*--(Source!$E$1:$E$250=$Q$3)*--(Source!$D$1:$D$250=Pyramid!$Q209),ROW(Source!$B$1:$B$250),FALSE),S$3)),"")</f>
        <v/>
      </c>
      <c r="T209" t="str">
        <f t="array" aca="1" ref="T209" ca="1">IFERROR(INDEX(Source!$A$1:$A$250,SMALL(IF(--(Source!$B$1:$B$250=$O209)*--(Source!$E$1:$E$250=$Q$3)*--(Source!$D$1:$D$250=Pyramid!$Q209),ROW(Source!$B$1:$B$250),FALSE),T$3)),"")</f>
        <v/>
      </c>
      <c r="U209" t="str">
        <f t="array" aca="1" ref="U209" ca="1">IFERROR(INDEX(Source!$A$1:$A$250,SMALL(IF(--(Source!$B$1:$B$250=$O209)*--(Source!$E$1:$E$250=$Q$3)*--(Source!$D$1:$D$250=Pyramid!$Q209),ROW(Source!$B$1:$B$250),FALSE),U$3)),"")</f>
        <v/>
      </c>
      <c r="V209" t="str">
        <f t="array" aca="1" ref="V209" ca="1">IFERROR(INDEX(Source!$A$1:$A$250,SMALL(IF(--(Source!$B$1:$B$250=$O209)*--(Source!$E$1:$E$250=$Q$3)*--(Source!$D$1:$D$250=Pyramid!$Q209),ROW(Source!$B$1:$B$250),FALSE),V$3)),"")</f>
        <v/>
      </c>
      <c r="W209" t="str">
        <f t="array" aca="1" ref="W209" ca="1">IFERROR(INDEX(Source!$A$1:$A$250,SMALL(IF(--(Source!$B$1:$B$250=$O209)*--(Source!$E$1:$E$250=$Q$3)*--(Source!$D$1:$D$250=Pyramid!$Q209),ROW(Source!$B$1:$B$250),FALSE),W$3)),"")</f>
        <v/>
      </c>
      <c r="X209" t="str">
        <f t="array" aca="1" ref="X209" ca="1">IFERROR(INDEX(Source!$A$1:$A$250,SMALL(IF(--(Source!$B$1:$B$250=$O209)*--(Source!$E$1:$E$250=$Q$3)*--(Source!$D$1:$D$250=Pyramid!$Q209),ROW(Source!$B$1:$B$250),FALSE),X$3)),"")</f>
        <v/>
      </c>
      <c r="Y209" s="5">
        <f t="shared" ca="1" si="12"/>
        <v>0</v>
      </c>
    </row>
    <row r="210" spans="3:25">
      <c r="C210">
        <v>206</v>
      </c>
      <c r="D210" s="5">
        <f t="shared" ca="1" si="10"/>
        <v>0</v>
      </c>
      <c r="E210" t="str">
        <f t="array" aca="1" ref="E210" ca="1">IFERROR(INDEX(Source!$A$1:$A$250,SMALL(IF(--(Source!$B$1:$B$250=$O210)*--(Source!$E$1:$E$250=$M$3)*--(Source!$D$1:$D$250=Pyramid!$M210),ROW(Source!$B$1:$B$250),FALSE),E$3)),"")</f>
        <v/>
      </c>
      <c r="F210" t="str">
        <f t="array" aca="1" ref="F210" ca="1">IFERROR(INDEX(Source!$A$1:$A$250,SMALL(IF(--(Source!$B$1:$B$250=$O210)*--(Source!$E$1:$E$250=$M$3)*--(Source!$D$1:$D$250=Pyramid!$M210),ROW(Source!$B$1:$B$250),FALSE),F$3)),"")</f>
        <v/>
      </c>
      <c r="G210" t="str">
        <f t="array" aca="1" ref="G210" ca="1">IFERROR(INDEX(Source!$A$1:$A$250,SMALL(IF(--(Source!$B$1:$B$250=$O210)*--(Source!$E$1:$E$250=$M$3)*--(Source!$D$1:$D$250=Pyramid!$M210),ROW(Source!$B$1:$B$250),FALSE),G$3)),"")</f>
        <v/>
      </c>
      <c r="H210" t="str">
        <f t="array" aca="1" ref="H210" ca="1">IFERROR(INDEX(Source!$A$1:$A$250,SMALL(IF(--(Source!$B$1:$B$250=$O210)*--(Source!$E$1:$E$250=$M$3)*--(Source!$D$1:$D$250=Pyramid!$M210),ROW(Source!$B$1:$B$250),FALSE),H$3)),"")</f>
        <v/>
      </c>
      <c r="I210" t="str">
        <f t="array" aca="1" ref="I210" ca="1">IFERROR(INDEX(Source!$A$1:$A$250,SMALL(IF(--(Source!$B$1:$B$250=$O210)*--(Source!$E$1:$E$250=$M$3)*--(Source!$D$1:$D$250=Pyramid!$M210),ROW(Source!$B$1:$B$250),FALSE),I$3)),"")</f>
        <v/>
      </c>
      <c r="J210" t="str">
        <f t="array" aca="1" ref="J210" ca="1">IFERROR(INDEX(Source!$A$1:$A$250,SMALL(IF(--(Source!$B$1:$B$250=$O210)*--(Source!$E$1:$E$250=$M$3)*--(Source!$D$1:$D$250=Pyramid!$M210),ROW(Source!$B$1:$B$250),FALSE),J$3)),"")</f>
        <v/>
      </c>
      <c r="K210" t="str">
        <f t="array" aca="1" ref="K210" ca="1">IFERROR(INDEX(Source!$A$1:$A$250,SMALL(IF(--(Source!$B$1:$B$250=$O210)*--(Source!$E$1:$E$250=$M$3)*--(Source!$D$1:$D$250=Pyramid!$M210),ROW(Source!$B$1:$B$250),FALSE),K$3)),"")</f>
        <v/>
      </c>
      <c r="L210" t="str">
        <f t="array" aca="1" ref="L210" ca="1">IFERROR(INDEX(Source!$A$1:$A$250,SMALL(IF(--(Source!$B$1:$B$250=$O210)*--(Source!$E$1:$E$250=$M$3)*--(Source!$D$1:$D$250=Pyramid!$M210),ROW(Source!$B$1:$B$250),FALSE),L$3)),"")</f>
        <v/>
      </c>
      <c r="M210" t="str">
        <f t="shared" si="11"/>
        <v>28/7/2016</v>
      </c>
      <c r="N210">
        <f ca="1">COUNTIFS(Source!B:B,Pyramid!$O210,Source!$D:$D,Pyramid!$M210,Source!$E:$E,Pyramid!$M$3)</f>
        <v>0</v>
      </c>
      <c r="O210">
        <f ca="1">OFFSET(Sheet2!$N$3,INT(C210/5),)</f>
        <v>20300</v>
      </c>
      <c r="P210">
        <f ca="1">COUNTIFS(Source!B:B,Pyramid!$O210,Source!D:D,Pyramid!$Q210,Source!$E:$E,Pyramid!$Q$3)</f>
        <v>0</v>
      </c>
      <c r="Q210" t="str">
        <f t="shared" si="11"/>
        <v>28/7/2016</v>
      </c>
      <c r="R210" t="str">
        <f t="array" aca="1" ref="R210" ca="1">IFERROR(INDEX(Source!$A$1:$A$250,SMALL(IF(--(Source!$B$1:$B$250=$O210)*--(Source!$E$1:$E$250=$Q$3)*--(Source!$D$1:$D$250=Pyramid!$Q210),ROW(Source!$B$1:$B$250),FALSE),R$3)),"")</f>
        <v/>
      </c>
      <c r="S210" t="str">
        <f t="array" aca="1" ref="S210" ca="1">IFERROR(INDEX(Source!$A$1:$A$250,SMALL(IF(--(Source!$B$1:$B$250=$O210)*--(Source!$E$1:$E$250=$Q$3)*--(Source!$D$1:$D$250=Pyramid!$Q210),ROW(Source!$B$1:$B$250),FALSE),S$3)),"")</f>
        <v/>
      </c>
      <c r="T210" t="str">
        <f t="array" aca="1" ref="T210" ca="1">IFERROR(INDEX(Source!$A$1:$A$250,SMALL(IF(--(Source!$B$1:$B$250=$O210)*--(Source!$E$1:$E$250=$Q$3)*--(Source!$D$1:$D$250=Pyramid!$Q210),ROW(Source!$B$1:$B$250),FALSE),T$3)),"")</f>
        <v/>
      </c>
      <c r="U210" t="str">
        <f t="array" aca="1" ref="U210" ca="1">IFERROR(INDEX(Source!$A$1:$A$250,SMALL(IF(--(Source!$B$1:$B$250=$O210)*--(Source!$E$1:$E$250=$Q$3)*--(Source!$D$1:$D$250=Pyramid!$Q210),ROW(Source!$B$1:$B$250),FALSE),U$3)),"")</f>
        <v/>
      </c>
      <c r="V210" t="str">
        <f t="array" aca="1" ref="V210" ca="1">IFERROR(INDEX(Source!$A$1:$A$250,SMALL(IF(--(Source!$B$1:$B$250=$O210)*--(Source!$E$1:$E$250=$Q$3)*--(Source!$D$1:$D$250=Pyramid!$Q210),ROW(Source!$B$1:$B$250),FALSE),V$3)),"")</f>
        <v/>
      </c>
      <c r="W210" t="str">
        <f t="array" aca="1" ref="W210" ca="1">IFERROR(INDEX(Source!$A$1:$A$250,SMALL(IF(--(Source!$B$1:$B$250=$O210)*--(Source!$E$1:$E$250=$Q$3)*--(Source!$D$1:$D$250=Pyramid!$Q210),ROW(Source!$B$1:$B$250),FALSE),W$3)),"")</f>
        <v/>
      </c>
      <c r="X210" t="str">
        <f t="array" aca="1" ref="X210" ca="1">IFERROR(INDEX(Source!$A$1:$A$250,SMALL(IF(--(Source!$B$1:$B$250=$O210)*--(Source!$E$1:$E$250=$Q$3)*--(Source!$D$1:$D$250=Pyramid!$Q210),ROW(Source!$B$1:$B$250),FALSE),X$3)),"")</f>
        <v/>
      </c>
      <c r="Y210" s="5">
        <f t="shared" ca="1" si="12"/>
        <v>0</v>
      </c>
    </row>
    <row r="211" spans="3:25">
      <c r="C211">
        <v>207</v>
      </c>
      <c r="D211" s="5">
        <f t="shared" ca="1" si="10"/>
        <v>0</v>
      </c>
      <c r="E211" t="str">
        <f t="array" aca="1" ref="E211" ca="1">IFERROR(INDEX(Source!$A$1:$A$250,SMALL(IF(--(Source!$B$1:$B$250=$O211)*--(Source!$E$1:$E$250=$M$3)*--(Source!$D$1:$D$250=Pyramid!$M211),ROW(Source!$B$1:$B$250),FALSE),E$3)),"")</f>
        <v/>
      </c>
      <c r="F211" t="str">
        <f t="array" aca="1" ref="F211" ca="1">IFERROR(INDEX(Source!$A$1:$A$250,SMALL(IF(--(Source!$B$1:$B$250=$O211)*--(Source!$E$1:$E$250=$M$3)*--(Source!$D$1:$D$250=Pyramid!$M211),ROW(Source!$B$1:$B$250),FALSE),F$3)),"")</f>
        <v/>
      </c>
      <c r="G211" t="str">
        <f t="array" aca="1" ref="G211" ca="1">IFERROR(INDEX(Source!$A$1:$A$250,SMALL(IF(--(Source!$B$1:$B$250=$O211)*--(Source!$E$1:$E$250=$M$3)*--(Source!$D$1:$D$250=Pyramid!$M211),ROW(Source!$B$1:$B$250),FALSE),G$3)),"")</f>
        <v/>
      </c>
      <c r="H211" t="str">
        <f t="array" aca="1" ref="H211" ca="1">IFERROR(INDEX(Source!$A$1:$A$250,SMALL(IF(--(Source!$B$1:$B$250=$O211)*--(Source!$E$1:$E$250=$M$3)*--(Source!$D$1:$D$250=Pyramid!$M211),ROW(Source!$B$1:$B$250),FALSE),H$3)),"")</f>
        <v/>
      </c>
      <c r="I211" t="str">
        <f t="array" aca="1" ref="I211" ca="1">IFERROR(INDEX(Source!$A$1:$A$250,SMALL(IF(--(Source!$B$1:$B$250=$O211)*--(Source!$E$1:$E$250=$M$3)*--(Source!$D$1:$D$250=Pyramid!$M211),ROW(Source!$B$1:$B$250),FALSE),I$3)),"")</f>
        <v/>
      </c>
      <c r="J211" t="str">
        <f t="array" aca="1" ref="J211" ca="1">IFERROR(INDEX(Source!$A$1:$A$250,SMALL(IF(--(Source!$B$1:$B$250=$O211)*--(Source!$E$1:$E$250=$M$3)*--(Source!$D$1:$D$250=Pyramid!$M211),ROW(Source!$B$1:$B$250),FALSE),J$3)),"")</f>
        <v/>
      </c>
      <c r="K211" t="str">
        <f t="array" aca="1" ref="K211" ca="1">IFERROR(INDEX(Source!$A$1:$A$250,SMALL(IF(--(Source!$B$1:$B$250=$O211)*--(Source!$E$1:$E$250=$M$3)*--(Source!$D$1:$D$250=Pyramid!$M211),ROW(Source!$B$1:$B$250),FALSE),K$3)),"")</f>
        <v/>
      </c>
      <c r="L211" t="str">
        <f t="array" aca="1" ref="L211" ca="1">IFERROR(INDEX(Source!$A$1:$A$250,SMALL(IF(--(Source!$B$1:$B$250=$O211)*--(Source!$E$1:$E$250=$M$3)*--(Source!$D$1:$D$250=Pyramid!$M211),ROW(Source!$B$1:$B$250),FALSE),L$3)),"")</f>
        <v/>
      </c>
      <c r="M211" t="str">
        <f t="shared" si="11"/>
        <v>30/8/2016</v>
      </c>
      <c r="N211">
        <f ca="1">COUNTIFS(Source!B:B,Pyramid!$O211,Source!$D:$D,Pyramid!$M211,Source!$E:$E,Pyramid!$M$3)</f>
        <v>0</v>
      </c>
      <c r="O211">
        <f ca="1">OFFSET(Sheet2!$N$3,INT(C211/5),)</f>
        <v>20300</v>
      </c>
      <c r="P211">
        <f ca="1">COUNTIFS(Source!B:B,Pyramid!$O211,Source!D:D,Pyramid!$Q211,Source!$E:$E,Pyramid!$Q$3)</f>
        <v>0</v>
      </c>
      <c r="Q211" t="str">
        <f t="shared" si="11"/>
        <v>30/8/2016</v>
      </c>
      <c r="R211" t="str">
        <f t="array" aca="1" ref="R211" ca="1">IFERROR(INDEX(Source!$A$1:$A$250,SMALL(IF(--(Source!$B$1:$B$250=$O211)*--(Source!$E$1:$E$250=$Q$3)*--(Source!$D$1:$D$250=Pyramid!$Q211),ROW(Source!$B$1:$B$250),FALSE),R$3)),"")</f>
        <v/>
      </c>
      <c r="S211" t="str">
        <f t="array" aca="1" ref="S211" ca="1">IFERROR(INDEX(Source!$A$1:$A$250,SMALL(IF(--(Source!$B$1:$B$250=$O211)*--(Source!$E$1:$E$250=$Q$3)*--(Source!$D$1:$D$250=Pyramid!$Q211),ROW(Source!$B$1:$B$250),FALSE),S$3)),"")</f>
        <v/>
      </c>
      <c r="T211" t="str">
        <f t="array" aca="1" ref="T211" ca="1">IFERROR(INDEX(Source!$A$1:$A$250,SMALL(IF(--(Source!$B$1:$B$250=$O211)*--(Source!$E$1:$E$250=$Q$3)*--(Source!$D$1:$D$250=Pyramid!$Q211),ROW(Source!$B$1:$B$250),FALSE),T$3)),"")</f>
        <v/>
      </c>
      <c r="U211" t="str">
        <f t="array" aca="1" ref="U211" ca="1">IFERROR(INDEX(Source!$A$1:$A$250,SMALL(IF(--(Source!$B$1:$B$250=$O211)*--(Source!$E$1:$E$250=$Q$3)*--(Source!$D$1:$D$250=Pyramid!$Q211),ROW(Source!$B$1:$B$250),FALSE),U$3)),"")</f>
        <v/>
      </c>
      <c r="V211" t="str">
        <f t="array" aca="1" ref="V211" ca="1">IFERROR(INDEX(Source!$A$1:$A$250,SMALL(IF(--(Source!$B$1:$B$250=$O211)*--(Source!$E$1:$E$250=$Q$3)*--(Source!$D$1:$D$250=Pyramid!$Q211),ROW(Source!$B$1:$B$250),FALSE),V$3)),"")</f>
        <v/>
      </c>
      <c r="W211" t="str">
        <f t="array" aca="1" ref="W211" ca="1">IFERROR(INDEX(Source!$A$1:$A$250,SMALL(IF(--(Source!$B$1:$B$250=$O211)*--(Source!$E$1:$E$250=$Q$3)*--(Source!$D$1:$D$250=Pyramid!$Q211),ROW(Source!$B$1:$B$250),FALSE),W$3)),"")</f>
        <v/>
      </c>
      <c r="X211" t="str">
        <f t="array" aca="1" ref="X211" ca="1">IFERROR(INDEX(Source!$A$1:$A$250,SMALL(IF(--(Source!$B$1:$B$250=$O211)*--(Source!$E$1:$E$250=$Q$3)*--(Source!$D$1:$D$250=Pyramid!$Q211),ROW(Source!$B$1:$B$250),FALSE),X$3)),"")</f>
        <v/>
      </c>
      <c r="Y211" s="5">
        <f t="shared" ca="1" si="12"/>
        <v>0</v>
      </c>
    </row>
    <row r="212" spans="3:25">
      <c r="C212">
        <v>208</v>
      </c>
      <c r="D212" s="5">
        <f t="shared" ca="1" si="10"/>
        <v>0</v>
      </c>
      <c r="E212" t="str">
        <f t="array" aca="1" ref="E212" ca="1">IFERROR(INDEX(Source!$A$1:$A$250,SMALL(IF(--(Source!$B$1:$B$250=$O212)*--(Source!$E$1:$E$250=$M$3)*--(Source!$D$1:$D$250=Pyramid!$M212),ROW(Source!$B$1:$B$250),FALSE),E$3)),"")</f>
        <v/>
      </c>
      <c r="F212" t="str">
        <f t="array" aca="1" ref="F212" ca="1">IFERROR(INDEX(Source!$A$1:$A$250,SMALL(IF(--(Source!$B$1:$B$250=$O212)*--(Source!$E$1:$E$250=$M$3)*--(Source!$D$1:$D$250=Pyramid!$M212),ROW(Source!$B$1:$B$250),FALSE),F$3)),"")</f>
        <v/>
      </c>
      <c r="G212" t="str">
        <f t="array" aca="1" ref="G212" ca="1">IFERROR(INDEX(Source!$A$1:$A$250,SMALL(IF(--(Source!$B$1:$B$250=$O212)*--(Source!$E$1:$E$250=$M$3)*--(Source!$D$1:$D$250=Pyramid!$M212),ROW(Source!$B$1:$B$250),FALSE),G$3)),"")</f>
        <v/>
      </c>
      <c r="H212" t="str">
        <f t="array" aca="1" ref="H212" ca="1">IFERROR(INDEX(Source!$A$1:$A$250,SMALL(IF(--(Source!$B$1:$B$250=$O212)*--(Source!$E$1:$E$250=$M$3)*--(Source!$D$1:$D$250=Pyramid!$M212),ROW(Source!$B$1:$B$250),FALSE),H$3)),"")</f>
        <v/>
      </c>
      <c r="I212" t="str">
        <f t="array" aca="1" ref="I212" ca="1">IFERROR(INDEX(Source!$A$1:$A$250,SMALL(IF(--(Source!$B$1:$B$250=$O212)*--(Source!$E$1:$E$250=$M$3)*--(Source!$D$1:$D$250=Pyramid!$M212),ROW(Source!$B$1:$B$250),FALSE),I$3)),"")</f>
        <v/>
      </c>
      <c r="J212" t="str">
        <f t="array" aca="1" ref="J212" ca="1">IFERROR(INDEX(Source!$A$1:$A$250,SMALL(IF(--(Source!$B$1:$B$250=$O212)*--(Source!$E$1:$E$250=$M$3)*--(Source!$D$1:$D$250=Pyramid!$M212),ROW(Source!$B$1:$B$250),FALSE),J$3)),"")</f>
        <v/>
      </c>
      <c r="K212" t="str">
        <f t="array" aca="1" ref="K212" ca="1">IFERROR(INDEX(Source!$A$1:$A$250,SMALL(IF(--(Source!$B$1:$B$250=$O212)*--(Source!$E$1:$E$250=$M$3)*--(Source!$D$1:$D$250=Pyramid!$M212),ROW(Source!$B$1:$B$250),FALSE),K$3)),"")</f>
        <v/>
      </c>
      <c r="L212" t="str">
        <f t="array" aca="1" ref="L212" ca="1">IFERROR(INDEX(Source!$A$1:$A$250,SMALL(IF(--(Source!$B$1:$B$250=$O212)*--(Source!$E$1:$E$250=$M$3)*--(Source!$D$1:$D$250=Pyramid!$M212),ROW(Source!$B$1:$B$250),FALSE),L$3)),"")</f>
        <v/>
      </c>
      <c r="M212" t="str">
        <f t="shared" si="11"/>
        <v>29/9/2016</v>
      </c>
      <c r="N212">
        <f ca="1">COUNTIFS(Source!B:B,Pyramid!$O212,Source!$D:$D,Pyramid!$M212,Source!$E:$E,Pyramid!$M$3)</f>
        <v>0</v>
      </c>
      <c r="O212">
        <f ca="1">OFFSET(Sheet2!$N$3,INT(C212/5),)</f>
        <v>20300</v>
      </c>
      <c r="P212">
        <f ca="1">COUNTIFS(Source!B:B,Pyramid!$O212,Source!D:D,Pyramid!$Q212,Source!$E:$E,Pyramid!$Q$3)</f>
        <v>1</v>
      </c>
      <c r="Q212" t="str">
        <f t="shared" si="11"/>
        <v>29/9/2016</v>
      </c>
      <c r="R212" t="str">
        <f t="array" aca="1" ref="R212" ca="1">IFERROR(INDEX(Source!$A$1:$A$250,SMALL(IF(--(Source!$B$1:$B$250=$O212)*--(Source!$E$1:$E$250=$Q$3)*--(Source!$D$1:$D$250=Pyramid!$Q212),ROW(Source!$B$1:$B$250),FALSE),R$3)),"")</f>
        <v>27891 HK Equity</v>
      </c>
      <c r="S212" t="str">
        <f t="array" aca="1" ref="S212" ca="1">IFERROR(INDEX(Source!$A$1:$A$250,SMALL(IF(--(Source!$B$1:$B$250=$O212)*--(Source!$E$1:$E$250=$Q$3)*--(Source!$D$1:$D$250=Pyramid!$Q212),ROW(Source!$B$1:$B$250),FALSE),S$3)),"")</f>
        <v/>
      </c>
      <c r="T212" t="str">
        <f t="array" aca="1" ref="T212" ca="1">IFERROR(INDEX(Source!$A$1:$A$250,SMALL(IF(--(Source!$B$1:$B$250=$O212)*--(Source!$E$1:$E$250=$Q$3)*--(Source!$D$1:$D$250=Pyramid!$Q212),ROW(Source!$B$1:$B$250),FALSE),T$3)),"")</f>
        <v/>
      </c>
      <c r="U212" t="str">
        <f t="array" aca="1" ref="U212" ca="1">IFERROR(INDEX(Source!$A$1:$A$250,SMALL(IF(--(Source!$B$1:$B$250=$O212)*--(Source!$E$1:$E$250=$Q$3)*--(Source!$D$1:$D$250=Pyramid!$Q212),ROW(Source!$B$1:$B$250),FALSE),U$3)),"")</f>
        <v/>
      </c>
      <c r="V212" t="str">
        <f t="array" aca="1" ref="V212" ca="1">IFERROR(INDEX(Source!$A$1:$A$250,SMALL(IF(--(Source!$B$1:$B$250=$O212)*--(Source!$E$1:$E$250=$Q$3)*--(Source!$D$1:$D$250=Pyramid!$Q212),ROW(Source!$B$1:$B$250),FALSE),V$3)),"")</f>
        <v/>
      </c>
      <c r="W212" t="str">
        <f t="array" aca="1" ref="W212" ca="1">IFERROR(INDEX(Source!$A$1:$A$250,SMALL(IF(--(Source!$B$1:$B$250=$O212)*--(Source!$E$1:$E$250=$Q$3)*--(Source!$D$1:$D$250=Pyramid!$Q212),ROW(Source!$B$1:$B$250),FALSE),W$3)),"")</f>
        <v/>
      </c>
      <c r="X212" t="str">
        <f t="array" aca="1" ref="X212" ca="1">IFERROR(INDEX(Source!$A$1:$A$250,SMALL(IF(--(Source!$B$1:$B$250=$O212)*--(Source!$E$1:$E$250=$Q$3)*--(Source!$D$1:$D$250=Pyramid!$Q212),ROW(Source!$B$1:$B$250),FALSE),X$3)),"")</f>
        <v/>
      </c>
      <c r="Y212" s="5">
        <f t="shared" ca="1" si="12"/>
        <v>0</v>
      </c>
    </row>
    <row r="213" spans="3:25">
      <c r="C213">
        <v>209</v>
      </c>
      <c r="D213" s="5">
        <f t="shared" ca="1" si="10"/>
        <v>0</v>
      </c>
      <c r="E213" t="str">
        <f t="array" aca="1" ref="E213" ca="1">IFERROR(INDEX(Source!$A$1:$A$250,SMALL(IF(--(Source!$B$1:$B$250=$O213)*--(Source!$E$1:$E$250=$M$3)*--(Source!$D$1:$D$250=Pyramid!$M213),ROW(Source!$B$1:$B$250),FALSE),E$3)),"")</f>
        <v/>
      </c>
      <c r="F213" t="str">
        <f t="array" aca="1" ref="F213" ca="1">IFERROR(INDEX(Source!$A$1:$A$250,SMALL(IF(--(Source!$B$1:$B$250=$O213)*--(Source!$E$1:$E$250=$M$3)*--(Source!$D$1:$D$250=Pyramid!$M213),ROW(Source!$B$1:$B$250),FALSE),F$3)),"")</f>
        <v/>
      </c>
      <c r="G213" t="str">
        <f t="array" aca="1" ref="G213" ca="1">IFERROR(INDEX(Source!$A$1:$A$250,SMALL(IF(--(Source!$B$1:$B$250=$O213)*--(Source!$E$1:$E$250=$M$3)*--(Source!$D$1:$D$250=Pyramid!$M213),ROW(Source!$B$1:$B$250),FALSE),G$3)),"")</f>
        <v/>
      </c>
      <c r="H213" t="str">
        <f t="array" aca="1" ref="H213" ca="1">IFERROR(INDEX(Source!$A$1:$A$250,SMALL(IF(--(Source!$B$1:$B$250=$O213)*--(Source!$E$1:$E$250=$M$3)*--(Source!$D$1:$D$250=Pyramid!$M213),ROW(Source!$B$1:$B$250),FALSE),H$3)),"")</f>
        <v/>
      </c>
      <c r="I213" t="str">
        <f t="array" aca="1" ref="I213" ca="1">IFERROR(INDEX(Source!$A$1:$A$250,SMALL(IF(--(Source!$B$1:$B$250=$O213)*--(Source!$E$1:$E$250=$M$3)*--(Source!$D$1:$D$250=Pyramid!$M213),ROW(Source!$B$1:$B$250),FALSE),I$3)),"")</f>
        <v/>
      </c>
      <c r="J213" t="str">
        <f t="array" aca="1" ref="J213" ca="1">IFERROR(INDEX(Source!$A$1:$A$250,SMALL(IF(--(Source!$B$1:$B$250=$O213)*--(Source!$E$1:$E$250=$M$3)*--(Source!$D$1:$D$250=Pyramid!$M213),ROW(Source!$B$1:$B$250),FALSE),J$3)),"")</f>
        <v/>
      </c>
      <c r="K213" t="str">
        <f t="array" aca="1" ref="K213" ca="1">IFERROR(INDEX(Source!$A$1:$A$250,SMALL(IF(--(Source!$B$1:$B$250=$O213)*--(Source!$E$1:$E$250=$M$3)*--(Source!$D$1:$D$250=Pyramid!$M213),ROW(Source!$B$1:$B$250),FALSE),K$3)),"")</f>
        <v/>
      </c>
      <c r="L213" t="str">
        <f t="array" aca="1" ref="L213" ca="1">IFERROR(INDEX(Source!$A$1:$A$250,SMALL(IF(--(Source!$B$1:$B$250=$O213)*--(Source!$E$1:$E$250=$M$3)*--(Source!$D$1:$D$250=Pyramid!$M213),ROW(Source!$B$1:$B$250),FALSE),L$3)),"")</f>
        <v/>
      </c>
      <c r="M213" t="str">
        <f t="shared" si="11"/>
        <v>28/10/2016</v>
      </c>
      <c r="N213">
        <f ca="1">COUNTIFS(Source!B:B,Pyramid!$O213,Source!$D:$D,Pyramid!$M213,Source!$E:$E,Pyramid!$M$3)</f>
        <v>0</v>
      </c>
      <c r="O213">
        <f ca="1">OFFSET(Sheet2!$N$3,INT(C213/5),)</f>
        <v>20300</v>
      </c>
      <c r="P213">
        <f ca="1">COUNTIFS(Source!B:B,Pyramid!$O213,Source!D:D,Pyramid!$Q213,Source!$E:$E,Pyramid!$Q$3)</f>
        <v>0</v>
      </c>
      <c r="Q213" t="str">
        <f t="shared" si="11"/>
        <v>28/10/2016</v>
      </c>
      <c r="R213" t="str">
        <f t="array" aca="1" ref="R213" ca="1">IFERROR(INDEX(Source!$A$1:$A$250,SMALL(IF(--(Source!$B$1:$B$250=$O213)*--(Source!$E$1:$E$250=$Q$3)*--(Source!$D$1:$D$250=Pyramid!$Q213),ROW(Source!$B$1:$B$250),FALSE),R$3)),"")</f>
        <v/>
      </c>
      <c r="S213" t="str">
        <f t="array" aca="1" ref="S213" ca="1">IFERROR(INDEX(Source!$A$1:$A$250,SMALL(IF(--(Source!$B$1:$B$250=$O213)*--(Source!$E$1:$E$250=$Q$3)*--(Source!$D$1:$D$250=Pyramid!$Q213),ROW(Source!$B$1:$B$250),FALSE),S$3)),"")</f>
        <v/>
      </c>
      <c r="T213" t="str">
        <f t="array" aca="1" ref="T213" ca="1">IFERROR(INDEX(Source!$A$1:$A$250,SMALL(IF(--(Source!$B$1:$B$250=$O213)*--(Source!$E$1:$E$250=$Q$3)*--(Source!$D$1:$D$250=Pyramid!$Q213),ROW(Source!$B$1:$B$250),FALSE),T$3)),"")</f>
        <v/>
      </c>
      <c r="U213" t="str">
        <f t="array" aca="1" ref="U213" ca="1">IFERROR(INDEX(Source!$A$1:$A$250,SMALL(IF(--(Source!$B$1:$B$250=$O213)*--(Source!$E$1:$E$250=$Q$3)*--(Source!$D$1:$D$250=Pyramid!$Q213),ROW(Source!$B$1:$B$250),FALSE),U$3)),"")</f>
        <v/>
      </c>
      <c r="V213" t="str">
        <f t="array" aca="1" ref="V213" ca="1">IFERROR(INDEX(Source!$A$1:$A$250,SMALL(IF(--(Source!$B$1:$B$250=$O213)*--(Source!$E$1:$E$250=$Q$3)*--(Source!$D$1:$D$250=Pyramid!$Q213),ROW(Source!$B$1:$B$250),FALSE),V$3)),"")</f>
        <v/>
      </c>
      <c r="W213" t="str">
        <f t="array" aca="1" ref="W213" ca="1">IFERROR(INDEX(Source!$A$1:$A$250,SMALL(IF(--(Source!$B$1:$B$250=$O213)*--(Source!$E$1:$E$250=$Q$3)*--(Source!$D$1:$D$250=Pyramid!$Q213),ROW(Source!$B$1:$B$250),FALSE),W$3)),"")</f>
        <v/>
      </c>
      <c r="X213" t="str">
        <f t="array" aca="1" ref="X213" ca="1">IFERROR(INDEX(Source!$A$1:$A$250,SMALL(IF(--(Source!$B$1:$B$250=$O213)*--(Source!$E$1:$E$250=$Q$3)*--(Source!$D$1:$D$250=Pyramid!$Q213),ROW(Source!$B$1:$B$250),FALSE),X$3)),"")</f>
        <v/>
      </c>
      <c r="Y213" s="5">
        <f t="shared" ca="1" si="12"/>
        <v>0</v>
      </c>
    </row>
    <row r="214" spans="3:25">
      <c r="C214">
        <v>210</v>
      </c>
      <c r="D214" s="5">
        <f t="shared" ca="1" si="10"/>
        <v>0</v>
      </c>
      <c r="E214" t="str">
        <f t="array" aca="1" ref="E214" ca="1">IFERROR(INDEX(Source!$A$1:$A$250,SMALL(IF(--(Source!$B$1:$B$250=$O214)*--(Source!$E$1:$E$250=$M$3)*--(Source!$D$1:$D$250=Pyramid!$M214),ROW(Source!$B$1:$B$250),FALSE),E$3)),"")</f>
        <v/>
      </c>
      <c r="F214" t="str">
        <f t="array" aca="1" ref="F214" ca="1">IFERROR(INDEX(Source!$A$1:$A$250,SMALL(IF(--(Source!$B$1:$B$250=$O214)*--(Source!$E$1:$E$250=$M$3)*--(Source!$D$1:$D$250=Pyramid!$M214),ROW(Source!$B$1:$B$250),FALSE),F$3)),"")</f>
        <v/>
      </c>
      <c r="G214" t="str">
        <f t="array" aca="1" ref="G214" ca="1">IFERROR(INDEX(Source!$A$1:$A$250,SMALL(IF(--(Source!$B$1:$B$250=$O214)*--(Source!$E$1:$E$250=$M$3)*--(Source!$D$1:$D$250=Pyramid!$M214),ROW(Source!$B$1:$B$250),FALSE),G$3)),"")</f>
        <v/>
      </c>
      <c r="H214" t="str">
        <f t="array" aca="1" ref="H214" ca="1">IFERROR(INDEX(Source!$A$1:$A$250,SMALL(IF(--(Source!$B$1:$B$250=$O214)*--(Source!$E$1:$E$250=$M$3)*--(Source!$D$1:$D$250=Pyramid!$M214),ROW(Source!$B$1:$B$250),FALSE),H$3)),"")</f>
        <v/>
      </c>
      <c r="I214" t="str">
        <f t="array" aca="1" ref="I214" ca="1">IFERROR(INDEX(Source!$A$1:$A$250,SMALL(IF(--(Source!$B$1:$B$250=$O214)*--(Source!$E$1:$E$250=$M$3)*--(Source!$D$1:$D$250=Pyramid!$M214),ROW(Source!$B$1:$B$250),FALSE),I$3)),"")</f>
        <v/>
      </c>
      <c r="J214" t="str">
        <f t="array" aca="1" ref="J214" ca="1">IFERROR(INDEX(Source!$A$1:$A$250,SMALL(IF(--(Source!$B$1:$B$250=$O214)*--(Source!$E$1:$E$250=$M$3)*--(Source!$D$1:$D$250=Pyramid!$M214),ROW(Source!$B$1:$B$250),FALSE),J$3)),"")</f>
        <v/>
      </c>
      <c r="K214" t="str">
        <f t="array" aca="1" ref="K214" ca="1">IFERROR(INDEX(Source!$A$1:$A$250,SMALL(IF(--(Source!$B$1:$B$250=$O214)*--(Source!$E$1:$E$250=$M$3)*--(Source!$D$1:$D$250=Pyramid!$M214),ROW(Source!$B$1:$B$250),FALSE),K$3)),"")</f>
        <v/>
      </c>
      <c r="L214" t="str">
        <f t="array" aca="1" ref="L214" ca="1">IFERROR(INDEX(Source!$A$1:$A$250,SMALL(IF(--(Source!$B$1:$B$250=$O214)*--(Source!$E$1:$E$250=$M$3)*--(Source!$D$1:$D$250=Pyramid!$M214),ROW(Source!$B$1:$B$250),FALSE),L$3)),"")</f>
        <v/>
      </c>
      <c r="M214" t="str">
        <f t="shared" si="11"/>
        <v>29/6/2016</v>
      </c>
      <c r="N214">
        <f ca="1">COUNTIFS(Source!B:B,Pyramid!$O214,Source!$D:$D,Pyramid!$M214,Source!$E:$E,Pyramid!$M$3)</f>
        <v>0</v>
      </c>
      <c r="O214">
        <f ca="1">OFFSET(Sheet2!$N$3,INT(C214/5),)</f>
        <v>20400</v>
      </c>
      <c r="P214">
        <f ca="1">COUNTIFS(Source!B:B,Pyramid!$O214,Source!D:D,Pyramid!$Q214,Source!$E:$E,Pyramid!$Q$3)</f>
        <v>0</v>
      </c>
      <c r="Q214" t="str">
        <f t="shared" si="11"/>
        <v>29/6/2016</v>
      </c>
      <c r="R214" t="str">
        <f t="array" aca="1" ref="R214" ca="1">IFERROR(INDEX(Source!$A$1:$A$250,SMALL(IF(--(Source!$B$1:$B$250=$O214)*--(Source!$E$1:$E$250=$Q$3)*--(Source!$D$1:$D$250=Pyramid!$Q214),ROW(Source!$B$1:$B$250),FALSE),R$3)),"")</f>
        <v/>
      </c>
      <c r="S214" t="str">
        <f t="array" aca="1" ref="S214" ca="1">IFERROR(INDEX(Source!$A$1:$A$250,SMALL(IF(--(Source!$B$1:$B$250=$O214)*--(Source!$E$1:$E$250=$Q$3)*--(Source!$D$1:$D$250=Pyramid!$Q214),ROW(Source!$B$1:$B$250),FALSE),S$3)),"")</f>
        <v/>
      </c>
      <c r="T214" t="str">
        <f t="array" aca="1" ref="T214" ca="1">IFERROR(INDEX(Source!$A$1:$A$250,SMALL(IF(--(Source!$B$1:$B$250=$O214)*--(Source!$E$1:$E$250=$Q$3)*--(Source!$D$1:$D$250=Pyramid!$Q214),ROW(Source!$B$1:$B$250),FALSE),T$3)),"")</f>
        <v/>
      </c>
      <c r="U214" t="str">
        <f t="array" aca="1" ref="U214" ca="1">IFERROR(INDEX(Source!$A$1:$A$250,SMALL(IF(--(Source!$B$1:$B$250=$O214)*--(Source!$E$1:$E$250=$Q$3)*--(Source!$D$1:$D$250=Pyramid!$Q214),ROW(Source!$B$1:$B$250),FALSE),U$3)),"")</f>
        <v/>
      </c>
      <c r="V214" t="str">
        <f t="array" aca="1" ref="V214" ca="1">IFERROR(INDEX(Source!$A$1:$A$250,SMALL(IF(--(Source!$B$1:$B$250=$O214)*--(Source!$E$1:$E$250=$Q$3)*--(Source!$D$1:$D$250=Pyramid!$Q214),ROW(Source!$B$1:$B$250),FALSE),V$3)),"")</f>
        <v/>
      </c>
      <c r="W214" t="str">
        <f t="array" aca="1" ref="W214" ca="1">IFERROR(INDEX(Source!$A$1:$A$250,SMALL(IF(--(Source!$B$1:$B$250=$O214)*--(Source!$E$1:$E$250=$Q$3)*--(Source!$D$1:$D$250=Pyramid!$Q214),ROW(Source!$B$1:$B$250),FALSE),W$3)),"")</f>
        <v/>
      </c>
      <c r="X214" t="str">
        <f t="array" aca="1" ref="X214" ca="1">IFERROR(INDEX(Source!$A$1:$A$250,SMALL(IF(--(Source!$B$1:$B$250=$O214)*--(Source!$E$1:$E$250=$Q$3)*--(Source!$D$1:$D$250=Pyramid!$Q214),ROW(Source!$B$1:$B$250),FALSE),X$3)),"")</f>
        <v/>
      </c>
      <c r="Y214" s="5">
        <f t="shared" ca="1" si="12"/>
        <v>0</v>
      </c>
    </row>
    <row r="215" spans="3:25">
      <c r="C215">
        <v>211</v>
      </c>
      <c r="D215" s="5">
        <f t="shared" ca="1" si="10"/>
        <v>0</v>
      </c>
      <c r="E215" t="str">
        <f t="array" aca="1" ref="E215" ca="1">IFERROR(INDEX(Source!$A$1:$A$250,SMALL(IF(--(Source!$B$1:$B$250=$O215)*--(Source!$E$1:$E$250=$M$3)*--(Source!$D$1:$D$250=Pyramid!$M215),ROW(Source!$B$1:$B$250),FALSE),E$3)),"")</f>
        <v/>
      </c>
      <c r="F215" t="str">
        <f t="array" aca="1" ref="F215" ca="1">IFERROR(INDEX(Source!$A$1:$A$250,SMALL(IF(--(Source!$B$1:$B$250=$O215)*--(Source!$E$1:$E$250=$M$3)*--(Source!$D$1:$D$250=Pyramid!$M215),ROW(Source!$B$1:$B$250),FALSE),F$3)),"")</f>
        <v/>
      </c>
      <c r="G215" t="str">
        <f t="array" aca="1" ref="G215" ca="1">IFERROR(INDEX(Source!$A$1:$A$250,SMALL(IF(--(Source!$B$1:$B$250=$O215)*--(Source!$E$1:$E$250=$M$3)*--(Source!$D$1:$D$250=Pyramid!$M215),ROW(Source!$B$1:$B$250),FALSE),G$3)),"")</f>
        <v/>
      </c>
      <c r="H215" t="str">
        <f t="array" aca="1" ref="H215" ca="1">IFERROR(INDEX(Source!$A$1:$A$250,SMALL(IF(--(Source!$B$1:$B$250=$O215)*--(Source!$E$1:$E$250=$M$3)*--(Source!$D$1:$D$250=Pyramid!$M215),ROW(Source!$B$1:$B$250),FALSE),H$3)),"")</f>
        <v/>
      </c>
      <c r="I215" t="str">
        <f t="array" aca="1" ref="I215" ca="1">IFERROR(INDEX(Source!$A$1:$A$250,SMALL(IF(--(Source!$B$1:$B$250=$O215)*--(Source!$E$1:$E$250=$M$3)*--(Source!$D$1:$D$250=Pyramid!$M215),ROW(Source!$B$1:$B$250),FALSE),I$3)),"")</f>
        <v/>
      </c>
      <c r="J215" t="str">
        <f t="array" aca="1" ref="J215" ca="1">IFERROR(INDEX(Source!$A$1:$A$250,SMALL(IF(--(Source!$B$1:$B$250=$O215)*--(Source!$E$1:$E$250=$M$3)*--(Source!$D$1:$D$250=Pyramid!$M215),ROW(Source!$B$1:$B$250),FALSE),J$3)),"")</f>
        <v/>
      </c>
      <c r="K215" t="str">
        <f t="array" aca="1" ref="K215" ca="1">IFERROR(INDEX(Source!$A$1:$A$250,SMALL(IF(--(Source!$B$1:$B$250=$O215)*--(Source!$E$1:$E$250=$M$3)*--(Source!$D$1:$D$250=Pyramid!$M215),ROW(Source!$B$1:$B$250),FALSE),K$3)),"")</f>
        <v>25712 HK Equity</v>
      </c>
      <c r="L215" t="str">
        <f t="array" aca="1" ref="L215" ca="1">IFERROR(INDEX(Source!$A$1:$A$250,SMALL(IF(--(Source!$B$1:$B$250=$O215)*--(Source!$E$1:$E$250=$M$3)*--(Source!$D$1:$D$250=Pyramid!$M215),ROW(Source!$B$1:$B$250),FALSE),L$3)),"")</f>
        <v>25326 HK Equity</v>
      </c>
      <c r="M215" t="str">
        <f t="shared" si="11"/>
        <v>28/7/2016</v>
      </c>
      <c r="N215">
        <f ca="1">COUNTIFS(Source!B:B,Pyramid!$O215,Source!$D:$D,Pyramid!$M215,Source!$E:$E,Pyramid!$M$3)</f>
        <v>2</v>
      </c>
      <c r="O215">
        <f ca="1">OFFSET(Sheet2!$N$3,INT(C215/5),)</f>
        <v>20400</v>
      </c>
      <c r="P215">
        <f ca="1">COUNTIFS(Source!B:B,Pyramid!$O215,Source!D:D,Pyramid!$Q215,Source!$E:$E,Pyramid!$Q$3)</f>
        <v>1</v>
      </c>
      <c r="Q215" t="str">
        <f t="shared" si="11"/>
        <v>28/7/2016</v>
      </c>
      <c r="R215" t="str">
        <f t="array" aca="1" ref="R215" ca="1">IFERROR(INDEX(Source!$A$1:$A$250,SMALL(IF(--(Source!$B$1:$B$250=$O215)*--(Source!$E$1:$E$250=$Q$3)*--(Source!$D$1:$D$250=Pyramid!$Q215),ROW(Source!$B$1:$B$250),FALSE),R$3)),"")</f>
        <v>27153 HK Equity</v>
      </c>
      <c r="S215" t="str">
        <f t="array" aca="1" ref="S215" ca="1">IFERROR(INDEX(Source!$A$1:$A$250,SMALL(IF(--(Source!$B$1:$B$250=$O215)*--(Source!$E$1:$E$250=$Q$3)*--(Source!$D$1:$D$250=Pyramid!$Q215),ROW(Source!$B$1:$B$250),FALSE),S$3)),"")</f>
        <v/>
      </c>
      <c r="T215" t="str">
        <f t="array" aca="1" ref="T215" ca="1">IFERROR(INDEX(Source!$A$1:$A$250,SMALL(IF(--(Source!$B$1:$B$250=$O215)*--(Source!$E$1:$E$250=$Q$3)*--(Source!$D$1:$D$250=Pyramid!$Q215),ROW(Source!$B$1:$B$250),FALSE),T$3)),"")</f>
        <v/>
      </c>
      <c r="U215" t="str">
        <f t="array" aca="1" ref="U215" ca="1">IFERROR(INDEX(Source!$A$1:$A$250,SMALL(IF(--(Source!$B$1:$B$250=$O215)*--(Source!$E$1:$E$250=$Q$3)*--(Source!$D$1:$D$250=Pyramid!$Q215),ROW(Source!$B$1:$B$250),FALSE),U$3)),"")</f>
        <v/>
      </c>
      <c r="V215" t="str">
        <f t="array" aca="1" ref="V215" ca="1">IFERROR(INDEX(Source!$A$1:$A$250,SMALL(IF(--(Source!$B$1:$B$250=$O215)*--(Source!$E$1:$E$250=$Q$3)*--(Source!$D$1:$D$250=Pyramid!$Q215),ROW(Source!$B$1:$B$250),FALSE),V$3)),"")</f>
        <v/>
      </c>
      <c r="W215" t="str">
        <f t="array" aca="1" ref="W215" ca="1">IFERROR(INDEX(Source!$A$1:$A$250,SMALL(IF(--(Source!$B$1:$B$250=$O215)*--(Source!$E$1:$E$250=$Q$3)*--(Source!$D$1:$D$250=Pyramid!$Q215),ROW(Source!$B$1:$B$250),FALSE),W$3)),"")</f>
        <v/>
      </c>
      <c r="X215" t="str">
        <f t="array" aca="1" ref="X215" ca="1">IFERROR(INDEX(Source!$A$1:$A$250,SMALL(IF(--(Source!$B$1:$B$250=$O215)*--(Source!$E$1:$E$250=$Q$3)*--(Source!$D$1:$D$250=Pyramid!$Q215),ROW(Source!$B$1:$B$250),FALSE),X$3)),"")</f>
        <v/>
      </c>
      <c r="Y215" s="5">
        <f t="shared" ca="1" si="12"/>
        <v>0</v>
      </c>
    </row>
    <row r="216" spans="3:25">
      <c r="C216">
        <v>212</v>
      </c>
      <c r="D216" s="5">
        <f t="shared" ca="1" si="10"/>
        <v>0</v>
      </c>
      <c r="E216" t="str">
        <f t="array" aca="1" ref="E216" ca="1">IFERROR(INDEX(Source!$A$1:$A$250,SMALL(IF(--(Source!$B$1:$B$250=$O216)*--(Source!$E$1:$E$250=$M$3)*--(Source!$D$1:$D$250=Pyramid!$M216),ROW(Source!$B$1:$B$250),FALSE),E$3)),"")</f>
        <v/>
      </c>
      <c r="F216" t="str">
        <f t="array" aca="1" ref="F216" ca="1">IFERROR(INDEX(Source!$A$1:$A$250,SMALL(IF(--(Source!$B$1:$B$250=$O216)*--(Source!$E$1:$E$250=$M$3)*--(Source!$D$1:$D$250=Pyramid!$M216),ROW(Source!$B$1:$B$250),FALSE),F$3)),"")</f>
        <v/>
      </c>
      <c r="G216" t="str">
        <f t="array" aca="1" ref="G216" ca="1">IFERROR(INDEX(Source!$A$1:$A$250,SMALL(IF(--(Source!$B$1:$B$250=$O216)*--(Source!$E$1:$E$250=$M$3)*--(Source!$D$1:$D$250=Pyramid!$M216),ROW(Source!$B$1:$B$250),FALSE),G$3)),"")</f>
        <v/>
      </c>
      <c r="H216" t="str">
        <f t="array" aca="1" ref="H216" ca="1">IFERROR(INDEX(Source!$A$1:$A$250,SMALL(IF(--(Source!$B$1:$B$250=$O216)*--(Source!$E$1:$E$250=$M$3)*--(Source!$D$1:$D$250=Pyramid!$M216),ROW(Source!$B$1:$B$250),FALSE),H$3)),"")</f>
        <v/>
      </c>
      <c r="I216" t="str">
        <f t="array" aca="1" ref="I216" ca="1">IFERROR(INDEX(Source!$A$1:$A$250,SMALL(IF(--(Source!$B$1:$B$250=$O216)*--(Source!$E$1:$E$250=$M$3)*--(Source!$D$1:$D$250=Pyramid!$M216),ROW(Source!$B$1:$B$250),FALSE),I$3)),"")</f>
        <v/>
      </c>
      <c r="J216" t="str">
        <f t="array" aca="1" ref="J216" ca="1">IFERROR(INDEX(Source!$A$1:$A$250,SMALL(IF(--(Source!$B$1:$B$250=$O216)*--(Source!$E$1:$E$250=$M$3)*--(Source!$D$1:$D$250=Pyramid!$M216),ROW(Source!$B$1:$B$250),FALSE),J$3)),"")</f>
        <v/>
      </c>
      <c r="K216" t="str">
        <f t="array" aca="1" ref="K216" ca="1">IFERROR(INDEX(Source!$A$1:$A$250,SMALL(IF(--(Source!$B$1:$B$250=$O216)*--(Source!$E$1:$E$250=$M$3)*--(Source!$D$1:$D$250=Pyramid!$M216),ROW(Source!$B$1:$B$250),FALSE),K$3)),"")</f>
        <v/>
      </c>
      <c r="L216" t="str">
        <f t="array" aca="1" ref="L216" ca="1">IFERROR(INDEX(Source!$A$1:$A$250,SMALL(IF(--(Source!$B$1:$B$250=$O216)*--(Source!$E$1:$E$250=$M$3)*--(Source!$D$1:$D$250=Pyramid!$M216),ROW(Source!$B$1:$B$250),FALSE),L$3)),"")</f>
        <v/>
      </c>
      <c r="M216" t="str">
        <f t="shared" si="11"/>
        <v>30/8/2016</v>
      </c>
      <c r="N216">
        <f ca="1">COUNTIFS(Source!B:B,Pyramid!$O216,Source!$D:$D,Pyramid!$M216,Source!$E:$E,Pyramid!$M$3)</f>
        <v>0</v>
      </c>
      <c r="O216">
        <f ca="1">OFFSET(Sheet2!$N$3,INT(C216/5),)</f>
        <v>20400</v>
      </c>
      <c r="P216">
        <f ca="1">COUNTIFS(Source!B:B,Pyramid!$O216,Source!D:D,Pyramid!$Q216,Source!$E:$E,Pyramid!$Q$3)</f>
        <v>0</v>
      </c>
      <c r="Q216" t="str">
        <f t="shared" si="11"/>
        <v>30/8/2016</v>
      </c>
      <c r="R216" t="str">
        <f t="array" aca="1" ref="R216" ca="1">IFERROR(INDEX(Source!$A$1:$A$250,SMALL(IF(--(Source!$B$1:$B$250=$O216)*--(Source!$E$1:$E$250=$Q$3)*--(Source!$D$1:$D$250=Pyramid!$Q216),ROW(Source!$B$1:$B$250),FALSE),R$3)),"")</f>
        <v/>
      </c>
      <c r="S216" t="str">
        <f t="array" aca="1" ref="S216" ca="1">IFERROR(INDEX(Source!$A$1:$A$250,SMALL(IF(--(Source!$B$1:$B$250=$O216)*--(Source!$E$1:$E$250=$Q$3)*--(Source!$D$1:$D$250=Pyramid!$Q216),ROW(Source!$B$1:$B$250),FALSE),S$3)),"")</f>
        <v/>
      </c>
      <c r="T216" t="str">
        <f t="array" aca="1" ref="T216" ca="1">IFERROR(INDEX(Source!$A$1:$A$250,SMALL(IF(--(Source!$B$1:$B$250=$O216)*--(Source!$E$1:$E$250=$Q$3)*--(Source!$D$1:$D$250=Pyramid!$Q216),ROW(Source!$B$1:$B$250),FALSE),T$3)),"")</f>
        <v/>
      </c>
      <c r="U216" t="str">
        <f t="array" aca="1" ref="U216" ca="1">IFERROR(INDEX(Source!$A$1:$A$250,SMALL(IF(--(Source!$B$1:$B$250=$O216)*--(Source!$E$1:$E$250=$Q$3)*--(Source!$D$1:$D$250=Pyramid!$Q216),ROW(Source!$B$1:$B$250),FALSE),U$3)),"")</f>
        <v/>
      </c>
      <c r="V216" t="str">
        <f t="array" aca="1" ref="V216" ca="1">IFERROR(INDEX(Source!$A$1:$A$250,SMALL(IF(--(Source!$B$1:$B$250=$O216)*--(Source!$E$1:$E$250=$Q$3)*--(Source!$D$1:$D$250=Pyramid!$Q216),ROW(Source!$B$1:$B$250),FALSE),V$3)),"")</f>
        <v/>
      </c>
      <c r="W216" t="str">
        <f t="array" aca="1" ref="W216" ca="1">IFERROR(INDEX(Source!$A$1:$A$250,SMALL(IF(--(Source!$B$1:$B$250=$O216)*--(Source!$E$1:$E$250=$Q$3)*--(Source!$D$1:$D$250=Pyramid!$Q216),ROW(Source!$B$1:$B$250),FALSE),W$3)),"")</f>
        <v/>
      </c>
      <c r="X216" t="str">
        <f t="array" aca="1" ref="X216" ca="1">IFERROR(INDEX(Source!$A$1:$A$250,SMALL(IF(--(Source!$B$1:$B$250=$O216)*--(Source!$E$1:$E$250=$Q$3)*--(Source!$D$1:$D$250=Pyramid!$Q216),ROW(Source!$B$1:$B$250),FALSE),X$3)),"")</f>
        <v/>
      </c>
      <c r="Y216" s="5">
        <f t="shared" ca="1" si="12"/>
        <v>0</v>
      </c>
    </row>
    <row r="217" spans="3:25">
      <c r="C217">
        <v>213</v>
      </c>
      <c r="D217" s="5">
        <f t="shared" ca="1" si="10"/>
        <v>0</v>
      </c>
      <c r="E217" t="str">
        <f t="array" aca="1" ref="E217" ca="1">IFERROR(INDEX(Source!$A$1:$A$250,SMALL(IF(--(Source!$B$1:$B$250=$O217)*--(Source!$E$1:$E$250=$M$3)*--(Source!$D$1:$D$250=Pyramid!$M217),ROW(Source!$B$1:$B$250),FALSE),E$3)),"")</f>
        <v/>
      </c>
      <c r="F217" t="str">
        <f t="array" aca="1" ref="F217" ca="1">IFERROR(INDEX(Source!$A$1:$A$250,SMALL(IF(--(Source!$B$1:$B$250=$O217)*--(Source!$E$1:$E$250=$M$3)*--(Source!$D$1:$D$250=Pyramid!$M217),ROW(Source!$B$1:$B$250),FALSE),F$3)),"")</f>
        <v/>
      </c>
      <c r="G217" t="str">
        <f t="array" aca="1" ref="G217" ca="1">IFERROR(INDEX(Source!$A$1:$A$250,SMALL(IF(--(Source!$B$1:$B$250=$O217)*--(Source!$E$1:$E$250=$M$3)*--(Source!$D$1:$D$250=Pyramid!$M217),ROW(Source!$B$1:$B$250),FALSE),G$3)),"")</f>
        <v/>
      </c>
      <c r="H217" t="str">
        <f t="array" aca="1" ref="H217" ca="1">IFERROR(INDEX(Source!$A$1:$A$250,SMALL(IF(--(Source!$B$1:$B$250=$O217)*--(Source!$E$1:$E$250=$M$3)*--(Source!$D$1:$D$250=Pyramid!$M217),ROW(Source!$B$1:$B$250),FALSE),H$3)),"")</f>
        <v/>
      </c>
      <c r="I217" t="str">
        <f t="array" aca="1" ref="I217" ca="1">IFERROR(INDEX(Source!$A$1:$A$250,SMALL(IF(--(Source!$B$1:$B$250=$O217)*--(Source!$E$1:$E$250=$M$3)*--(Source!$D$1:$D$250=Pyramid!$M217),ROW(Source!$B$1:$B$250),FALSE),I$3)),"")</f>
        <v/>
      </c>
      <c r="J217" t="str">
        <f t="array" aca="1" ref="J217" ca="1">IFERROR(INDEX(Source!$A$1:$A$250,SMALL(IF(--(Source!$B$1:$B$250=$O217)*--(Source!$E$1:$E$250=$M$3)*--(Source!$D$1:$D$250=Pyramid!$M217),ROW(Source!$B$1:$B$250),FALSE),J$3)),"")</f>
        <v/>
      </c>
      <c r="K217" t="str">
        <f t="array" aca="1" ref="K217" ca="1">IFERROR(INDEX(Source!$A$1:$A$250,SMALL(IF(--(Source!$B$1:$B$250=$O217)*--(Source!$E$1:$E$250=$M$3)*--(Source!$D$1:$D$250=Pyramid!$M217),ROW(Source!$B$1:$B$250),FALSE),K$3)),"")</f>
        <v/>
      </c>
      <c r="L217" t="str">
        <f t="array" aca="1" ref="L217" ca="1">IFERROR(INDEX(Source!$A$1:$A$250,SMALL(IF(--(Source!$B$1:$B$250=$O217)*--(Source!$E$1:$E$250=$M$3)*--(Source!$D$1:$D$250=Pyramid!$M217),ROW(Source!$B$1:$B$250),FALSE),L$3)),"")</f>
        <v/>
      </c>
      <c r="M217" t="str">
        <f t="shared" si="11"/>
        <v>29/9/2016</v>
      </c>
      <c r="N217">
        <f ca="1">COUNTIFS(Source!B:B,Pyramid!$O217,Source!$D:$D,Pyramid!$M217,Source!$E:$E,Pyramid!$M$3)</f>
        <v>0</v>
      </c>
      <c r="O217">
        <f ca="1">OFFSET(Sheet2!$N$3,INT(C217/5),)</f>
        <v>20400</v>
      </c>
      <c r="P217">
        <f ca="1">COUNTIFS(Source!B:B,Pyramid!$O217,Source!D:D,Pyramid!$Q217,Source!$E:$E,Pyramid!$Q$3)</f>
        <v>2</v>
      </c>
      <c r="Q217" t="str">
        <f t="shared" si="11"/>
        <v>29/9/2016</v>
      </c>
      <c r="R217" t="str">
        <f t="array" aca="1" ref="R217" ca="1">IFERROR(INDEX(Source!$A$1:$A$250,SMALL(IF(--(Source!$B$1:$B$250=$O217)*--(Source!$E$1:$E$250=$Q$3)*--(Source!$D$1:$D$250=Pyramid!$Q217),ROW(Source!$B$1:$B$250),FALSE),R$3)),"")</f>
        <v>24830 HK Equity</v>
      </c>
      <c r="S217" t="str">
        <f t="array" aca="1" ref="S217" ca="1">IFERROR(INDEX(Source!$A$1:$A$250,SMALL(IF(--(Source!$B$1:$B$250=$O217)*--(Source!$E$1:$E$250=$Q$3)*--(Source!$D$1:$D$250=Pyramid!$Q217),ROW(Source!$B$1:$B$250),FALSE),S$3)),"")</f>
        <v>24452 HK Equity</v>
      </c>
      <c r="T217" t="str">
        <f t="array" aca="1" ref="T217" ca="1">IFERROR(INDEX(Source!$A$1:$A$250,SMALL(IF(--(Source!$B$1:$B$250=$O217)*--(Source!$E$1:$E$250=$Q$3)*--(Source!$D$1:$D$250=Pyramid!$Q217),ROW(Source!$B$1:$B$250),FALSE),T$3)),"")</f>
        <v/>
      </c>
      <c r="U217" t="str">
        <f t="array" aca="1" ref="U217" ca="1">IFERROR(INDEX(Source!$A$1:$A$250,SMALL(IF(--(Source!$B$1:$B$250=$O217)*--(Source!$E$1:$E$250=$Q$3)*--(Source!$D$1:$D$250=Pyramid!$Q217),ROW(Source!$B$1:$B$250),FALSE),U$3)),"")</f>
        <v/>
      </c>
      <c r="V217" t="str">
        <f t="array" aca="1" ref="V217" ca="1">IFERROR(INDEX(Source!$A$1:$A$250,SMALL(IF(--(Source!$B$1:$B$250=$O217)*--(Source!$E$1:$E$250=$Q$3)*--(Source!$D$1:$D$250=Pyramid!$Q217),ROW(Source!$B$1:$B$250),FALSE),V$3)),"")</f>
        <v/>
      </c>
      <c r="W217" t="str">
        <f t="array" aca="1" ref="W217" ca="1">IFERROR(INDEX(Source!$A$1:$A$250,SMALL(IF(--(Source!$B$1:$B$250=$O217)*--(Source!$E$1:$E$250=$Q$3)*--(Source!$D$1:$D$250=Pyramid!$Q217),ROW(Source!$B$1:$B$250),FALSE),W$3)),"")</f>
        <v/>
      </c>
      <c r="X217" t="str">
        <f t="array" aca="1" ref="X217" ca="1">IFERROR(INDEX(Source!$A$1:$A$250,SMALL(IF(--(Source!$B$1:$B$250=$O217)*--(Source!$E$1:$E$250=$Q$3)*--(Source!$D$1:$D$250=Pyramid!$Q217),ROW(Source!$B$1:$B$250),FALSE),X$3)),"")</f>
        <v/>
      </c>
      <c r="Y217" s="5">
        <f t="shared" ca="1" si="12"/>
        <v>0</v>
      </c>
    </row>
    <row r="218" spans="3:25">
      <c r="C218">
        <v>214</v>
      </c>
      <c r="D218" s="5">
        <f t="shared" ca="1" si="10"/>
        <v>0</v>
      </c>
      <c r="E218" t="str">
        <f t="array" aca="1" ref="E218" ca="1">IFERROR(INDEX(Source!$A$1:$A$250,SMALL(IF(--(Source!$B$1:$B$250=$O218)*--(Source!$E$1:$E$250=$M$3)*--(Source!$D$1:$D$250=Pyramid!$M218),ROW(Source!$B$1:$B$250),FALSE),E$3)),"")</f>
        <v/>
      </c>
      <c r="F218" t="str">
        <f t="array" aca="1" ref="F218" ca="1">IFERROR(INDEX(Source!$A$1:$A$250,SMALL(IF(--(Source!$B$1:$B$250=$O218)*--(Source!$E$1:$E$250=$M$3)*--(Source!$D$1:$D$250=Pyramid!$M218),ROW(Source!$B$1:$B$250),FALSE),F$3)),"")</f>
        <v/>
      </c>
      <c r="G218" t="str">
        <f t="array" aca="1" ref="G218" ca="1">IFERROR(INDEX(Source!$A$1:$A$250,SMALL(IF(--(Source!$B$1:$B$250=$O218)*--(Source!$E$1:$E$250=$M$3)*--(Source!$D$1:$D$250=Pyramid!$M218),ROW(Source!$B$1:$B$250),FALSE),G$3)),"")</f>
        <v/>
      </c>
      <c r="H218" t="str">
        <f t="array" aca="1" ref="H218" ca="1">IFERROR(INDEX(Source!$A$1:$A$250,SMALL(IF(--(Source!$B$1:$B$250=$O218)*--(Source!$E$1:$E$250=$M$3)*--(Source!$D$1:$D$250=Pyramid!$M218),ROW(Source!$B$1:$B$250),FALSE),H$3)),"")</f>
        <v/>
      </c>
      <c r="I218" t="str">
        <f t="array" aca="1" ref="I218" ca="1">IFERROR(INDEX(Source!$A$1:$A$250,SMALL(IF(--(Source!$B$1:$B$250=$O218)*--(Source!$E$1:$E$250=$M$3)*--(Source!$D$1:$D$250=Pyramid!$M218),ROW(Source!$B$1:$B$250),FALSE),I$3)),"")</f>
        <v/>
      </c>
      <c r="J218" t="str">
        <f t="array" aca="1" ref="J218" ca="1">IFERROR(INDEX(Source!$A$1:$A$250,SMALL(IF(--(Source!$B$1:$B$250=$O218)*--(Source!$E$1:$E$250=$M$3)*--(Source!$D$1:$D$250=Pyramid!$M218),ROW(Source!$B$1:$B$250),FALSE),J$3)),"")</f>
        <v/>
      </c>
      <c r="K218" t="str">
        <f t="array" aca="1" ref="K218" ca="1">IFERROR(INDEX(Source!$A$1:$A$250,SMALL(IF(--(Source!$B$1:$B$250=$O218)*--(Source!$E$1:$E$250=$M$3)*--(Source!$D$1:$D$250=Pyramid!$M218),ROW(Source!$B$1:$B$250),FALSE),K$3)),"")</f>
        <v/>
      </c>
      <c r="L218" t="str">
        <f t="array" aca="1" ref="L218" ca="1">IFERROR(INDEX(Source!$A$1:$A$250,SMALL(IF(--(Source!$B$1:$B$250=$O218)*--(Source!$E$1:$E$250=$M$3)*--(Source!$D$1:$D$250=Pyramid!$M218),ROW(Source!$B$1:$B$250),FALSE),L$3)),"")</f>
        <v/>
      </c>
      <c r="M218" t="str">
        <f t="shared" si="11"/>
        <v>28/10/2016</v>
      </c>
      <c r="N218">
        <f ca="1">COUNTIFS(Source!B:B,Pyramid!$O218,Source!$D:$D,Pyramid!$M218,Source!$E:$E,Pyramid!$M$3)</f>
        <v>0</v>
      </c>
      <c r="O218">
        <f ca="1">OFFSET(Sheet2!$N$3,INT(C218/5),)</f>
        <v>20400</v>
      </c>
      <c r="P218">
        <f ca="1">COUNTIFS(Source!B:B,Pyramid!$O218,Source!D:D,Pyramid!$Q218,Source!$E:$E,Pyramid!$Q$3)</f>
        <v>0</v>
      </c>
      <c r="Q218" t="str">
        <f t="shared" si="11"/>
        <v>28/10/2016</v>
      </c>
      <c r="R218" t="str">
        <f t="array" aca="1" ref="R218" ca="1">IFERROR(INDEX(Source!$A$1:$A$250,SMALL(IF(--(Source!$B$1:$B$250=$O218)*--(Source!$E$1:$E$250=$Q$3)*--(Source!$D$1:$D$250=Pyramid!$Q218),ROW(Source!$B$1:$B$250),FALSE),R$3)),"")</f>
        <v/>
      </c>
      <c r="S218" t="str">
        <f t="array" aca="1" ref="S218" ca="1">IFERROR(INDEX(Source!$A$1:$A$250,SMALL(IF(--(Source!$B$1:$B$250=$O218)*--(Source!$E$1:$E$250=$Q$3)*--(Source!$D$1:$D$250=Pyramid!$Q218),ROW(Source!$B$1:$B$250),FALSE),S$3)),"")</f>
        <v/>
      </c>
      <c r="T218" t="str">
        <f t="array" aca="1" ref="T218" ca="1">IFERROR(INDEX(Source!$A$1:$A$250,SMALL(IF(--(Source!$B$1:$B$250=$O218)*--(Source!$E$1:$E$250=$Q$3)*--(Source!$D$1:$D$250=Pyramid!$Q218),ROW(Source!$B$1:$B$250),FALSE),T$3)),"")</f>
        <v/>
      </c>
      <c r="U218" t="str">
        <f t="array" aca="1" ref="U218" ca="1">IFERROR(INDEX(Source!$A$1:$A$250,SMALL(IF(--(Source!$B$1:$B$250=$O218)*--(Source!$E$1:$E$250=$Q$3)*--(Source!$D$1:$D$250=Pyramid!$Q218),ROW(Source!$B$1:$B$250),FALSE),U$3)),"")</f>
        <v/>
      </c>
      <c r="V218" t="str">
        <f t="array" aca="1" ref="V218" ca="1">IFERROR(INDEX(Source!$A$1:$A$250,SMALL(IF(--(Source!$B$1:$B$250=$O218)*--(Source!$E$1:$E$250=$Q$3)*--(Source!$D$1:$D$250=Pyramid!$Q218),ROW(Source!$B$1:$B$250),FALSE),V$3)),"")</f>
        <v/>
      </c>
      <c r="W218" t="str">
        <f t="array" aca="1" ref="W218" ca="1">IFERROR(INDEX(Source!$A$1:$A$250,SMALL(IF(--(Source!$B$1:$B$250=$O218)*--(Source!$E$1:$E$250=$Q$3)*--(Source!$D$1:$D$250=Pyramid!$Q218),ROW(Source!$B$1:$B$250),FALSE),W$3)),"")</f>
        <v/>
      </c>
      <c r="X218" t="str">
        <f t="array" aca="1" ref="X218" ca="1">IFERROR(INDEX(Source!$A$1:$A$250,SMALL(IF(--(Source!$B$1:$B$250=$O218)*--(Source!$E$1:$E$250=$Q$3)*--(Source!$D$1:$D$250=Pyramid!$Q218),ROW(Source!$B$1:$B$250),FALSE),X$3)),"")</f>
        <v/>
      </c>
      <c r="Y218" s="5">
        <f t="shared" ca="1" si="12"/>
        <v>0</v>
      </c>
    </row>
    <row r="219" spans="3:25">
      <c r="C219">
        <v>215</v>
      </c>
      <c r="D219" s="5">
        <f t="shared" ca="1" si="10"/>
        <v>0</v>
      </c>
      <c r="E219" t="str">
        <f t="array" aca="1" ref="E219" ca="1">IFERROR(INDEX(Source!$A$1:$A$250,SMALL(IF(--(Source!$B$1:$B$250=$O219)*--(Source!$E$1:$E$250=$M$3)*--(Source!$D$1:$D$250=Pyramid!$M219),ROW(Source!$B$1:$B$250),FALSE),E$3)),"")</f>
        <v/>
      </c>
      <c r="F219" t="str">
        <f t="array" aca="1" ref="F219" ca="1">IFERROR(INDEX(Source!$A$1:$A$250,SMALL(IF(--(Source!$B$1:$B$250=$O219)*--(Source!$E$1:$E$250=$M$3)*--(Source!$D$1:$D$250=Pyramid!$M219),ROW(Source!$B$1:$B$250),FALSE),F$3)),"")</f>
        <v/>
      </c>
      <c r="G219" t="str">
        <f t="array" aca="1" ref="G219" ca="1">IFERROR(INDEX(Source!$A$1:$A$250,SMALL(IF(--(Source!$B$1:$B$250=$O219)*--(Source!$E$1:$E$250=$M$3)*--(Source!$D$1:$D$250=Pyramid!$M219),ROW(Source!$B$1:$B$250),FALSE),G$3)),"")</f>
        <v/>
      </c>
      <c r="H219" t="str">
        <f t="array" aca="1" ref="H219" ca="1">IFERROR(INDEX(Source!$A$1:$A$250,SMALL(IF(--(Source!$B$1:$B$250=$O219)*--(Source!$E$1:$E$250=$M$3)*--(Source!$D$1:$D$250=Pyramid!$M219),ROW(Source!$B$1:$B$250),FALSE),H$3)),"")</f>
        <v/>
      </c>
      <c r="I219" t="str">
        <f t="array" aca="1" ref="I219" ca="1">IFERROR(INDEX(Source!$A$1:$A$250,SMALL(IF(--(Source!$B$1:$B$250=$O219)*--(Source!$E$1:$E$250=$M$3)*--(Source!$D$1:$D$250=Pyramid!$M219),ROW(Source!$B$1:$B$250),FALSE),I$3)),"")</f>
        <v/>
      </c>
      <c r="J219" t="str">
        <f t="array" aca="1" ref="J219" ca="1">IFERROR(INDEX(Source!$A$1:$A$250,SMALL(IF(--(Source!$B$1:$B$250=$O219)*--(Source!$E$1:$E$250=$M$3)*--(Source!$D$1:$D$250=Pyramid!$M219),ROW(Source!$B$1:$B$250),FALSE),J$3)),"")</f>
        <v/>
      </c>
      <c r="K219" t="str">
        <f t="array" aca="1" ref="K219" ca="1">IFERROR(INDEX(Source!$A$1:$A$250,SMALL(IF(--(Source!$B$1:$B$250=$O219)*--(Source!$E$1:$E$250=$M$3)*--(Source!$D$1:$D$250=Pyramid!$M219),ROW(Source!$B$1:$B$250),FALSE),K$3)),"")</f>
        <v/>
      </c>
      <c r="L219" t="str">
        <f t="array" aca="1" ref="L219" ca="1">IFERROR(INDEX(Source!$A$1:$A$250,SMALL(IF(--(Source!$B$1:$B$250=$O219)*--(Source!$E$1:$E$250=$M$3)*--(Source!$D$1:$D$250=Pyramid!$M219),ROW(Source!$B$1:$B$250),FALSE),L$3)),"")</f>
        <v/>
      </c>
      <c r="M219" t="str">
        <f t="shared" si="11"/>
        <v>29/6/2016</v>
      </c>
      <c r="N219">
        <f ca="1">COUNTIFS(Source!B:B,Pyramid!$O219,Source!$D:$D,Pyramid!$M219,Source!$E:$E,Pyramid!$M$3)</f>
        <v>0</v>
      </c>
      <c r="O219">
        <f ca="1">OFFSET(Sheet2!$N$3,INT(C219/5),)</f>
        <v>20488</v>
      </c>
      <c r="P219">
        <f ca="1">COUNTIFS(Source!B:B,Pyramid!$O219,Source!D:D,Pyramid!$Q219,Source!$E:$E,Pyramid!$Q$3)</f>
        <v>0</v>
      </c>
      <c r="Q219" t="str">
        <f t="shared" si="11"/>
        <v>29/6/2016</v>
      </c>
      <c r="R219" t="str">
        <f t="array" aca="1" ref="R219" ca="1">IFERROR(INDEX(Source!$A$1:$A$250,SMALL(IF(--(Source!$B$1:$B$250=$O219)*--(Source!$E$1:$E$250=$Q$3)*--(Source!$D$1:$D$250=Pyramid!$Q219),ROW(Source!$B$1:$B$250),FALSE),R$3)),"")</f>
        <v/>
      </c>
      <c r="S219" t="str">
        <f t="array" aca="1" ref="S219" ca="1">IFERROR(INDEX(Source!$A$1:$A$250,SMALL(IF(--(Source!$B$1:$B$250=$O219)*--(Source!$E$1:$E$250=$Q$3)*--(Source!$D$1:$D$250=Pyramid!$Q219),ROW(Source!$B$1:$B$250),FALSE),S$3)),"")</f>
        <v/>
      </c>
      <c r="T219" t="str">
        <f t="array" aca="1" ref="T219" ca="1">IFERROR(INDEX(Source!$A$1:$A$250,SMALL(IF(--(Source!$B$1:$B$250=$O219)*--(Source!$E$1:$E$250=$Q$3)*--(Source!$D$1:$D$250=Pyramid!$Q219),ROW(Source!$B$1:$B$250),FALSE),T$3)),"")</f>
        <v/>
      </c>
      <c r="U219" t="str">
        <f t="array" aca="1" ref="U219" ca="1">IFERROR(INDEX(Source!$A$1:$A$250,SMALL(IF(--(Source!$B$1:$B$250=$O219)*--(Source!$E$1:$E$250=$Q$3)*--(Source!$D$1:$D$250=Pyramid!$Q219),ROW(Source!$B$1:$B$250),FALSE),U$3)),"")</f>
        <v/>
      </c>
      <c r="V219" t="str">
        <f t="array" aca="1" ref="V219" ca="1">IFERROR(INDEX(Source!$A$1:$A$250,SMALL(IF(--(Source!$B$1:$B$250=$O219)*--(Source!$E$1:$E$250=$Q$3)*--(Source!$D$1:$D$250=Pyramid!$Q219),ROW(Source!$B$1:$B$250),FALSE),V$3)),"")</f>
        <v/>
      </c>
      <c r="W219" t="str">
        <f t="array" aca="1" ref="W219" ca="1">IFERROR(INDEX(Source!$A$1:$A$250,SMALL(IF(--(Source!$B$1:$B$250=$O219)*--(Source!$E$1:$E$250=$Q$3)*--(Source!$D$1:$D$250=Pyramid!$Q219),ROW(Source!$B$1:$B$250),FALSE),W$3)),"")</f>
        <v/>
      </c>
      <c r="X219" t="str">
        <f t="array" aca="1" ref="X219" ca="1">IFERROR(INDEX(Source!$A$1:$A$250,SMALL(IF(--(Source!$B$1:$B$250=$O219)*--(Source!$E$1:$E$250=$Q$3)*--(Source!$D$1:$D$250=Pyramid!$Q219),ROW(Source!$B$1:$B$250),FALSE),X$3)),"")</f>
        <v/>
      </c>
      <c r="Y219" s="5">
        <f t="shared" ca="1" si="12"/>
        <v>0</v>
      </c>
    </row>
    <row r="220" spans="3:25">
      <c r="C220">
        <v>216</v>
      </c>
      <c r="D220" s="5">
        <f t="shared" ca="1" si="10"/>
        <v>0</v>
      </c>
      <c r="E220" t="str">
        <f t="array" aca="1" ref="E220" ca="1">IFERROR(INDEX(Source!$A$1:$A$250,SMALL(IF(--(Source!$B$1:$B$250=$O220)*--(Source!$E$1:$E$250=$M$3)*--(Source!$D$1:$D$250=Pyramid!$M220),ROW(Source!$B$1:$B$250),FALSE),E$3)),"")</f>
        <v/>
      </c>
      <c r="F220" t="str">
        <f t="array" aca="1" ref="F220" ca="1">IFERROR(INDEX(Source!$A$1:$A$250,SMALL(IF(--(Source!$B$1:$B$250=$O220)*--(Source!$E$1:$E$250=$M$3)*--(Source!$D$1:$D$250=Pyramid!$M220),ROW(Source!$B$1:$B$250),FALSE),F$3)),"")</f>
        <v/>
      </c>
      <c r="G220" t="str">
        <f t="array" aca="1" ref="G220" ca="1">IFERROR(INDEX(Source!$A$1:$A$250,SMALL(IF(--(Source!$B$1:$B$250=$O220)*--(Source!$E$1:$E$250=$M$3)*--(Source!$D$1:$D$250=Pyramid!$M220),ROW(Source!$B$1:$B$250),FALSE),G$3)),"")</f>
        <v/>
      </c>
      <c r="H220" t="str">
        <f t="array" aca="1" ref="H220" ca="1">IFERROR(INDEX(Source!$A$1:$A$250,SMALL(IF(--(Source!$B$1:$B$250=$O220)*--(Source!$E$1:$E$250=$M$3)*--(Source!$D$1:$D$250=Pyramid!$M220),ROW(Source!$B$1:$B$250),FALSE),H$3)),"")</f>
        <v/>
      </c>
      <c r="I220" t="str">
        <f t="array" aca="1" ref="I220" ca="1">IFERROR(INDEX(Source!$A$1:$A$250,SMALL(IF(--(Source!$B$1:$B$250=$O220)*--(Source!$E$1:$E$250=$M$3)*--(Source!$D$1:$D$250=Pyramid!$M220),ROW(Source!$B$1:$B$250),FALSE),I$3)),"")</f>
        <v/>
      </c>
      <c r="J220" t="str">
        <f t="array" aca="1" ref="J220" ca="1">IFERROR(INDEX(Source!$A$1:$A$250,SMALL(IF(--(Source!$B$1:$B$250=$O220)*--(Source!$E$1:$E$250=$M$3)*--(Source!$D$1:$D$250=Pyramid!$M220),ROW(Source!$B$1:$B$250),FALSE),J$3)),"")</f>
        <v/>
      </c>
      <c r="K220" t="str">
        <f t="array" aca="1" ref="K220" ca="1">IFERROR(INDEX(Source!$A$1:$A$250,SMALL(IF(--(Source!$B$1:$B$250=$O220)*--(Source!$E$1:$E$250=$M$3)*--(Source!$D$1:$D$250=Pyramid!$M220),ROW(Source!$B$1:$B$250),FALSE),K$3)),"")</f>
        <v/>
      </c>
      <c r="L220" t="str">
        <f t="array" aca="1" ref="L220" ca="1">IFERROR(INDEX(Source!$A$1:$A$250,SMALL(IF(--(Source!$B$1:$B$250=$O220)*--(Source!$E$1:$E$250=$M$3)*--(Source!$D$1:$D$250=Pyramid!$M220),ROW(Source!$B$1:$B$250),FALSE),L$3)),"")</f>
        <v/>
      </c>
      <c r="M220" t="str">
        <f t="shared" si="11"/>
        <v>28/7/2016</v>
      </c>
      <c r="N220">
        <f ca="1">COUNTIFS(Source!B:B,Pyramid!$O220,Source!$D:$D,Pyramid!$M220,Source!$E:$E,Pyramid!$M$3)</f>
        <v>0</v>
      </c>
      <c r="O220">
        <f ca="1">OFFSET(Sheet2!$N$3,INT(C220/5),)</f>
        <v>20488</v>
      </c>
      <c r="P220">
        <f ca="1">COUNTIFS(Source!B:B,Pyramid!$O220,Source!D:D,Pyramid!$Q220,Source!$E:$E,Pyramid!$Q$3)</f>
        <v>1</v>
      </c>
      <c r="Q220" t="str">
        <f t="shared" si="11"/>
        <v>28/7/2016</v>
      </c>
      <c r="R220" t="str">
        <f t="array" aca="1" ref="R220" ca="1">IFERROR(INDEX(Source!$A$1:$A$250,SMALL(IF(--(Source!$B$1:$B$250=$O220)*--(Source!$E$1:$E$250=$Q$3)*--(Source!$D$1:$D$250=Pyramid!$Q220),ROW(Source!$B$1:$B$250),FALSE),R$3)),"")</f>
        <v>25357 HK Equity</v>
      </c>
      <c r="S220" t="str">
        <f t="array" aca="1" ref="S220" ca="1">IFERROR(INDEX(Source!$A$1:$A$250,SMALL(IF(--(Source!$B$1:$B$250=$O220)*--(Source!$E$1:$E$250=$Q$3)*--(Source!$D$1:$D$250=Pyramid!$Q220),ROW(Source!$B$1:$B$250),FALSE),S$3)),"")</f>
        <v/>
      </c>
      <c r="T220" t="str">
        <f t="array" aca="1" ref="T220" ca="1">IFERROR(INDEX(Source!$A$1:$A$250,SMALL(IF(--(Source!$B$1:$B$250=$O220)*--(Source!$E$1:$E$250=$Q$3)*--(Source!$D$1:$D$250=Pyramid!$Q220),ROW(Source!$B$1:$B$250),FALSE),T$3)),"")</f>
        <v/>
      </c>
      <c r="U220" t="str">
        <f t="array" aca="1" ref="U220" ca="1">IFERROR(INDEX(Source!$A$1:$A$250,SMALL(IF(--(Source!$B$1:$B$250=$O220)*--(Source!$E$1:$E$250=$Q$3)*--(Source!$D$1:$D$250=Pyramid!$Q220),ROW(Source!$B$1:$B$250),FALSE),U$3)),"")</f>
        <v/>
      </c>
      <c r="V220" t="str">
        <f t="array" aca="1" ref="V220" ca="1">IFERROR(INDEX(Source!$A$1:$A$250,SMALL(IF(--(Source!$B$1:$B$250=$O220)*--(Source!$E$1:$E$250=$Q$3)*--(Source!$D$1:$D$250=Pyramid!$Q220),ROW(Source!$B$1:$B$250),FALSE),V$3)),"")</f>
        <v/>
      </c>
      <c r="W220" t="str">
        <f t="array" aca="1" ref="W220" ca="1">IFERROR(INDEX(Source!$A$1:$A$250,SMALL(IF(--(Source!$B$1:$B$250=$O220)*--(Source!$E$1:$E$250=$Q$3)*--(Source!$D$1:$D$250=Pyramid!$Q220),ROW(Source!$B$1:$B$250),FALSE),W$3)),"")</f>
        <v/>
      </c>
      <c r="X220" t="str">
        <f t="array" aca="1" ref="X220" ca="1">IFERROR(INDEX(Source!$A$1:$A$250,SMALL(IF(--(Source!$B$1:$B$250=$O220)*--(Source!$E$1:$E$250=$Q$3)*--(Source!$D$1:$D$250=Pyramid!$Q220),ROW(Source!$B$1:$B$250),FALSE),X$3)),"")</f>
        <v/>
      </c>
      <c r="Y220" s="5">
        <f t="shared" ca="1" si="12"/>
        <v>0</v>
      </c>
    </row>
    <row r="221" spans="3:25">
      <c r="C221">
        <v>217</v>
      </c>
      <c r="D221" s="5">
        <f t="shared" ca="1" si="10"/>
        <v>0</v>
      </c>
      <c r="E221" t="str">
        <f t="array" aca="1" ref="E221" ca="1">IFERROR(INDEX(Source!$A$1:$A$250,SMALL(IF(--(Source!$B$1:$B$250=$O221)*--(Source!$E$1:$E$250=$M$3)*--(Source!$D$1:$D$250=Pyramid!$M221),ROW(Source!$B$1:$B$250),FALSE),E$3)),"")</f>
        <v/>
      </c>
      <c r="F221" t="str">
        <f t="array" aca="1" ref="F221" ca="1">IFERROR(INDEX(Source!$A$1:$A$250,SMALL(IF(--(Source!$B$1:$B$250=$O221)*--(Source!$E$1:$E$250=$M$3)*--(Source!$D$1:$D$250=Pyramid!$M221),ROW(Source!$B$1:$B$250),FALSE),F$3)),"")</f>
        <v/>
      </c>
      <c r="G221" t="str">
        <f t="array" aca="1" ref="G221" ca="1">IFERROR(INDEX(Source!$A$1:$A$250,SMALL(IF(--(Source!$B$1:$B$250=$O221)*--(Source!$E$1:$E$250=$M$3)*--(Source!$D$1:$D$250=Pyramid!$M221),ROW(Source!$B$1:$B$250),FALSE),G$3)),"")</f>
        <v/>
      </c>
      <c r="H221" t="str">
        <f t="array" aca="1" ref="H221" ca="1">IFERROR(INDEX(Source!$A$1:$A$250,SMALL(IF(--(Source!$B$1:$B$250=$O221)*--(Source!$E$1:$E$250=$M$3)*--(Source!$D$1:$D$250=Pyramid!$M221),ROW(Source!$B$1:$B$250),FALSE),H$3)),"")</f>
        <v/>
      </c>
      <c r="I221" t="str">
        <f t="array" aca="1" ref="I221" ca="1">IFERROR(INDEX(Source!$A$1:$A$250,SMALL(IF(--(Source!$B$1:$B$250=$O221)*--(Source!$E$1:$E$250=$M$3)*--(Source!$D$1:$D$250=Pyramid!$M221),ROW(Source!$B$1:$B$250),FALSE),I$3)),"")</f>
        <v/>
      </c>
      <c r="J221" t="str">
        <f t="array" aca="1" ref="J221" ca="1">IFERROR(INDEX(Source!$A$1:$A$250,SMALL(IF(--(Source!$B$1:$B$250=$O221)*--(Source!$E$1:$E$250=$M$3)*--(Source!$D$1:$D$250=Pyramid!$M221),ROW(Source!$B$1:$B$250),FALSE),J$3)),"")</f>
        <v/>
      </c>
      <c r="K221" t="str">
        <f t="array" aca="1" ref="K221" ca="1">IFERROR(INDEX(Source!$A$1:$A$250,SMALL(IF(--(Source!$B$1:$B$250=$O221)*--(Source!$E$1:$E$250=$M$3)*--(Source!$D$1:$D$250=Pyramid!$M221),ROW(Source!$B$1:$B$250),FALSE),K$3)),"")</f>
        <v/>
      </c>
      <c r="L221" t="str">
        <f t="array" aca="1" ref="L221" ca="1">IFERROR(INDEX(Source!$A$1:$A$250,SMALL(IF(--(Source!$B$1:$B$250=$O221)*--(Source!$E$1:$E$250=$M$3)*--(Source!$D$1:$D$250=Pyramid!$M221),ROW(Source!$B$1:$B$250),FALSE),L$3)),"")</f>
        <v/>
      </c>
      <c r="M221" t="str">
        <f t="shared" si="11"/>
        <v>30/8/2016</v>
      </c>
      <c r="N221">
        <f ca="1">COUNTIFS(Source!B:B,Pyramid!$O221,Source!$D:$D,Pyramid!$M221,Source!$E:$E,Pyramid!$M$3)</f>
        <v>0</v>
      </c>
      <c r="O221">
        <f ca="1">OFFSET(Sheet2!$N$3,INT(C221/5),)</f>
        <v>20488</v>
      </c>
      <c r="P221">
        <f ca="1">COUNTIFS(Source!B:B,Pyramid!$O221,Source!D:D,Pyramid!$Q221,Source!$E:$E,Pyramid!$Q$3)</f>
        <v>0</v>
      </c>
      <c r="Q221" t="str">
        <f t="shared" si="11"/>
        <v>30/8/2016</v>
      </c>
      <c r="R221" t="str">
        <f t="array" aca="1" ref="R221" ca="1">IFERROR(INDEX(Source!$A$1:$A$250,SMALL(IF(--(Source!$B$1:$B$250=$O221)*--(Source!$E$1:$E$250=$Q$3)*--(Source!$D$1:$D$250=Pyramid!$Q221),ROW(Source!$B$1:$B$250),FALSE),R$3)),"")</f>
        <v/>
      </c>
      <c r="S221" t="str">
        <f t="array" aca="1" ref="S221" ca="1">IFERROR(INDEX(Source!$A$1:$A$250,SMALL(IF(--(Source!$B$1:$B$250=$O221)*--(Source!$E$1:$E$250=$Q$3)*--(Source!$D$1:$D$250=Pyramid!$Q221),ROW(Source!$B$1:$B$250),FALSE),S$3)),"")</f>
        <v/>
      </c>
      <c r="T221" t="str">
        <f t="array" aca="1" ref="T221" ca="1">IFERROR(INDEX(Source!$A$1:$A$250,SMALL(IF(--(Source!$B$1:$B$250=$O221)*--(Source!$E$1:$E$250=$Q$3)*--(Source!$D$1:$D$250=Pyramid!$Q221),ROW(Source!$B$1:$B$250),FALSE),T$3)),"")</f>
        <v/>
      </c>
      <c r="U221" t="str">
        <f t="array" aca="1" ref="U221" ca="1">IFERROR(INDEX(Source!$A$1:$A$250,SMALL(IF(--(Source!$B$1:$B$250=$O221)*--(Source!$E$1:$E$250=$Q$3)*--(Source!$D$1:$D$250=Pyramid!$Q221),ROW(Source!$B$1:$B$250),FALSE),U$3)),"")</f>
        <v/>
      </c>
      <c r="V221" t="str">
        <f t="array" aca="1" ref="V221" ca="1">IFERROR(INDEX(Source!$A$1:$A$250,SMALL(IF(--(Source!$B$1:$B$250=$O221)*--(Source!$E$1:$E$250=$Q$3)*--(Source!$D$1:$D$250=Pyramid!$Q221),ROW(Source!$B$1:$B$250),FALSE),V$3)),"")</f>
        <v/>
      </c>
      <c r="W221" t="str">
        <f t="array" aca="1" ref="W221" ca="1">IFERROR(INDEX(Source!$A$1:$A$250,SMALL(IF(--(Source!$B$1:$B$250=$O221)*--(Source!$E$1:$E$250=$Q$3)*--(Source!$D$1:$D$250=Pyramid!$Q221),ROW(Source!$B$1:$B$250),FALSE),W$3)),"")</f>
        <v/>
      </c>
      <c r="X221" t="str">
        <f t="array" aca="1" ref="X221" ca="1">IFERROR(INDEX(Source!$A$1:$A$250,SMALL(IF(--(Source!$B$1:$B$250=$O221)*--(Source!$E$1:$E$250=$Q$3)*--(Source!$D$1:$D$250=Pyramid!$Q221),ROW(Source!$B$1:$B$250),FALSE),X$3)),"")</f>
        <v/>
      </c>
      <c r="Y221" s="5">
        <f t="shared" ca="1" si="12"/>
        <v>0</v>
      </c>
    </row>
    <row r="222" spans="3:25">
      <c r="C222">
        <v>218</v>
      </c>
      <c r="D222" s="5">
        <f t="shared" ca="1" si="10"/>
        <v>0</v>
      </c>
      <c r="E222" t="str">
        <f t="array" aca="1" ref="E222" ca="1">IFERROR(INDEX(Source!$A$1:$A$250,SMALL(IF(--(Source!$B$1:$B$250=$O222)*--(Source!$E$1:$E$250=$M$3)*--(Source!$D$1:$D$250=Pyramid!$M222),ROW(Source!$B$1:$B$250),FALSE),E$3)),"")</f>
        <v/>
      </c>
      <c r="F222" t="str">
        <f t="array" aca="1" ref="F222" ca="1">IFERROR(INDEX(Source!$A$1:$A$250,SMALL(IF(--(Source!$B$1:$B$250=$O222)*--(Source!$E$1:$E$250=$M$3)*--(Source!$D$1:$D$250=Pyramid!$M222),ROW(Source!$B$1:$B$250),FALSE),F$3)),"")</f>
        <v/>
      </c>
      <c r="G222" t="str">
        <f t="array" aca="1" ref="G222" ca="1">IFERROR(INDEX(Source!$A$1:$A$250,SMALL(IF(--(Source!$B$1:$B$250=$O222)*--(Source!$E$1:$E$250=$M$3)*--(Source!$D$1:$D$250=Pyramid!$M222),ROW(Source!$B$1:$B$250),FALSE),G$3)),"")</f>
        <v/>
      </c>
      <c r="H222" t="str">
        <f t="array" aca="1" ref="H222" ca="1">IFERROR(INDEX(Source!$A$1:$A$250,SMALL(IF(--(Source!$B$1:$B$250=$O222)*--(Source!$E$1:$E$250=$M$3)*--(Source!$D$1:$D$250=Pyramid!$M222),ROW(Source!$B$1:$B$250),FALSE),H$3)),"")</f>
        <v/>
      </c>
      <c r="I222" t="str">
        <f t="array" aca="1" ref="I222" ca="1">IFERROR(INDEX(Source!$A$1:$A$250,SMALL(IF(--(Source!$B$1:$B$250=$O222)*--(Source!$E$1:$E$250=$M$3)*--(Source!$D$1:$D$250=Pyramid!$M222),ROW(Source!$B$1:$B$250),FALSE),I$3)),"")</f>
        <v/>
      </c>
      <c r="J222" t="str">
        <f t="array" aca="1" ref="J222" ca="1">IFERROR(INDEX(Source!$A$1:$A$250,SMALL(IF(--(Source!$B$1:$B$250=$O222)*--(Source!$E$1:$E$250=$M$3)*--(Source!$D$1:$D$250=Pyramid!$M222),ROW(Source!$B$1:$B$250),FALSE),J$3)),"")</f>
        <v/>
      </c>
      <c r="K222" t="str">
        <f t="array" aca="1" ref="K222" ca="1">IFERROR(INDEX(Source!$A$1:$A$250,SMALL(IF(--(Source!$B$1:$B$250=$O222)*--(Source!$E$1:$E$250=$M$3)*--(Source!$D$1:$D$250=Pyramid!$M222),ROW(Source!$B$1:$B$250),FALSE),K$3)),"")</f>
        <v/>
      </c>
      <c r="L222" t="str">
        <f t="array" aca="1" ref="L222" ca="1">IFERROR(INDEX(Source!$A$1:$A$250,SMALL(IF(--(Source!$B$1:$B$250=$O222)*--(Source!$E$1:$E$250=$M$3)*--(Source!$D$1:$D$250=Pyramid!$M222),ROW(Source!$B$1:$B$250),FALSE),L$3)),"")</f>
        <v/>
      </c>
      <c r="M222" t="str">
        <f t="shared" si="11"/>
        <v>29/9/2016</v>
      </c>
      <c r="N222">
        <f ca="1">COUNTIFS(Source!B:B,Pyramid!$O222,Source!$D:$D,Pyramid!$M222,Source!$E:$E,Pyramid!$M$3)</f>
        <v>0</v>
      </c>
      <c r="O222">
        <f ca="1">OFFSET(Sheet2!$N$3,INT(C222/5),)</f>
        <v>20488</v>
      </c>
      <c r="P222">
        <f ca="1">COUNTIFS(Source!B:B,Pyramid!$O222,Source!D:D,Pyramid!$Q222,Source!$E:$E,Pyramid!$Q$3)</f>
        <v>0</v>
      </c>
      <c r="Q222" t="str">
        <f t="shared" si="11"/>
        <v>29/9/2016</v>
      </c>
      <c r="R222" t="str">
        <f t="array" aca="1" ref="R222" ca="1">IFERROR(INDEX(Source!$A$1:$A$250,SMALL(IF(--(Source!$B$1:$B$250=$O222)*--(Source!$E$1:$E$250=$Q$3)*--(Source!$D$1:$D$250=Pyramid!$Q222),ROW(Source!$B$1:$B$250),FALSE),R$3)),"")</f>
        <v/>
      </c>
      <c r="S222" t="str">
        <f t="array" aca="1" ref="S222" ca="1">IFERROR(INDEX(Source!$A$1:$A$250,SMALL(IF(--(Source!$B$1:$B$250=$O222)*--(Source!$E$1:$E$250=$Q$3)*--(Source!$D$1:$D$250=Pyramid!$Q222),ROW(Source!$B$1:$B$250),FALSE),S$3)),"")</f>
        <v/>
      </c>
      <c r="T222" t="str">
        <f t="array" aca="1" ref="T222" ca="1">IFERROR(INDEX(Source!$A$1:$A$250,SMALL(IF(--(Source!$B$1:$B$250=$O222)*--(Source!$E$1:$E$250=$Q$3)*--(Source!$D$1:$D$250=Pyramid!$Q222),ROW(Source!$B$1:$B$250),FALSE),T$3)),"")</f>
        <v/>
      </c>
      <c r="U222" t="str">
        <f t="array" aca="1" ref="U222" ca="1">IFERROR(INDEX(Source!$A$1:$A$250,SMALL(IF(--(Source!$B$1:$B$250=$O222)*--(Source!$E$1:$E$250=$Q$3)*--(Source!$D$1:$D$250=Pyramid!$Q222),ROW(Source!$B$1:$B$250),FALSE),U$3)),"")</f>
        <v/>
      </c>
      <c r="V222" t="str">
        <f t="array" aca="1" ref="V222" ca="1">IFERROR(INDEX(Source!$A$1:$A$250,SMALL(IF(--(Source!$B$1:$B$250=$O222)*--(Source!$E$1:$E$250=$Q$3)*--(Source!$D$1:$D$250=Pyramid!$Q222),ROW(Source!$B$1:$B$250),FALSE),V$3)),"")</f>
        <v/>
      </c>
      <c r="W222" t="str">
        <f t="array" aca="1" ref="W222" ca="1">IFERROR(INDEX(Source!$A$1:$A$250,SMALL(IF(--(Source!$B$1:$B$250=$O222)*--(Source!$E$1:$E$250=$Q$3)*--(Source!$D$1:$D$250=Pyramid!$Q222),ROW(Source!$B$1:$B$250),FALSE),W$3)),"")</f>
        <v/>
      </c>
      <c r="X222" t="str">
        <f t="array" aca="1" ref="X222" ca="1">IFERROR(INDEX(Source!$A$1:$A$250,SMALL(IF(--(Source!$B$1:$B$250=$O222)*--(Source!$E$1:$E$250=$Q$3)*--(Source!$D$1:$D$250=Pyramid!$Q222),ROW(Source!$B$1:$B$250),FALSE),X$3)),"")</f>
        <v/>
      </c>
      <c r="Y222" s="5">
        <f t="shared" ca="1" si="12"/>
        <v>0</v>
      </c>
    </row>
    <row r="223" spans="3:25">
      <c r="C223">
        <v>219</v>
      </c>
      <c r="D223" s="5">
        <f t="shared" ca="1" si="10"/>
        <v>0</v>
      </c>
      <c r="E223" t="str">
        <f t="array" aca="1" ref="E223" ca="1">IFERROR(INDEX(Source!$A$1:$A$250,SMALL(IF(--(Source!$B$1:$B$250=$O223)*--(Source!$E$1:$E$250=$M$3)*--(Source!$D$1:$D$250=Pyramid!$M223),ROW(Source!$B$1:$B$250),FALSE),E$3)),"")</f>
        <v/>
      </c>
      <c r="F223" t="str">
        <f t="array" aca="1" ref="F223" ca="1">IFERROR(INDEX(Source!$A$1:$A$250,SMALL(IF(--(Source!$B$1:$B$250=$O223)*--(Source!$E$1:$E$250=$M$3)*--(Source!$D$1:$D$250=Pyramid!$M223),ROW(Source!$B$1:$B$250),FALSE),F$3)),"")</f>
        <v/>
      </c>
      <c r="G223" t="str">
        <f t="array" aca="1" ref="G223" ca="1">IFERROR(INDEX(Source!$A$1:$A$250,SMALL(IF(--(Source!$B$1:$B$250=$O223)*--(Source!$E$1:$E$250=$M$3)*--(Source!$D$1:$D$250=Pyramid!$M223),ROW(Source!$B$1:$B$250),FALSE),G$3)),"")</f>
        <v/>
      </c>
      <c r="H223" t="str">
        <f t="array" aca="1" ref="H223" ca="1">IFERROR(INDEX(Source!$A$1:$A$250,SMALL(IF(--(Source!$B$1:$B$250=$O223)*--(Source!$E$1:$E$250=$M$3)*--(Source!$D$1:$D$250=Pyramid!$M223),ROW(Source!$B$1:$B$250),FALSE),H$3)),"")</f>
        <v/>
      </c>
      <c r="I223" t="str">
        <f t="array" aca="1" ref="I223" ca="1">IFERROR(INDEX(Source!$A$1:$A$250,SMALL(IF(--(Source!$B$1:$B$250=$O223)*--(Source!$E$1:$E$250=$M$3)*--(Source!$D$1:$D$250=Pyramid!$M223),ROW(Source!$B$1:$B$250),FALSE),I$3)),"")</f>
        <v/>
      </c>
      <c r="J223" t="str">
        <f t="array" aca="1" ref="J223" ca="1">IFERROR(INDEX(Source!$A$1:$A$250,SMALL(IF(--(Source!$B$1:$B$250=$O223)*--(Source!$E$1:$E$250=$M$3)*--(Source!$D$1:$D$250=Pyramid!$M223),ROW(Source!$B$1:$B$250),FALSE),J$3)),"")</f>
        <v/>
      </c>
      <c r="K223" t="str">
        <f t="array" aca="1" ref="K223" ca="1">IFERROR(INDEX(Source!$A$1:$A$250,SMALL(IF(--(Source!$B$1:$B$250=$O223)*--(Source!$E$1:$E$250=$M$3)*--(Source!$D$1:$D$250=Pyramid!$M223),ROW(Source!$B$1:$B$250),FALSE),K$3)),"")</f>
        <v/>
      </c>
      <c r="L223" t="str">
        <f t="array" aca="1" ref="L223" ca="1">IFERROR(INDEX(Source!$A$1:$A$250,SMALL(IF(--(Source!$B$1:$B$250=$O223)*--(Source!$E$1:$E$250=$M$3)*--(Source!$D$1:$D$250=Pyramid!$M223),ROW(Source!$B$1:$B$250),FALSE),L$3)),"")</f>
        <v/>
      </c>
      <c r="M223" t="str">
        <f t="shared" si="11"/>
        <v>28/10/2016</v>
      </c>
      <c r="N223">
        <f ca="1">COUNTIFS(Source!B:B,Pyramid!$O223,Source!$D:$D,Pyramid!$M223,Source!$E:$E,Pyramid!$M$3)</f>
        <v>0</v>
      </c>
      <c r="O223">
        <f ca="1">OFFSET(Sheet2!$N$3,INT(C223/5),)</f>
        <v>20488</v>
      </c>
      <c r="P223">
        <f ca="1">COUNTIFS(Source!B:B,Pyramid!$O223,Source!D:D,Pyramid!$Q223,Source!$E:$E,Pyramid!$Q$3)</f>
        <v>0</v>
      </c>
      <c r="Q223" t="str">
        <f t="shared" si="11"/>
        <v>28/10/2016</v>
      </c>
      <c r="R223" t="str">
        <f t="array" aca="1" ref="R223" ca="1">IFERROR(INDEX(Source!$A$1:$A$250,SMALL(IF(--(Source!$B$1:$B$250=$O223)*--(Source!$E$1:$E$250=$Q$3)*--(Source!$D$1:$D$250=Pyramid!$Q223),ROW(Source!$B$1:$B$250),FALSE),R$3)),"")</f>
        <v/>
      </c>
      <c r="S223" t="str">
        <f t="array" aca="1" ref="S223" ca="1">IFERROR(INDEX(Source!$A$1:$A$250,SMALL(IF(--(Source!$B$1:$B$250=$O223)*--(Source!$E$1:$E$250=$Q$3)*--(Source!$D$1:$D$250=Pyramid!$Q223),ROW(Source!$B$1:$B$250),FALSE),S$3)),"")</f>
        <v/>
      </c>
      <c r="T223" t="str">
        <f t="array" aca="1" ref="T223" ca="1">IFERROR(INDEX(Source!$A$1:$A$250,SMALL(IF(--(Source!$B$1:$B$250=$O223)*--(Source!$E$1:$E$250=$Q$3)*--(Source!$D$1:$D$250=Pyramid!$Q223),ROW(Source!$B$1:$B$250),FALSE),T$3)),"")</f>
        <v/>
      </c>
      <c r="U223" t="str">
        <f t="array" aca="1" ref="U223" ca="1">IFERROR(INDEX(Source!$A$1:$A$250,SMALL(IF(--(Source!$B$1:$B$250=$O223)*--(Source!$E$1:$E$250=$Q$3)*--(Source!$D$1:$D$250=Pyramid!$Q223),ROW(Source!$B$1:$B$250),FALSE),U$3)),"")</f>
        <v/>
      </c>
      <c r="V223" t="str">
        <f t="array" aca="1" ref="V223" ca="1">IFERROR(INDEX(Source!$A$1:$A$250,SMALL(IF(--(Source!$B$1:$B$250=$O223)*--(Source!$E$1:$E$250=$Q$3)*--(Source!$D$1:$D$250=Pyramid!$Q223),ROW(Source!$B$1:$B$250),FALSE),V$3)),"")</f>
        <v/>
      </c>
      <c r="W223" t="str">
        <f t="array" aca="1" ref="W223" ca="1">IFERROR(INDEX(Source!$A$1:$A$250,SMALL(IF(--(Source!$B$1:$B$250=$O223)*--(Source!$E$1:$E$250=$Q$3)*--(Source!$D$1:$D$250=Pyramid!$Q223),ROW(Source!$B$1:$B$250),FALSE),W$3)),"")</f>
        <v/>
      </c>
      <c r="X223" t="str">
        <f t="array" aca="1" ref="X223" ca="1">IFERROR(INDEX(Source!$A$1:$A$250,SMALL(IF(--(Source!$B$1:$B$250=$O223)*--(Source!$E$1:$E$250=$Q$3)*--(Source!$D$1:$D$250=Pyramid!$Q223),ROW(Source!$B$1:$B$250),FALSE),X$3)),"")</f>
        <v/>
      </c>
      <c r="Y223" s="5">
        <f t="shared" ca="1" si="12"/>
        <v>0</v>
      </c>
    </row>
    <row r="224" spans="3:25">
      <c r="C224">
        <v>220</v>
      </c>
      <c r="D224" s="5">
        <f t="shared" ca="1" si="10"/>
        <v>0</v>
      </c>
      <c r="E224" t="str">
        <f t="array" aca="1" ref="E224" ca="1">IFERROR(INDEX(Source!$A$1:$A$250,SMALL(IF(--(Source!$B$1:$B$250=$O224)*--(Source!$E$1:$E$250=$M$3)*--(Source!$D$1:$D$250=Pyramid!$M224),ROW(Source!$B$1:$B$250),FALSE),E$3)),"")</f>
        <v/>
      </c>
      <c r="F224" t="str">
        <f t="array" aca="1" ref="F224" ca="1">IFERROR(INDEX(Source!$A$1:$A$250,SMALL(IF(--(Source!$B$1:$B$250=$O224)*--(Source!$E$1:$E$250=$M$3)*--(Source!$D$1:$D$250=Pyramid!$M224),ROW(Source!$B$1:$B$250),FALSE),F$3)),"")</f>
        <v/>
      </c>
      <c r="G224" t="str">
        <f t="array" aca="1" ref="G224" ca="1">IFERROR(INDEX(Source!$A$1:$A$250,SMALL(IF(--(Source!$B$1:$B$250=$O224)*--(Source!$E$1:$E$250=$M$3)*--(Source!$D$1:$D$250=Pyramid!$M224),ROW(Source!$B$1:$B$250),FALSE),G$3)),"")</f>
        <v/>
      </c>
      <c r="H224" t="str">
        <f t="array" aca="1" ref="H224" ca="1">IFERROR(INDEX(Source!$A$1:$A$250,SMALL(IF(--(Source!$B$1:$B$250=$O224)*--(Source!$E$1:$E$250=$M$3)*--(Source!$D$1:$D$250=Pyramid!$M224),ROW(Source!$B$1:$B$250),FALSE),H$3)),"")</f>
        <v/>
      </c>
      <c r="I224" t="str">
        <f t="array" aca="1" ref="I224" ca="1">IFERROR(INDEX(Source!$A$1:$A$250,SMALL(IF(--(Source!$B$1:$B$250=$O224)*--(Source!$E$1:$E$250=$M$3)*--(Source!$D$1:$D$250=Pyramid!$M224),ROW(Source!$B$1:$B$250),FALSE),I$3)),"")</f>
        <v/>
      </c>
      <c r="J224" t="str">
        <f t="array" aca="1" ref="J224" ca="1">IFERROR(INDEX(Source!$A$1:$A$250,SMALL(IF(--(Source!$B$1:$B$250=$O224)*--(Source!$E$1:$E$250=$M$3)*--(Source!$D$1:$D$250=Pyramid!$M224),ROW(Source!$B$1:$B$250),FALSE),J$3)),"")</f>
        <v/>
      </c>
      <c r="K224" t="str">
        <f t="array" aca="1" ref="K224" ca="1">IFERROR(INDEX(Source!$A$1:$A$250,SMALL(IF(--(Source!$B$1:$B$250=$O224)*--(Source!$E$1:$E$250=$M$3)*--(Source!$D$1:$D$250=Pyramid!$M224),ROW(Source!$B$1:$B$250),FALSE),K$3)),"")</f>
        <v/>
      </c>
      <c r="L224" t="str">
        <f t="array" aca="1" ref="L224" ca="1">IFERROR(INDEX(Source!$A$1:$A$250,SMALL(IF(--(Source!$B$1:$B$250=$O224)*--(Source!$E$1:$E$250=$M$3)*--(Source!$D$1:$D$250=Pyramid!$M224),ROW(Source!$B$1:$B$250),FALSE),L$3)),"")</f>
        <v/>
      </c>
      <c r="M224" t="str">
        <f t="shared" si="11"/>
        <v>29/6/2016</v>
      </c>
      <c r="N224">
        <f ca="1">COUNTIFS(Source!B:B,Pyramid!$O224,Source!$D:$D,Pyramid!$M224,Source!$E:$E,Pyramid!$M$3)</f>
        <v>0</v>
      </c>
      <c r="O224">
        <f ca="1">OFFSET(Sheet2!$N$3,INT(C224/5),)</f>
        <v>20500</v>
      </c>
      <c r="P224">
        <f ca="1">COUNTIFS(Source!B:B,Pyramid!$O224,Source!D:D,Pyramid!$Q224,Source!$E:$E,Pyramid!$Q$3)</f>
        <v>0</v>
      </c>
      <c r="Q224" t="str">
        <f t="shared" si="11"/>
        <v>29/6/2016</v>
      </c>
      <c r="R224" t="str">
        <f t="array" aca="1" ref="R224" ca="1">IFERROR(INDEX(Source!$A$1:$A$250,SMALL(IF(--(Source!$B$1:$B$250=$O224)*--(Source!$E$1:$E$250=$Q$3)*--(Source!$D$1:$D$250=Pyramid!$Q224),ROW(Source!$B$1:$B$250),FALSE),R$3)),"")</f>
        <v/>
      </c>
      <c r="S224" t="str">
        <f t="array" aca="1" ref="S224" ca="1">IFERROR(INDEX(Source!$A$1:$A$250,SMALL(IF(--(Source!$B$1:$B$250=$O224)*--(Source!$E$1:$E$250=$Q$3)*--(Source!$D$1:$D$250=Pyramid!$Q224),ROW(Source!$B$1:$B$250),FALSE),S$3)),"")</f>
        <v/>
      </c>
      <c r="T224" t="str">
        <f t="array" aca="1" ref="T224" ca="1">IFERROR(INDEX(Source!$A$1:$A$250,SMALL(IF(--(Source!$B$1:$B$250=$O224)*--(Source!$E$1:$E$250=$Q$3)*--(Source!$D$1:$D$250=Pyramid!$Q224),ROW(Source!$B$1:$B$250),FALSE),T$3)),"")</f>
        <v/>
      </c>
      <c r="U224" t="str">
        <f t="array" aca="1" ref="U224" ca="1">IFERROR(INDEX(Source!$A$1:$A$250,SMALL(IF(--(Source!$B$1:$B$250=$O224)*--(Source!$E$1:$E$250=$Q$3)*--(Source!$D$1:$D$250=Pyramid!$Q224),ROW(Source!$B$1:$B$250),FALSE),U$3)),"")</f>
        <v/>
      </c>
      <c r="V224" t="str">
        <f t="array" aca="1" ref="V224" ca="1">IFERROR(INDEX(Source!$A$1:$A$250,SMALL(IF(--(Source!$B$1:$B$250=$O224)*--(Source!$E$1:$E$250=$Q$3)*--(Source!$D$1:$D$250=Pyramid!$Q224),ROW(Source!$B$1:$B$250),FALSE),V$3)),"")</f>
        <v/>
      </c>
      <c r="W224" t="str">
        <f t="array" aca="1" ref="W224" ca="1">IFERROR(INDEX(Source!$A$1:$A$250,SMALL(IF(--(Source!$B$1:$B$250=$O224)*--(Source!$E$1:$E$250=$Q$3)*--(Source!$D$1:$D$250=Pyramid!$Q224),ROW(Source!$B$1:$B$250),FALSE),W$3)),"")</f>
        <v/>
      </c>
      <c r="X224" t="str">
        <f t="array" aca="1" ref="X224" ca="1">IFERROR(INDEX(Source!$A$1:$A$250,SMALL(IF(--(Source!$B$1:$B$250=$O224)*--(Source!$E$1:$E$250=$Q$3)*--(Source!$D$1:$D$250=Pyramid!$Q224),ROW(Source!$B$1:$B$250),FALSE),X$3)),"")</f>
        <v/>
      </c>
      <c r="Y224" s="5">
        <f t="shared" ca="1" si="12"/>
        <v>0</v>
      </c>
    </row>
    <row r="225" spans="3:25">
      <c r="C225">
        <v>221</v>
      </c>
      <c r="D225" s="5">
        <f t="shared" ca="1" si="10"/>
        <v>0</v>
      </c>
      <c r="E225" t="str">
        <f t="array" aca="1" ref="E225" ca="1">IFERROR(INDEX(Source!$A$1:$A$250,SMALL(IF(--(Source!$B$1:$B$250=$O225)*--(Source!$E$1:$E$250=$M$3)*--(Source!$D$1:$D$250=Pyramid!$M225),ROW(Source!$B$1:$B$250),FALSE),E$3)),"")</f>
        <v/>
      </c>
      <c r="F225" t="str">
        <f t="array" aca="1" ref="F225" ca="1">IFERROR(INDEX(Source!$A$1:$A$250,SMALL(IF(--(Source!$B$1:$B$250=$O225)*--(Source!$E$1:$E$250=$M$3)*--(Source!$D$1:$D$250=Pyramid!$M225),ROW(Source!$B$1:$B$250),FALSE),F$3)),"")</f>
        <v/>
      </c>
      <c r="G225" t="str">
        <f t="array" aca="1" ref="G225" ca="1">IFERROR(INDEX(Source!$A$1:$A$250,SMALL(IF(--(Source!$B$1:$B$250=$O225)*--(Source!$E$1:$E$250=$M$3)*--(Source!$D$1:$D$250=Pyramid!$M225),ROW(Source!$B$1:$B$250),FALSE),G$3)),"")</f>
        <v/>
      </c>
      <c r="H225" t="str">
        <f t="array" aca="1" ref="H225" ca="1">IFERROR(INDEX(Source!$A$1:$A$250,SMALL(IF(--(Source!$B$1:$B$250=$O225)*--(Source!$E$1:$E$250=$M$3)*--(Source!$D$1:$D$250=Pyramid!$M225),ROW(Source!$B$1:$B$250),FALSE),H$3)),"")</f>
        <v/>
      </c>
      <c r="I225" t="str">
        <f t="array" aca="1" ref="I225" ca="1">IFERROR(INDEX(Source!$A$1:$A$250,SMALL(IF(--(Source!$B$1:$B$250=$O225)*--(Source!$E$1:$E$250=$M$3)*--(Source!$D$1:$D$250=Pyramid!$M225),ROW(Source!$B$1:$B$250),FALSE),I$3)),"")</f>
        <v/>
      </c>
      <c r="J225" t="str">
        <f t="array" aca="1" ref="J225" ca="1">IFERROR(INDEX(Source!$A$1:$A$250,SMALL(IF(--(Source!$B$1:$B$250=$O225)*--(Source!$E$1:$E$250=$M$3)*--(Source!$D$1:$D$250=Pyramid!$M225),ROW(Source!$B$1:$B$250),FALSE),J$3)),"")</f>
        <v/>
      </c>
      <c r="K225" t="str">
        <f t="array" aca="1" ref="K225" ca="1">IFERROR(INDEX(Source!$A$1:$A$250,SMALL(IF(--(Source!$B$1:$B$250=$O225)*--(Source!$E$1:$E$250=$M$3)*--(Source!$D$1:$D$250=Pyramid!$M225),ROW(Source!$B$1:$B$250),FALSE),K$3)),"")</f>
        <v/>
      </c>
      <c r="L225" t="str">
        <f t="array" aca="1" ref="L225" ca="1">IFERROR(INDEX(Source!$A$1:$A$250,SMALL(IF(--(Source!$B$1:$B$250=$O225)*--(Source!$E$1:$E$250=$M$3)*--(Source!$D$1:$D$250=Pyramid!$M225),ROW(Source!$B$1:$B$250),FALSE),L$3)),"")</f>
        <v/>
      </c>
      <c r="M225" t="str">
        <f t="shared" si="11"/>
        <v>28/7/2016</v>
      </c>
      <c r="N225">
        <f ca="1">COUNTIFS(Source!B:B,Pyramid!$O225,Source!$D:$D,Pyramid!$M225,Source!$E:$E,Pyramid!$M$3)</f>
        <v>0</v>
      </c>
      <c r="O225">
        <f ca="1">OFFSET(Sheet2!$N$3,INT(C225/5),)</f>
        <v>20500</v>
      </c>
      <c r="P225">
        <f ca="1">COUNTIFS(Source!B:B,Pyramid!$O225,Source!D:D,Pyramid!$Q225,Source!$E:$E,Pyramid!$Q$3)</f>
        <v>0</v>
      </c>
      <c r="Q225" t="str">
        <f t="shared" si="11"/>
        <v>28/7/2016</v>
      </c>
      <c r="R225" t="str">
        <f t="array" aca="1" ref="R225" ca="1">IFERROR(INDEX(Source!$A$1:$A$250,SMALL(IF(--(Source!$B$1:$B$250=$O225)*--(Source!$E$1:$E$250=$Q$3)*--(Source!$D$1:$D$250=Pyramid!$Q225),ROW(Source!$B$1:$B$250),FALSE),R$3)),"")</f>
        <v/>
      </c>
      <c r="S225" t="str">
        <f t="array" aca="1" ref="S225" ca="1">IFERROR(INDEX(Source!$A$1:$A$250,SMALL(IF(--(Source!$B$1:$B$250=$O225)*--(Source!$E$1:$E$250=$Q$3)*--(Source!$D$1:$D$250=Pyramid!$Q225),ROW(Source!$B$1:$B$250),FALSE),S$3)),"")</f>
        <v/>
      </c>
      <c r="T225" t="str">
        <f t="array" aca="1" ref="T225" ca="1">IFERROR(INDEX(Source!$A$1:$A$250,SMALL(IF(--(Source!$B$1:$B$250=$O225)*--(Source!$E$1:$E$250=$Q$3)*--(Source!$D$1:$D$250=Pyramid!$Q225),ROW(Source!$B$1:$B$250),FALSE),T$3)),"")</f>
        <v/>
      </c>
      <c r="U225" t="str">
        <f t="array" aca="1" ref="U225" ca="1">IFERROR(INDEX(Source!$A$1:$A$250,SMALL(IF(--(Source!$B$1:$B$250=$O225)*--(Source!$E$1:$E$250=$Q$3)*--(Source!$D$1:$D$250=Pyramid!$Q225),ROW(Source!$B$1:$B$250),FALSE),U$3)),"")</f>
        <v/>
      </c>
      <c r="V225" t="str">
        <f t="array" aca="1" ref="V225" ca="1">IFERROR(INDEX(Source!$A$1:$A$250,SMALL(IF(--(Source!$B$1:$B$250=$O225)*--(Source!$E$1:$E$250=$Q$3)*--(Source!$D$1:$D$250=Pyramid!$Q225),ROW(Source!$B$1:$B$250),FALSE),V$3)),"")</f>
        <v/>
      </c>
      <c r="W225" t="str">
        <f t="array" aca="1" ref="W225" ca="1">IFERROR(INDEX(Source!$A$1:$A$250,SMALL(IF(--(Source!$B$1:$B$250=$O225)*--(Source!$E$1:$E$250=$Q$3)*--(Source!$D$1:$D$250=Pyramid!$Q225),ROW(Source!$B$1:$B$250),FALSE),W$3)),"")</f>
        <v/>
      </c>
      <c r="X225" t="str">
        <f t="array" aca="1" ref="X225" ca="1">IFERROR(INDEX(Source!$A$1:$A$250,SMALL(IF(--(Source!$B$1:$B$250=$O225)*--(Source!$E$1:$E$250=$Q$3)*--(Source!$D$1:$D$250=Pyramid!$Q225),ROW(Source!$B$1:$B$250),FALSE),X$3)),"")</f>
        <v/>
      </c>
      <c r="Y225" s="5">
        <f t="shared" ca="1" si="12"/>
        <v>0</v>
      </c>
    </row>
    <row r="226" spans="3:25">
      <c r="C226">
        <v>222</v>
      </c>
      <c r="D226" s="5">
        <f t="shared" ca="1" si="10"/>
        <v>0</v>
      </c>
      <c r="E226" t="str">
        <f t="array" aca="1" ref="E226" ca="1">IFERROR(INDEX(Source!$A$1:$A$250,SMALL(IF(--(Source!$B$1:$B$250=$O226)*--(Source!$E$1:$E$250=$M$3)*--(Source!$D$1:$D$250=Pyramid!$M226),ROW(Source!$B$1:$B$250),FALSE),E$3)),"")</f>
        <v/>
      </c>
      <c r="F226" t="str">
        <f t="array" aca="1" ref="F226" ca="1">IFERROR(INDEX(Source!$A$1:$A$250,SMALL(IF(--(Source!$B$1:$B$250=$O226)*--(Source!$E$1:$E$250=$M$3)*--(Source!$D$1:$D$250=Pyramid!$M226),ROW(Source!$B$1:$B$250),FALSE),F$3)),"")</f>
        <v/>
      </c>
      <c r="G226" t="str">
        <f t="array" aca="1" ref="G226" ca="1">IFERROR(INDEX(Source!$A$1:$A$250,SMALL(IF(--(Source!$B$1:$B$250=$O226)*--(Source!$E$1:$E$250=$M$3)*--(Source!$D$1:$D$250=Pyramid!$M226),ROW(Source!$B$1:$B$250),FALSE),G$3)),"")</f>
        <v/>
      </c>
      <c r="H226" t="str">
        <f t="array" aca="1" ref="H226" ca="1">IFERROR(INDEX(Source!$A$1:$A$250,SMALL(IF(--(Source!$B$1:$B$250=$O226)*--(Source!$E$1:$E$250=$M$3)*--(Source!$D$1:$D$250=Pyramid!$M226),ROW(Source!$B$1:$B$250),FALSE),H$3)),"")</f>
        <v/>
      </c>
      <c r="I226" t="str">
        <f t="array" aca="1" ref="I226" ca="1">IFERROR(INDEX(Source!$A$1:$A$250,SMALL(IF(--(Source!$B$1:$B$250=$O226)*--(Source!$E$1:$E$250=$M$3)*--(Source!$D$1:$D$250=Pyramid!$M226),ROW(Source!$B$1:$B$250),FALSE),I$3)),"")</f>
        <v/>
      </c>
      <c r="J226" t="str">
        <f t="array" aca="1" ref="J226" ca="1">IFERROR(INDEX(Source!$A$1:$A$250,SMALL(IF(--(Source!$B$1:$B$250=$O226)*--(Source!$E$1:$E$250=$M$3)*--(Source!$D$1:$D$250=Pyramid!$M226),ROW(Source!$B$1:$B$250),FALSE),J$3)),"")</f>
        <v/>
      </c>
      <c r="K226" t="str">
        <f t="array" aca="1" ref="K226" ca="1">IFERROR(INDEX(Source!$A$1:$A$250,SMALL(IF(--(Source!$B$1:$B$250=$O226)*--(Source!$E$1:$E$250=$M$3)*--(Source!$D$1:$D$250=Pyramid!$M226),ROW(Source!$B$1:$B$250),FALSE),K$3)),"")</f>
        <v/>
      </c>
      <c r="L226" t="str">
        <f t="array" aca="1" ref="L226" ca="1">IFERROR(INDEX(Source!$A$1:$A$250,SMALL(IF(--(Source!$B$1:$B$250=$O226)*--(Source!$E$1:$E$250=$M$3)*--(Source!$D$1:$D$250=Pyramid!$M226),ROW(Source!$B$1:$B$250),FALSE),L$3)),"")</f>
        <v/>
      </c>
      <c r="M226" t="str">
        <f t="shared" si="11"/>
        <v>30/8/2016</v>
      </c>
      <c r="N226">
        <f ca="1">COUNTIFS(Source!B:B,Pyramid!$O226,Source!$D:$D,Pyramid!$M226,Source!$E:$E,Pyramid!$M$3)</f>
        <v>0</v>
      </c>
      <c r="O226">
        <f ca="1">OFFSET(Sheet2!$N$3,INT(C226/5),)</f>
        <v>20500</v>
      </c>
      <c r="P226">
        <f ca="1">COUNTIFS(Source!B:B,Pyramid!$O226,Source!D:D,Pyramid!$Q226,Source!$E:$E,Pyramid!$Q$3)</f>
        <v>0</v>
      </c>
      <c r="Q226" t="str">
        <f t="shared" si="11"/>
        <v>30/8/2016</v>
      </c>
      <c r="R226" t="str">
        <f t="array" aca="1" ref="R226" ca="1">IFERROR(INDEX(Source!$A$1:$A$250,SMALL(IF(--(Source!$B$1:$B$250=$O226)*--(Source!$E$1:$E$250=$Q$3)*--(Source!$D$1:$D$250=Pyramid!$Q226),ROW(Source!$B$1:$B$250),FALSE),R$3)),"")</f>
        <v/>
      </c>
      <c r="S226" t="str">
        <f t="array" aca="1" ref="S226" ca="1">IFERROR(INDEX(Source!$A$1:$A$250,SMALL(IF(--(Source!$B$1:$B$250=$O226)*--(Source!$E$1:$E$250=$Q$3)*--(Source!$D$1:$D$250=Pyramid!$Q226),ROW(Source!$B$1:$B$250),FALSE),S$3)),"")</f>
        <v/>
      </c>
      <c r="T226" t="str">
        <f t="array" aca="1" ref="T226" ca="1">IFERROR(INDEX(Source!$A$1:$A$250,SMALL(IF(--(Source!$B$1:$B$250=$O226)*--(Source!$E$1:$E$250=$Q$3)*--(Source!$D$1:$D$250=Pyramid!$Q226),ROW(Source!$B$1:$B$250),FALSE),T$3)),"")</f>
        <v/>
      </c>
      <c r="U226" t="str">
        <f t="array" aca="1" ref="U226" ca="1">IFERROR(INDEX(Source!$A$1:$A$250,SMALL(IF(--(Source!$B$1:$B$250=$O226)*--(Source!$E$1:$E$250=$Q$3)*--(Source!$D$1:$D$250=Pyramid!$Q226),ROW(Source!$B$1:$B$250),FALSE),U$3)),"")</f>
        <v/>
      </c>
      <c r="V226" t="str">
        <f t="array" aca="1" ref="V226" ca="1">IFERROR(INDEX(Source!$A$1:$A$250,SMALL(IF(--(Source!$B$1:$B$250=$O226)*--(Source!$E$1:$E$250=$Q$3)*--(Source!$D$1:$D$250=Pyramid!$Q226),ROW(Source!$B$1:$B$250),FALSE),V$3)),"")</f>
        <v/>
      </c>
      <c r="W226" t="str">
        <f t="array" aca="1" ref="W226" ca="1">IFERROR(INDEX(Source!$A$1:$A$250,SMALL(IF(--(Source!$B$1:$B$250=$O226)*--(Source!$E$1:$E$250=$Q$3)*--(Source!$D$1:$D$250=Pyramid!$Q226),ROW(Source!$B$1:$B$250),FALSE),W$3)),"")</f>
        <v/>
      </c>
      <c r="X226" t="str">
        <f t="array" aca="1" ref="X226" ca="1">IFERROR(INDEX(Source!$A$1:$A$250,SMALL(IF(--(Source!$B$1:$B$250=$O226)*--(Source!$E$1:$E$250=$Q$3)*--(Source!$D$1:$D$250=Pyramid!$Q226),ROW(Source!$B$1:$B$250),FALSE),X$3)),"")</f>
        <v/>
      </c>
      <c r="Y226" s="5">
        <f t="shared" ca="1" si="12"/>
        <v>0</v>
      </c>
    </row>
    <row r="227" spans="3:25">
      <c r="C227">
        <v>223</v>
      </c>
      <c r="D227" s="5">
        <f t="shared" ca="1" si="10"/>
        <v>0</v>
      </c>
      <c r="E227" t="str">
        <f t="array" aca="1" ref="E227" ca="1">IFERROR(INDEX(Source!$A$1:$A$250,SMALL(IF(--(Source!$B$1:$B$250=$O227)*--(Source!$E$1:$E$250=$M$3)*--(Source!$D$1:$D$250=Pyramid!$M227),ROW(Source!$B$1:$B$250),FALSE),E$3)),"")</f>
        <v/>
      </c>
      <c r="F227" t="str">
        <f t="array" aca="1" ref="F227" ca="1">IFERROR(INDEX(Source!$A$1:$A$250,SMALL(IF(--(Source!$B$1:$B$250=$O227)*--(Source!$E$1:$E$250=$M$3)*--(Source!$D$1:$D$250=Pyramid!$M227),ROW(Source!$B$1:$B$250),FALSE),F$3)),"")</f>
        <v/>
      </c>
      <c r="G227" t="str">
        <f t="array" aca="1" ref="G227" ca="1">IFERROR(INDEX(Source!$A$1:$A$250,SMALL(IF(--(Source!$B$1:$B$250=$O227)*--(Source!$E$1:$E$250=$M$3)*--(Source!$D$1:$D$250=Pyramid!$M227),ROW(Source!$B$1:$B$250),FALSE),G$3)),"")</f>
        <v/>
      </c>
      <c r="H227" t="str">
        <f t="array" aca="1" ref="H227" ca="1">IFERROR(INDEX(Source!$A$1:$A$250,SMALL(IF(--(Source!$B$1:$B$250=$O227)*--(Source!$E$1:$E$250=$M$3)*--(Source!$D$1:$D$250=Pyramid!$M227),ROW(Source!$B$1:$B$250),FALSE),H$3)),"")</f>
        <v/>
      </c>
      <c r="I227" t="str">
        <f t="array" aca="1" ref="I227" ca="1">IFERROR(INDEX(Source!$A$1:$A$250,SMALL(IF(--(Source!$B$1:$B$250=$O227)*--(Source!$E$1:$E$250=$M$3)*--(Source!$D$1:$D$250=Pyramid!$M227),ROW(Source!$B$1:$B$250),FALSE),I$3)),"")</f>
        <v/>
      </c>
      <c r="J227" t="str">
        <f t="array" aca="1" ref="J227" ca="1">IFERROR(INDEX(Source!$A$1:$A$250,SMALL(IF(--(Source!$B$1:$B$250=$O227)*--(Source!$E$1:$E$250=$M$3)*--(Source!$D$1:$D$250=Pyramid!$M227),ROW(Source!$B$1:$B$250),FALSE),J$3)),"")</f>
        <v/>
      </c>
      <c r="K227" t="str">
        <f t="array" aca="1" ref="K227" ca="1">IFERROR(INDEX(Source!$A$1:$A$250,SMALL(IF(--(Source!$B$1:$B$250=$O227)*--(Source!$E$1:$E$250=$M$3)*--(Source!$D$1:$D$250=Pyramid!$M227),ROW(Source!$B$1:$B$250),FALSE),K$3)),"")</f>
        <v/>
      </c>
      <c r="L227" t="str">
        <f t="array" aca="1" ref="L227" ca="1">IFERROR(INDEX(Source!$A$1:$A$250,SMALL(IF(--(Source!$B$1:$B$250=$O227)*--(Source!$E$1:$E$250=$M$3)*--(Source!$D$1:$D$250=Pyramid!$M227),ROW(Source!$B$1:$B$250),FALSE),L$3)),"")</f>
        <v/>
      </c>
      <c r="M227" t="str">
        <f t="shared" si="11"/>
        <v>29/9/2016</v>
      </c>
      <c r="N227">
        <f ca="1">COUNTIFS(Source!B:B,Pyramid!$O227,Source!$D:$D,Pyramid!$M227,Source!$E:$E,Pyramid!$M$3)</f>
        <v>0</v>
      </c>
      <c r="O227">
        <f ca="1">OFFSET(Sheet2!$N$3,INT(C227/5),)</f>
        <v>20500</v>
      </c>
      <c r="P227">
        <f ca="1">COUNTIFS(Source!B:B,Pyramid!$O227,Source!D:D,Pyramid!$Q227,Source!$E:$E,Pyramid!$Q$3)</f>
        <v>1</v>
      </c>
      <c r="Q227" t="str">
        <f t="shared" si="11"/>
        <v>29/9/2016</v>
      </c>
      <c r="R227" t="str">
        <f t="array" aca="1" ref="R227" ca="1">IFERROR(INDEX(Source!$A$1:$A$250,SMALL(IF(--(Source!$B$1:$B$250=$O227)*--(Source!$E$1:$E$250=$Q$3)*--(Source!$D$1:$D$250=Pyramid!$Q227),ROW(Source!$B$1:$B$250),FALSE),R$3)),"")</f>
        <v>23885 HK Equity</v>
      </c>
      <c r="S227" t="str">
        <f t="array" aca="1" ref="S227" ca="1">IFERROR(INDEX(Source!$A$1:$A$250,SMALL(IF(--(Source!$B$1:$B$250=$O227)*--(Source!$E$1:$E$250=$Q$3)*--(Source!$D$1:$D$250=Pyramid!$Q227),ROW(Source!$B$1:$B$250),FALSE),S$3)),"")</f>
        <v/>
      </c>
      <c r="T227" t="str">
        <f t="array" aca="1" ref="T227" ca="1">IFERROR(INDEX(Source!$A$1:$A$250,SMALL(IF(--(Source!$B$1:$B$250=$O227)*--(Source!$E$1:$E$250=$Q$3)*--(Source!$D$1:$D$250=Pyramid!$Q227),ROW(Source!$B$1:$B$250),FALSE),T$3)),"")</f>
        <v/>
      </c>
      <c r="U227" t="str">
        <f t="array" aca="1" ref="U227" ca="1">IFERROR(INDEX(Source!$A$1:$A$250,SMALL(IF(--(Source!$B$1:$B$250=$O227)*--(Source!$E$1:$E$250=$Q$3)*--(Source!$D$1:$D$250=Pyramid!$Q227),ROW(Source!$B$1:$B$250),FALSE),U$3)),"")</f>
        <v/>
      </c>
      <c r="V227" t="str">
        <f t="array" aca="1" ref="V227" ca="1">IFERROR(INDEX(Source!$A$1:$A$250,SMALL(IF(--(Source!$B$1:$B$250=$O227)*--(Source!$E$1:$E$250=$Q$3)*--(Source!$D$1:$D$250=Pyramid!$Q227),ROW(Source!$B$1:$B$250),FALSE),V$3)),"")</f>
        <v/>
      </c>
      <c r="W227" t="str">
        <f t="array" aca="1" ref="W227" ca="1">IFERROR(INDEX(Source!$A$1:$A$250,SMALL(IF(--(Source!$B$1:$B$250=$O227)*--(Source!$E$1:$E$250=$Q$3)*--(Source!$D$1:$D$250=Pyramid!$Q227),ROW(Source!$B$1:$B$250),FALSE),W$3)),"")</f>
        <v/>
      </c>
      <c r="X227" t="str">
        <f t="array" aca="1" ref="X227" ca="1">IFERROR(INDEX(Source!$A$1:$A$250,SMALL(IF(--(Source!$B$1:$B$250=$O227)*--(Source!$E$1:$E$250=$Q$3)*--(Source!$D$1:$D$250=Pyramid!$Q227),ROW(Source!$B$1:$B$250),FALSE),X$3)),"")</f>
        <v/>
      </c>
      <c r="Y227" s="5">
        <f t="shared" ca="1" si="12"/>
        <v>0</v>
      </c>
    </row>
    <row r="228" spans="3:25">
      <c r="C228">
        <v>224</v>
      </c>
      <c r="D228" s="5">
        <f t="shared" ca="1" si="10"/>
        <v>0</v>
      </c>
      <c r="E228" t="str">
        <f t="array" aca="1" ref="E228" ca="1">IFERROR(INDEX(Source!$A$1:$A$250,SMALL(IF(--(Source!$B$1:$B$250=$O228)*--(Source!$E$1:$E$250=$M$3)*--(Source!$D$1:$D$250=Pyramid!$M228),ROW(Source!$B$1:$B$250),FALSE),E$3)),"")</f>
        <v/>
      </c>
      <c r="F228" t="str">
        <f t="array" aca="1" ref="F228" ca="1">IFERROR(INDEX(Source!$A$1:$A$250,SMALL(IF(--(Source!$B$1:$B$250=$O228)*--(Source!$E$1:$E$250=$M$3)*--(Source!$D$1:$D$250=Pyramid!$M228),ROW(Source!$B$1:$B$250),FALSE),F$3)),"")</f>
        <v/>
      </c>
      <c r="G228" t="str">
        <f t="array" aca="1" ref="G228" ca="1">IFERROR(INDEX(Source!$A$1:$A$250,SMALL(IF(--(Source!$B$1:$B$250=$O228)*--(Source!$E$1:$E$250=$M$3)*--(Source!$D$1:$D$250=Pyramid!$M228),ROW(Source!$B$1:$B$250),FALSE),G$3)),"")</f>
        <v/>
      </c>
      <c r="H228" t="str">
        <f t="array" aca="1" ref="H228" ca="1">IFERROR(INDEX(Source!$A$1:$A$250,SMALL(IF(--(Source!$B$1:$B$250=$O228)*--(Source!$E$1:$E$250=$M$3)*--(Source!$D$1:$D$250=Pyramid!$M228),ROW(Source!$B$1:$B$250),FALSE),H$3)),"")</f>
        <v/>
      </c>
      <c r="I228" t="str">
        <f t="array" aca="1" ref="I228" ca="1">IFERROR(INDEX(Source!$A$1:$A$250,SMALL(IF(--(Source!$B$1:$B$250=$O228)*--(Source!$E$1:$E$250=$M$3)*--(Source!$D$1:$D$250=Pyramid!$M228),ROW(Source!$B$1:$B$250),FALSE),I$3)),"")</f>
        <v/>
      </c>
      <c r="J228" t="str">
        <f t="array" aca="1" ref="J228" ca="1">IFERROR(INDEX(Source!$A$1:$A$250,SMALL(IF(--(Source!$B$1:$B$250=$O228)*--(Source!$E$1:$E$250=$M$3)*--(Source!$D$1:$D$250=Pyramid!$M228),ROW(Source!$B$1:$B$250),FALSE),J$3)),"")</f>
        <v/>
      </c>
      <c r="K228" t="str">
        <f t="array" aca="1" ref="K228" ca="1">IFERROR(INDEX(Source!$A$1:$A$250,SMALL(IF(--(Source!$B$1:$B$250=$O228)*--(Source!$E$1:$E$250=$M$3)*--(Source!$D$1:$D$250=Pyramid!$M228),ROW(Source!$B$1:$B$250),FALSE),K$3)),"")</f>
        <v/>
      </c>
      <c r="L228" t="str">
        <f t="array" aca="1" ref="L228" ca="1">IFERROR(INDEX(Source!$A$1:$A$250,SMALL(IF(--(Source!$B$1:$B$250=$O228)*--(Source!$E$1:$E$250=$M$3)*--(Source!$D$1:$D$250=Pyramid!$M228),ROW(Source!$B$1:$B$250),FALSE),L$3)),"")</f>
        <v/>
      </c>
      <c r="M228" t="str">
        <f t="shared" si="11"/>
        <v>28/10/2016</v>
      </c>
      <c r="N228">
        <f ca="1">COUNTIFS(Source!B:B,Pyramid!$O228,Source!$D:$D,Pyramid!$M228,Source!$E:$E,Pyramid!$M$3)</f>
        <v>0</v>
      </c>
      <c r="O228">
        <f ca="1">OFFSET(Sheet2!$N$3,INT(C228/5),)</f>
        <v>20500</v>
      </c>
      <c r="P228">
        <f ca="1">COUNTIFS(Source!B:B,Pyramid!$O228,Source!D:D,Pyramid!$Q228,Source!$E:$E,Pyramid!$Q$3)</f>
        <v>0</v>
      </c>
      <c r="Q228" t="str">
        <f t="shared" si="11"/>
        <v>28/10/2016</v>
      </c>
      <c r="R228" t="str">
        <f t="array" aca="1" ref="R228" ca="1">IFERROR(INDEX(Source!$A$1:$A$250,SMALL(IF(--(Source!$B$1:$B$250=$O228)*--(Source!$E$1:$E$250=$Q$3)*--(Source!$D$1:$D$250=Pyramid!$Q228),ROW(Source!$B$1:$B$250),FALSE),R$3)),"")</f>
        <v/>
      </c>
      <c r="S228" t="str">
        <f t="array" aca="1" ref="S228" ca="1">IFERROR(INDEX(Source!$A$1:$A$250,SMALL(IF(--(Source!$B$1:$B$250=$O228)*--(Source!$E$1:$E$250=$Q$3)*--(Source!$D$1:$D$250=Pyramid!$Q228),ROW(Source!$B$1:$B$250),FALSE),S$3)),"")</f>
        <v/>
      </c>
      <c r="T228" t="str">
        <f t="array" aca="1" ref="T228" ca="1">IFERROR(INDEX(Source!$A$1:$A$250,SMALL(IF(--(Source!$B$1:$B$250=$O228)*--(Source!$E$1:$E$250=$Q$3)*--(Source!$D$1:$D$250=Pyramid!$Q228),ROW(Source!$B$1:$B$250),FALSE),T$3)),"")</f>
        <v/>
      </c>
      <c r="U228" t="str">
        <f t="array" aca="1" ref="U228" ca="1">IFERROR(INDEX(Source!$A$1:$A$250,SMALL(IF(--(Source!$B$1:$B$250=$O228)*--(Source!$E$1:$E$250=$Q$3)*--(Source!$D$1:$D$250=Pyramid!$Q228),ROW(Source!$B$1:$B$250),FALSE),U$3)),"")</f>
        <v/>
      </c>
      <c r="V228" t="str">
        <f t="array" aca="1" ref="V228" ca="1">IFERROR(INDEX(Source!$A$1:$A$250,SMALL(IF(--(Source!$B$1:$B$250=$O228)*--(Source!$E$1:$E$250=$Q$3)*--(Source!$D$1:$D$250=Pyramid!$Q228),ROW(Source!$B$1:$B$250),FALSE),V$3)),"")</f>
        <v/>
      </c>
      <c r="W228" t="str">
        <f t="array" aca="1" ref="W228" ca="1">IFERROR(INDEX(Source!$A$1:$A$250,SMALL(IF(--(Source!$B$1:$B$250=$O228)*--(Source!$E$1:$E$250=$Q$3)*--(Source!$D$1:$D$250=Pyramid!$Q228),ROW(Source!$B$1:$B$250),FALSE),W$3)),"")</f>
        <v/>
      </c>
      <c r="X228" t="str">
        <f t="array" aca="1" ref="X228" ca="1">IFERROR(INDEX(Source!$A$1:$A$250,SMALL(IF(--(Source!$B$1:$B$250=$O228)*--(Source!$E$1:$E$250=$Q$3)*--(Source!$D$1:$D$250=Pyramid!$Q228),ROW(Source!$B$1:$B$250),FALSE),X$3)),"")</f>
        <v/>
      </c>
      <c r="Y228" s="5">
        <f t="shared" ca="1" si="12"/>
        <v>0</v>
      </c>
    </row>
    <row r="229" spans="3:25">
      <c r="C229">
        <v>225</v>
      </c>
      <c r="D229" s="5">
        <f t="shared" ca="1" si="10"/>
        <v>0</v>
      </c>
      <c r="E229" t="str">
        <f t="array" aca="1" ref="E229" ca="1">IFERROR(INDEX(Source!$A$1:$A$250,SMALL(IF(--(Source!$B$1:$B$250=$O229)*--(Source!$E$1:$E$250=$M$3)*--(Source!$D$1:$D$250=Pyramid!$M229),ROW(Source!$B$1:$B$250),FALSE),E$3)),"")</f>
        <v/>
      </c>
      <c r="F229" t="str">
        <f t="array" aca="1" ref="F229" ca="1">IFERROR(INDEX(Source!$A$1:$A$250,SMALL(IF(--(Source!$B$1:$B$250=$O229)*--(Source!$E$1:$E$250=$M$3)*--(Source!$D$1:$D$250=Pyramid!$M229),ROW(Source!$B$1:$B$250),FALSE),F$3)),"")</f>
        <v/>
      </c>
      <c r="G229" t="str">
        <f t="array" aca="1" ref="G229" ca="1">IFERROR(INDEX(Source!$A$1:$A$250,SMALL(IF(--(Source!$B$1:$B$250=$O229)*--(Source!$E$1:$E$250=$M$3)*--(Source!$D$1:$D$250=Pyramid!$M229),ROW(Source!$B$1:$B$250),FALSE),G$3)),"")</f>
        <v/>
      </c>
      <c r="H229" t="str">
        <f t="array" aca="1" ref="H229" ca="1">IFERROR(INDEX(Source!$A$1:$A$250,SMALL(IF(--(Source!$B$1:$B$250=$O229)*--(Source!$E$1:$E$250=$M$3)*--(Source!$D$1:$D$250=Pyramid!$M229),ROW(Source!$B$1:$B$250),FALSE),H$3)),"")</f>
        <v/>
      </c>
      <c r="I229" t="str">
        <f t="array" aca="1" ref="I229" ca="1">IFERROR(INDEX(Source!$A$1:$A$250,SMALL(IF(--(Source!$B$1:$B$250=$O229)*--(Source!$E$1:$E$250=$M$3)*--(Source!$D$1:$D$250=Pyramid!$M229),ROW(Source!$B$1:$B$250),FALSE),I$3)),"")</f>
        <v/>
      </c>
      <c r="J229" t="str">
        <f t="array" aca="1" ref="J229" ca="1">IFERROR(INDEX(Source!$A$1:$A$250,SMALL(IF(--(Source!$B$1:$B$250=$O229)*--(Source!$E$1:$E$250=$M$3)*--(Source!$D$1:$D$250=Pyramid!$M229),ROW(Source!$B$1:$B$250),FALSE),J$3)),"")</f>
        <v/>
      </c>
      <c r="K229" t="str">
        <f t="array" aca="1" ref="K229" ca="1">IFERROR(INDEX(Source!$A$1:$A$250,SMALL(IF(--(Source!$B$1:$B$250=$O229)*--(Source!$E$1:$E$250=$M$3)*--(Source!$D$1:$D$250=Pyramid!$M229),ROW(Source!$B$1:$B$250),FALSE),K$3)),"")</f>
        <v/>
      </c>
      <c r="L229" t="str">
        <f t="array" aca="1" ref="L229" ca="1">IFERROR(INDEX(Source!$A$1:$A$250,SMALL(IF(--(Source!$B$1:$B$250=$O229)*--(Source!$E$1:$E$250=$M$3)*--(Source!$D$1:$D$250=Pyramid!$M229),ROW(Source!$B$1:$B$250),FALSE),L$3)),"")</f>
        <v/>
      </c>
      <c r="M229" t="str">
        <f t="shared" si="11"/>
        <v>29/6/2016</v>
      </c>
      <c r="N229">
        <f ca="1">COUNTIFS(Source!B:B,Pyramid!$O229,Source!$D:$D,Pyramid!$M229,Source!$E:$E,Pyramid!$M$3)</f>
        <v>0</v>
      </c>
      <c r="O229">
        <f ca="1">OFFSET(Sheet2!$N$3,INT(C229/5),)</f>
        <v>20600</v>
      </c>
      <c r="P229">
        <f ca="1">COUNTIFS(Source!B:B,Pyramid!$O229,Source!D:D,Pyramid!$Q229,Source!$E:$E,Pyramid!$Q$3)</f>
        <v>0</v>
      </c>
      <c r="Q229" t="str">
        <f t="shared" si="11"/>
        <v>29/6/2016</v>
      </c>
      <c r="R229" t="str">
        <f t="array" aca="1" ref="R229" ca="1">IFERROR(INDEX(Source!$A$1:$A$250,SMALL(IF(--(Source!$B$1:$B$250=$O229)*--(Source!$E$1:$E$250=$Q$3)*--(Source!$D$1:$D$250=Pyramid!$Q229),ROW(Source!$B$1:$B$250),FALSE),R$3)),"")</f>
        <v/>
      </c>
      <c r="S229" t="str">
        <f t="array" aca="1" ref="S229" ca="1">IFERROR(INDEX(Source!$A$1:$A$250,SMALL(IF(--(Source!$B$1:$B$250=$O229)*--(Source!$E$1:$E$250=$Q$3)*--(Source!$D$1:$D$250=Pyramid!$Q229),ROW(Source!$B$1:$B$250),FALSE),S$3)),"")</f>
        <v/>
      </c>
      <c r="T229" t="str">
        <f t="array" aca="1" ref="T229" ca="1">IFERROR(INDEX(Source!$A$1:$A$250,SMALL(IF(--(Source!$B$1:$B$250=$O229)*--(Source!$E$1:$E$250=$Q$3)*--(Source!$D$1:$D$250=Pyramid!$Q229),ROW(Source!$B$1:$B$250),FALSE),T$3)),"")</f>
        <v/>
      </c>
      <c r="U229" t="str">
        <f t="array" aca="1" ref="U229" ca="1">IFERROR(INDEX(Source!$A$1:$A$250,SMALL(IF(--(Source!$B$1:$B$250=$O229)*--(Source!$E$1:$E$250=$Q$3)*--(Source!$D$1:$D$250=Pyramid!$Q229),ROW(Source!$B$1:$B$250),FALSE),U$3)),"")</f>
        <v/>
      </c>
      <c r="V229" t="str">
        <f t="array" aca="1" ref="V229" ca="1">IFERROR(INDEX(Source!$A$1:$A$250,SMALL(IF(--(Source!$B$1:$B$250=$O229)*--(Source!$E$1:$E$250=$Q$3)*--(Source!$D$1:$D$250=Pyramid!$Q229),ROW(Source!$B$1:$B$250),FALSE),V$3)),"")</f>
        <v/>
      </c>
      <c r="W229" t="str">
        <f t="array" aca="1" ref="W229" ca="1">IFERROR(INDEX(Source!$A$1:$A$250,SMALL(IF(--(Source!$B$1:$B$250=$O229)*--(Source!$E$1:$E$250=$Q$3)*--(Source!$D$1:$D$250=Pyramid!$Q229),ROW(Source!$B$1:$B$250),FALSE),W$3)),"")</f>
        <v/>
      </c>
      <c r="X229" t="str">
        <f t="array" aca="1" ref="X229" ca="1">IFERROR(INDEX(Source!$A$1:$A$250,SMALL(IF(--(Source!$B$1:$B$250=$O229)*--(Source!$E$1:$E$250=$Q$3)*--(Source!$D$1:$D$250=Pyramid!$Q229),ROW(Source!$B$1:$B$250),FALSE),X$3)),"")</f>
        <v/>
      </c>
      <c r="Y229" s="5">
        <f t="shared" ca="1" si="12"/>
        <v>0</v>
      </c>
    </row>
    <row r="230" spans="3:25">
      <c r="C230">
        <v>226</v>
      </c>
      <c r="D230" s="5">
        <f t="shared" ca="1" si="10"/>
        <v>0</v>
      </c>
      <c r="E230" t="str">
        <f t="array" aca="1" ref="E230" ca="1">IFERROR(INDEX(Source!$A$1:$A$250,SMALL(IF(--(Source!$B$1:$B$250=$O230)*--(Source!$E$1:$E$250=$M$3)*--(Source!$D$1:$D$250=Pyramid!$M230),ROW(Source!$B$1:$B$250),FALSE),E$3)),"")</f>
        <v/>
      </c>
      <c r="F230" t="str">
        <f t="array" aca="1" ref="F230" ca="1">IFERROR(INDEX(Source!$A$1:$A$250,SMALL(IF(--(Source!$B$1:$B$250=$O230)*--(Source!$E$1:$E$250=$M$3)*--(Source!$D$1:$D$250=Pyramid!$M230),ROW(Source!$B$1:$B$250),FALSE),F$3)),"")</f>
        <v/>
      </c>
      <c r="G230" t="str">
        <f t="array" aca="1" ref="G230" ca="1">IFERROR(INDEX(Source!$A$1:$A$250,SMALL(IF(--(Source!$B$1:$B$250=$O230)*--(Source!$E$1:$E$250=$M$3)*--(Source!$D$1:$D$250=Pyramid!$M230),ROW(Source!$B$1:$B$250),FALSE),G$3)),"")</f>
        <v/>
      </c>
      <c r="H230" t="str">
        <f t="array" aca="1" ref="H230" ca="1">IFERROR(INDEX(Source!$A$1:$A$250,SMALL(IF(--(Source!$B$1:$B$250=$O230)*--(Source!$E$1:$E$250=$M$3)*--(Source!$D$1:$D$250=Pyramid!$M230),ROW(Source!$B$1:$B$250),FALSE),H$3)),"")</f>
        <v/>
      </c>
      <c r="I230" t="str">
        <f t="array" aca="1" ref="I230" ca="1">IFERROR(INDEX(Source!$A$1:$A$250,SMALL(IF(--(Source!$B$1:$B$250=$O230)*--(Source!$E$1:$E$250=$M$3)*--(Source!$D$1:$D$250=Pyramid!$M230),ROW(Source!$B$1:$B$250),FALSE),I$3)),"")</f>
        <v/>
      </c>
      <c r="J230" t="str">
        <f t="array" aca="1" ref="J230" ca="1">IFERROR(INDEX(Source!$A$1:$A$250,SMALL(IF(--(Source!$B$1:$B$250=$O230)*--(Source!$E$1:$E$250=$M$3)*--(Source!$D$1:$D$250=Pyramid!$M230),ROW(Source!$B$1:$B$250),FALSE),J$3)),"")</f>
        <v/>
      </c>
      <c r="K230" t="str">
        <f t="array" aca="1" ref="K230" ca="1">IFERROR(INDEX(Source!$A$1:$A$250,SMALL(IF(--(Source!$B$1:$B$250=$O230)*--(Source!$E$1:$E$250=$M$3)*--(Source!$D$1:$D$250=Pyramid!$M230),ROW(Source!$B$1:$B$250),FALSE),K$3)),"")</f>
        <v/>
      </c>
      <c r="L230" t="str">
        <f t="array" aca="1" ref="L230" ca="1">IFERROR(INDEX(Source!$A$1:$A$250,SMALL(IF(--(Source!$B$1:$B$250=$O230)*--(Source!$E$1:$E$250=$M$3)*--(Source!$D$1:$D$250=Pyramid!$M230),ROW(Source!$B$1:$B$250),FALSE),L$3)),"")</f>
        <v/>
      </c>
      <c r="M230" t="str">
        <f t="shared" si="11"/>
        <v>28/7/2016</v>
      </c>
      <c r="N230">
        <f ca="1">COUNTIFS(Source!B:B,Pyramid!$O230,Source!$D:$D,Pyramid!$M230,Source!$E:$E,Pyramid!$M$3)</f>
        <v>0</v>
      </c>
      <c r="O230">
        <f ca="1">OFFSET(Sheet2!$N$3,INT(C230/5),)</f>
        <v>20600</v>
      </c>
      <c r="P230">
        <f ca="1">COUNTIFS(Source!B:B,Pyramid!$O230,Source!D:D,Pyramid!$Q230,Source!$E:$E,Pyramid!$Q$3)</f>
        <v>0</v>
      </c>
      <c r="Q230" t="str">
        <f t="shared" si="11"/>
        <v>28/7/2016</v>
      </c>
      <c r="R230" t="str">
        <f t="array" aca="1" ref="R230" ca="1">IFERROR(INDEX(Source!$A$1:$A$250,SMALL(IF(--(Source!$B$1:$B$250=$O230)*--(Source!$E$1:$E$250=$Q$3)*--(Source!$D$1:$D$250=Pyramid!$Q230),ROW(Source!$B$1:$B$250),FALSE),R$3)),"")</f>
        <v/>
      </c>
      <c r="S230" t="str">
        <f t="array" aca="1" ref="S230" ca="1">IFERROR(INDEX(Source!$A$1:$A$250,SMALL(IF(--(Source!$B$1:$B$250=$O230)*--(Source!$E$1:$E$250=$Q$3)*--(Source!$D$1:$D$250=Pyramid!$Q230),ROW(Source!$B$1:$B$250),FALSE),S$3)),"")</f>
        <v/>
      </c>
      <c r="T230" t="str">
        <f t="array" aca="1" ref="T230" ca="1">IFERROR(INDEX(Source!$A$1:$A$250,SMALL(IF(--(Source!$B$1:$B$250=$O230)*--(Source!$E$1:$E$250=$Q$3)*--(Source!$D$1:$D$250=Pyramid!$Q230),ROW(Source!$B$1:$B$250),FALSE),T$3)),"")</f>
        <v/>
      </c>
      <c r="U230" t="str">
        <f t="array" aca="1" ref="U230" ca="1">IFERROR(INDEX(Source!$A$1:$A$250,SMALL(IF(--(Source!$B$1:$B$250=$O230)*--(Source!$E$1:$E$250=$Q$3)*--(Source!$D$1:$D$250=Pyramid!$Q230),ROW(Source!$B$1:$B$250),FALSE),U$3)),"")</f>
        <v/>
      </c>
      <c r="V230" t="str">
        <f t="array" aca="1" ref="V230" ca="1">IFERROR(INDEX(Source!$A$1:$A$250,SMALL(IF(--(Source!$B$1:$B$250=$O230)*--(Source!$E$1:$E$250=$Q$3)*--(Source!$D$1:$D$250=Pyramid!$Q230),ROW(Source!$B$1:$B$250),FALSE),V$3)),"")</f>
        <v/>
      </c>
      <c r="W230" t="str">
        <f t="array" aca="1" ref="W230" ca="1">IFERROR(INDEX(Source!$A$1:$A$250,SMALL(IF(--(Source!$B$1:$B$250=$O230)*--(Source!$E$1:$E$250=$Q$3)*--(Source!$D$1:$D$250=Pyramid!$Q230),ROW(Source!$B$1:$B$250),FALSE),W$3)),"")</f>
        <v/>
      </c>
      <c r="X230" t="str">
        <f t="array" aca="1" ref="X230" ca="1">IFERROR(INDEX(Source!$A$1:$A$250,SMALL(IF(--(Source!$B$1:$B$250=$O230)*--(Source!$E$1:$E$250=$Q$3)*--(Source!$D$1:$D$250=Pyramid!$Q230),ROW(Source!$B$1:$B$250),FALSE),X$3)),"")</f>
        <v/>
      </c>
      <c r="Y230" s="5">
        <f t="shared" ca="1" si="12"/>
        <v>0</v>
      </c>
    </row>
    <row r="231" spans="3:25">
      <c r="C231">
        <v>227</v>
      </c>
      <c r="D231" s="5">
        <f t="shared" ca="1" si="10"/>
        <v>0</v>
      </c>
      <c r="E231" t="str">
        <f t="array" aca="1" ref="E231" ca="1">IFERROR(INDEX(Source!$A$1:$A$250,SMALL(IF(--(Source!$B$1:$B$250=$O231)*--(Source!$E$1:$E$250=$M$3)*--(Source!$D$1:$D$250=Pyramid!$M231),ROW(Source!$B$1:$B$250),FALSE),E$3)),"")</f>
        <v/>
      </c>
      <c r="F231" t="str">
        <f t="array" aca="1" ref="F231" ca="1">IFERROR(INDEX(Source!$A$1:$A$250,SMALL(IF(--(Source!$B$1:$B$250=$O231)*--(Source!$E$1:$E$250=$M$3)*--(Source!$D$1:$D$250=Pyramid!$M231),ROW(Source!$B$1:$B$250),FALSE),F$3)),"")</f>
        <v/>
      </c>
      <c r="G231" t="str">
        <f t="array" aca="1" ref="G231" ca="1">IFERROR(INDEX(Source!$A$1:$A$250,SMALL(IF(--(Source!$B$1:$B$250=$O231)*--(Source!$E$1:$E$250=$M$3)*--(Source!$D$1:$D$250=Pyramid!$M231),ROW(Source!$B$1:$B$250),FALSE),G$3)),"")</f>
        <v/>
      </c>
      <c r="H231" t="str">
        <f t="array" aca="1" ref="H231" ca="1">IFERROR(INDEX(Source!$A$1:$A$250,SMALL(IF(--(Source!$B$1:$B$250=$O231)*--(Source!$E$1:$E$250=$M$3)*--(Source!$D$1:$D$250=Pyramid!$M231),ROW(Source!$B$1:$B$250),FALSE),H$3)),"")</f>
        <v/>
      </c>
      <c r="I231" t="str">
        <f t="array" aca="1" ref="I231" ca="1">IFERROR(INDEX(Source!$A$1:$A$250,SMALL(IF(--(Source!$B$1:$B$250=$O231)*--(Source!$E$1:$E$250=$M$3)*--(Source!$D$1:$D$250=Pyramid!$M231),ROW(Source!$B$1:$B$250),FALSE),I$3)),"")</f>
        <v>25949 HK Equity</v>
      </c>
      <c r="J231" t="str">
        <f t="array" aca="1" ref="J231" ca="1">IFERROR(INDEX(Source!$A$1:$A$250,SMALL(IF(--(Source!$B$1:$B$250=$O231)*--(Source!$E$1:$E$250=$M$3)*--(Source!$D$1:$D$250=Pyramid!$M231),ROW(Source!$B$1:$B$250),FALSE),J$3)),"")</f>
        <v>27914 HK Equity</v>
      </c>
      <c r="K231" t="str">
        <f t="array" aca="1" ref="K231" ca="1">IFERROR(INDEX(Source!$A$1:$A$250,SMALL(IF(--(Source!$B$1:$B$250=$O231)*--(Source!$E$1:$E$250=$M$3)*--(Source!$D$1:$D$250=Pyramid!$M231),ROW(Source!$B$1:$B$250),FALSE),K$3)),"")</f>
        <v>25600 HK Equity</v>
      </c>
      <c r="L231" t="str">
        <f t="array" aca="1" ref="L231" ca="1">IFERROR(INDEX(Source!$A$1:$A$250,SMALL(IF(--(Source!$B$1:$B$250=$O231)*--(Source!$E$1:$E$250=$M$3)*--(Source!$D$1:$D$250=Pyramid!$M231),ROW(Source!$B$1:$B$250),FALSE),L$3)),"")</f>
        <v>26747 HK Equity</v>
      </c>
      <c r="M231" t="str">
        <f t="shared" si="11"/>
        <v>30/8/2016</v>
      </c>
      <c r="N231">
        <f ca="1">COUNTIFS(Source!B:B,Pyramid!$O231,Source!$D:$D,Pyramid!$M231,Source!$E:$E,Pyramid!$M$3)</f>
        <v>4</v>
      </c>
      <c r="O231">
        <f ca="1">OFFSET(Sheet2!$N$3,INT(C231/5),)</f>
        <v>20600</v>
      </c>
      <c r="P231">
        <f ca="1">COUNTIFS(Source!B:B,Pyramid!$O231,Source!D:D,Pyramid!$Q231,Source!$E:$E,Pyramid!$Q$3)</f>
        <v>0</v>
      </c>
      <c r="Q231" t="str">
        <f t="shared" si="11"/>
        <v>30/8/2016</v>
      </c>
      <c r="R231" t="str">
        <f t="array" aca="1" ref="R231" ca="1">IFERROR(INDEX(Source!$A$1:$A$250,SMALL(IF(--(Source!$B$1:$B$250=$O231)*--(Source!$E$1:$E$250=$Q$3)*--(Source!$D$1:$D$250=Pyramid!$Q231),ROW(Source!$B$1:$B$250),FALSE),R$3)),"")</f>
        <v/>
      </c>
      <c r="S231" t="str">
        <f t="array" aca="1" ref="S231" ca="1">IFERROR(INDEX(Source!$A$1:$A$250,SMALL(IF(--(Source!$B$1:$B$250=$O231)*--(Source!$E$1:$E$250=$Q$3)*--(Source!$D$1:$D$250=Pyramid!$Q231),ROW(Source!$B$1:$B$250),FALSE),S$3)),"")</f>
        <v/>
      </c>
      <c r="T231" t="str">
        <f t="array" aca="1" ref="T231" ca="1">IFERROR(INDEX(Source!$A$1:$A$250,SMALL(IF(--(Source!$B$1:$B$250=$O231)*--(Source!$E$1:$E$250=$Q$3)*--(Source!$D$1:$D$250=Pyramid!$Q231),ROW(Source!$B$1:$B$250),FALSE),T$3)),"")</f>
        <v/>
      </c>
      <c r="U231" t="str">
        <f t="array" aca="1" ref="U231" ca="1">IFERROR(INDEX(Source!$A$1:$A$250,SMALL(IF(--(Source!$B$1:$B$250=$O231)*--(Source!$E$1:$E$250=$Q$3)*--(Source!$D$1:$D$250=Pyramid!$Q231),ROW(Source!$B$1:$B$250),FALSE),U$3)),"")</f>
        <v/>
      </c>
      <c r="V231" t="str">
        <f t="array" aca="1" ref="V231" ca="1">IFERROR(INDEX(Source!$A$1:$A$250,SMALL(IF(--(Source!$B$1:$B$250=$O231)*--(Source!$E$1:$E$250=$Q$3)*--(Source!$D$1:$D$250=Pyramid!$Q231),ROW(Source!$B$1:$B$250),FALSE),V$3)),"")</f>
        <v/>
      </c>
      <c r="W231" t="str">
        <f t="array" aca="1" ref="W231" ca="1">IFERROR(INDEX(Source!$A$1:$A$250,SMALL(IF(--(Source!$B$1:$B$250=$O231)*--(Source!$E$1:$E$250=$Q$3)*--(Source!$D$1:$D$250=Pyramid!$Q231),ROW(Source!$B$1:$B$250),FALSE),W$3)),"")</f>
        <v/>
      </c>
      <c r="X231" t="str">
        <f t="array" aca="1" ref="X231" ca="1">IFERROR(INDEX(Source!$A$1:$A$250,SMALL(IF(--(Source!$B$1:$B$250=$O231)*--(Source!$E$1:$E$250=$Q$3)*--(Source!$D$1:$D$250=Pyramid!$Q231),ROW(Source!$B$1:$B$250),FALSE),X$3)),"")</f>
        <v/>
      </c>
      <c r="Y231" s="5">
        <f t="shared" ca="1" si="12"/>
        <v>0</v>
      </c>
    </row>
    <row r="232" spans="3:25">
      <c r="C232">
        <v>228</v>
      </c>
      <c r="D232" s="5">
        <f t="shared" ca="1" si="10"/>
        <v>0</v>
      </c>
      <c r="E232" t="str">
        <f t="array" aca="1" ref="E232" ca="1">IFERROR(INDEX(Source!$A$1:$A$250,SMALL(IF(--(Source!$B$1:$B$250=$O232)*--(Source!$E$1:$E$250=$M$3)*--(Source!$D$1:$D$250=Pyramid!$M232),ROW(Source!$B$1:$B$250),FALSE),E$3)),"")</f>
        <v/>
      </c>
      <c r="F232" t="str">
        <f t="array" aca="1" ref="F232" ca="1">IFERROR(INDEX(Source!$A$1:$A$250,SMALL(IF(--(Source!$B$1:$B$250=$O232)*--(Source!$E$1:$E$250=$M$3)*--(Source!$D$1:$D$250=Pyramid!$M232),ROW(Source!$B$1:$B$250),FALSE),F$3)),"")</f>
        <v/>
      </c>
      <c r="G232" t="str">
        <f t="array" aca="1" ref="G232" ca="1">IFERROR(INDEX(Source!$A$1:$A$250,SMALL(IF(--(Source!$B$1:$B$250=$O232)*--(Source!$E$1:$E$250=$M$3)*--(Source!$D$1:$D$250=Pyramid!$M232),ROW(Source!$B$1:$B$250),FALSE),G$3)),"")</f>
        <v/>
      </c>
      <c r="H232" t="str">
        <f t="array" aca="1" ref="H232" ca="1">IFERROR(INDEX(Source!$A$1:$A$250,SMALL(IF(--(Source!$B$1:$B$250=$O232)*--(Source!$E$1:$E$250=$M$3)*--(Source!$D$1:$D$250=Pyramid!$M232),ROW(Source!$B$1:$B$250),FALSE),H$3)),"")</f>
        <v/>
      </c>
      <c r="I232" t="str">
        <f t="array" aca="1" ref="I232" ca="1">IFERROR(INDEX(Source!$A$1:$A$250,SMALL(IF(--(Source!$B$1:$B$250=$O232)*--(Source!$E$1:$E$250=$M$3)*--(Source!$D$1:$D$250=Pyramid!$M232),ROW(Source!$B$1:$B$250),FALSE),I$3)),"")</f>
        <v/>
      </c>
      <c r="J232" t="str">
        <f t="array" aca="1" ref="J232" ca="1">IFERROR(INDEX(Source!$A$1:$A$250,SMALL(IF(--(Source!$B$1:$B$250=$O232)*--(Source!$E$1:$E$250=$M$3)*--(Source!$D$1:$D$250=Pyramid!$M232),ROW(Source!$B$1:$B$250),FALSE),J$3)),"")</f>
        <v/>
      </c>
      <c r="K232" t="str">
        <f t="array" aca="1" ref="K232" ca="1">IFERROR(INDEX(Source!$A$1:$A$250,SMALL(IF(--(Source!$B$1:$B$250=$O232)*--(Source!$E$1:$E$250=$M$3)*--(Source!$D$1:$D$250=Pyramid!$M232),ROW(Source!$B$1:$B$250),FALSE),K$3)),"")</f>
        <v/>
      </c>
      <c r="L232" t="str">
        <f t="array" aca="1" ref="L232" ca="1">IFERROR(INDEX(Source!$A$1:$A$250,SMALL(IF(--(Source!$B$1:$B$250=$O232)*--(Source!$E$1:$E$250=$M$3)*--(Source!$D$1:$D$250=Pyramid!$M232),ROW(Source!$B$1:$B$250),FALSE),L$3)),"")</f>
        <v/>
      </c>
      <c r="M232" t="str">
        <f t="shared" si="11"/>
        <v>29/9/2016</v>
      </c>
      <c r="N232">
        <f ca="1">COUNTIFS(Source!B:B,Pyramid!$O232,Source!$D:$D,Pyramid!$M232,Source!$E:$E,Pyramid!$M$3)</f>
        <v>0</v>
      </c>
      <c r="O232">
        <f ca="1">OFFSET(Sheet2!$N$3,INT(C232/5),)</f>
        <v>20600</v>
      </c>
      <c r="P232">
        <f ca="1">COUNTIFS(Source!B:B,Pyramid!$O232,Source!D:D,Pyramid!$Q232,Source!$E:$E,Pyramid!$Q$3)</f>
        <v>2</v>
      </c>
      <c r="Q232" t="str">
        <f t="shared" si="11"/>
        <v>29/9/2016</v>
      </c>
      <c r="R232" t="str">
        <f t="array" aca="1" ref="R232" ca="1">IFERROR(INDEX(Source!$A$1:$A$250,SMALL(IF(--(Source!$B$1:$B$250=$O232)*--(Source!$E$1:$E$250=$Q$3)*--(Source!$D$1:$D$250=Pyramid!$Q232),ROW(Source!$B$1:$B$250),FALSE),R$3)),"")</f>
        <v>23538 HK Equity</v>
      </c>
      <c r="S232" t="str">
        <f t="array" aca="1" ref="S232" ca="1">IFERROR(INDEX(Source!$A$1:$A$250,SMALL(IF(--(Source!$B$1:$B$250=$O232)*--(Source!$E$1:$E$250=$Q$3)*--(Source!$D$1:$D$250=Pyramid!$Q232),ROW(Source!$B$1:$B$250),FALSE),S$3)),"")</f>
        <v>27592 HK Equity</v>
      </c>
      <c r="T232" t="str">
        <f t="array" aca="1" ref="T232" ca="1">IFERROR(INDEX(Source!$A$1:$A$250,SMALL(IF(--(Source!$B$1:$B$250=$O232)*--(Source!$E$1:$E$250=$Q$3)*--(Source!$D$1:$D$250=Pyramid!$Q232),ROW(Source!$B$1:$B$250),FALSE),T$3)),"")</f>
        <v/>
      </c>
      <c r="U232" t="str">
        <f t="array" aca="1" ref="U232" ca="1">IFERROR(INDEX(Source!$A$1:$A$250,SMALL(IF(--(Source!$B$1:$B$250=$O232)*--(Source!$E$1:$E$250=$Q$3)*--(Source!$D$1:$D$250=Pyramid!$Q232),ROW(Source!$B$1:$B$250),FALSE),U$3)),"")</f>
        <v/>
      </c>
      <c r="V232" t="str">
        <f t="array" aca="1" ref="V232" ca="1">IFERROR(INDEX(Source!$A$1:$A$250,SMALL(IF(--(Source!$B$1:$B$250=$O232)*--(Source!$E$1:$E$250=$Q$3)*--(Source!$D$1:$D$250=Pyramid!$Q232),ROW(Source!$B$1:$B$250),FALSE),V$3)),"")</f>
        <v/>
      </c>
      <c r="W232" t="str">
        <f t="array" aca="1" ref="W232" ca="1">IFERROR(INDEX(Source!$A$1:$A$250,SMALL(IF(--(Source!$B$1:$B$250=$O232)*--(Source!$E$1:$E$250=$Q$3)*--(Source!$D$1:$D$250=Pyramid!$Q232),ROW(Source!$B$1:$B$250),FALSE),W$3)),"")</f>
        <v/>
      </c>
      <c r="X232" t="str">
        <f t="array" aca="1" ref="X232" ca="1">IFERROR(INDEX(Source!$A$1:$A$250,SMALL(IF(--(Source!$B$1:$B$250=$O232)*--(Source!$E$1:$E$250=$Q$3)*--(Source!$D$1:$D$250=Pyramid!$Q232),ROW(Source!$B$1:$B$250),FALSE),X$3)),"")</f>
        <v/>
      </c>
      <c r="Y232" s="5">
        <f t="shared" ca="1" si="12"/>
        <v>0</v>
      </c>
    </row>
    <row r="233" spans="3:25">
      <c r="C233">
        <v>229</v>
      </c>
      <c r="D233" s="5">
        <f t="shared" ca="1" si="10"/>
        <v>0</v>
      </c>
      <c r="E233" t="str">
        <f t="array" aca="1" ref="E233" ca="1">IFERROR(INDEX(Source!$A$1:$A$250,SMALL(IF(--(Source!$B$1:$B$250=$O233)*--(Source!$E$1:$E$250=$M$3)*--(Source!$D$1:$D$250=Pyramid!$M233),ROW(Source!$B$1:$B$250),FALSE),E$3)),"")</f>
        <v/>
      </c>
      <c r="F233" t="str">
        <f t="array" aca="1" ref="F233" ca="1">IFERROR(INDEX(Source!$A$1:$A$250,SMALL(IF(--(Source!$B$1:$B$250=$O233)*--(Source!$E$1:$E$250=$M$3)*--(Source!$D$1:$D$250=Pyramid!$M233),ROW(Source!$B$1:$B$250),FALSE),F$3)),"")</f>
        <v/>
      </c>
      <c r="G233" t="str">
        <f t="array" aca="1" ref="G233" ca="1">IFERROR(INDEX(Source!$A$1:$A$250,SMALL(IF(--(Source!$B$1:$B$250=$O233)*--(Source!$E$1:$E$250=$M$3)*--(Source!$D$1:$D$250=Pyramid!$M233),ROW(Source!$B$1:$B$250),FALSE),G$3)),"")</f>
        <v/>
      </c>
      <c r="H233" t="str">
        <f t="array" aca="1" ref="H233" ca="1">IFERROR(INDEX(Source!$A$1:$A$250,SMALL(IF(--(Source!$B$1:$B$250=$O233)*--(Source!$E$1:$E$250=$M$3)*--(Source!$D$1:$D$250=Pyramid!$M233),ROW(Source!$B$1:$B$250),FALSE),H$3)),"")</f>
        <v/>
      </c>
      <c r="I233" t="str">
        <f t="array" aca="1" ref="I233" ca="1">IFERROR(INDEX(Source!$A$1:$A$250,SMALL(IF(--(Source!$B$1:$B$250=$O233)*--(Source!$E$1:$E$250=$M$3)*--(Source!$D$1:$D$250=Pyramid!$M233),ROW(Source!$B$1:$B$250),FALSE),I$3)),"")</f>
        <v/>
      </c>
      <c r="J233" t="str">
        <f t="array" aca="1" ref="J233" ca="1">IFERROR(INDEX(Source!$A$1:$A$250,SMALL(IF(--(Source!$B$1:$B$250=$O233)*--(Source!$E$1:$E$250=$M$3)*--(Source!$D$1:$D$250=Pyramid!$M233),ROW(Source!$B$1:$B$250),FALSE),J$3)),"")</f>
        <v/>
      </c>
      <c r="K233" t="str">
        <f t="array" aca="1" ref="K233" ca="1">IFERROR(INDEX(Source!$A$1:$A$250,SMALL(IF(--(Source!$B$1:$B$250=$O233)*--(Source!$E$1:$E$250=$M$3)*--(Source!$D$1:$D$250=Pyramid!$M233),ROW(Source!$B$1:$B$250),FALSE),K$3)),"")</f>
        <v/>
      </c>
      <c r="L233" t="str">
        <f t="array" aca="1" ref="L233" ca="1">IFERROR(INDEX(Source!$A$1:$A$250,SMALL(IF(--(Source!$B$1:$B$250=$O233)*--(Source!$E$1:$E$250=$M$3)*--(Source!$D$1:$D$250=Pyramid!$M233),ROW(Source!$B$1:$B$250),FALSE),L$3)),"")</f>
        <v/>
      </c>
      <c r="M233" t="str">
        <f t="shared" si="11"/>
        <v>28/10/2016</v>
      </c>
      <c r="N233">
        <f ca="1">COUNTIFS(Source!B:B,Pyramid!$O233,Source!$D:$D,Pyramid!$M233,Source!$E:$E,Pyramid!$M$3)</f>
        <v>0</v>
      </c>
      <c r="O233">
        <f ca="1">OFFSET(Sheet2!$N$3,INT(C233/5),)</f>
        <v>20600</v>
      </c>
      <c r="P233">
        <f ca="1">COUNTIFS(Source!B:B,Pyramid!$O233,Source!D:D,Pyramid!$Q233,Source!$E:$E,Pyramid!$Q$3)</f>
        <v>0</v>
      </c>
      <c r="Q233" t="str">
        <f t="shared" si="11"/>
        <v>28/10/2016</v>
      </c>
      <c r="R233" t="str">
        <f t="array" aca="1" ref="R233" ca="1">IFERROR(INDEX(Source!$A$1:$A$250,SMALL(IF(--(Source!$B$1:$B$250=$O233)*--(Source!$E$1:$E$250=$Q$3)*--(Source!$D$1:$D$250=Pyramid!$Q233),ROW(Source!$B$1:$B$250),FALSE),R$3)),"")</f>
        <v/>
      </c>
      <c r="S233" t="str">
        <f t="array" aca="1" ref="S233" ca="1">IFERROR(INDEX(Source!$A$1:$A$250,SMALL(IF(--(Source!$B$1:$B$250=$O233)*--(Source!$E$1:$E$250=$Q$3)*--(Source!$D$1:$D$250=Pyramid!$Q233),ROW(Source!$B$1:$B$250),FALSE),S$3)),"")</f>
        <v/>
      </c>
      <c r="T233" t="str">
        <f t="array" aca="1" ref="T233" ca="1">IFERROR(INDEX(Source!$A$1:$A$250,SMALL(IF(--(Source!$B$1:$B$250=$O233)*--(Source!$E$1:$E$250=$Q$3)*--(Source!$D$1:$D$250=Pyramid!$Q233),ROW(Source!$B$1:$B$250),FALSE),T$3)),"")</f>
        <v/>
      </c>
      <c r="U233" t="str">
        <f t="array" aca="1" ref="U233" ca="1">IFERROR(INDEX(Source!$A$1:$A$250,SMALL(IF(--(Source!$B$1:$B$250=$O233)*--(Source!$E$1:$E$250=$Q$3)*--(Source!$D$1:$D$250=Pyramid!$Q233),ROW(Source!$B$1:$B$250),FALSE),U$3)),"")</f>
        <v/>
      </c>
      <c r="V233" t="str">
        <f t="array" aca="1" ref="V233" ca="1">IFERROR(INDEX(Source!$A$1:$A$250,SMALL(IF(--(Source!$B$1:$B$250=$O233)*--(Source!$E$1:$E$250=$Q$3)*--(Source!$D$1:$D$250=Pyramid!$Q233),ROW(Source!$B$1:$B$250),FALSE),V$3)),"")</f>
        <v/>
      </c>
      <c r="W233" t="str">
        <f t="array" aca="1" ref="W233" ca="1">IFERROR(INDEX(Source!$A$1:$A$250,SMALL(IF(--(Source!$B$1:$B$250=$O233)*--(Source!$E$1:$E$250=$Q$3)*--(Source!$D$1:$D$250=Pyramid!$Q233),ROW(Source!$B$1:$B$250),FALSE),W$3)),"")</f>
        <v/>
      </c>
      <c r="X233" t="str">
        <f t="array" aca="1" ref="X233" ca="1">IFERROR(INDEX(Source!$A$1:$A$250,SMALL(IF(--(Source!$B$1:$B$250=$O233)*--(Source!$E$1:$E$250=$Q$3)*--(Source!$D$1:$D$250=Pyramid!$Q233),ROW(Source!$B$1:$B$250),FALSE),X$3)),"")</f>
        <v/>
      </c>
      <c r="Y233" s="5">
        <f t="shared" ca="1" si="12"/>
        <v>0</v>
      </c>
    </row>
    <row r="234" spans="3:25">
      <c r="C234">
        <v>230</v>
      </c>
      <c r="D234" s="5">
        <f t="shared" ca="1" si="10"/>
        <v>0</v>
      </c>
      <c r="E234" t="str">
        <f t="array" aca="1" ref="E234" ca="1">IFERROR(INDEX(Source!$A$1:$A$250,SMALL(IF(--(Source!$B$1:$B$250=$O234)*--(Source!$E$1:$E$250=$M$3)*--(Source!$D$1:$D$250=Pyramid!$M234),ROW(Source!$B$1:$B$250),FALSE),E$3)),"")</f>
        <v/>
      </c>
      <c r="F234" t="str">
        <f t="array" aca="1" ref="F234" ca="1">IFERROR(INDEX(Source!$A$1:$A$250,SMALL(IF(--(Source!$B$1:$B$250=$O234)*--(Source!$E$1:$E$250=$M$3)*--(Source!$D$1:$D$250=Pyramid!$M234),ROW(Source!$B$1:$B$250),FALSE),F$3)),"")</f>
        <v/>
      </c>
      <c r="G234" t="str">
        <f t="array" aca="1" ref="G234" ca="1">IFERROR(INDEX(Source!$A$1:$A$250,SMALL(IF(--(Source!$B$1:$B$250=$O234)*--(Source!$E$1:$E$250=$M$3)*--(Source!$D$1:$D$250=Pyramid!$M234),ROW(Source!$B$1:$B$250),FALSE),G$3)),"")</f>
        <v/>
      </c>
      <c r="H234" t="str">
        <f t="array" aca="1" ref="H234" ca="1">IFERROR(INDEX(Source!$A$1:$A$250,SMALL(IF(--(Source!$B$1:$B$250=$O234)*--(Source!$E$1:$E$250=$M$3)*--(Source!$D$1:$D$250=Pyramid!$M234),ROW(Source!$B$1:$B$250),FALSE),H$3)),"")</f>
        <v/>
      </c>
      <c r="I234" t="str">
        <f t="array" aca="1" ref="I234" ca="1">IFERROR(INDEX(Source!$A$1:$A$250,SMALL(IF(--(Source!$B$1:$B$250=$O234)*--(Source!$E$1:$E$250=$M$3)*--(Source!$D$1:$D$250=Pyramid!$M234),ROW(Source!$B$1:$B$250),FALSE),I$3)),"")</f>
        <v/>
      </c>
      <c r="J234" t="str">
        <f t="array" aca="1" ref="J234" ca="1">IFERROR(INDEX(Source!$A$1:$A$250,SMALL(IF(--(Source!$B$1:$B$250=$O234)*--(Source!$E$1:$E$250=$M$3)*--(Source!$D$1:$D$250=Pyramid!$M234),ROW(Source!$B$1:$B$250),FALSE),J$3)),"")</f>
        <v/>
      </c>
      <c r="K234" t="str">
        <f t="array" aca="1" ref="K234" ca="1">IFERROR(INDEX(Source!$A$1:$A$250,SMALL(IF(--(Source!$B$1:$B$250=$O234)*--(Source!$E$1:$E$250=$M$3)*--(Source!$D$1:$D$250=Pyramid!$M234),ROW(Source!$B$1:$B$250),FALSE),K$3)),"")</f>
        <v/>
      </c>
      <c r="L234" t="str">
        <f t="array" aca="1" ref="L234" ca="1">IFERROR(INDEX(Source!$A$1:$A$250,SMALL(IF(--(Source!$B$1:$B$250=$O234)*--(Source!$E$1:$E$250=$M$3)*--(Source!$D$1:$D$250=Pyramid!$M234),ROW(Source!$B$1:$B$250),FALSE),L$3)),"")</f>
        <v/>
      </c>
      <c r="M234" t="str">
        <f t="shared" si="11"/>
        <v>29/6/2016</v>
      </c>
      <c r="N234">
        <f ca="1">COUNTIFS(Source!B:B,Pyramid!$O234,Source!$D:$D,Pyramid!$M234,Source!$E:$E,Pyramid!$M$3)</f>
        <v>0</v>
      </c>
      <c r="O234">
        <f ca="1">OFFSET(Sheet2!$N$3,INT(C234/5),)</f>
        <v>20698</v>
      </c>
      <c r="P234">
        <f ca="1">COUNTIFS(Source!B:B,Pyramid!$O234,Source!D:D,Pyramid!$Q234,Source!$E:$E,Pyramid!$Q$3)</f>
        <v>0</v>
      </c>
      <c r="Q234" t="str">
        <f t="shared" si="11"/>
        <v>29/6/2016</v>
      </c>
      <c r="R234" t="str">
        <f t="array" aca="1" ref="R234" ca="1">IFERROR(INDEX(Source!$A$1:$A$250,SMALL(IF(--(Source!$B$1:$B$250=$O234)*--(Source!$E$1:$E$250=$Q$3)*--(Source!$D$1:$D$250=Pyramid!$Q234),ROW(Source!$B$1:$B$250),FALSE),R$3)),"")</f>
        <v/>
      </c>
      <c r="S234" t="str">
        <f t="array" aca="1" ref="S234" ca="1">IFERROR(INDEX(Source!$A$1:$A$250,SMALL(IF(--(Source!$B$1:$B$250=$O234)*--(Source!$E$1:$E$250=$Q$3)*--(Source!$D$1:$D$250=Pyramid!$Q234),ROW(Source!$B$1:$B$250),FALSE),S$3)),"")</f>
        <v/>
      </c>
      <c r="T234" t="str">
        <f t="array" aca="1" ref="T234" ca="1">IFERROR(INDEX(Source!$A$1:$A$250,SMALL(IF(--(Source!$B$1:$B$250=$O234)*--(Source!$E$1:$E$250=$Q$3)*--(Source!$D$1:$D$250=Pyramid!$Q234),ROW(Source!$B$1:$B$250),FALSE),T$3)),"")</f>
        <v/>
      </c>
      <c r="U234" t="str">
        <f t="array" aca="1" ref="U234" ca="1">IFERROR(INDEX(Source!$A$1:$A$250,SMALL(IF(--(Source!$B$1:$B$250=$O234)*--(Source!$E$1:$E$250=$Q$3)*--(Source!$D$1:$D$250=Pyramid!$Q234),ROW(Source!$B$1:$B$250),FALSE),U$3)),"")</f>
        <v/>
      </c>
      <c r="V234" t="str">
        <f t="array" aca="1" ref="V234" ca="1">IFERROR(INDEX(Source!$A$1:$A$250,SMALL(IF(--(Source!$B$1:$B$250=$O234)*--(Source!$E$1:$E$250=$Q$3)*--(Source!$D$1:$D$250=Pyramid!$Q234),ROW(Source!$B$1:$B$250),FALSE),V$3)),"")</f>
        <v/>
      </c>
      <c r="W234" t="str">
        <f t="array" aca="1" ref="W234" ca="1">IFERROR(INDEX(Source!$A$1:$A$250,SMALL(IF(--(Source!$B$1:$B$250=$O234)*--(Source!$E$1:$E$250=$Q$3)*--(Source!$D$1:$D$250=Pyramid!$Q234),ROW(Source!$B$1:$B$250),FALSE),W$3)),"")</f>
        <v/>
      </c>
      <c r="X234" t="str">
        <f t="array" aca="1" ref="X234" ca="1">IFERROR(INDEX(Source!$A$1:$A$250,SMALL(IF(--(Source!$B$1:$B$250=$O234)*--(Source!$E$1:$E$250=$Q$3)*--(Source!$D$1:$D$250=Pyramid!$Q234),ROW(Source!$B$1:$B$250),FALSE),X$3)),"")</f>
        <v/>
      </c>
      <c r="Y234" s="5">
        <f t="shared" ca="1" si="12"/>
        <v>0</v>
      </c>
    </row>
    <row r="235" spans="3:25">
      <c r="C235">
        <v>231</v>
      </c>
      <c r="D235" s="5">
        <f t="shared" ca="1" si="10"/>
        <v>0</v>
      </c>
      <c r="E235" t="str">
        <f t="array" aca="1" ref="E235" ca="1">IFERROR(INDEX(Source!$A$1:$A$250,SMALL(IF(--(Source!$B$1:$B$250=$O235)*--(Source!$E$1:$E$250=$M$3)*--(Source!$D$1:$D$250=Pyramid!$M235),ROW(Source!$B$1:$B$250),FALSE),E$3)),"")</f>
        <v/>
      </c>
      <c r="F235" t="str">
        <f t="array" aca="1" ref="F235" ca="1">IFERROR(INDEX(Source!$A$1:$A$250,SMALL(IF(--(Source!$B$1:$B$250=$O235)*--(Source!$E$1:$E$250=$M$3)*--(Source!$D$1:$D$250=Pyramid!$M235),ROW(Source!$B$1:$B$250),FALSE),F$3)),"")</f>
        <v/>
      </c>
      <c r="G235" t="str">
        <f t="array" aca="1" ref="G235" ca="1">IFERROR(INDEX(Source!$A$1:$A$250,SMALL(IF(--(Source!$B$1:$B$250=$O235)*--(Source!$E$1:$E$250=$M$3)*--(Source!$D$1:$D$250=Pyramid!$M235),ROW(Source!$B$1:$B$250),FALSE),G$3)),"")</f>
        <v/>
      </c>
      <c r="H235" t="str">
        <f t="array" aca="1" ref="H235" ca="1">IFERROR(INDEX(Source!$A$1:$A$250,SMALL(IF(--(Source!$B$1:$B$250=$O235)*--(Source!$E$1:$E$250=$M$3)*--(Source!$D$1:$D$250=Pyramid!$M235),ROW(Source!$B$1:$B$250),FALSE),H$3)),"")</f>
        <v/>
      </c>
      <c r="I235" t="str">
        <f t="array" aca="1" ref="I235" ca="1">IFERROR(INDEX(Source!$A$1:$A$250,SMALL(IF(--(Source!$B$1:$B$250=$O235)*--(Source!$E$1:$E$250=$M$3)*--(Source!$D$1:$D$250=Pyramid!$M235),ROW(Source!$B$1:$B$250),FALSE),I$3)),"")</f>
        <v/>
      </c>
      <c r="J235" t="str">
        <f t="array" aca="1" ref="J235" ca="1">IFERROR(INDEX(Source!$A$1:$A$250,SMALL(IF(--(Source!$B$1:$B$250=$O235)*--(Source!$E$1:$E$250=$M$3)*--(Source!$D$1:$D$250=Pyramid!$M235),ROW(Source!$B$1:$B$250),FALSE),J$3)),"")</f>
        <v/>
      </c>
      <c r="K235" t="str">
        <f t="array" aca="1" ref="K235" ca="1">IFERROR(INDEX(Source!$A$1:$A$250,SMALL(IF(--(Source!$B$1:$B$250=$O235)*--(Source!$E$1:$E$250=$M$3)*--(Source!$D$1:$D$250=Pyramid!$M235),ROW(Source!$B$1:$B$250),FALSE),K$3)),"")</f>
        <v/>
      </c>
      <c r="L235" t="str">
        <f t="array" aca="1" ref="L235" ca="1">IFERROR(INDEX(Source!$A$1:$A$250,SMALL(IF(--(Source!$B$1:$B$250=$O235)*--(Source!$E$1:$E$250=$M$3)*--(Source!$D$1:$D$250=Pyramid!$M235),ROW(Source!$B$1:$B$250),FALSE),L$3)),"")</f>
        <v/>
      </c>
      <c r="M235" t="str">
        <f t="shared" si="11"/>
        <v>28/7/2016</v>
      </c>
      <c r="N235">
        <f ca="1">COUNTIFS(Source!B:B,Pyramid!$O235,Source!$D:$D,Pyramid!$M235,Source!$E:$E,Pyramid!$M$3)</f>
        <v>0</v>
      </c>
      <c r="O235">
        <f ca="1">OFFSET(Sheet2!$N$3,INT(C235/5),)</f>
        <v>20698</v>
      </c>
      <c r="P235">
        <f ca="1">COUNTIFS(Source!B:B,Pyramid!$O235,Source!D:D,Pyramid!$Q235,Source!$E:$E,Pyramid!$Q$3)</f>
        <v>0</v>
      </c>
      <c r="Q235" t="str">
        <f t="shared" si="11"/>
        <v>28/7/2016</v>
      </c>
      <c r="R235" t="str">
        <f t="array" aca="1" ref="R235" ca="1">IFERROR(INDEX(Source!$A$1:$A$250,SMALL(IF(--(Source!$B$1:$B$250=$O235)*--(Source!$E$1:$E$250=$Q$3)*--(Source!$D$1:$D$250=Pyramid!$Q235),ROW(Source!$B$1:$B$250),FALSE),R$3)),"")</f>
        <v/>
      </c>
      <c r="S235" t="str">
        <f t="array" aca="1" ref="S235" ca="1">IFERROR(INDEX(Source!$A$1:$A$250,SMALL(IF(--(Source!$B$1:$B$250=$O235)*--(Source!$E$1:$E$250=$Q$3)*--(Source!$D$1:$D$250=Pyramid!$Q235),ROW(Source!$B$1:$B$250),FALSE),S$3)),"")</f>
        <v/>
      </c>
      <c r="T235" t="str">
        <f t="array" aca="1" ref="T235" ca="1">IFERROR(INDEX(Source!$A$1:$A$250,SMALL(IF(--(Source!$B$1:$B$250=$O235)*--(Source!$E$1:$E$250=$Q$3)*--(Source!$D$1:$D$250=Pyramid!$Q235),ROW(Source!$B$1:$B$250),FALSE),T$3)),"")</f>
        <v/>
      </c>
      <c r="U235" t="str">
        <f t="array" aca="1" ref="U235" ca="1">IFERROR(INDEX(Source!$A$1:$A$250,SMALL(IF(--(Source!$B$1:$B$250=$O235)*--(Source!$E$1:$E$250=$Q$3)*--(Source!$D$1:$D$250=Pyramid!$Q235),ROW(Source!$B$1:$B$250),FALSE),U$3)),"")</f>
        <v/>
      </c>
      <c r="V235" t="str">
        <f t="array" aca="1" ref="V235" ca="1">IFERROR(INDEX(Source!$A$1:$A$250,SMALL(IF(--(Source!$B$1:$B$250=$O235)*--(Source!$E$1:$E$250=$Q$3)*--(Source!$D$1:$D$250=Pyramid!$Q235),ROW(Source!$B$1:$B$250),FALSE),V$3)),"")</f>
        <v/>
      </c>
      <c r="W235" t="str">
        <f t="array" aca="1" ref="W235" ca="1">IFERROR(INDEX(Source!$A$1:$A$250,SMALL(IF(--(Source!$B$1:$B$250=$O235)*--(Source!$E$1:$E$250=$Q$3)*--(Source!$D$1:$D$250=Pyramid!$Q235),ROW(Source!$B$1:$B$250),FALSE),W$3)),"")</f>
        <v/>
      </c>
      <c r="X235" t="str">
        <f t="array" aca="1" ref="X235" ca="1">IFERROR(INDEX(Source!$A$1:$A$250,SMALL(IF(--(Source!$B$1:$B$250=$O235)*--(Source!$E$1:$E$250=$Q$3)*--(Source!$D$1:$D$250=Pyramid!$Q235),ROW(Source!$B$1:$B$250),FALSE),X$3)),"")</f>
        <v/>
      </c>
      <c r="Y235" s="5">
        <f t="shared" ca="1" si="12"/>
        <v>0</v>
      </c>
    </row>
    <row r="236" spans="3:25">
      <c r="C236">
        <v>232</v>
      </c>
      <c r="D236" s="5">
        <f t="shared" ca="1" si="10"/>
        <v>0</v>
      </c>
      <c r="E236" t="str">
        <f t="array" aca="1" ref="E236" ca="1">IFERROR(INDEX(Source!$A$1:$A$250,SMALL(IF(--(Source!$B$1:$B$250=$O236)*--(Source!$E$1:$E$250=$M$3)*--(Source!$D$1:$D$250=Pyramid!$M236),ROW(Source!$B$1:$B$250),FALSE),E$3)),"")</f>
        <v/>
      </c>
      <c r="F236" t="str">
        <f t="array" aca="1" ref="F236" ca="1">IFERROR(INDEX(Source!$A$1:$A$250,SMALL(IF(--(Source!$B$1:$B$250=$O236)*--(Source!$E$1:$E$250=$M$3)*--(Source!$D$1:$D$250=Pyramid!$M236),ROW(Source!$B$1:$B$250),FALSE),F$3)),"")</f>
        <v/>
      </c>
      <c r="G236" t="str">
        <f t="array" aca="1" ref="G236" ca="1">IFERROR(INDEX(Source!$A$1:$A$250,SMALL(IF(--(Source!$B$1:$B$250=$O236)*--(Source!$E$1:$E$250=$M$3)*--(Source!$D$1:$D$250=Pyramid!$M236),ROW(Source!$B$1:$B$250),FALSE),G$3)),"")</f>
        <v/>
      </c>
      <c r="H236" t="str">
        <f t="array" aca="1" ref="H236" ca="1">IFERROR(INDEX(Source!$A$1:$A$250,SMALL(IF(--(Source!$B$1:$B$250=$O236)*--(Source!$E$1:$E$250=$M$3)*--(Source!$D$1:$D$250=Pyramid!$M236),ROW(Source!$B$1:$B$250),FALSE),H$3)),"")</f>
        <v/>
      </c>
      <c r="I236" t="str">
        <f t="array" aca="1" ref="I236" ca="1">IFERROR(INDEX(Source!$A$1:$A$250,SMALL(IF(--(Source!$B$1:$B$250=$O236)*--(Source!$E$1:$E$250=$M$3)*--(Source!$D$1:$D$250=Pyramid!$M236),ROW(Source!$B$1:$B$250),FALSE),I$3)),"")</f>
        <v/>
      </c>
      <c r="J236" t="str">
        <f t="array" aca="1" ref="J236" ca="1">IFERROR(INDEX(Source!$A$1:$A$250,SMALL(IF(--(Source!$B$1:$B$250=$O236)*--(Source!$E$1:$E$250=$M$3)*--(Source!$D$1:$D$250=Pyramid!$M236),ROW(Source!$B$1:$B$250),FALSE),J$3)),"")</f>
        <v/>
      </c>
      <c r="K236" t="str">
        <f t="array" aca="1" ref="K236" ca="1">IFERROR(INDEX(Source!$A$1:$A$250,SMALL(IF(--(Source!$B$1:$B$250=$O236)*--(Source!$E$1:$E$250=$M$3)*--(Source!$D$1:$D$250=Pyramid!$M236),ROW(Source!$B$1:$B$250),FALSE),K$3)),"")</f>
        <v/>
      </c>
      <c r="L236" t="str">
        <f t="array" aca="1" ref="L236" ca="1">IFERROR(INDEX(Source!$A$1:$A$250,SMALL(IF(--(Source!$B$1:$B$250=$O236)*--(Source!$E$1:$E$250=$M$3)*--(Source!$D$1:$D$250=Pyramid!$M236),ROW(Source!$B$1:$B$250),FALSE),L$3)),"")</f>
        <v>25959 HK Equity</v>
      </c>
      <c r="M236" t="str">
        <f t="shared" si="11"/>
        <v>30/8/2016</v>
      </c>
      <c r="N236">
        <f ca="1">COUNTIFS(Source!B:B,Pyramid!$O236,Source!$D:$D,Pyramid!$M236,Source!$E:$E,Pyramid!$M$3)</f>
        <v>1</v>
      </c>
      <c r="O236">
        <f ca="1">OFFSET(Sheet2!$N$3,INT(C236/5),)</f>
        <v>20698</v>
      </c>
      <c r="P236">
        <f ca="1">COUNTIFS(Source!B:B,Pyramid!$O236,Source!D:D,Pyramid!$Q236,Source!$E:$E,Pyramid!$Q$3)</f>
        <v>0</v>
      </c>
      <c r="Q236" t="str">
        <f t="shared" si="11"/>
        <v>30/8/2016</v>
      </c>
      <c r="R236" t="str">
        <f t="array" aca="1" ref="R236" ca="1">IFERROR(INDEX(Source!$A$1:$A$250,SMALL(IF(--(Source!$B$1:$B$250=$O236)*--(Source!$E$1:$E$250=$Q$3)*--(Source!$D$1:$D$250=Pyramid!$Q236),ROW(Source!$B$1:$B$250),FALSE),R$3)),"")</f>
        <v/>
      </c>
      <c r="S236" t="str">
        <f t="array" aca="1" ref="S236" ca="1">IFERROR(INDEX(Source!$A$1:$A$250,SMALL(IF(--(Source!$B$1:$B$250=$O236)*--(Source!$E$1:$E$250=$Q$3)*--(Source!$D$1:$D$250=Pyramid!$Q236),ROW(Source!$B$1:$B$250),FALSE),S$3)),"")</f>
        <v/>
      </c>
      <c r="T236" t="str">
        <f t="array" aca="1" ref="T236" ca="1">IFERROR(INDEX(Source!$A$1:$A$250,SMALL(IF(--(Source!$B$1:$B$250=$O236)*--(Source!$E$1:$E$250=$Q$3)*--(Source!$D$1:$D$250=Pyramid!$Q236),ROW(Source!$B$1:$B$250),FALSE),T$3)),"")</f>
        <v/>
      </c>
      <c r="U236" t="str">
        <f t="array" aca="1" ref="U236" ca="1">IFERROR(INDEX(Source!$A$1:$A$250,SMALL(IF(--(Source!$B$1:$B$250=$O236)*--(Source!$E$1:$E$250=$Q$3)*--(Source!$D$1:$D$250=Pyramid!$Q236),ROW(Source!$B$1:$B$250),FALSE),U$3)),"")</f>
        <v/>
      </c>
      <c r="V236" t="str">
        <f t="array" aca="1" ref="V236" ca="1">IFERROR(INDEX(Source!$A$1:$A$250,SMALL(IF(--(Source!$B$1:$B$250=$O236)*--(Source!$E$1:$E$250=$Q$3)*--(Source!$D$1:$D$250=Pyramid!$Q236),ROW(Source!$B$1:$B$250),FALSE),V$3)),"")</f>
        <v/>
      </c>
      <c r="W236" t="str">
        <f t="array" aca="1" ref="W236" ca="1">IFERROR(INDEX(Source!$A$1:$A$250,SMALL(IF(--(Source!$B$1:$B$250=$O236)*--(Source!$E$1:$E$250=$Q$3)*--(Source!$D$1:$D$250=Pyramid!$Q236),ROW(Source!$B$1:$B$250),FALSE),W$3)),"")</f>
        <v/>
      </c>
      <c r="X236" t="str">
        <f t="array" aca="1" ref="X236" ca="1">IFERROR(INDEX(Source!$A$1:$A$250,SMALL(IF(--(Source!$B$1:$B$250=$O236)*--(Source!$E$1:$E$250=$Q$3)*--(Source!$D$1:$D$250=Pyramid!$Q236),ROW(Source!$B$1:$B$250),FALSE),X$3)),"")</f>
        <v/>
      </c>
      <c r="Y236" s="5">
        <f t="shared" ca="1" si="12"/>
        <v>0</v>
      </c>
    </row>
    <row r="237" spans="3:25">
      <c r="C237">
        <v>233</v>
      </c>
      <c r="D237" s="5">
        <f t="shared" ca="1" si="10"/>
        <v>0</v>
      </c>
      <c r="E237" t="str">
        <f t="array" aca="1" ref="E237" ca="1">IFERROR(INDEX(Source!$A$1:$A$250,SMALL(IF(--(Source!$B$1:$B$250=$O237)*--(Source!$E$1:$E$250=$M$3)*--(Source!$D$1:$D$250=Pyramid!$M237),ROW(Source!$B$1:$B$250),FALSE),E$3)),"")</f>
        <v/>
      </c>
      <c r="F237" t="str">
        <f t="array" aca="1" ref="F237" ca="1">IFERROR(INDEX(Source!$A$1:$A$250,SMALL(IF(--(Source!$B$1:$B$250=$O237)*--(Source!$E$1:$E$250=$M$3)*--(Source!$D$1:$D$250=Pyramid!$M237),ROW(Source!$B$1:$B$250),FALSE),F$3)),"")</f>
        <v/>
      </c>
      <c r="G237" t="str">
        <f t="array" aca="1" ref="G237" ca="1">IFERROR(INDEX(Source!$A$1:$A$250,SMALL(IF(--(Source!$B$1:$B$250=$O237)*--(Source!$E$1:$E$250=$M$3)*--(Source!$D$1:$D$250=Pyramid!$M237),ROW(Source!$B$1:$B$250),FALSE),G$3)),"")</f>
        <v/>
      </c>
      <c r="H237" t="str">
        <f t="array" aca="1" ref="H237" ca="1">IFERROR(INDEX(Source!$A$1:$A$250,SMALL(IF(--(Source!$B$1:$B$250=$O237)*--(Source!$E$1:$E$250=$M$3)*--(Source!$D$1:$D$250=Pyramid!$M237),ROW(Source!$B$1:$B$250),FALSE),H$3)),"")</f>
        <v/>
      </c>
      <c r="I237" t="str">
        <f t="array" aca="1" ref="I237" ca="1">IFERROR(INDEX(Source!$A$1:$A$250,SMALL(IF(--(Source!$B$1:$B$250=$O237)*--(Source!$E$1:$E$250=$M$3)*--(Source!$D$1:$D$250=Pyramid!$M237),ROW(Source!$B$1:$B$250),FALSE),I$3)),"")</f>
        <v/>
      </c>
      <c r="J237" t="str">
        <f t="array" aca="1" ref="J237" ca="1">IFERROR(INDEX(Source!$A$1:$A$250,SMALL(IF(--(Source!$B$1:$B$250=$O237)*--(Source!$E$1:$E$250=$M$3)*--(Source!$D$1:$D$250=Pyramid!$M237),ROW(Source!$B$1:$B$250),FALSE),J$3)),"")</f>
        <v/>
      </c>
      <c r="K237" t="str">
        <f t="array" aca="1" ref="K237" ca="1">IFERROR(INDEX(Source!$A$1:$A$250,SMALL(IF(--(Source!$B$1:$B$250=$O237)*--(Source!$E$1:$E$250=$M$3)*--(Source!$D$1:$D$250=Pyramid!$M237),ROW(Source!$B$1:$B$250),FALSE),K$3)),"")</f>
        <v/>
      </c>
      <c r="L237" t="str">
        <f t="array" aca="1" ref="L237" ca="1">IFERROR(INDEX(Source!$A$1:$A$250,SMALL(IF(--(Source!$B$1:$B$250=$O237)*--(Source!$E$1:$E$250=$M$3)*--(Source!$D$1:$D$250=Pyramid!$M237),ROW(Source!$B$1:$B$250),FALSE),L$3)),"")</f>
        <v/>
      </c>
      <c r="M237" t="str">
        <f t="shared" si="11"/>
        <v>29/9/2016</v>
      </c>
      <c r="N237">
        <f ca="1">COUNTIFS(Source!B:B,Pyramid!$O237,Source!$D:$D,Pyramid!$M237,Source!$E:$E,Pyramid!$M$3)</f>
        <v>0</v>
      </c>
      <c r="O237">
        <f ca="1">OFFSET(Sheet2!$N$3,INT(C237/5),)</f>
        <v>20698</v>
      </c>
      <c r="P237">
        <f ca="1">COUNTIFS(Source!B:B,Pyramid!$O237,Source!D:D,Pyramid!$Q237,Source!$E:$E,Pyramid!$Q$3)</f>
        <v>0</v>
      </c>
      <c r="Q237" t="str">
        <f t="shared" si="11"/>
        <v>29/9/2016</v>
      </c>
      <c r="R237" t="str">
        <f t="array" aca="1" ref="R237" ca="1">IFERROR(INDEX(Source!$A$1:$A$250,SMALL(IF(--(Source!$B$1:$B$250=$O237)*--(Source!$E$1:$E$250=$Q$3)*--(Source!$D$1:$D$250=Pyramid!$Q237),ROW(Source!$B$1:$B$250),FALSE),R$3)),"")</f>
        <v/>
      </c>
      <c r="S237" t="str">
        <f t="array" aca="1" ref="S237" ca="1">IFERROR(INDEX(Source!$A$1:$A$250,SMALL(IF(--(Source!$B$1:$B$250=$O237)*--(Source!$E$1:$E$250=$Q$3)*--(Source!$D$1:$D$250=Pyramid!$Q237),ROW(Source!$B$1:$B$250),FALSE),S$3)),"")</f>
        <v/>
      </c>
      <c r="T237" t="str">
        <f t="array" aca="1" ref="T237" ca="1">IFERROR(INDEX(Source!$A$1:$A$250,SMALL(IF(--(Source!$B$1:$B$250=$O237)*--(Source!$E$1:$E$250=$Q$3)*--(Source!$D$1:$D$250=Pyramid!$Q237),ROW(Source!$B$1:$B$250),FALSE),T$3)),"")</f>
        <v/>
      </c>
      <c r="U237" t="str">
        <f t="array" aca="1" ref="U237" ca="1">IFERROR(INDEX(Source!$A$1:$A$250,SMALL(IF(--(Source!$B$1:$B$250=$O237)*--(Source!$E$1:$E$250=$Q$3)*--(Source!$D$1:$D$250=Pyramid!$Q237),ROW(Source!$B$1:$B$250),FALSE),U$3)),"")</f>
        <v/>
      </c>
      <c r="V237" t="str">
        <f t="array" aca="1" ref="V237" ca="1">IFERROR(INDEX(Source!$A$1:$A$250,SMALL(IF(--(Source!$B$1:$B$250=$O237)*--(Source!$E$1:$E$250=$Q$3)*--(Source!$D$1:$D$250=Pyramid!$Q237),ROW(Source!$B$1:$B$250),FALSE),V$3)),"")</f>
        <v/>
      </c>
      <c r="W237" t="str">
        <f t="array" aca="1" ref="W237" ca="1">IFERROR(INDEX(Source!$A$1:$A$250,SMALL(IF(--(Source!$B$1:$B$250=$O237)*--(Source!$E$1:$E$250=$Q$3)*--(Source!$D$1:$D$250=Pyramid!$Q237),ROW(Source!$B$1:$B$250),FALSE),W$3)),"")</f>
        <v/>
      </c>
      <c r="X237" t="str">
        <f t="array" aca="1" ref="X237" ca="1">IFERROR(INDEX(Source!$A$1:$A$250,SMALL(IF(--(Source!$B$1:$B$250=$O237)*--(Source!$E$1:$E$250=$Q$3)*--(Source!$D$1:$D$250=Pyramid!$Q237),ROW(Source!$B$1:$B$250),FALSE),X$3)),"")</f>
        <v/>
      </c>
      <c r="Y237" s="5">
        <f t="shared" ca="1" si="12"/>
        <v>0</v>
      </c>
    </row>
    <row r="238" spans="3:25">
      <c r="C238">
        <v>234</v>
      </c>
      <c r="D238" s="5">
        <f t="shared" ca="1" si="10"/>
        <v>0</v>
      </c>
      <c r="E238" t="str">
        <f t="array" aca="1" ref="E238" ca="1">IFERROR(INDEX(Source!$A$1:$A$250,SMALL(IF(--(Source!$B$1:$B$250=$O238)*--(Source!$E$1:$E$250=$M$3)*--(Source!$D$1:$D$250=Pyramid!$M238),ROW(Source!$B$1:$B$250),FALSE),E$3)),"")</f>
        <v/>
      </c>
      <c r="F238" t="str">
        <f t="array" aca="1" ref="F238" ca="1">IFERROR(INDEX(Source!$A$1:$A$250,SMALL(IF(--(Source!$B$1:$B$250=$O238)*--(Source!$E$1:$E$250=$M$3)*--(Source!$D$1:$D$250=Pyramid!$M238),ROW(Source!$B$1:$B$250),FALSE),F$3)),"")</f>
        <v/>
      </c>
      <c r="G238" t="str">
        <f t="array" aca="1" ref="G238" ca="1">IFERROR(INDEX(Source!$A$1:$A$250,SMALL(IF(--(Source!$B$1:$B$250=$O238)*--(Source!$E$1:$E$250=$M$3)*--(Source!$D$1:$D$250=Pyramid!$M238),ROW(Source!$B$1:$B$250),FALSE),G$3)),"")</f>
        <v/>
      </c>
      <c r="H238" t="str">
        <f t="array" aca="1" ref="H238" ca="1">IFERROR(INDEX(Source!$A$1:$A$250,SMALL(IF(--(Source!$B$1:$B$250=$O238)*--(Source!$E$1:$E$250=$M$3)*--(Source!$D$1:$D$250=Pyramid!$M238),ROW(Source!$B$1:$B$250),FALSE),H$3)),"")</f>
        <v/>
      </c>
      <c r="I238" t="str">
        <f t="array" aca="1" ref="I238" ca="1">IFERROR(INDEX(Source!$A$1:$A$250,SMALL(IF(--(Source!$B$1:$B$250=$O238)*--(Source!$E$1:$E$250=$M$3)*--(Source!$D$1:$D$250=Pyramid!$M238),ROW(Source!$B$1:$B$250),FALSE),I$3)),"")</f>
        <v/>
      </c>
      <c r="J238" t="str">
        <f t="array" aca="1" ref="J238" ca="1">IFERROR(INDEX(Source!$A$1:$A$250,SMALL(IF(--(Source!$B$1:$B$250=$O238)*--(Source!$E$1:$E$250=$M$3)*--(Source!$D$1:$D$250=Pyramid!$M238),ROW(Source!$B$1:$B$250),FALSE),J$3)),"")</f>
        <v/>
      </c>
      <c r="K238" t="str">
        <f t="array" aca="1" ref="K238" ca="1">IFERROR(INDEX(Source!$A$1:$A$250,SMALL(IF(--(Source!$B$1:$B$250=$O238)*--(Source!$E$1:$E$250=$M$3)*--(Source!$D$1:$D$250=Pyramid!$M238),ROW(Source!$B$1:$B$250),FALSE),K$3)),"")</f>
        <v/>
      </c>
      <c r="L238" t="str">
        <f t="array" aca="1" ref="L238" ca="1">IFERROR(INDEX(Source!$A$1:$A$250,SMALL(IF(--(Source!$B$1:$B$250=$O238)*--(Source!$E$1:$E$250=$M$3)*--(Source!$D$1:$D$250=Pyramid!$M238),ROW(Source!$B$1:$B$250),FALSE),L$3)),"")</f>
        <v/>
      </c>
      <c r="M238" t="str">
        <f t="shared" si="11"/>
        <v>28/10/2016</v>
      </c>
      <c r="N238">
        <f ca="1">COUNTIFS(Source!B:B,Pyramid!$O238,Source!$D:$D,Pyramid!$M238,Source!$E:$E,Pyramid!$M$3)</f>
        <v>0</v>
      </c>
      <c r="O238">
        <f ca="1">OFFSET(Sheet2!$N$3,INT(C238/5),)</f>
        <v>20698</v>
      </c>
      <c r="P238">
        <f ca="1">COUNTIFS(Source!B:B,Pyramid!$O238,Source!D:D,Pyramid!$Q238,Source!$E:$E,Pyramid!$Q$3)</f>
        <v>0</v>
      </c>
      <c r="Q238" t="str">
        <f t="shared" si="11"/>
        <v>28/10/2016</v>
      </c>
      <c r="R238" t="str">
        <f t="array" aca="1" ref="R238" ca="1">IFERROR(INDEX(Source!$A$1:$A$250,SMALL(IF(--(Source!$B$1:$B$250=$O238)*--(Source!$E$1:$E$250=$Q$3)*--(Source!$D$1:$D$250=Pyramid!$Q238),ROW(Source!$B$1:$B$250),FALSE),R$3)),"")</f>
        <v/>
      </c>
      <c r="S238" t="str">
        <f t="array" aca="1" ref="S238" ca="1">IFERROR(INDEX(Source!$A$1:$A$250,SMALL(IF(--(Source!$B$1:$B$250=$O238)*--(Source!$E$1:$E$250=$Q$3)*--(Source!$D$1:$D$250=Pyramid!$Q238),ROW(Source!$B$1:$B$250),FALSE),S$3)),"")</f>
        <v/>
      </c>
      <c r="T238" t="str">
        <f t="array" aca="1" ref="T238" ca="1">IFERROR(INDEX(Source!$A$1:$A$250,SMALL(IF(--(Source!$B$1:$B$250=$O238)*--(Source!$E$1:$E$250=$Q$3)*--(Source!$D$1:$D$250=Pyramid!$Q238),ROW(Source!$B$1:$B$250),FALSE),T$3)),"")</f>
        <v/>
      </c>
      <c r="U238" t="str">
        <f t="array" aca="1" ref="U238" ca="1">IFERROR(INDEX(Source!$A$1:$A$250,SMALL(IF(--(Source!$B$1:$B$250=$O238)*--(Source!$E$1:$E$250=$Q$3)*--(Source!$D$1:$D$250=Pyramid!$Q238),ROW(Source!$B$1:$B$250),FALSE),U$3)),"")</f>
        <v/>
      </c>
      <c r="V238" t="str">
        <f t="array" aca="1" ref="V238" ca="1">IFERROR(INDEX(Source!$A$1:$A$250,SMALL(IF(--(Source!$B$1:$B$250=$O238)*--(Source!$E$1:$E$250=$Q$3)*--(Source!$D$1:$D$250=Pyramid!$Q238),ROW(Source!$B$1:$B$250),FALSE),V$3)),"")</f>
        <v/>
      </c>
      <c r="W238" t="str">
        <f t="array" aca="1" ref="W238" ca="1">IFERROR(INDEX(Source!$A$1:$A$250,SMALL(IF(--(Source!$B$1:$B$250=$O238)*--(Source!$E$1:$E$250=$Q$3)*--(Source!$D$1:$D$250=Pyramid!$Q238),ROW(Source!$B$1:$B$250),FALSE),W$3)),"")</f>
        <v/>
      </c>
      <c r="X238" t="str">
        <f t="array" aca="1" ref="X238" ca="1">IFERROR(INDEX(Source!$A$1:$A$250,SMALL(IF(--(Source!$B$1:$B$250=$O238)*--(Source!$E$1:$E$250=$Q$3)*--(Source!$D$1:$D$250=Pyramid!$Q238),ROW(Source!$B$1:$B$250),FALSE),X$3)),"")</f>
        <v/>
      </c>
      <c r="Y238" s="5">
        <f t="shared" ca="1" si="12"/>
        <v>0</v>
      </c>
    </row>
    <row r="239" spans="3:25">
      <c r="C239">
        <v>235</v>
      </c>
      <c r="D239" s="5">
        <f t="shared" ca="1" si="10"/>
        <v>0</v>
      </c>
      <c r="E239" t="str">
        <f t="array" aca="1" ref="E239" ca="1">IFERROR(INDEX(Source!$A$1:$A$250,SMALL(IF(--(Source!$B$1:$B$250=$O239)*--(Source!$E$1:$E$250=$M$3)*--(Source!$D$1:$D$250=Pyramid!$M239),ROW(Source!$B$1:$B$250),FALSE),E$3)),"")</f>
        <v/>
      </c>
      <c r="F239" t="str">
        <f t="array" aca="1" ref="F239" ca="1">IFERROR(INDEX(Source!$A$1:$A$250,SMALL(IF(--(Source!$B$1:$B$250=$O239)*--(Source!$E$1:$E$250=$M$3)*--(Source!$D$1:$D$250=Pyramid!$M239),ROW(Source!$B$1:$B$250),FALSE),F$3)),"")</f>
        <v/>
      </c>
      <c r="G239" t="str">
        <f t="array" aca="1" ref="G239" ca="1">IFERROR(INDEX(Source!$A$1:$A$250,SMALL(IF(--(Source!$B$1:$B$250=$O239)*--(Source!$E$1:$E$250=$M$3)*--(Source!$D$1:$D$250=Pyramid!$M239),ROW(Source!$B$1:$B$250),FALSE),G$3)),"")</f>
        <v/>
      </c>
      <c r="H239" t="str">
        <f t="array" aca="1" ref="H239" ca="1">IFERROR(INDEX(Source!$A$1:$A$250,SMALL(IF(--(Source!$B$1:$B$250=$O239)*--(Source!$E$1:$E$250=$M$3)*--(Source!$D$1:$D$250=Pyramid!$M239),ROW(Source!$B$1:$B$250),FALSE),H$3)),"")</f>
        <v/>
      </c>
      <c r="I239" t="str">
        <f t="array" aca="1" ref="I239" ca="1">IFERROR(INDEX(Source!$A$1:$A$250,SMALL(IF(--(Source!$B$1:$B$250=$O239)*--(Source!$E$1:$E$250=$M$3)*--(Source!$D$1:$D$250=Pyramid!$M239),ROW(Source!$B$1:$B$250),FALSE),I$3)),"")</f>
        <v/>
      </c>
      <c r="J239" t="str">
        <f t="array" aca="1" ref="J239" ca="1">IFERROR(INDEX(Source!$A$1:$A$250,SMALL(IF(--(Source!$B$1:$B$250=$O239)*--(Source!$E$1:$E$250=$M$3)*--(Source!$D$1:$D$250=Pyramid!$M239),ROW(Source!$B$1:$B$250),FALSE),J$3)),"")</f>
        <v/>
      </c>
      <c r="K239" t="str">
        <f t="array" aca="1" ref="K239" ca="1">IFERROR(INDEX(Source!$A$1:$A$250,SMALL(IF(--(Source!$B$1:$B$250=$O239)*--(Source!$E$1:$E$250=$M$3)*--(Source!$D$1:$D$250=Pyramid!$M239),ROW(Source!$B$1:$B$250),FALSE),K$3)),"")</f>
        <v/>
      </c>
      <c r="L239" t="str">
        <f t="array" aca="1" ref="L239" ca="1">IFERROR(INDEX(Source!$A$1:$A$250,SMALL(IF(--(Source!$B$1:$B$250=$O239)*--(Source!$E$1:$E$250=$M$3)*--(Source!$D$1:$D$250=Pyramid!$M239),ROW(Source!$B$1:$B$250),FALSE),L$3)),"")</f>
        <v/>
      </c>
      <c r="M239" t="str">
        <f t="shared" si="11"/>
        <v>29/6/2016</v>
      </c>
      <c r="N239">
        <f ca="1">COUNTIFS(Source!B:B,Pyramid!$O239,Source!$D:$D,Pyramid!$M239,Source!$E:$E,Pyramid!$M$3)</f>
        <v>0</v>
      </c>
      <c r="O239">
        <f ca="1">OFFSET(Sheet2!$N$3,INT(C239/5),)</f>
        <v>20800</v>
      </c>
      <c r="P239">
        <f ca="1">COUNTIFS(Source!B:B,Pyramid!$O239,Source!D:D,Pyramid!$Q239,Source!$E:$E,Pyramid!$Q$3)</f>
        <v>0</v>
      </c>
      <c r="Q239" t="str">
        <f t="shared" si="11"/>
        <v>29/6/2016</v>
      </c>
      <c r="R239" t="str">
        <f t="array" aca="1" ref="R239" ca="1">IFERROR(INDEX(Source!$A$1:$A$250,SMALL(IF(--(Source!$B$1:$B$250=$O239)*--(Source!$E$1:$E$250=$Q$3)*--(Source!$D$1:$D$250=Pyramid!$Q239),ROW(Source!$B$1:$B$250),FALSE),R$3)),"")</f>
        <v/>
      </c>
      <c r="S239" t="str">
        <f t="array" aca="1" ref="S239" ca="1">IFERROR(INDEX(Source!$A$1:$A$250,SMALL(IF(--(Source!$B$1:$B$250=$O239)*--(Source!$E$1:$E$250=$Q$3)*--(Source!$D$1:$D$250=Pyramid!$Q239),ROW(Source!$B$1:$B$250),FALSE),S$3)),"")</f>
        <v/>
      </c>
      <c r="T239" t="str">
        <f t="array" aca="1" ref="T239" ca="1">IFERROR(INDEX(Source!$A$1:$A$250,SMALL(IF(--(Source!$B$1:$B$250=$O239)*--(Source!$E$1:$E$250=$Q$3)*--(Source!$D$1:$D$250=Pyramid!$Q239),ROW(Source!$B$1:$B$250),FALSE),T$3)),"")</f>
        <v/>
      </c>
      <c r="U239" t="str">
        <f t="array" aca="1" ref="U239" ca="1">IFERROR(INDEX(Source!$A$1:$A$250,SMALL(IF(--(Source!$B$1:$B$250=$O239)*--(Source!$E$1:$E$250=$Q$3)*--(Source!$D$1:$D$250=Pyramid!$Q239),ROW(Source!$B$1:$B$250),FALSE),U$3)),"")</f>
        <v/>
      </c>
      <c r="V239" t="str">
        <f t="array" aca="1" ref="V239" ca="1">IFERROR(INDEX(Source!$A$1:$A$250,SMALL(IF(--(Source!$B$1:$B$250=$O239)*--(Source!$E$1:$E$250=$Q$3)*--(Source!$D$1:$D$250=Pyramid!$Q239),ROW(Source!$B$1:$B$250),FALSE),V$3)),"")</f>
        <v/>
      </c>
      <c r="W239" t="str">
        <f t="array" aca="1" ref="W239" ca="1">IFERROR(INDEX(Source!$A$1:$A$250,SMALL(IF(--(Source!$B$1:$B$250=$O239)*--(Source!$E$1:$E$250=$Q$3)*--(Source!$D$1:$D$250=Pyramid!$Q239),ROW(Source!$B$1:$B$250),FALSE),W$3)),"")</f>
        <v/>
      </c>
      <c r="X239" t="str">
        <f t="array" aca="1" ref="X239" ca="1">IFERROR(INDEX(Source!$A$1:$A$250,SMALL(IF(--(Source!$B$1:$B$250=$O239)*--(Source!$E$1:$E$250=$Q$3)*--(Source!$D$1:$D$250=Pyramid!$Q239),ROW(Source!$B$1:$B$250),FALSE),X$3)),"")</f>
        <v/>
      </c>
      <c r="Y239" s="5">
        <f t="shared" ca="1" si="12"/>
        <v>0</v>
      </c>
    </row>
    <row r="240" spans="3:25">
      <c r="C240">
        <v>236</v>
      </c>
      <c r="D240" s="5">
        <f t="shared" ca="1" si="10"/>
        <v>0</v>
      </c>
      <c r="E240" t="str">
        <f t="array" aca="1" ref="E240" ca="1">IFERROR(INDEX(Source!$A$1:$A$250,SMALL(IF(--(Source!$B$1:$B$250=$O240)*--(Source!$E$1:$E$250=$M$3)*--(Source!$D$1:$D$250=Pyramid!$M240),ROW(Source!$B$1:$B$250),FALSE),E$3)),"")</f>
        <v/>
      </c>
      <c r="F240" t="str">
        <f t="array" aca="1" ref="F240" ca="1">IFERROR(INDEX(Source!$A$1:$A$250,SMALL(IF(--(Source!$B$1:$B$250=$O240)*--(Source!$E$1:$E$250=$M$3)*--(Source!$D$1:$D$250=Pyramid!$M240),ROW(Source!$B$1:$B$250),FALSE),F$3)),"")</f>
        <v/>
      </c>
      <c r="G240" t="str">
        <f t="array" aca="1" ref="G240" ca="1">IFERROR(INDEX(Source!$A$1:$A$250,SMALL(IF(--(Source!$B$1:$B$250=$O240)*--(Source!$E$1:$E$250=$M$3)*--(Source!$D$1:$D$250=Pyramid!$M240),ROW(Source!$B$1:$B$250),FALSE),G$3)),"")</f>
        <v/>
      </c>
      <c r="H240" t="str">
        <f t="array" aca="1" ref="H240" ca="1">IFERROR(INDEX(Source!$A$1:$A$250,SMALL(IF(--(Source!$B$1:$B$250=$O240)*--(Source!$E$1:$E$250=$M$3)*--(Source!$D$1:$D$250=Pyramid!$M240),ROW(Source!$B$1:$B$250),FALSE),H$3)),"")</f>
        <v/>
      </c>
      <c r="I240" t="str">
        <f t="array" aca="1" ref="I240" ca="1">IFERROR(INDEX(Source!$A$1:$A$250,SMALL(IF(--(Source!$B$1:$B$250=$O240)*--(Source!$E$1:$E$250=$M$3)*--(Source!$D$1:$D$250=Pyramid!$M240),ROW(Source!$B$1:$B$250),FALSE),I$3)),"")</f>
        <v/>
      </c>
      <c r="J240" t="str">
        <f t="array" aca="1" ref="J240" ca="1">IFERROR(INDEX(Source!$A$1:$A$250,SMALL(IF(--(Source!$B$1:$B$250=$O240)*--(Source!$E$1:$E$250=$M$3)*--(Source!$D$1:$D$250=Pyramid!$M240),ROW(Source!$B$1:$B$250),FALSE),J$3)),"")</f>
        <v>25457 HK Equity</v>
      </c>
      <c r="K240" t="str">
        <f t="array" aca="1" ref="K240" ca="1">IFERROR(INDEX(Source!$A$1:$A$250,SMALL(IF(--(Source!$B$1:$B$250=$O240)*--(Source!$E$1:$E$250=$M$3)*--(Source!$D$1:$D$250=Pyramid!$M240),ROW(Source!$B$1:$B$250),FALSE),K$3)),"")</f>
        <v>25270 HK Equity</v>
      </c>
      <c r="L240" t="str">
        <f t="array" aca="1" ref="L240" ca="1">IFERROR(INDEX(Source!$A$1:$A$250,SMALL(IF(--(Source!$B$1:$B$250=$O240)*--(Source!$E$1:$E$250=$M$3)*--(Source!$D$1:$D$250=Pyramid!$M240),ROW(Source!$B$1:$B$250),FALSE),L$3)),"")</f>
        <v>26225 HK Equity</v>
      </c>
      <c r="M240" t="str">
        <f t="shared" si="11"/>
        <v>28/7/2016</v>
      </c>
      <c r="N240">
        <f ca="1">COUNTIFS(Source!B:B,Pyramid!$O240,Source!$D:$D,Pyramid!$M240,Source!$E:$E,Pyramid!$M$3)</f>
        <v>3</v>
      </c>
      <c r="O240">
        <f ca="1">OFFSET(Sheet2!$N$3,INT(C240/5),)</f>
        <v>20800</v>
      </c>
      <c r="P240">
        <f ca="1">COUNTIFS(Source!B:B,Pyramid!$O240,Source!D:D,Pyramid!$Q240,Source!$E:$E,Pyramid!$Q$3)</f>
        <v>0</v>
      </c>
      <c r="Q240" t="str">
        <f t="shared" si="11"/>
        <v>28/7/2016</v>
      </c>
      <c r="R240" t="str">
        <f t="array" aca="1" ref="R240" ca="1">IFERROR(INDEX(Source!$A$1:$A$250,SMALL(IF(--(Source!$B$1:$B$250=$O240)*--(Source!$E$1:$E$250=$Q$3)*--(Source!$D$1:$D$250=Pyramid!$Q240),ROW(Source!$B$1:$B$250),FALSE),R$3)),"")</f>
        <v/>
      </c>
      <c r="S240" t="str">
        <f t="array" aca="1" ref="S240" ca="1">IFERROR(INDEX(Source!$A$1:$A$250,SMALL(IF(--(Source!$B$1:$B$250=$O240)*--(Source!$E$1:$E$250=$Q$3)*--(Source!$D$1:$D$250=Pyramid!$Q240),ROW(Source!$B$1:$B$250),FALSE),S$3)),"")</f>
        <v/>
      </c>
      <c r="T240" t="str">
        <f t="array" aca="1" ref="T240" ca="1">IFERROR(INDEX(Source!$A$1:$A$250,SMALL(IF(--(Source!$B$1:$B$250=$O240)*--(Source!$E$1:$E$250=$Q$3)*--(Source!$D$1:$D$250=Pyramid!$Q240),ROW(Source!$B$1:$B$250),FALSE),T$3)),"")</f>
        <v/>
      </c>
      <c r="U240" t="str">
        <f t="array" aca="1" ref="U240" ca="1">IFERROR(INDEX(Source!$A$1:$A$250,SMALL(IF(--(Source!$B$1:$B$250=$O240)*--(Source!$E$1:$E$250=$Q$3)*--(Source!$D$1:$D$250=Pyramid!$Q240),ROW(Source!$B$1:$B$250),FALSE),U$3)),"")</f>
        <v/>
      </c>
      <c r="V240" t="str">
        <f t="array" aca="1" ref="V240" ca="1">IFERROR(INDEX(Source!$A$1:$A$250,SMALL(IF(--(Source!$B$1:$B$250=$O240)*--(Source!$E$1:$E$250=$Q$3)*--(Source!$D$1:$D$250=Pyramid!$Q240),ROW(Source!$B$1:$B$250),FALSE),V$3)),"")</f>
        <v/>
      </c>
      <c r="W240" t="str">
        <f t="array" aca="1" ref="W240" ca="1">IFERROR(INDEX(Source!$A$1:$A$250,SMALL(IF(--(Source!$B$1:$B$250=$O240)*--(Source!$E$1:$E$250=$Q$3)*--(Source!$D$1:$D$250=Pyramid!$Q240),ROW(Source!$B$1:$B$250),FALSE),W$3)),"")</f>
        <v/>
      </c>
      <c r="X240" t="str">
        <f t="array" aca="1" ref="X240" ca="1">IFERROR(INDEX(Source!$A$1:$A$250,SMALL(IF(--(Source!$B$1:$B$250=$O240)*--(Source!$E$1:$E$250=$Q$3)*--(Source!$D$1:$D$250=Pyramid!$Q240),ROW(Source!$B$1:$B$250),FALSE),X$3)),"")</f>
        <v/>
      </c>
      <c r="Y240" s="5">
        <f t="shared" ca="1" si="12"/>
        <v>0</v>
      </c>
    </row>
    <row r="241" spans="3:25">
      <c r="C241">
        <v>237</v>
      </c>
      <c r="D241" s="5">
        <f t="shared" ca="1" si="10"/>
        <v>0</v>
      </c>
      <c r="E241" t="str">
        <f t="array" aca="1" ref="E241" ca="1">IFERROR(INDEX(Source!$A$1:$A$250,SMALL(IF(--(Source!$B$1:$B$250=$O241)*--(Source!$E$1:$E$250=$M$3)*--(Source!$D$1:$D$250=Pyramid!$M241),ROW(Source!$B$1:$B$250),FALSE),E$3)),"")</f>
        <v/>
      </c>
      <c r="F241" t="str">
        <f t="array" aca="1" ref="F241" ca="1">IFERROR(INDEX(Source!$A$1:$A$250,SMALL(IF(--(Source!$B$1:$B$250=$O241)*--(Source!$E$1:$E$250=$M$3)*--(Source!$D$1:$D$250=Pyramid!$M241),ROW(Source!$B$1:$B$250),FALSE),F$3)),"")</f>
        <v/>
      </c>
      <c r="G241" t="str">
        <f t="array" aca="1" ref="G241" ca="1">IFERROR(INDEX(Source!$A$1:$A$250,SMALL(IF(--(Source!$B$1:$B$250=$O241)*--(Source!$E$1:$E$250=$M$3)*--(Source!$D$1:$D$250=Pyramid!$M241),ROW(Source!$B$1:$B$250),FALSE),G$3)),"")</f>
        <v/>
      </c>
      <c r="H241" t="str">
        <f t="array" aca="1" ref="H241" ca="1">IFERROR(INDEX(Source!$A$1:$A$250,SMALL(IF(--(Source!$B$1:$B$250=$O241)*--(Source!$E$1:$E$250=$M$3)*--(Source!$D$1:$D$250=Pyramid!$M241),ROW(Source!$B$1:$B$250),FALSE),H$3)),"")</f>
        <v/>
      </c>
      <c r="I241" t="str">
        <f t="array" aca="1" ref="I241" ca="1">IFERROR(INDEX(Source!$A$1:$A$250,SMALL(IF(--(Source!$B$1:$B$250=$O241)*--(Source!$E$1:$E$250=$M$3)*--(Source!$D$1:$D$250=Pyramid!$M241),ROW(Source!$B$1:$B$250),FALSE),I$3)),"")</f>
        <v/>
      </c>
      <c r="J241" t="str">
        <f t="array" aca="1" ref="J241" ca="1">IFERROR(INDEX(Source!$A$1:$A$250,SMALL(IF(--(Source!$B$1:$B$250=$O241)*--(Source!$E$1:$E$250=$M$3)*--(Source!$D$1:$D$250=Pyramid!$M241),ROW(Source!$B$1:$B$250),FALSE),J$3)),"")</f>
        <v/>
      </c>
      <c r="K241" t="str">
        <f t="array" aca="1" ref="K241" ca="1">IFERROR(INDEX(Source!$A$1:$A$250,SMALL(IF(--(Source!$B$1:$B$250=$O241)*--(Source!$E$1:$E$250=$M$3)*--(Source!$D$1:$D$250=Pyramid!$M241),ROW(Source!$B$1:$B$250),FALSE),K$3)),"")</f>
        <v/>
      </c>
      <c r="L241" t="str">
        <f t="array" aca="1" ref="L241" ca="1">IFERROR(INDEX(Source!$A$1:$A$250,SMALL(IF(--(Source!$B$1:$B$250=$O241)*--(Source!$E$1:$E$250=$M$3)*--(Source!$D$1:$D$250=Pyramid!$M241),ROW(Source!$B$1:$B$250),FALSE),L$3)),"")</f>
        <v/>
      </c>
      <c r="M241" t="str">
        <f t="shared" si="11"/>
        <v>30/8/2016</v>
      </c>
      <c r="N241">
        <f ca="1">COUNTIFS(Source!B:B,Pyramid!$O241,Source!$D:$D,Pyramid!$M241,Source!$E:$E,Pyramid!$M$3)</f>
        <v>0</v>
      </c>
      <c r="O241">
        <f ca="1">OFFSET(Sheet2!$N$3,INT(C241/5),)</f>
        <v>20800</v>
      </c>
      <c r="P241">
        <f ca="1">COUNTIFS(Source!B:B,Pyramid!$O241,Source!D:D,Pyramid!$Q241,Source!$E:$E,Pyramid!$Q$3)</f>
        <v>0</v>
      </c>
      <c r="Q241" t="str">
        <f t="shared" si="11"/>
        <v>30/8/2016</v>
      </c>
      <c r="R241" t="str">
        <f t="array" aca="1" ref="R241" ca="1">IFERROR(INDEX(Source!$A$1:$A$250,SMALL(IF(--(Source!$B$1:$B$250=$O241)*--(Source!$E$1:$E$250=$Q$3)*--(Source!$D$1:$D$250=Pyramid!$Q241),ROW(Source!$B$1:$B$250),FALSE),R$3)),"")</f>
        <v/>
      </c>
      <c r="S241" t="str">
        <f t="array" aca="1" ref="S241" ca="1">IFERROR(INDEX(Source!$A$1:$A$250,SMALL(IF(--(Source!$B$1:$B$250=$O241)*--(Source!$E$1:$E$250=$Q$3)*--(Source!$D$1:$D$250=Pyramid!$Q241),ROW(Source!$B$1:$B$250),FALSE),S$3)),"")</f>
        <v/>
      </c>
      <c r="T241" t="str">
        <f t="array" aca="1" ref="T241" ca="1">IFERROR(INDEX(Source!$A$1:$A$250,SMALL(IF(--(Source!$B$1:$B$250=$O241)*--(Source!$E$1:$E$250=$Q$3)*--(Source!$D$1:$D$250=Pyramid!$Q241),ROW(Source!$B$1:$B$250),FALSE),T$3)),"")</f>
        <v/>
      </c>
      <c r="U241" t="str">
        <f t="array" aca="1" ref="U241" ca="1">IFERROR(INDEX(Source!$A$1:$A$250,SMALL(IF(--(Source!$B$1:$B$250=$O241)*--(Source!$E$1:$E$250=$Q$3)*--(Source!$D$1:$D$250=Pyramid!$Q241),ROW(Source!$B$1:$B$250),FALSE),U$3)),"")</f>
        <v/>
      </c>
      <c r="V241" t="str">
        <f t="array" aca="1" ref="V241" ca="1">IFERROR(INDEX(Source!$A$1:$A$250,SMALL(IF(--(Source!$B$1:$B$250=$O241)*--(Source!$E$1:$E$250=$Q$3)*--(Source!$D$1:$D$250=Pyramid!$Q241),ROW(Source!$B$1:$B$250),FALSE),V$3)),"")</f>
        <v/>
      </c>
      <c r="W241" t="str">
        <f t="array" aca="1" ref="W241" ca="1">IFERROR(INDEX(Source!$A$1:$A$250,SMALL(IF(--(Source!$B$1:$B$250=$O241)*--(Source!$E$1:$E$250=$Q$3)*--(Source!$D$1:$D$250=Pyramid!$Q241),ROW(Source!$B$1:$B$250),FALSE),W$3)),"")</f>
        <v/>
      </c>
      <c r="X241" t="str">
        <f t="array" aca="1" ref="X241" ca="1">IFERROR(INDEX(Source!$A$1:$A$250,SMALL(IF(--(Source!$B$1:$B$250=$O241)*--(Source!$E$1:$E$250=$Q$3)*--(Source!$D$1:$D$250=Pyramid!$Q241),ROW(Source!$B$1:$B$250),FALSE),X$3)),"")</f>
        <v/>
      </c>
      <c r="Y241" s="5">
        <f t="shared" ca="1" si="12"/>
        <v>0</v>
      </c>
    </row>
    <row r="242" spans="3:25">
      <c r="C242">
        <v>238</v>
      </c>
      <c r="D242" s="5">
        <f t="shared" ca="1" si="10"/>
        <v>0</v>
      </c>
      <c r="E242" t="str">
        <f t="array" aca="1" ref="E242" ca="1">IFERROR(INDEX(Source!$A$1:$A$250,SMALL(IF(--(Source!$B$1:$B$250=$O242)*--(Source!$E$1:$E$250=$M$3)*--(Source!$D$1:$D$250=Pyramid!$M242),ROW(Source!$B$1:$B$250),FALSE),E$3)),"")</f>
        <v/>
      </c>
      <c r="F242" t="str">
        <f t="array" aca="1" ref="F242" ca="1">IFERROR(INDEX(Source!$A$1:$A$250,SMALL(IF(--(Source!$B$1:$B$250=$O242)*--(Source!$E$1:$E$250=$M$3)*--(Source!$D$1:$D$250=Pyramid!$M242),ROW(Source!$B$1:$B$250),FALSE),F$3)),"")</f>
        <v/>
      </c>
      <c r="G242" t="str">
        <f t="array" aca="1" ref="G242" ca="1">IFERROR(INDEX(Source!$A$1:$A$250,SMALL(IF(--(Source!$B$1:$B$250=$O242)*--(Source!$E$1:$E$250=$M$3)*--(Source!$D$1:$D$250=Pyramid!$M242),ROW(Source!$B$1:$B$250),FALSE),G$3)),"")</f>
        <v/>
      </c>
      <c r="H242" t="str">
        <f t="array" aca="1" ref="H242" ca="1">IFERROR(INDEX(Source!$A$1:$A$250,SMALL(IF(--(Source!$B$1:$B$250=$O242)*--(Source!$E$1:$E$250=$M$3)*--(Source!$D$1:$D$250=Pyramid!$M242),ROW(Source!$B$1:$B$250),FALSE),H$3)),"")</f>
        <v/>
      </c>
      <c r="I242" t="str">
        <f t="array" aca="1" ref="I242" ca="1">IFERROR(INDEX(Source!$A$1:$A$250,SMALL(IF(--(Source!$B$1:$B$250=$O242)*--(Source!$E$1:$E$250=$M$3)*--(Source!$D$1:$D$250=Pyramid!$M242),ROW(Source!$B$1:$B$250),FALSE),I$3)),"")</f>
        <v/>
      </c>
      <c r="J242" t="str">
        <f t="array" aca="1" ref="J242" ca="1">IFERROR(INDEX(Source!$A$1:$A$250,SMALL(IF(--(Source!$B$1:$B$250=$O242)*--(Source!$E$1:$E$250=$M$3)*--(Source!$D$1:$D$250=Pyramid!$M242),ROW(Source!$B$1:$B$250),FALSE),J$3)),"")</f>
        <v/>
      </c>
      <c r="K242" t="str">
        <f t="array" aca="1" ref="K242" ca="1">IFERROR(INDEX(Source!$A$1:$A$250,SMALL(IF(--(Source!$B$1:$B$250=$O242)*--(Source!$E$1:$E$250=$M$3)*--(Source!$D$1:$D$250=Pyramid!$M242),ROW(Source!$B$1:$B$250),FALSE),K$3)),"")</f>
        <v/>
      </c>
      <c r="L242" t="str">
        <f t="array" aca="1" ref="L242" ca="1">IFERROR(INDEX(Source!$A$1:$A$250,SMALL(IF(--(Source!$B$1:$B$250=$O242)*--(Source!$E$1:$E$250=$M$3)*--(Source!$D$1:$D$250=Pyramid!$M242),ROW(Source!$B$1:$B$250),FALSE),L$3)),"")</f>
        <v/>
      </c>
      <c r="M242" t="str">
        <f t="shared" si="11"/>
        <v>29/9/2016</v>
      </c>
      <c r="N242">
        <f ca="1">COUNTIFS(Source!B:B,Pyramid!$O242,Source!$D:$D,Pyramid!$M242,Source!$E:$E,Pyramid!$M$3)</f>
        <v>0</v>
      </c>
      <c r="O242">
        <f ca="1">OFFSET(Sheet2!$N$3,INT(C242/5),)</f>
        <v>20800</v>
      </c>
      <c r="P242">
        <f ca="1">COUNTIFS(Source!B:B,Pyramid!$O242,Source!D:D,Pyramid!$Q242,Source!$E:$E,Pyramid!$Q$3)</f>
        <v>3</v>
      </c>
      <c r="Q242" t="str">
        <f t="shared" si="11"/>
        <v>29/9/2016</v>
      </c>
      <c r="R242" t="str">
        <f t="array" aca="1" ref="R242" ca="1">IFERROR(INDEX(Source!$A$1:$A$250,SMALL(IF(--(Source!$B$1:$B$250=$O242)*--(Source!$E$1:$E$250=$Q$3)*--(Source!$D$1:$D$250=Pyramid!$Q242),ROW(Source!$B$1:$B$250),FALSE),R$3)),"")</f>
        <v>27422 HK Equity</v>
      </c>
      <c r="S242" t="str">
        <f t="array" aca="1" ref="S242" ca="1">IFERROR(INDEX(Source!$A$1:$A$250,SMALL(IF(--(Source!$B$1:$B$250=$O242)*--(Source!$E$1:$E$250=$Q$3)*--(Source!$D$1:$D$250=Pyramid!$Q242),ROW(Source!$B$1:$B$250),FALSE),S$3)),"")</f>
        <v>26915 HK Equity</v>
      </c>
      <c r="T242" t="str">
        <f t="array" aca="1" ref="T242" ca="1">IFERROR(INDEX(Source!$A$1:$A$250,SMALL(IF(--(Source!$B$1:$B$250=$O242)*--(Source!$E$1:$E$250=$Q$3)*--(Source!$D$1:$D$250=Pyramid!$Q242),ROW(Source!$B$1:$B$250),FALSE),T$3)),"")</f>
        <v>27459 HK Equity</v>
      </c>
      <c r="U242" t="str">
        <f t="array" aca="1" ref="U242" ca="1">IFERROR(INDEX(Source!$A$1:$A$250,SMALL(IF(--(Source!$B$1:$B$250=$O242)*--(Source!$E$1:$E$250=$Q$3)*--(Source!$D$1:$D$250=Pyramid!$Q242),ROW(Source!$B$1:$B$250),FALSE),U$3)),"")</f>
        <v/>
      </c>
      <c r="V242" t="str">
        <f t="array" aca="1" ref="V242" ca="1">IFERROR(INDEX(Source!$A$1:$A$250,SMALL(IF(--(Source!$B$1:$B$250=$O242)*--(Source!$E$1:$E$250=$Q$3)*--(Source!$D$1:$D$250=Pyramid!$Q242),ROW(Source!$B$1:$B$250),FALSE),V$3)),"")</f>
        <v/>
      </c>
      <c r="W242" t="str">
        <f t="array" aca="1" ref="W242" ca="1">IFERROR(INDEX(Source!$A$1:$A$250,SMALL(IF(--(Source!$B$1:$B$250=$O242)*--(Source!$E$1:$E$250=$Q$3)*--(Source!$D$1:$D$250=Pyramid!$Q242),ROW(Source!$B$1:$B$250),FALSE),W$3)),"")</f>
        <v/>
      </c>
      <c r="X242" t="str">
        <f t="array" aca="1" ref="X242" ca="1">IFERROR(INDEX(Source!$A$1:$A$250,SMALL(IF(--(Source!$B$1:$B$250=$O242)*--(Source!$E$1:$E$250=$Q$3)*--(Source!$D$1:$D$250=Pyramid!$Q242),ROW(Source!$B$1:$B$250),FALSE),X$3)),"")</f>
        <v/>
      </c>
      <c r="Y242" s="5">
        <f t="shared" ca="1" si="12"/>
        <v>0</v>
      </c>
    </row>
    <row r="243" spans="3:25">
      <c r="C243">
        <v>239</v>
      </c>
      <c r="D243" s="5">
        <f t="shared" ca="1" si="10"/>
        <v>0</v>
      </c>
      <c r="E243" t="str">
        <f t="array" aca="1" ref="E243" ca="1">IFERROR(INDEX(Source!$A$1:$A$250,SMALL(IF(--(Source!$B$1:$B$250=$O243)*--(Source!$E$1:$E$250=$M$3)*--(Source!$D$1:$D$250=Pyramid!$M243),ROW(Source!$B$1:$B$250),FALSE),E$3)),"")</f>
        <v/>
      </c>
      <c r="F243" t="str">
        <f t="array" aca="1" ref="F243" ca="1">IFERROR(INDEX(Source!$A$1:$A$250,SMALL(IF(--(Source!$B$1:$B$250=$O243)*--(Source!$E$1:$E$250=$M$3)*--(Source!$D$1:$D$250=Pyramid!$M243),ROW(Source!$B$1:$B$250),FALSE),F$3)),"")</f>
        <v/>
      </c>
      <c r="G243" t="str">
        <f t="array" aca="1" ref="G243" ca="1">IFERROR(INDEX(Source!$A$1:$A$250,SMALL(IF(--(Source!$B$1:$B$250=$O243)*--(Source!$E$1:$E$250=$M$3)*--(Source!$D$1:$D$250=Pyramid!$M243),ROW(Source!$B$1:$B$250),FALSE),G$3)),"")</f>
        <v/>
      </c>
      <c r="H243" t="str">
        <f t="array" aca="1" ref="H243" ca="1">IFERROR(INDEX(Source!$A$1:$A$250,SMALL(IF(--(Source!$B$1:$B$250=$O243)*--(Source!$E$1:$E$250=$M$3)*--(Source!$D$1:$D$250=Pyramid!$M243),ROW(Source!$B$1:$B$250),FALSE),H$3)),"")</f>
        <v/>
      </c>
      <c r="I243" t="str">
        <f t="array" aca="1" ref="I243" ca="1">IFERROR(INDEX(Source!$A$1:$A$250,SMALL(IF(--(Source!$B$1:$B$250=$O243)*--(Source!$E$1:$E$250=$M$3)*--(Source!$D$1:$D$250=Pyramid!$M243),ROW(Source!$B$1:$B$250),FALSE),I$3)),"")</f>
        <v/>
      </c>
      <c r="J243" t="str">
        <f t="array" aca="1" ref="J243" ca="1">IFERROR(INDEX(Source!$A$1:$A$250,SMALL(IF(--(Source!$B$1:$B$250=$O243)*--(Source!$E$1:$E$250=$M$3)*--(Source!$D$1:$D$250=Pyramid!$M243),ROW(Source!$B$1:$B$250),FALSE),J$3)),"")</f>
        <v/>
      </c>
      <c r="K243" t="str">
        <f t="array" aca="1" ref="K243" ca="1">IFERROR(INDEX(Source!$A$1:$A$250,SMALL(IF(--(Source!$B$1:$B$250=$O243)*--(Source!$E$1:$E$250=$M$3)*--(Source!$D$1:$D$250=Pyramid!$M243),ROW(Source!$B$1:$B$250),FALSE),K$3)),"")</f>
        <v/>
      </c>
      <c r="L243" t="str">
        <f t="array" aca="1" ref="L243" ca="1">IFERROR(INDEX(Source!$A$1:$A$250,SMALL(IF(--(Source!$B$1:$B$250=$O243)*--(Source!$E$1:$E$250=$M$3)*--(Source!$D$1:$D$250=Pyramid!$M243),ROW(Source!$B$1:$B$250),FALSE),L$3)),"")</f>
        <v/>
      </c>
      <c r="M243" t="str">
        <f t="shared" si="11"/>
        <v>28/10/2016</v>
      </c>
      <c r="N243">
        <f ca="1">COUNTIFS(Source!B:B,Pyramid!$O243,Source!$D:$D,Pyramid!$M243,Source!$E:$E,Pyramid!$M$3)</f>
        <v>0</v>
      </c>
      <c r="O243">
        <f ca="1">OFFSET(Sheet2!$N$3,INT(C243/5),)</f>
        <v>20800</v>
      </c>
      <c r="P243">
        <f ca="1">COUNTIFS(Source!B:B,Pyramid!$O243,Source!D:D,Pyramid!$Q243,Source!$E:$E,Pyramid!$Q$3)</f>
        <v>0</v>
      </c>
      <c r="Q243" t="str">
        <f t="shared" si="11"/>
        <v>28/10/2016</v>
      </c>
      <c r="R243" t="str">
        <f t="array" aca="1" ref="R243" ca="1">IFERROR(INDEX(Source!$A$1:$A$250,SMALL(IF(--(Source!$B$1:$B$250=$O243)*--(Source!$E$1:$E$250=$Q$3)*--(Source!$D$1:$D$250=Pyramid!$Q243),ROW(Source!$B$1:$B$250),FALSE),R$3)),"")</f>
        <v/>
      </c>
      <c r="S243" t="str">
        <f t="array" aca="1" ref="S243" ca="1">IFERROR(INDEX(Source!$A$1:$A$250,SMALL(IF(--(Source!$B$1:$B$250=$O243)*--(Source!$E$1:$E$250=$Q$3)*--(Source!$D$1:$D$250=Pyramid!$Q243),ROW(Source!$B$1:$B$250),FALSE),S$3)),"")</f>
        <v/>
      </c>
      <c r="T243" t="str">
        <f t="array" aca="1" ref="T243" ca="1">IFERROR(INDEX(Source!$A$1:$A$250,SMALL(IF(--(Source!$B$1:$B$250=$O243)*--(Source!$E$1:$E$250=$Q$3)*--(Source!$D$1:$D$250=Pyramid!$Q243),ROW(Source!$B$1:$B$250),FALSE),T$3)),"")</f>
        <v/>
      </c>
      <c r="U243" t="str">
        <f t="array" aca="1" ref="U243" ca="1">IFERROR(INDEX(Source!$A$1:$A$250,SMALL(IF(--(Source!$B$1:$B$250=$O243)*--(Source!$E$1:$E$250=$Q$3)*--(Source!$D$1:$D$250=Pyramid!$Q243),ROW(Source!$B$1:$B$250),FALSE),U$3)),"")</f>
        <v/>
      </c>
      <c r="V243" t="str">
        <f t="array" aca="1" ref="V243" ca="1">IFERROR(INDEX(Source!$A$1:$A$250,SMALL(IF(--(Source!$B$1:$B$250=$O243)*--(Source!$E$1:$E$250=$Q$3)*--(Source!$D$1:$D$250=Pyramid!$Q243),ROW(Source!$B$1:$B$250),FALSE),V$3)),"")</f>
        <v/>
      </c>
      <c r="W243" t="str">
        <f t="array" aca="1" ref="W243" ca="1">IFERROR(INDEX(Source!$A$1:$A$250,SMALL(IF(--(Source!$B$1:$B$250=$O243)*--(Source!$E$1:$E$250=$Q$3)*--(Source!$D$1:$D$250=Pyramid!$Q243),ROW(Source!$B$1:$B$250),FALSE),W$3)),"")</f>
        <v/>
      </c>
      <c r="X243" t="str">
        <f t="array" aca="1" ref="X243" ca="1">IFERROR(INDEX(Source!$A$1:$A$250,SMALL(IF(--(Source!$B$1:$B$250=$O243)*--(Source!$E$1:$E$250=$Q$3)*--(Source!$D$1:$D$250=Pyramid!$Q243),ROW(Source!$B$1:$B$250),FALSE),X$3)),"")</f>
        <v/>
      </c>
      <c r="Y243" s="5">
        <f t="shared" ca="1" si="12"/>
        <v>0</v>
      </c>
    </row>
    <row r="244" spans="3:25">
      <c r="C244">
        <v>240</v>
      </c>
      <c r="D244" s="5">
        <f t="shared" ca="1" si="10"/>
        <v>0</v>
      </c>
      <c r="E244" t="str">
        <f t="array" aca="1" ref="E244" ca="1">IFERROR(INDEX(Source!$A$1:$A$250,SMALL(IF(--(Source!$B$1:$B$250=$O244)*--(Source!$E$1:$E$250=$M$3)*--(Source!$D$1:$D$250=Pyramid!$M244),ROW(Source!$B$1:$B$250),FALSE),E$3)),"")</f>
        <v/>
      </c>
      <c r="F244" t="str">
        <f t="array" aca="1" ref="F244" ca="1">IFERROR(INDEX(Source!$A$1:$A$250,SMALL(IF(--(Source!$B$1:$B$250=$O244)*--(Source!$E$1:$E$250=$M$3)*--(Source!$D$1:$D$250=Pyramid!$M244),ROW(Source!$B$1:$B$250),FALSE),F$3)),"")</f>
        <v/>
      </c>
      <c r="G244" t="str">
        <f t="array" aca="1" ref="G244" ca="1">IFERROR(INDEX(Source!$A$1:$A$250,SMALL(IF(--(Source!$B$1:$B$250=$O244)*--(Source!$E$1:$E$250=$M$3)*--(Source!$D$1:$D$250=Pyramid!$M244),ROW(Source!$B$1:$B$250),FALSE),G$3)),"")</f>
        <v/>
      </c>
      <c r="H244" t="str">
        <f t="array" aca="1" ref="H244" ca="1">IFERROR(INDEX(Source!$A$1:$A$250,SMALL(IF(--(Source!$B$1:$B$250=$O244)*--(Source!$E$1:$E$250=$M$3)*--(Source!$D$1:$D$250=Pyramid!$M244),ROW(Source!$B$1:$B$250),FALSE),H$3)),"")</f>
        <v/>
      </c>
      <c r="I244" t="str">
        <f t="array" aca="1" ref="I244" ca="1">IFERROR(INDEX(Source!$A$1:$A$250,SMALL(IF(--(Source!$B$1:$B$250=$O244)*--(Source!$E$1:$E$250=$M$3)*--(Source!$D$1:$D$250=Pyramid!$M244),ROW(Source!$B$1:$B$250),FALSE),I$3)),"")</f>
        <v/>
      </c>
      <c r="J244" t="str">
        <f t="array" aca="1" ref="J244" ca="1">IFERROR(INDEX(Source!$A$1:$A$250,SMALL(IF(--(Source!$B$1:$B$250=$O244)*--(Source!$E$1:$E$250=$M$3)*--(Source!$D$1:$D$250=Pyramid!$M244),ROW(Source!$B$1:$B$250),FALSE),J$3)),"")</f>
        <v/>
      </c>
      <c r="K244" t="str">
        <f t="array" aca="1" ref="K244" ca="1">IFERROR(INDEX(Source!$A$1:$A$250,SMALL(IF(--(Source!$B$1:$B$250=$O244)*--(Source!$E$1:$E$250=$M$3)*--(Source!$D$1:$D$250=Pyramid!$M244),ROW(Source!$B$1:$B$250),FALSE),K$3)),"")</f>
        <v/>
      </c>
      <c r="L244" t="str">
        <f t="array" aca="1" ref="L244" ca="1">IFERROR(INDEX(Source!$A$1:$A$250,SMALL(IF(--(Source!$B$1:$B$250=$O244)*--(Source!$E$1:$E$250=$M$3)*--(Source!$D$1:$D$250=Pyramid!$M244),ROW(Source!$B$1:$B$250),FALSE),L$3)),"")</f>
        <v/>
      </c>
      <c r="M244" t="str">
        <f t="shared" si="11"/>
        <v>29/6/2016</v>
      </c>
      <c r="N244">
        <f ca="1">COUNTIFS(Source!B:B,Pyramid!$O244,Source!$D:$D,Pyramid!$M244,Source!$E:$E,Pyramid!$M$3)</f>
        <v>0</v>
      </c>
      <c r="O244">
        <f ca="1">OFFSET(Sheet2!$N$3,INT(C244/5),)</f>
        <v>20900</v>
      </c>
      <c r="P244">
        <f ca="1">COUNTIFS(Source!B:B,Pyramid!$O244,Source!D:D,Pyramid!$Q244,Source!$E:$E,Pyramid!$Q$3)</f>
        <v>1</v>
      </c>
      <c r="Q244" t="str">
        <f t="shared" si="11"/>
        <v>29/6/2016</v>
      </c>
      <c r="R244" t="str">
        <f t="array" aca="1" ref="R244" ca="1">IFERROR(INDEX(Source!$A$1:$A$250,SMALL(IF(--(Source!$B$1:$B$250=$O244)*--(Source!$E$1:$E$250=$Q$3)*--(Source!$D$1:$D$250=Pyramid!$Q244),ROW(Source!$B$1:$B$250),FALSE),R$3)),"")</f>
        <v>24451 HK Equity</v>
      </c>
      <c r="S244" t="str">
        <f t="array" aca="1" ref="S244" ca="1">IFERROR(INDEX(Source!$A$1:$A$250,SMALL(IF(--(Source!$B$1:$B$250=$O244)*--(Source!$E$1:$E$250=$Q$3)*--(Source!$D$1:$D$250=Pyramid!$Q244),ROW(Source!$B$1:$B$250),FALSE),S$3)),"")</f>
        <v/>
      </c>
      <c r="T244" t="str">
        <f t="array" aca="1" ref="T244" ca="1">IFERROR(INDEX(Source!$A$1:$A$250,SMALL(IF(--(Source!$B$1:$B$250=$O244)*--(Source!$E$1:$E$250=$Q$3)*--(Source!$D$1:$D$250=Pyramid!$Q244),ROW(Source!$B$1:$B$250),FALSE),T$3)),"")</f>
        <v/>
      </c>
      <c r="U244" t="str">
        <f t="array" aca="1" ref="U244" ca="1">IFERROR(INDEX(Source!$A$1:$A$250,SMALL(IF(--(Source!$B$1:$B$250=$O244)*--(Source!$E$1:$E$250=$Q$3)*--(Source!$D$1:$D$250=Pyramid!$Q244),ROW(Source!$B$1:$B$250),FALSE),U$3)),"")</f>
        <v/>
      </c>
      <c r="V244" t="str">
        <f t="array" aca="1" ref="V244" ca="1">IFERROR(INDEX(Source!$A$1:$A$250,SMALL(IF(--(Source!$B$1:$B$250=$O244)*--(Source!$E$1:$E$250=$Q$3)*--(Source!$D$1:$D$250=Pyramid!$Q244),ROW(Source!$B$1:$B$250),FALSE),V$3)),"")</f>
        <v/>
      </c>
      <c r="W244" t="str">
        <f t="array" aca="1" ref="W244" ca="1">IFERROR(INDEX(Source!$A$1:$A$250,SMALL(IF(--(Source!$B$1:$B$250=$O244)*--(Source!$E$1:$E$250=$Q$3)*--(Source!$D$1:$D$250=Pyramid!$Q244),ROW(Source!$B$1:$B$250),FALSE),W$3)),"")</f>
        <v/>
      </c>
      <c r="X244" t="str">
        <f t="array" aca="1" ref="X244" ca="1">IFERROR(INDEX(Source!$A$1:$A$250,SMALL(IF(--(Source!$B$1:$B$250=$O244)*--(Source!$E$1:$E$250=$Q$3)*--(Source!$D$1:$D$250=Pyramid!$Q244),ROW(Source!$B$1:$B$250),FALSE),X$3)),"")</f>
        <v/>
      </c>
      <c r="Y244" s="5">
        <f t="shared" ca="1" si="12"/>
        <v>0</v>
      </c>
    </row>
    <row r="245" spans="3:25">
      <c r="C245">
        <v>241</v>
      </c>
      <c r="D245" s="5">
        <f t="shared" ca="1" si="10"/>
        <v>0</v>
      </c>
      <c r="E245" t="str">
        <f t="array" aca="1" ref="E245" ca="1">IFERROR(INDEX(Source!$A$1:$A$250,SMALL(IF(--(Source!$B$1:$B$250=$O245)*--(Source!$E$1:$E$250=$M$3)*--(Source!$D$1:$D$250=Pyramid!$M245),ROW(Source!$B$1:$B$250),FALSE),E$3)),"")</f>
        <v/>
      </c>
      <c r="F245" t="str">
        <f t="array" aca="1" ref="F245" ca="1">IFERROR(INDEX(Source!$A$1:$A$250,SMALL(IF(--(Source!$B$1:$B$250=$O245)*--(Source!$E$1:$E$250=$M$3)*--(Source!$D$1:$D$250=Pyramid!$M245),ROW(Source!$B$1:$B$250),FALSE),F$3)),"")</f>
        <v/>
      </c>
      <c r="G245" t="str">
        <f t="array" aca="1" ref="G245" ca="1">IFERROR(INDEX(Source!$A$1:$A$250,SMALL(IF(--(Source!$B$1:$B$250=$O245)*--(Source!$E$1:$E$250=$M$3)*--(Source!$D$1:$D$250=Pyramid!$M245),ROW(Source!$B$1:$B$250),FALSE),G$3)),"")</f>
        <v/>
      </c>
      <c r="H245" t="str">
        <f t="array" aca="1" ref="H245" ca="1">IFERROR(INDEX(Source!$A$1:$A$250,SMALL(IF(--(Source!$B$1:$B$250=$O245)*--(Source!$E$1:$E$250=$M$3)*--(Source!$D$1:$D$250=Pyramid!$M245),ROW(Source!$B$1:$B$250),FALSE),H$3)),"")</f>
        <v/>
      </c>
      <c r="I245" t="str">
        <f t="array" aca="1" ref="I245" ca="1">IFERROR(INDEX(Source!$A$1:$A$250,SMALL(IF(--(Source!$B$1:$B$250=$O245)*--(Source!$E$1:$E$250=$M$3)*--(Source!$D$1:$D$250=Pyramid!$M245),ROW(Source!$B$1:$B$250),FALSE),I$3)),"")</f>
        <v/>
      </c>
      <c r="J245" t="str">
        <f t="array" aca="1" ref="J245" ca="1">IFERROR(INDEX(Source!$A$1:$A$250,SMALL(IF(--(Source!$B$1:$B$250=$O245)*--(Source!$E$1:$E$250=$M$3)*--(Source!$D$1:$D$250=Pyramid!$M245),ROW(Source!$B$1:$B$250),FALSE),J$3)),"")</f>
        <v/>
      </c>
      <c r="K245" t="str">
        <f t="array" aca="1" ref="K245" ca="1">IFERROR(INDEX(Source!$A$1:$A$250,SMALL(IF(--(Source!$B$1:$B$250=$O245)*--(Source!$E$1:$E$250=$M$3)*--(Source!$D$1:$D$250=Pyramid!$M245),ROW(Source!$B$1:$B$250),FALSE),K$3)),"")</f>
        <v/>
      </c>
      <c r="L245" t="str">
        <f t="array" aca="1" ref="L245" ca="1">IFERROR(INDEX(Source!$A$1:$A$250,SMALL(IF(--(Source!$B$1:$B$250=$O245)*--(Source!$E$1:$E$250=$M$3)*--(Source!$D$1:$D$250=Pyramid!$M245),ROW(Source!$B$1:$B$250),FALSE),L$3)),"")</f>
        <v/>
      </c>
      <c r="M245" t="str">
        <f t="shared" si="11"/>
        <v>28/7/2016</v>
      </c>
      <c r="N245">
        <f ca="1">COUNTIFS(Source!B:B,Pyramid!$O245,Source!$D:$D,Pyramid!$M245,Source!$E:$E,Pyramid!$M$3)</f>
        <v>0</v>
      </c>
      <c r="O245">
        <f ca="1">OFFSET(Sheet2!$N$3,INT(C245/5),)</f>
        <v>20900</v>
      </c>
      <c r="P245">
        <f ca="1">COUNTIFS(Source!B:B,Pyramid!$O245,Source!D:D,Pyramid!$Q245,Source!$E:$E,Pyramid!$Q$3)</f>
        <v>0</v>
      </c>
      <c r="Q245" t="str">
        <f t="shared" si="11"/>
        <v>28/7/2016</v>
      </c>
      <c r="R245" t="str">
        <f t="array" aca="1" ref="R245" ca="1">IFERROR(INDEX(Source!$A$1:$A$250,SMALL(IF(--(Source!$B$1:$B$250=$O245)*--(Source!$E$1:$E$250=$Q$3)*--(Source!$D$1:$D$250=Pyramid!$Q245),ROW(Source!$B$1:$B$250),FALSE),R$3)),"")</f>
        <v/>
      </c>
      <c r="S245" t="str">
        <f t="array" aca="1" ref="S245" ca="1">IFERROR(INDEX(Source!$A$1:$A$250,SMALL(IF(--(Source!$B$1:$B$250=$O245)*--(Source!$E$1:$E$250=$Q$3)*--(Source!$D$1:$D$250=Pyramid!$Q245),ROW(Source!$B$1:$B$250),FALSE),S$3)),"")</f>
        <v/>
      </c>
      <c r="T245" t="str">
        <f t="array" aca="1" ref="T245" ca="1">IFERROR(INDEX(Source!$A$1:$A$250,SMALL(IF(--(Source!$B$1:$B$250=$O245)*--(Source!$E$1:$E$250=$Q$3)*--(Source!$D$1:$D$250=Pyramid!$Q245),ROW(Source!$B$1:$B$250),FALSE),T$3)),"")</f>
        <v/>
      </c>
      <c r="U245" t="str">
        <f t="array" aca="1" ref="U245" ca="1">IFERROR(INDEX(Source!$A$1:$A$250,SMALL(IF(--(Source!$B$1:$B$250=$O245)*--(Source!$E$1:$E$250=$Q$3)*--(Source!$D$1:$D$250=Pyramid!$Q245),ROW(Source!$B$1:$B$250),FALSE),U$3)),"")</f>
        <v/>
      </c>
      <c r="V245" t="str">
        <f t="array" aca="1" ref="V245" ca="1">IFERROR(INDEX(Source!$A$1:$A$250,SMALL(IF(--(Source!$B$1:$B$250=$O245)*--(Source!$E$1:$E$250=$Q$3)*--(Source!$D$1:$D$250=Pyramid!$Q245),ROW(Source!$B$1:$B$250),FALSE),V$3)),"")</f>
        <v/>
      </c>
      <c r="W245" t="str">
        <f t="array" aca="1" ref="W245" ca="1">IFERROR(INDEX(Source!$A$1:$A$250,SMALL(IF(--(Source!$B$1:$B$250=$O245)*--(Source!$E$1:$E$250=$Q$3)*--(Source!$D$1:$D$250=Pyramid!$Q245),ROW(Source!$B$1:$B$250),FALSE),W$3)),"")</f>
        <v/>
      </c>
      <c r="X245" t="str">
        <f t="array" aca="1" ref="X245" ca="1">IFERROR(INDEX(Source!$A$1:$A$250,SMALL(IF(--(Source!$B$1:$B$250=$O245)*--(Source!$E$1:$E$250=$Q$3)*--(Source!$D$1:$D$250=Pyramid!$Q245),ROW(Source!$B$1:$B$250),FALSE),X$3)),"")</f>
        <v/>
      </c>
      <c r="Y245" s="5">
        <f t="shared" ca="1" si="12"/>
        <v>0</v>
      </c>
    </row>
    <row r="246" spans="3:25">
      <c r="C246">
        <v>242</v>
      </c>
      <c r="D246" s="5">
        <f t="shared" ca="1" si="10"/>
        <v>0</v>
      </c>
      <c r="E246" t="str">
        <f t="array" aca="1" ref="E246" ca="1">IFERROR(INDEX(Source!$A$1:$A$250,SMALL(IF(--(Source!$B$1:$B$250=$O246)*--(Source!$E$1:$E$250=$M$3)*--(Source!$D$1:$D$250=Pyramid!$M246),ROW(Source!$B$1:$B$250),FALSE),E$3)),"")</f>
        <v/>
      </c>
      <c r="F246" t="str">
        <f t="array" aca="1" ref="F246" ca="1">IFERROR(INDEX(Source!$A$1:$A$250,SMALL(IF(--(Source!$B$1:$B$250=$O246)*--(Source!$E$1:$E$250=$M$3)*--(Source!$D$1:$D$250=Pyramid!$M246),ROW(Source!$B$1:$B$250),FALSE),F$3)),"")</f>
        <v/>
      </c>
      <c r="G246" t="str">
        <f t="array" aca="1" ref="G246" ca="1">IFERROR(INDEX(Source!$A$1:$A$250,SMALL(IF(--(Source!$B$1:$B$250=$O246)*--(Source!$E$1:$E$250=$M$3)*--(Source!$D$1:$D$250=Pyramid!$M246),ROW(Source!$B$1:$B$250),FALSE),G$3)),"")</f>
        <v/>
      </c>
      <c r="H246" t="str">
        <f t="array" aca="1" ref="H246" ca="1">IFERROR(INDEX(Source!$A$1:$A$250,SMALL(IF(--(Source!$B$1:$B$250=$O246)*--(Source!$E$1:$E$250=$M$3)*--(Source!$D$1:$D$250=Pyramid!$M246),ROW(Source!$B$1:$B$250),FALSE),H$3)),"")</f>
        <v/>
      </c>
      <c r="I246" t="str">
        <f t="array" aca="1" ref="I246" ca="1">IFERROR(INDEX(Source!$A$1:$A$250,SMALL(IF(--(Source!$B$1:$B$250=$O246)*--(Source!$E$1:$E$250=$M$3)*--(Source!$D$1:$D$250=Pyramid!$M246),ROW(Source!$B$1:$B$250),FALSE),I$3)),"")</f>
        <v/>
      </c>
      <c r="J246" t="str">
        <f t="array" aca="1" ref="J246" ca="1">IFERROR(INDEX(Source!$A$1:$A$250,SMALL(IF(--(Source!$B$1:$B$250=$O246)*--(Source!$E$1:$E$250=$M$3)*--(Source!$D$1:$D$250=Pyramid!$M246),ROW(Source!$B$1:$B$250),FALSE),J$3)),"")</f>
        <v/>
      </c>
      <c r="K246" t="str">
        <f t="array" aca="1" ref="K246" ca="1">IFERROR(INDEX(Source!$A$1:$A$250,SMALL(IF(--(Source!$B$1:$B$250=$O246)*--(Source!$E$1:$E$250=$M$3)*--(Source!$D$1:$D$250=Pyramid!$M246),ROW(Source!$B$1:$B$250),FALSE),K$3)),"")</f>
        <v/>
      </c>
      <c r="L246" t="str">
        <f t="array" aca="1" ref="L246" ca="1">IFERROR(INDEX(Source!$A$1:$A$250,SMALL(IF(--(Source!$B$1:$B$250=$O246)*--(Source!$E$1:$E$250=$M$3)*--(Source!$D$1:$D$250=Pyramid!$M246),ROW(Source!$B$1:$B$250),FALSE),L$3)),"")</f>
        <v/>
      </c>
      <c r="M246" t="str">
        <f t="shared" si="11"/>
        <v>30/8/2016</v>
      </c>
      <c r="N246">
        <f ca="1">COUNTIFS(Source!B:B,Pyramid!$O246,Source!$D:$D,Pyramid!$M246,Source!$E:$E,Pyramid!$M$3)</f>
        <v>0</v>
      </c>
      <c r="O246">
        <f ca="1">OFFSET(Sheet2!$N$3,INT(C246/5),)</f>
        <v>20900</v>
      </c>
      <c r="P246">
        <f ca="1">COUNTIFS(Source!B:B,Pyramid!$O246,Source!D:D,Pyramid!$Q246,Source!$E:$E,Pyramid!$Q$3)</f>
        <v>1</v>
      </c>
      <c r="Q246" t="str">
        <f t="shared" si="11"/>
        <v>30/8/2016</v>
      </c>
      <c r="R246" t="str">
        <f t="array" aca="1" ref="R246" ca="1">IFERROR(INDEX(Source!$A$1:$A$250,SMALL(IF(--(Source!$B$1:$B$250=$O246)*--(Source!$E$1:$E$250=$Q$3)*--(Source!$D$1:$D$250=Pyramid!$Q246),ROW(Source!$B$1:$B$250),FALSE),R$3)),"")</f>
        <v>27821 HK Equity</v>
      </c>
      <c r="S246" t="str">
        <f t="array" aca="1" ref="S246" ca="1">IFERROR(INDEX(Source!$A$1:$A$250,SMALL(IF(--(Source!$B$1:$B$250=$O246)*--(Source!$E$1:$E$250=$Q$3)*--(Source!$D$1:$D$250=Pyramid!$Q246),ROW(Source!$B$1:$B$250),FALSE),S$3)),"")</f>
        <v/>
      </c>
      <c r="T246" t="str">
        <f t="array" aca="1" ref="T246" ca="1">IFERROR(INDEX(Source!$A$1:$A$250,SMALL(IF(--(Source!$B$1:$B$250=$O246)*--(Source!$E$1:$E$250=$Q$3)*--(Source!$D$1:$D$250=Pyramid!$Q246),ROW(Source!$B$1:$B$250),FALSE),T$3)),"")</f>
        <v/>
      </c>
      <c r="U246" t="str">
        <f t="array" aca="1" ref="U246" ca="1">IFERROR(INDEX(Source!$A$1:$A$250,SMALL(IF(--(Source!$B$1:$B$250=$O246)*--(Source!$E$1:$E$250=$Q$3)*--(Source!$D$1:$D$250=Pyramid!$Q246),ROW(Source!$B$1:$B$250),FALSE),U$3)),"")</f>
        <v/>
      </c>
      <c r="V246" t="str">
        <f t="array" aca="1" ref="V246" ca="1">IFERROR(INDEX(Source!$A$1:$A$250,SMALL(IF(--(Source!$B$1:$B$250=$O246)*--(Source!$E$1:$E$250=$Q$3)*--(Source!$D$1:$D$250=Pyramid!$Q246),ROW(Source!$B$1:$B$250),FALSE),V$3)),"")</f>
        <v/>
      </c>
      <c r="W246" t="str">
        <f t="array" aca="1" ref="W246" ca="1">IFERROR(INDEX(Source!$A$1:$A$250,SMALL(IF(--(Source!$B$1:$B$250=$O246)*--(Source!$E$1:$E$250=$Q$3)*--(Source!$D$1:$D$250=Pyramid!$Q246),ROW(Source!$B$1:$B$250),FALSE),W$3)),"")</f>
        <v/>
      </c>
      <c r="X246" t="str">
        <f t="array" aca="1" ref="X246" ca="1">IFERROR(INDEX(Source!$A$1:$A$250,SMALL(IF(--(Source!$B$1:$B$250=$O246)*--(Source!$E$1:$E$250=$Q$3)*--(Source!$D$1:$D$250=Pyramid!$Q246),ROW(Source!$B$1:$B$250),FALSE),X$3)),"")</f>
        <v/>
      </c>
      <c r="Y246" s="5">
        <f t="shared" ca="1" si="12"/>
        <v>0</v>
      </c>
    </row>
    <row r="247" spans="3:25">
      <c r="C247">
        <v>243</v>
      </c>
      <c r="D247" s="5">
        <f t="shared" ca="1" si="10"/>
        <v>0</v>
      </c>
      <c r="E247" t="str">
        <f t="array" aca="1" ref="E247" ca="1">IFERROR(INDEX(Source!$A$1:$A$250,SMALL(IF(--(Source!$B$1:$B$250=$O247)*--(Source!$E$1:$E$250=$M$3)*--(Source!$D$1:$D$250=Pyramid!$M247),ROW(Source!$B$1:$B$250),FALSE),E$3)),"")</f>
        <v/>
      </c>
      <c r="F247" t="str">
        <f t="array" aca="1" ref="F247" ca="1">IFERROR(INDEX(Source!$A$1:$A$250,SMALL(IF(--(Source!$B$1:$B$250=$O247)*--(Source!$E$1:$E$250=$M$3)*--(Source!$D$1:$D$250=Pyramid!$M247),ROW(Source!$B$1:$B$250),FALSE),F$3)),"")</f>
        <v/>
      </c>
      <c r="G247" t="str">
        <f t="array" aca="1" ref="G247" ca="1">IFERROR(INDEX(Source!$A$1:$A$250,SMALL(IF(--(Source!$B$1:$B$250=$O247)*--(Source!$E$1:$E$250=$M$3)*--(Source!$D$1:$D$250=Pyramid!$M247),ROW(Source!$B$1:$B$250),FALSE),G$3)),"")</f>
        <v/>
      </c>
      <c r="H247" t="str">
        <f t="array" aca="1" ref="H247" ca="1">IFERROR(INDEX(Source!$A$1:$A$250,SMALL(IF(--(Source!$B$1:$B$250=$O247)*--(Source!$E$1:$E$250=$M$3)*--(Source!$D$1:$D$250=Pyramid!$M247),ROW(Source!$B$1:$B$250),FALSE),H$3)),"")</f>
        <v/>
      </c>
      <c r="I247" t="str">
        <f t="array" aca="1" ref="I247" ca="1">IFERROR(INDEX(Source!$A$1:$A$250,SMALL(IF(--(Source!$B$1:$B$250=$O247)*--(Source!$E$1:$E$250=$M$3)*--(Source!$D$1:$D$250=Pyramid!$M247),ROW(Source!$B$1:$B$250),FALSE),I$3)),"")</f>
        <v/>
      </c>
      <c r="J247" t="str">
        <f t="array" aca="1" ref="J247" ca="1">IFERROR(INDEX(Source!$A$1:$A$250,SMALL(IF(--(Source!$B$1:$B$250=$O247)*--(Source!$E$1:$E$250=$M$3)*--(Source!$D$1:$D$250=Pyramid!$M247),ROW(Source!$B$1:$B$250),FALSE),J$3)),"")</f>
        <v/>
      </c>
      <c r="K247" t="str">
        <f t="array" aca="1" ref="K247" ca="1">IFERROR(INDEX(Source!$A$1:$A$250,SMALL(IF(--(Source!$B$1:$B$250=$O247)*--(Source!$E$1:$E$250=$M$3)*--(Source!$D$1:$D$250=Pyramid!$M247),ROW(Source!$B$1:$B$250),FALSE),K$3)),"")</f>
        <v/>
      </c>
      <c r="L247" t="str">
        <f t="array" aca="1" ref="L247" ca="1">IFERROR(INDEX(Source!$A$1:$A$250,SMALL(IF(--(Source!$B$1:$B$250=$O247)*--(Source!$E$1:$E$250=$M$3)*--(Source!$D$1:$D$250=Pyramid!$M247),ROW(Source!$B$1:$B$250),FALSE),L$3)),"")</f>
        <v/>
      </c>
      <c r="M247" t="str">
        <f t="shared" si="11"/>
        <v>29/9/2016</v>
      </c>
      <c r="N247">
        <f ca="1">COUNTIFS(Source!B:B,Pyramid!$O247,Source!$D:$D,Pyramid!$M247,Source!$E:$E,Pyramid!$M$3)</f>
        <v>0</v>
      </c>
      <c r="O247">
        <f ca="1">OFFSET(Sheet2!$N$3,INT(C247/5),)</f>
        <v>20900</v>
      </c>
      <c r="P247">
        <f ca="1">COUNTIFS(Source!B:B,Pyramid!$O247,Source!D:D,Pyramid!$Q247,Source!$E:$E,Pyramid!$Q$3)</f>
        <v>0</v>
      </c>
      <c r="Q247" t="str">
        <f t="shared" si="11"/>
        <v>29/9/2016</v>
      </c>
      <c r="R247" t="str">
        <f t="array" aca="1" ref="R247" ca="1">IFERROR(INDEX(Source!$A$1:$A$250,SMALL(IF(--(Source!$B$1:$B$250=$O247)*--(Source!$E$1:$E$250=$Q$3)*--(Source!$D$1:$D$250=Pyramid!$Q247),ROW(Source!$B$1:$B$250),FALSE),R$3)),"")</f>
        <v/>
      </c>
      <c r="S247" t="str">
        <f t="array" aca="1" ref="S247" ca="1">IFERROR(INDEX(Source!$A$1:$A$250,SMALL(IF(--(Source!$B$1:$B$250=$O247)*--(Source!$E$1:$E$250=$Q$3)*--(Source!$D$1:$D$250=Pyramid!$Q247),ROW(Source!$B$1:$B$250),FALSE),S$3)),"")</f>
        <v/>
      </c>
      <c r="T247" t="str">
        <f t="array" aca="1" ref="T247" ca="1">IFERROR(INDEX(Source!$A$1:$A$250,SMALL(IF(--(Source!$B$1:$B$250=$O247)*--(Source!$E$1:$E$250=$Q$3)*--(Source!$D$1:$D$250=Pyramid!$Q247),ROW(Source!$B$1:$B$250),FALSE),T$3)),"")</f>
        <v/>
      </c>
      <c r="U247" t="str">
        <f t="array" aca="1" ref="U247" ca="1">IFERROR(INDEX(Source!$A$1:$A$250,SMALL(IF(--(Source!$B$1:$B$250=$O247)*--(Source!$E$1:$E$250=$Q$3)*--(Source!$D$1:$D$250=Pyramid!$Q247),ROW(Source!$B$1:$B$250),FALSE),U$3)),"")</f>
        <v/>
      </c>
      <c r="V247" t="str">
        <f t="array" aca="1" ref="V247" ca="1">IFERROR(INDEX(Source!$A$1:$A$250,SMALL(IF(--(Source!$B$1:$B$250=$O247)*--(Source!$E$1:$E$250=$Q$3)*--(Source!$D$1:$D$250=Pyramid!$Q247),ROW(Source!$B$1:$B$250),FALSE),V$3)),"")</f>
        <v/>
      </c>
      <c r="W247" t="str">
        <f t="array" aca="1" ref="W247" ca="1">IFERROR(INDEX(Source!$A$1:$A$250,SMALL(IF(--(Source!$B$1:$B$250=$O247)*--(Source!$E$1:$E$250=$Q$3)*--(Source!$D$1:$D$250=Pyramid!$Q247),ROW(Source!$B$1:$B$250),FALSE),W$3)),"")</f>
        <v/>
      </c>
      <c r="X247" t="str">
        <f t="array" aca="1" ref="X247" ca="1">IFERROR(INDEX(Source!$A$1:$A$250,SMALL(IF(--(Source!$B$1:$B$250=$O247)*--(Source!$E$1:$E$250=$Q$3)*--(Source!$D$1:$D$250=Pyramid!$Q247),ROW(Source!$B$1:$B$250),FALSE),X$3)),"")</f>
        <v/>
      </c>
      <c r="Y247" s="5">
        <f t="shared" ca="1" si="12"/>
        <v>0</v>
      </c>
    </row>
    <row r="248" spans="3:25">
      <c r="C248">
        <v>244</v>
      </c>
      <c r="D248" s="5">
        <f t="shared" ca="1" si="10"/>
        <v>0</v>
      </c>
      <c r="E248" t="str">
        <f t="array" aca="1" ref="E248" ca="1">IFERROR(INDEX(Source!$A$1:$A$250,SMALL(IF(--(Source!$B$1:$B$250=$O248)*--(Source!$E$1:$E$250=$M$3)*--(Source!$D$1:$D$250=Pyramid!$M248),ROW(Source!$B$1:$B$250),FALSE),E$3)),"")</f>
        <v/>
      </c>
      <c r="F248" t="str">
        <f t="array" aca="1" ref="F248" ca="1">IFERROR(INDEX(Source!$A$1:$A$250,SMALL(IF(--(Source!$B$1:$B$250=$O248)*--(Source!$E$1:$E$250=$M$3)*--(Source!$D$1:$D$250=Pyramid!$M248),ROW(Source!$B$1:$B$250),FALSE),F$3)),"")</f>
        <v/>
      </c>
      <c r="G248" t="str">
        <f t="array" aca="1" ref="G248" ca="1">IFERROR(INDEX(Source!$A$1:$A$250,SMALL(IF(--(Source!$B$1:$B$250=$O248)*--(Source!$E$1:$E$250=$M$3)*--(Source!$D$1:$D$250=Pyramid!$M248),ROW(Source!$B$1:$B$250),FALSE),G$3)),"")</f>
        <v/>
      </c>
      <c r="H248" t="str">
        <f t="array" aca="1" ref="H248" ca="1">IFERROR(INDEX(Source!$A$1:$A$250,SMALL(IF(--(Source!$B$1:$B$250=$O248)*--(Source!$E$1:$E$250=$M$3)*--(Source!$D$1:$D$250=Pyramid!$M248),ROW(Source!$B$1:$B$250),FALSE),H$3)),"")</f>
        <v/>
      </c>
      <c r="I248" t="str">
        <f t="array" aca="1" ref="I248" ca="1">IFERROR(INDEX(Source!$A$1:$A$250,SMALL(IF(--(Source!$B$1:$B$250=$O248)*--(Source!$E$1:$E$250=$M$3)*--(Source!$D$1:$D$250=Pyramid!$M248),ROW(Source!$B$1:$B$250),FALSE),I$3)),"")</f>
        <v/>
      </c>
      <c r="J248" t="str">
        <f t="array" aca="1" ref="J248" ca="1">IFERROR(INDEX(Source!$A$1:$A$250,SMALL(IF(--(Source!$B$1:$B$250=$O248)*--(Source!$E$1:$E$250=$M$3)*--(Source!$D$1:$D$250=Pyramid!$M248),ROW(Source!$B$1:$B$250),FALSE),J$3)),"")</f>
        <v/>
      </c>
      <c r="K248" t="str">
        <f t="array" aca="1" ref="K248" ca="1">IFERROR(INDEX(Source!$A$1:$A$250,SMALL(IF(--(Source!$B$1:$B$250=$O248)*--(Source!$E$1:$E$250=$M$3)*--(Source!$D$1:$D$250=Pyramid!$M248),ROW(Source!$B$1:$B$250),FALSE),K$3)),"")</f>
        <v/>
      </c>
      <c r="L248" t="str">
        <f t="array" aca="1" ref="L248" ca="1">IFERROR(INDEX(Source!$A$1:$A$250,SMALL(IF(--(Source!$B$1:$B$250=$O248)*--(Source!$E$1:$E$250=$M$3)*--(Source!$D$1:$D$250=Pyramid!$M248),ROW(Source!$B$1:$B$250),FALSE),L$3)),"")</f>
        <v/>
      </c>
      <c r="M248" t="str">
        <f t="shared" si="11"/>
        <v>28/10/2016</v>
      </c>
      <c r="N248">
        <f ca="1">COUNTIFS(Source!B:B,Pyramid!$O248,Source!$D:$D,Pyramid!$M248,Source!$E:$E,Pyramid!$M$3)</f>
        <v>0</v>
      </c>
      <c r="O248">
        <f ca="1">OFFSET(Sheet2!$N$3,INT(C248/5),)</f>
        <v>20900</v>
      </c>
      <c r="P248">
        <f ca="1">COUNTIFS(Source!B:B,Pyramid!$O248,Source!D:D,Pyramid!$Q248,Source!$E:$E,Pyramid!$Q$3)</f>
        <v>0</v>
      </c>
      <c r="Q248" t="str">
        <f t="shared" si="11"/>
        <v>28/10/2016</v>
      </c>
      <c r="R248" t="str">
        <f t="array" aca="1" ref="R248" ca="1">IFERROR(INDEX(Source!$A$1:$A$250,SMALL(IF(--(Source!$B$1:$B$250=$O248)*--(Source!$E$1:$E$250=$Q$3)*--(Source!$D$1:$D$250=Pyramid!$Q248),ROW(Source!$B$1:$B$250),FALSE),R$3)),"")</f>
        <v/>
      </c>
      <c r="S248" t="str">
        <f t="array" aca="1" ref="S248" ca="1">IFERROR(INDEX(Source!$A$1:$A$250,SMALL(IF(--(Source!$B$1:$B$250=$O248)*--(Source!$E$1:$E$250=$Q$3)*--(Source!$D$1:$D$250=Pyramid!$Q248),ROW(Source!$B$1:$B$250),FALSE),S$3)),"")</f>
        <v/>
      </c>
      <c r="T248" t="str">
        <f t="array" aca="1" ref="T248" ca="1">IFERROR(INDEX(Source!$A$1:$A$250,SMALL(IF(--(Source!$B$1:$B$250=$O248)*--(Source!$E$1:$E$250=$Q$3)*--(Source!$D$1:$D$250=Pyramid!$Q248),ROW(Source!$B$1:$B$250),FALSE),T$3)),"")</f>
        <v/>
      </c>
      <c r="U248" t="str">
        <f t="array" aca="1" ref="U248" ca="1">IFERROR(INDEX(Source!$A$1:$A$250,SMALL(IF(--(Source!$B$1:$B$250=$O248)*--(Source!$E$1:$E$250=$Q$3)*--(Source!$D$1:$D$250=Pyramid!$Q248),ROW(Source!$B$1:$B$250),FALSE),U$3)),"")</f>
        <v/>
      </c>
      <c r="V248" t="str">
        <f t="array" aca="1" ref="V248" ca="1">IFERROR(INDEX(Source!$A$1:$A$250,SMALL(IF(--(Source!$B$1:$B$250=$O248)*--(Source!$E$1:$E$250=$Q$3)*--(Source!$D$1:$D$250=Pyramid!$Q248),ROW(Source!$B$1:$B$250),FALSE),V$3)),"")</f>
        <v/>
      </c>
      <c r="W248" t="str">
        <f t="array" aca="1" ref="W248" ca="1">IFERROR(INDEX(Source!$A$1:$A$250,SMALL(IF(--(Source!$B$1:$B$250=$O248)*--(Source!$E$1:$E$250=$Q$3)*--(Source!$D$1:$D$250=Pyramid!$Q248),ROW(Source!$B$1:$B$250),FALSE),W$3)),"")</f>
        <v/>
      </c>
      <c r="X248" t="str">
        <f t="array" aca="1" ref="X248" ca="1">IFERROR(INDEX(Source!$A$1:$A$250,SMALL(IF(--(Source!$B$1:$B$250=$O248)*--(Source!$E$1:$E$250=$Q$3)*--(Source!$D$1:$D$250=Pyramid!$Q248),ROW(Source!$B$1:$B$250),FALSE),X$3)),"")</f>
        <v/>
      </c>
      <c r="Y248" s="5">
        <f t="shared" ca="1" si="12"/>
        <v>0</v>
      </c>
    </row>
    <row r="249" spans="3:25">
      <c r="C249">
        <v>245</v>
      </c>
      <c r="D249" s="5">
        <f t="shared" ca="1" si="10"/>
        <v>0</v>
      </c>
      <c r="E249" t="str">
        <f t="array" aca="1" ref="E249" ca="1">IFERROR(INDEX(Source!$A$1:$A$250,SMALL(IF(--(Source!$B$1:$B$250=$O249)*--(Source!$E$1:$E$250=$M$3)*--(Source!$D$1:$D$250=Pyramid!$M249),ROW(Source!$B$1:$B$250),FALSE),E$3)),"")</f>
        <v/>
      </c>
      <c r="F249" t="str">
        <f t="array" aca="1" ref="F249" ca="1">IFERROR(INDEX(Source!$A$1:$A$250,SMALL(IF(--(Source!$B$1:$B$250=$O249)*--(Source!$E$1:$E$250=$M$3)*--(Source!$D$1:$D$250=Pyramid!$M249),ROW(Source!$B$1:$B$250),FALSE),F$3)),"")</f>
        <v/>
      </c>
      <c r="G249" t="str">
        <f t="array" aca="1" ref="G249" ca="1">IFERROR(INDEX(Source!$A$1:$A$250,SMALL(IF(--(Source!$B$1:$B$250=$O249)*--(Source!$E$1:$E$250=$M$3)*--(Source!$D$1:$D$250=Pyramid!$M249),ROW(Source!$B$1:$B$250),FALSE),G$3)),"")</f>
        <v/>
      </c>
      <c r="H249" t="str">
        <f t="array" aca="1" ref="H249" ca="1">IFERROR(INDEX(Source!$A$1:$A$250,SMALL(IF(--(Source!$B$1:$B$250=$O249)*--(Source!$E$1:$E$250=$M$3)*--(Source!$D$1:$D$250=Pyramid!$M249),ROW(Source!$B$1:$B$250),FALSE),H$3)),"")</f>
        <v/>
      </c>
      <c r="I249" t="str">
        <f t="array" aca="1" ref="I249" ca="1">IFERROR(INDEX(Source!$A$1:$A$250,SMALL(IF(--(Source!$B$1:$B$250=$O249)*--(Source!$E$1:$E$250=$M$3)*--(Source!$D$1:$D$250=Pyramid!$M249),ROW(Source!$B$1:$B$250),FALSE),I$3)),"")</f>
        <v>24680 HK Equity</v>
      </c>
      <c r="J249" t="str">
        <f t="array" aca="1" ref="J249" ca="1">IFERROR(INDEX(Source!$A$1:$A$250,SMALL(IF(--(Source!$B$1:$B$250=$O249)*--(Source!$E$1:$E$250=$M$3)*--(Source!$D$1:$D$250=Pyramid!$M249),ROW(Source!$B$1:$B$250),FALSE),J$3)),"")</f>
        <v>25489 HK Equity</v>
      </c>
      <c r="K249" t="str">
        <f t="array" aca="1" ref="K249" ca="1">IFERROR(INDEX(Source!$A$1:$A$250,SMALL(IF(--(Source!$B$1:$B$250=$O249)*--(Source!$E$1:$E$250=$M$3)*--(Source!$D$1:$D$250=Pyramid!$M249),ROW(Source!$B$1:$B$250),FALSE),K$3)),"")</f>
        <v>24376 HK Equity</v>
      </c>
      <c r="L249" t="str">
        <f t="array" aca="1" ref="L249" ca="1">IFERROR(INDEX(Source!$A$1:$A$250,SMALL(IF(--(Source!$B$1:$B$250=$O249)*--(Source!$E$1:$E$250=$M$3)*--(Source!$D$1:$D$250=Pyramid!$M249),ROW(Source!$B$1:$B$250),FALSE),L$3)),"")</f>
        <v>12276 HK Equity</v>
      </c>
      <c r="M249" t="str">
        <f t="shared" si="11"/>
        <v>29/6/2016</v>
      </c>
      <c r="N249">
        <f ca="1">COUNTIFS(Source!B:B,Pyramid!$O249,Source!$D:$D,Pyramid!$M249,Source!$E:$E,Pyramid!$M$3)</f>
        <v>4</v>
      </c>
      <c r="O249">
        <f ca="1">OFFSET(Sheet2!$N$3,INT(C249/5),)</f>
        <v>21000</v>
      </c>
      <c r="P249">
        <f ca="1">COUNTIFS(Source!B:B,Pyramid!$O249,Source!D:D,Pyramid!$Q249,Source!$E:$E,Pyramid!$Q$3)</f>
        <v>2</v>
      </c>
      <c r="Q249" t="str">
        <f t="shared" si="11"/>
        <v>29/6/2016</v>
      </c>
      <c r="R249" t="str">
        <f t="array" aca="1" ref="R249" ca="1">IFERROR(INDEX(Source!$A$1:$A$250,SMALL(IF(--(Source!$B$1:$B$250=$O249)*--(Source!$E$1:$E$250=$Q$3)*--(Source!$D$1:$D$250=Pyramid!$Q249),ROW(Source!$B$1:$B$250),FALSE),R$3)),"")</f>
        <v>24425 HK Equity</v>
      </c>
      <c r="S249" t="str">
        <f t="array" aca="1" ref="S249" ca="1">IFERROR(INDEX(Source!$A$1:$A$250,SMALL(IF(--(Source!$B$1:$B$250=$O249)*--(Source!$E$1:$E$250=$Q$3)*--(Source!$D$1:$D$250=Pyramid!$Q249),ROW(Source!$B$1:$B$250),FALSE),S$3)),"")</f>
        <v>22997 HK Equity</v>
      </c>
      <c r="T249" t="str">
        <f t="array" aca="1" ref="T249" ca="1">IFERROR(INDEX(Source!$A$1:$A$250,SMALL(IF(--(Source!$B$1:$B$250=$O249)*--(Source!$E$1:$E$250=$Q$3)*--(Source!$D$1:$D$250=Pyramid!$Q249),ROW(Source!$B$1:$B$250),FALSE),T$3)),"")</f>
        <v/>
      </c>
      <c r="U249" t="str">
        <f t="array" aca="1" ref="U249" ca="1">IFERROR(INDEX(Source!$A$1:$A$250,SMALL(IF(--(Source!$B$1:$B$250=$O249)*--(Source!$E$1:$E$250=$Q$3)*--(Source!$D$1:$D$250=Pyramid!$Q249),ROW(Source!$B$1:$B$250),FALSE),U$3)),"")</f>
        <v/>
      </c>
      <c r="V249" t="str">
        <f t="array" aca="1" ref="V249" ca="1">IFERROR(INDEX(Source!$A$1:$A$250,SMALL(IF(--(Source!$B$1:$B$250=$O249)*--(Source!$E$1:$E$250=$Q$3)*--(Source!$D$1:$D$250=Pyramid!$Q249),ROW(Source!$B$1:$B$250),FALSE),V$3)),"")</f>
        <v/>
      </c>
      <c r="W249" t="str">
        <f t="array" aca="1" ref="W249" ca="1">IFERROR(INDEX(Source!$A$1:$A$250,SMALL(IF(--(Source!$B$1:$B$250=$O249)*--(Source!$E$1:$E$250=$Q$3)*--(Source!$D$1:$D$250=Pyramid!$Q249),ROW(Source!$B$1:$B$250),FALSE),W$3)),"")</f>
        <v/>
      </c>
      <c r="X249" t="str">
        <f t="array" aca="1" ref="X249" ca="1">IFERROR(INDEX(Source!$A$1:$A$250,SMALL(IF(--(Source!$B$1:$B$250=$O249)*--(Source!$E$1:$E$250=$Q$3)*--(Source!$D$1:$D$250=Pyramid!$Q249),ROW(Source!$B$1:$B$250),FALSE),X$3)),"")</f>
        <v/>
      </c>
      <c r="Y249" s="5">
        <f t="shared" ca="1" si="12"/>
        <v>0</v>
      </c>
    </row>
    <row r="250" spans="3:25">
      <c r="C250">
        <v>246</v>
      </c>
      <c r="D250" s="5">
        <f t="shared" ca="1" si="10"/>
        <v>0</v>
      </c>
      <c r="E250" t="str">
        <f t="array" aca="1" ref="E250" ca="1">IFERROR(INDEX(Source!$A$1:$A$250,SMALL(IF(--(Source!$B$1:$B$250=$O250)*--(Source!$E$1:$E$250=$M$3)*--(Source!$D$1:$D$250=Pyramid!$M250),ROW(Source!$B$1:$B$250),FALSE),E$3)),"")</f>
        <v/>
      </c>
      <c r="F250" t="str">
        <f t="array" aca="1" ref="F250" ca="1">IFERROR(INDEX(Source!$A$1:$A$250,SMALL(IF(--(Source!$B$1:$B$250=$O250)*--(Source!$E$1:$E$250=$M$3)*--(Source!$D$1:$D$250=Pyramid!$M250),ROW(Source!$B$1:$B$250),FALSE),F$3)),"")</f>
        <v/>
      </c>
      <c r="G250" t="str">
        <f t="array" aca="1" ref="G250" ca="1">IFERROR(INDEX(Source!$A$1:$A$250,SMALL(IF(--(Source!$B$1:$B$250=$O250)*--(Source!$E$1:$E$250=$M$3)*--(Source!$D$1:$D$250=Pyramid!$M250),ROW(Source!$B$1:$B$250),FALSE),G$3)),"")</f>
        <v/>
      </c>
      <c r="H250" t="str">
        <f t="array" aca="1" ref="H250" ca="1">IFERROR(INDEX(Source!$A$1:$A$250,SMALL(IF(--(Source!$B$1:$B$250=$O250)*--(Source!$E$1:$E$250=$M$3)*--(Source!$D$1:$D$250=Pyramid!$M250),ROW(Source!$B$1:$B$250),FALSE),H$3)),"")</f>
        <v/>
      </c>
      <c r="I250" t="str">
        <f t="array" aca="1" ref="I250" ca="1">IFERROR(INDEX(Source!$A$1:$A$250,SMALL(IF(--(Source!$B$1:$B$250=$O250)*--(Source!$E$1:$E$250=$M$3)*--(Source!$D$1:$D$250=Pyramid!$M250),ROW(Source!$B$1:$B$250),FALSE),I$3)),"")</f>
        <v/>
      </c>
      <c r="J250" t="str">
        <f t="array" aca="1" ref="J250" ca="1">IFERROR(INDEX(Source!$A$1:$A$250,SMALL(IF(--(Source!$B$1:$B$250=$O250)*--(Source!$E$1:$E$250=$M$3)*--(Source!$D$1:$D$250=Pyramid!$M250),ROW(Source!$B$1:$B$250),FALSE),J$3)),"")</f>
        <v/>
      </c>
      <c r="K250" t="str">
        <f t="array" aca="1" ref="K250" ca="1">IFERROR(INDEX(Source!$A$1:$A$250,SMALL(IF(--(Source!$B$1:$B$250=$O250)*--(Source!$E$1:$E$250=$M$3)*--(Source!$D$1:$D$250=Pyramid!$M250),ROW(Source!$B$1:$B$250),FALSE),K$3)),"")</f>
        <v/>
      </c>
      <c r="L250" t="str">
        <f t="array" aca="1" ref="L250" ca="1">IFERROR(INDEX(Source!$A$1:$A$250,SMALL(IF(--(Source!$B$1:$B$250=$O250)*--(Source!$E$1:$E$250=$M$3)*--(Source!$D$1:$D$250=Pyramid!$M250),ROW(Source!$B$1:$B$250),FALSE),L$3)),"")</f>
        <v/>
      </c>
      <c r="M250" t="str">
        <f t="shared" si="11"/>
        <v>28/7/2016</v>
      </c>
      <c r="N250">
        <f ca="1">COUNTIFS(Source!B:B,Pyramid!$O250,Source!$D:$D,Pyramid!$M250,Source!$E:$E,Pyramid!$M$3)</f>
        <v>0</v>
      </c>
      <c r="O250">
        <f ca="1">OFFSET(Sheet2!$N$3,INT(C250/5),)</f>
        <v>21000</v>
      </c>
      <c r="P250">
        <f ca="1">COUNTIFS(Source!B:B,Pyramid!$O250,Source!D:D,Pyramid!$Q250,Source!$E:$E,Pyramid!$Q$3)</f>
        <v>0</v>
      </c>
      <c r="Q250" t="str">
        <f t="shared" si="11"/>
        <v>28/7/2016</v>
      </c>
      <c r="R250" t="str">
        <f t="array" aca="1" ref="R250" ca="1">IFERROR(INDEX(Source!$A$1:$A$250,SMALL(IF(--(Source!$B$1:$B$250=$O250)*--(Source!$E$1:$E$250=$Q$3)*--(Source!$D$1:$D$250=Pyramid!$Q250),ROW(Source!$B$1:$B$250),FALSE),R$3)),"")</f>
        <v/>
      </c>
      <c r="S250" t="str">
        <f t="array" aca="1" ref="S250" ca="1">IFERROR(INDEX(Source!$A$1:$A$250,SMALL(IF(--(Source!$B$1:$B$250=$O250)*--(Source!$E$1:$E$250=$Q$3)*--(Source!$D$1:$D$250=Pyramid!$Q250),ROW(Source!$B$1:$B$250),FALSE),S$3)),"")</f>
        <v/>
      </c>
      <c r="T250" t="str">
        <f t="array" aca="1" ref="T250" ca="1">IFERROR(INDEX(Source!$A$1:$A$250,SMALL(IF(--(Source!$B$1:$B$250=$O250)*--(Source!$E$1:$E$250=$Q$3)*--(Source!$D$1:$D$250=Pyramid!$Q250),ROW(Source!$B$1:$B$250),FALSE),T$3)),"")</f>
        <v/>
      </c>
      <c r="U250" t="str">
        <f t="array" aca="1" ref="U250" ca="1">IFERROR(INDEX(Source!$A$1:$A$250,SMALL(IF(--(Source!$B$1:$B$250=$O250)*--(Source!$E$1:$E$250=$Q$3)*--(Source!$D$1:$D$250=Pyramid!$Q250),ROW(Source!$B$1:$B$250),FALSE),U$3)),"")</f>
        <v/>
      </c>
      <c r="V250" t="str">
        <f t="array" aca="1" ref="V250" ca="1">IFERROR(INDEX(Source!$A$1:$A$250,SMALL(IF(--(Source!$B$1:$B$250=$O250)*--(Source!$E$1:$E$250=$Q$3)*--(Source!$D$1:$D$250=Pyramid!$Q250),ROW(Source!$B$1:$B$250),FALSE),V$3)),"")</f>
        <v/>
      </c>
      <c r="W250" t="str">
        <f t="array" aca="1" ref="W250" ca="1">IFERROR(INDEX(Source!$A$1:$A$250,SMALL(IF(--(Source!$B$1:$B$250=$O250)*--(Source!$E$1:$E$250=$Q$3)*--(Source!$D$1:$D$250=Pyramid!$Q250),ROW(Source!$B$1:$B$250),FALSE),W$3)),"")</f>
        <v/>
      </c>
      <c r="X250" t="str">
        <f t="array" aca="1" ref="X250" ca="1">IFERROR(INDEX(Source!$A$1:$A$250,SMALL(IF(--(Source!$B$1:$B$250=$O250)*--(Source!$E$1:$E$250=$Q$3)*--(Source!$D$1:$D$250=Pyramid!$Q250),ROW(Source!$B$1:$B$250),FALSE),X$3)),"")</f>
        <v/>
      </c>
      <c r="Y250" s="5">
        <f t="shared" ca="1" si="12"/>
        <v>0</v>
      </c>
    </row>
    <row r="251" spans="3:25">
      <c r="C251">
        <v>247</v>
      </c>
      <c r="D251" s="5">
        <f t="shared" ca="1" si="10"/>
        <v>0</v>
      </c>
      <c r="E251" t="str">
        <f t="array" aca="1" ref="E251" ca="1">IFERROR(INDEX(Source!$A$1:$A$250,SMALL(IF(--(Source!$B$1:$B$250=$O251)*--(Source!$E$1:$E$250=$M$3)*--(Source!$D$1:$D$250=Pyramid!$M251),ROW(Source!$B$1:$B$250),FALSE),E$3)),"")</f>
        <v/>
      </c>
      <c r="F251" t="str">
        <f t="array" aca="1" ref="F251" ca="1">IFERROR(INDEX(Source!$A$1:$A$250,SMALL(IF(--(Source!$B$1:$B$250=$O251)*--(Source!$E$1:$E$250=$M$3)*--(Source!$D$1:$D$250=Pyramid!$M251),ROW(Source!$B$1:$B$250),FALSE),F$3)),"")</f>
        <v/>
      </c>
      <c r="G251" t="str">
        <f t="array" aca="1" ref="G251" ca="1">IFERROR(INDEX(Source!$A$1:$A$250,SMALL(IF(--(Source!$B$1:$B$250=$O251)*--(Source!$E$1:$E$250=$M$3)*--(Source!$D$1:$D$250=Pyramid!$M251),ROW(Source!$B$1:$B$250),FALSE),G$3)),"")</f>
        <v/>
      </c>
      <c r="H251" t="str">
        <f t="array" aca="1" ref="H251" ca="1">IFERROR(INDEX(Source!$A$1:$A$250,SMALL(IF(--(Source!$B$1:$B$250=$O251)*--(Source!$E$1:$E$250=$M$3)*--(Source!$D$1:$D$250=Pyramid!$M251),ROW(Source!$B$1:$B$250),FALSE),H$3)),"")</f>
        <v/>
      </c>
      <c r="I251" t="str">
        <f t="array" aca="1" ref="I251" ca="1">IFERROR(INDEX(Source!$A$1:$A$250,SMALL(IF(--(Source!$B$1:$B$250=$O251)*--(Source!$E$1:$E$250=$M$3)*--(Source!$D$1:$D$250=Pyramid!$M251),ROW(Source!$B$1:$B$250),FALSE),I$3)),"")</f>
        <v/>
      </c>
      <c r="J251" t="str">
        <f t="array" aca="1" ref="J251" ca="1">IFERROR(INDEX(Source!$A$1:$A$250,SMALL(IF(--(Source!$B$1:$B$250=$O251)*--(Source!$E$1:$E$250=$M$3)*--(Source!$D$1:$D$250=Pyramid!$M251),ROW(Source!$B$1:$B$250),FALSE),J$3)),"")</f>
        <v/>
      </c>
      <c r="K251" t="str">
        <f t="array" aca="1" ref="K251" ca="1">IFERROR(INDEX(Source!$A$1:$A$250,SMALL(IF(--(Source!$B$1:$B$250=$O251)*--(Source!$E$1:$E$250=$M$3)*--(Source!$D$1:$D$250=Pyramid!$M251),ROW(Source!$B$1:$B$250),FALSE),K$3)),"")</f>
        <v/>
      </c>
      <c r="L251" t="str">
        <f t="array" aca="1" ref="L251" ca="1">IFERROR(INDEX(Source!$A$1:$A$250,SMALL(IF(--(Source!$B$1:$B$250=$O251)*--(Source!$E$1:$E$250=$M$3)*--(Source!$D$1:$D$250=Pyramid!$M251),ROW(Source!$B$1:$B$250),FALSE),L$3)),"")</f>
        <v/>
      </c>
      <c r="M251" t="str">
        <f t="shared" si="11"/>
        <v>30/8/2016</v>
      </c>
      <c r="N251">
        <f ca="1">COUNTIFS(Source!B:B,Pyramid!$O251,Source!$D:$D,Pyramid!$M251,Source!$E:$E,Pyramid!$M$3)</f>
        <v>0</v>
      </c>
      <c r="O251">
        <f ca="1">OFFSET(Sheet2!$N$3,INT(C251/5),)</f>
        <v>21000</v>
      </c>
      <c r="P251">
        <f ca="1">COUNTIFS(Source!B:B,Pyramid!$O251,Source!D:D,Pyramid!$Q251,Source!$E:$E,Pyramid!$Q$3)</f>
        <v>3</v>
      </c>
      <c r="Q251" t="str">
        <f t="shared" si="11"/>
        <v>30/8/2016</v>
      </c>
      <c r="R251" t="str">
        <f t="array" aca="1" ref="R251" ca="1">IFERROR(INDEX(Source!$A$1:$A$250,SMALL(IF(--(Source!$B$1:$B$250=$O251)*--(Source!$E$1:$E$250=$Q$3)*--(Source!$D$1:$D$250=Pyramid!$Q251),ROW(Source!$B$1:$B$250),FALSE),R$3)),"")</f>
        <v>23535 HK Equity</v>
      </c>
      <c r="S251" t="str">
        <f t="array" aca="1" ref="S251" ca="1">IFERROR(INDEX(Source!$A$1:$A$250,SMALL(IF(--(Source!$B$1:$B$250=$O251)*--(Source!$E$1:$E$250=$Q$3)*--(Source!$D$1:$D$250=Pyramid!$Q251),ROW(Source!$B$1:$B$250),FALSE),S$3)),"")</f>
        <v>27666 HK Equity</v>
      </c>
      <c r="T251" t="str">
        <f t="array" aca="1" ref="T251" ca="1">IFERROR(INDEX(Source!$A$1:$A$250,SMALL(IF(--(Source!$B$1:$B$250=$O251)*--(Source!$E$1:$E$250=$Q$3)*--(Source!$D$1:$D$250=Pyramid!$Q251),ROW(Source!$B$1:$B$250),FALSE),T$3)),"")</f>
        <v>27596 HK Equity</v>
      </c>
      <c r="U251" t="str">
        <f t="array" aca="1" ref="U251" ca="1">IFERROR(INDEX(Source!$A$1:$A$250,SMALL(IF(--(Source!$B$1:$B$250=$O251)*--(Source!$E$1:$E$250=$Q$3)*--(Source!$D$1:$D$250=Pyramid!$Q251),ROW(Source!$B$1:$B$250),FALSE),U$3)),"")</f>
        <v/>
      </c>
      <c r="V251" t="str">
        <f t="array" aca="1" ref="V251" ca="1">IFERROR(INDEX(Source!$A$1:$A$250,SMALL(IF(--(Source!$B$1:$B$250=$O251)*--(Source!$E$1:$E$250=$Q$3)*--(Source!$D$1:$D$250=Pyramid!$Q251),ROW(Source!$B$1:$B$250),FALSE),V$3)),"")</f>
        <v/>
      </c>
      <c r="W251" t="str">
        <f t="array" aca="1" ref="W251" ca="1">IFERROR(INDEX(Source!$A$1:$A$250,SMALL(IF(--(Source!$B$1:$B$250=$O251)*--(Source!$E$1:$E$250=$Q$3)*--(Source!$D$1:$D$250=Pyramid!$Q251),ROW(Source!$B$1:$B$250),FALSE),W$3)),"")</f>
        <v/>
      </c>
      <c r="X251" t="str">
        <f t="array" aca="1" ref="X251" ca="1">IFERROR(INDEX(Source!$A$1:$A$250,SMALL(IF(--(Source!$B$1:$B$250=$O251)*--(Source!$E$1:$E$250=$Q$3)*--(Source!$D$1:$D$250=Pyramid!$Q251),ROW(Source!$B$1:$B$250),FALSE),X$3)),"")</f>
        <v/>
      </c>
      <c r="Y251" s="5">
        <f t="shared" ca="1" si="12"/>
        <v>0</v>
      </c>
    </row>
    <row r="252" spans="3:25">
      <c r="C252">
        <v>248</v>
      </c>
      <c r="D252" s="5">
        <f t="shared" ca="1" si="10"/>
        <v>0</v>
      </c>
      <c r="E252" t="str">
        <f t="array" aca="1" ref="E252" ca="1">IFERROR(INDEX(Source!$A$1:$A$250,SMALL(IF(--(Source!$B$1:$B$250=$O252)*--(Source!$E$1:$E$250=$M$3)*--(Source!$D$1:$D$250=Pyramid!$M252),ROW(Source!$B$1:$B$250),FALSE),E$3)),"")</f>
        <v/>
      </c>
      <c r="F252" t="str">
        <f t="array" aca="1" ref="F252" ca="1">IFERROR(INDEX(Source!$A$1:$A$250,SMALL(IF(--(Source!$B$1:$B$250=$O252)*--(Source!$E$1:$E$250=$M$3)*--(Source!$D$1:$D$250=Pyramid!$M252),ROW(Source!$B$1:$B$250),FALSE),F$3)),"")</f>
        <v/>
      </c>
      <c r="G252" t="str">
        <f t="array" aca="1" ref="G252" ca="1">IFERROR(INDEX(Source!$A$1:$A$250,SMALL(IF(--(Source!$B$1:$B$250=$O252)*--(Source!$E$1:$E$250=$M$3)*--(Source!$D$1:$D$250=Pyramid!$M252),ROW(Source!$B$1:$B$250),FALSE),G$3)),"")</f>
        <v/>
      </c>
      <c r="H252" t="str">
        <f t="array" aca="1" ref="H252" ca="1">IFERROR(INDEX(Source!$A$1:$A$250,SMALL(IF(--(Source!$B$1:$B$250=$O252)*--(Source!$E$1:$E$250=$M$3)*--(Source!$D$1:$D$250=Pyramid!$M252),ROW(Source!$B$1:$B$250),FALSE),H$3)),"")</f>
        <v/>
      </c>
      <c r="I252" t="str">
        <f t="array" aca="1" ref="I252" ca="1">IFERROR(INDEX(Source!$A$1:$A$250,SMALL(IF(--(Source!$B$1:$B$250=$O252)*--(Source!$E$1:$E$250=$M$3)*--(Source!$D$1:$D$250=Pyramid!$M252),ROW(Source!$B$1:$B$250),FALSE),I$3)),"")</f>
        <v>25483 HK Equity</v>
      </c>
      <c r="J252" t="str">
        <f t="array" aca="1" ref="J252" ca="1">IFERROR(INDEX(Source!$A$1:$A$250,SMALL(IF(--(Source!$B$1:$B$250=$O252)*--(Source!$E$1:$E$250=$M$3)*--(Source!$D$1:$D$250=Pyramid!$M252),ROW(Source!$B$1:$B$250),FALSE),J$3)),"")</f>
        <v>26206 HK Equity</v>
      </c>
      <c r="K252" t="str">
        <f t="array" aca="1" ref="K252" ca="1">IFERROR(INDEX(Source!$A$1:$A$250,SMALL(IF(--(Source!$B$1:$B$250=$O252)*--(Source!$E$1:$E$250=$M$3)*--(Source!$D$1:$D$250=Pyramid!$M252),ROW(Source!$B$1:$B$250),FALSE),K$3)),"")</f>
        <v>26748 HK Equity</v>
      </c>
      <c r="L252" t="str">
        <f t="array" aca="1" ref="L252" ca="1">IFERROR(INDEX(Source!$A$1:$A$250,SMALL(IF(--(Source!$B$1:$B$250=$O252)*--(Source!$E$1:$E$250=$M$3)*--(Source!$D$1:$D$250=Pyramid!$M252),ROW(Source!$B$1:$B$250),FALSE),L$3)),"")</f>
        <v>26788 HK Equity</v>
      </c>
      <c r="M252" t="str">
        <f t="shared" si="11"/>
        <v>29/9/2016</v>
      </c>
      <c r="N252">
        <f ca="1">COUNTIFS(Source!B:B,Pyramid!$O252,Source!$D:$D,Pyramid!$M252,Source!$E:$E,Pyramid!$M$3)</f>
        <v>4</v>
      </c>
      <c r="O252">
        <f ca="1">OFFSET(Sheet2!$N$3,INT(C252/5),)</f>
        <v>21000</v>
      </c>
      <c r="P252">
        <f ca="1">COUNTIFS(Source!B:B,Pyramid!$O252,Source!D:D,Pyramid!$Q252,Source!$E:$E,Pyramid!$Q$3)</f>
        <v>0</v>
      </c>
      <c r="Q252" t="str">
        <f t="shared" si="11"/>
        <v>29/9/2016</v>
      </c>
      <c r="R252" t="str">
        <f t="array" aca="1" ref="R252" ca="1">IFERROR(INDEX(Source!$A$1:$A$250,SMALL(IF(--(Source!$B$1:$B$250=$O252)*--(Source!$E$1:$E$250=$Q$3)*--(Source!$D$1:$D$250=Pyramid!$Q252),ROW(Source!$B$1:$B$250),FALSE),R$3)),"")</f>
        <v/>
      </c>
      <c r="S252" t="str">
        <f t="array" aca="1" ref="S252" ca="1">IFERROR(INDEX(Source!$A$1:$A$250,SMALL(IF(--(Source!$B$1:$B$250=$O252)*--(Source!$E$1:$E$250=$Q$3)*--(Source!$D$1:$D$250=Pyramid!$Q252),ROW(Source!$B$1:$B$250),FALSE),S$3)),"")</f>
        <v/>
      </c>
      <c r="T252" t="str">
        <f t="array" aca="1" ref="T252" ca="1">IFERROR(INDEX(Source!$A$1:$A$250,SMALL(IF(--(Source!$B$1:$B$250=$O252)*--(Source!$E$1:$E$250=$Q$3)*--(Source!$D$1:$D$250=Pyramid!$Q252),ROW(Source!$B$1:$B$250),FALSE),T$3)),"")</f>
        <v/>
      </c>
      <c r="U252" t="str">
        <f t="array" aca="1" ref="U252" ca="1">IFERROR(INDEX(Source!$A$1:$A$250,SMALL(IF(--(Source!$B$1:$B$250=$O252)*--(Source!$E$1:$E$250=$Q$3)*--(Source!$D$1:$D$250=Pyramid!$Q252),ROW(Source!$B$1:$B$250),FALSE),U$3)),"")</f>
        <v/>
      </c>
      <c r="V252" t="str">
        <f t="array" aca="1" ref="V252" ca="1">IFERROR(INDEX(Source!$A$1:$A$250,SMALL(IF(--(Source!$B$1:$B$250=$O252)*--(Source!$E$1:$E$250=$Q$3)*--(Source!$D$1:$D$250=Pyramid!$Q252),ROW(Source!$B$1:$B$250),FALSE),V$3)),"")</f>
        <v/>
      </c>
      <c r="W252" t="str">
        <f t="array" aca="1" ref="W252" ca="1">IFERROR(INDEX(Source!$A$1:$A$250,SMALL(IF(--(Source!$B$1:$B$250=$O252)*--(Source!$E$1:$E$250=$Q$3)*--(Source!$D$1:$D$250=Pyramid!$Q252),ROW(Source!$B$1:$B$250),FALSE),W$3)),"")</f>
        <v/>
      </c>
      <c r="X252" t="str">
        <f t="array" aca="1" ref="X252" ca="1">IFERROR(INDEX(Source!$A$1:$A$250,SMALL(IF(--(Source!$B$1:$B$250=$O252)*--(Source!$E$1:$E$250=$Q$3)*--(Source!$D$1:$D$250=Pyramid!$Q252),ROW(Source!$B$1:$B$250),FALSE),X$3)),"")</f>
        <v/>
      </c>
      <c r="Y252" s="5">
        <f t="shared" ca="1" si="12"/>
        <v>0</v>
      </c>
    </row>
    <row r="253" spans="3:25">
      <c r="C253">
        <v>249</v>
      </c>
      <c r="D253" s="5">
        <f t="shared" ca="1" si="10"/>
        <v>0</v>
      </c>
      <c r="E253" t="str">
        <f t="array" aca="1" ref="E253" ca="1">IFERROR(INDEX(Source!$A$1:$A$250,SMALL(IF(--(Source!$B$1:$B$250=$O253)*--(Source!$E$1:$E$250=$M$3)*--(Source!$D$1:$D$250=Pyramid!$M253),ROW(Source!$B$1:$B$250),FALSE),E$3)),"")</f>
        <v/>
      </c>
      <c r="F253" t="str">
        <f t="array" aca="1" ref="F253" ca="1">IFERROR(INDEX(Source!$A$1:$A$250,SMALL(IF(--(Source!$B$1:$B$250=$O253)*--(Source!$E$1:$E$250=$M$3)*--(Source!$D$1:$D$250=Pyramid!$M253),ROW(Source!$B$1:$B$250),FALSE),F$3)),"")</f>
        <v/>
      </c>
      <c r="G253" t="str">
        <f t="array" aca="1" ref="G253" ca="1">IFERROR(INDEX(Source!$A$1:$A$250,SMALL(IF(--(Source!$B$1:$B$250=$O253)*--(Source!$E$1:$E$250=$M$3)*--(Source!$D$1:$D$250=Pyramid!$M253),ROW(Source!$B$1:$B$250),FALSE),G$3)),"")</f>
        <v/>
      </c>
      <c r="H253" t="str">
        <f t="array" aca="1" ref="H253" ca="1">IFERROR(INDEX(Source!$A$1:$A$250,SMALL(IF(--(Source!$B$1:$B$250=$O253)*--(Source!$E$1:$E$250=$M$3)*--(Source!$D$1:$D$250=Pyramid!$M253),ROW(Source!$B$1:$B$250),FALSE),H$3)),"")</f>
        <v/>
      </c>
      <c r="I253" t="str">
        <f t="array" aca="1" ref="I253" ca="1">IFERROR(INDEX(Source!$A$1:$A$250,SMALL(IF(--(Source!$B$1:$B$250=$O253)*--(Source!$E$1:$E$250=$M$3)*--(Source!$D$1:$D$250=Pyramid!$M253),ROW(Source!$B$1:$B$250),FALSE),I$3)),"")</f>
        <v/>
      </c>
      <c r="J253" t="str">
        <f t="array" aca="1" ref="J253" ca="1">IFERROR(INDEX(Source!$A$1:$A$250,SMALL(IF(--(Source!$B$1:$B$250=$O253)*--(Source!$E$1:$E$250=$M$3)*--(Source!$D$1:$D$250=Pyramid!$M253),ROW(Source!$B$1:$B$250),FALSE),J$3)),"")</f>
        <v/>
      </c>
      <c r="K253" t="str">
        <f t="array" aca="1" ref="K253" ca="1">IFERROR(INDEX(Source!$A$1:$A$250,SMALL(IF(--(Source!$B$1:$B$250=$O253)*--(Source!$E$1:$E$250=$M$3)*--(Source!$D$1:$D$250=Pyramid!$M253),ROW(Source!$B$1:$B$250),FALSE),K$3)),"")</f>
        <v/>
      </c>
      <c r="L253" t="str">
        <f t="array" aca="1" ref="L253" ca="1">IFERROR(INDEX(Source!$A$1:$A$250,SMALL(IF(--(Source!$B$1:$B$250=$O253)*--(Source!$E$1:$E$250=$M$3)*--(Source!$D$1:$D$250=Pyramid!$M253),ROW(Source!$B$1:$B$250),FALSE),L$3)),"")</f>
        <v/>
      </c>
      <c r="M253" t="str">
        <f t="shared" si="11"/>
        <v>28/10/2016</v>
      </c>
      <c r="N253">
        <f ca="1">COUNTIFS(Source!B:B,Pyramid!$O253,Source!$D:$D,Pyramid!$M253,Source!$E:$E,Pyramid!$M$3)</f>
        <v>0</v>
      </c>
      <c r="O253">
        <f ca="1">OFFSET(Sheet2!$N$3,INT(C253/5),)</f>
        <v>21000</v>
      </c>
      <c r="P253">
        <f ca="1">COUNTIFS(Source!B:B,Pyramid!$O253,Source!D:D,Pyramid!$Q253,Source!$E:$E,Pyramid!$Q$3)</f>
        <v>0</v>
      </c>
      <c r="Q253" t="str">
        <f t="shared" si="11"/>
        <v>28/10/2016</v>
      </c>
      <c r="R253" t="str">
        <f t="array" aca="1" ref="R253" ca="1">IFERROR(INDEX(Source!$A$1:$A$250,SMALL(IF(--(Source!$B$1:$B$250=$O253)*--(Source!$E$1:$E$250=$Q$3)*--(Source!$D$1:$D$250=Pyramid!$Q253),ROW(Source!$B$1:$B$250),FALSE),R$3)),"")</f>
        <v/>
      </c>
      <c r="S253" t="str">
        <f t="array" aca="1" ref="S253" ca="1">IFERROR(INDEX(Source!$A$1:$A$250,SMALL(IF(--(Source!$B$1:$B$250=$O253)*--(Source!$E$1:$E$250=$Q$3)*--(Source!$D$1:$D$250=Pyramid!$Q253),ROW(Source!$B$1:$B$250),FALSE),S$3)),"")</f>
        <v/>
      </c>
      <c r="T253" t="str">
        <f t="array" aca="1" ref="T253" ca="1">IFERROR(INDEX(Source!$A$1:$A$250,SMALL(IF(--(Source!$B$1:$B$250=$O253)*--(Source!$E$1:$E$250=$Q$3)*--(Source!$D$1:$D$250=Pyramid!$Q253),ROW(Source!$B$1:$B$250),FALSE),T$3)),"")</f>
        <v/>
      </c>
      <c r="U253" t="str">
        <f t="array" aca="1" ref="U253" ca="1">IFERROR(INDEX(Source!$A$1:$A$250,SMALL(IF(--(Source!$B$1:$B$250=$O253)*--(Source!$E$1:$E$250=$Q$3)*--(Source!$D$1:$D$250=Pyramid!$Q253),ROW(Source!$B$1:$B$250),FALSE),U$3)),"")</f>
        <v/>
      </c>
      <c r="V253" t="str">
        <f t="array" aca="1" ref="V253" ca="1">IFERROR(INDEX(Source!$A$1:$A$250,SMALL(IF(--(Source!$B$1:$B$250=$O253)*--(Source!$E$1:$E$250=$Q$3)*--(Source!$D$1:$D$250=Pyramid!$Q253),ROW(Source!$B$1:$B$250),FALSE),V$3)),"")</f>
        <v/>
      </c>
      <c r="W253" t="str">
        <f t="array" aca="1" ref="W253" ca="1">IFERROR(INDEX(Source!$A$1:$A$250,SMALL(IF(--(Source!$B$1:$B$250=$O253)*--(Source!$E$1:$E$250=$Q$3)*--(Source!$D$1:$D$250=Pyramid!$Q253),ROW(Source!$B$1:$B$250),FALSE),W$3)),"")</f>
        <v/>
      </c>
      <c r="X253" t="str">
        <f t="array" aca="1" ref="X253" ca="1">IFERROR(INDEX(Source!$A$1:$A$250,SMALL(IF(--(Source!$B$1:$B$250=$O253)*--(Source!$E$1:$E$250=$Q$3)*--(Source!$D$1:$D$250=Pyramid!$Q253),ROW(Source!$B$1:$B$250),FALSE),X$3)),"")</f>
        <v/>
      </c>
      <c r="Y253" s="5">
        <f t="shared" ca="1" si="12"/>
        <v>0</v>
      </c>
    </row>
    <row r="254" spans="3:25">
      <c r="C254">
        <v>250</v>
      </c>
      <c r="D254" s="5">
        <f t="shared" ca="1" si="10"/>
        <v>0</v>
      </c>
      <c r="E254" t="str">
        <f t="array" aca="1" ref="E254" ca="1">IFERROR(INDEX(Source!$A$1:$A$250,SMALL(IF(--(Source!$B$1:$B$250=$O254)*--(Source!$E$1:$E$250=$M$3)*--(Source!$D$1:$D$250=Pyramid!$M254),ROW(Source!$B$1:$B$250),FALSE),E$3)),"")</f>
        <v/>
      </c>
      <c r="F254" t="str">
        <f t="array" aca="1" ref="F254" ca="1">IFERROR(INDEX(Source!$A$1:$A$250,SMALL(IF(--(Source!$B$1:$B$250=$O254)*--(Source!$E$1:$E$250=$M$3)*--(Source!$D$1:$D$250=Pyramid!$M254),ROW(Source!$B$1:$B$250),FALSE),F$3)),"")</f>
        <v/>
      </c>
      <c r="G254" t="str">
        <f t="array" aca="1" ref="G254" ca="1">IFERROR(INDEX(Source!$A$1:$A$250,SMALL(IF(--(Source!$B$1:$B$250=$O254)*--(Source!$E$1:$E$250=$M$3)*--(Source!$D$1:$D$250=Pyramid!$M254),ROW(Source!$B$1:$B$250),FALSE),G$3)),"")</f>
        <v/>
      </c>
      <c r="H254" t="str">
        <f t="array" aca="1" ref="H254" ca="1">IFERROR(INDEX(Source!$A$1:$A$250,SMALL(IF(--(Source!$B$1:$B$250=$O254)*--(Source!$E$1:$E$250=$M$3)*--(Source!$D$1:$D$250=Pyramid!$M254),ROW(Source!$B$1:$B$250),FALSE),H$3)),"")</f>
        <v/>
      </c>
      <c r="I254" t="str">
        <f t="array" aca="1" ref="I254" ca="1">IFERROR(INDEX(Source!$A$1:$A$250,SMALL(IF(--(Source!$B$1:$B$250=$O254)*--(Source!$E$1:$E$250=$M$3)*--(Source!$D$1:$D$250=Pyramid!$M254),ROW(Source!$B$1:$B$250),FALSE),I$3)),"")</f>
        <v/>
      </c>
      <c r="J254" t="str">
        <f t="array" aca="1" ref="J254" ca="1">IFERROR(INDEX(Source!$A$1:$A$250,SMALL(IF(--(Source!$B$1:$B$250=$O254)*--(Source!$E$1:$E$250=$M$3)*--(Source!$D$1:$D$250=Pyramid!$M254),ROW(Source!$B$1:$B$250),FALSE),J$3)),"")</f>
        <v/>
      </c>
      <c r="K254" t="str">
        <f t="array" aca="1" ref="K254" ca="1">IFERROR(INDEX(Source!$A$1:$A$250,SMALL(IF(--(Source!$B$1:$B$250=$O254)*--(Source!$E$1:$E$250=$M$3)*--(Source!$D$1:$D$250=Pyramid!$M254),ROW(Source!$B$1:$B$250),FALSE),K$3)),"")</f>
        <v/>
      </c>
      <c r="L254" t="str">
        <f t="array" aca="1" ref="L254" ca="1">IFERROR(INDEX(Source!$A$1:$A$250,SMALL(IF(--(Source!$B$1:$B$250=$O254)*--(Source!$E$1:$E$250=$M$3)*--(Source!$D$1:$D$250=Pyramid!$M254),ROW(Source!$B$1:$B$250),FALSE),L$3)),"")</f>
        <v/>
      </c>
      <c r="M254" t="str">
        <f t="shared" si="11"/>
        <v>29/6/2016</v>
      </c>
      <c r="N254">
        <f ca="1">COUNTIFS(Source!B:B,Pyramid!$O254,Source!$D:$D,Pyramid!$M254,Source!$E:$E,Pyramid!$M$3)</f>
        <v>0</v>
      </c>
      <c r="O254">
        <f ca="1">OFFSET(Sheet2!$N$3,INT(C254/5),)</f>
        <v>21088</v>
      </c>
      <c r="P254">
        <f ca="1">COUNTIFS(Source!B:B,Pyramid!$O254,Source!D:D,Pyramid!$Q254,Source!$E:$E,Pyramid!$Q$3)</f>
        <v>0</v>
      </c>
      <c r="Q254" t="str">
        <f t="shared" si="11"/>
        <v>29/6/2016</v>
      </c>
      <c r="R254" t="str">
        <f t="array" aca="1" ref="R254" ca="1">IFERROR(INDEX(Source!$A$1:$A$250,SMALL(IF(--(Source!$B$1:$B$250=$O254)*--(Source!$E$1:$E$250=$Q$3)*--(Source!$D$1:$D$250=Pyramid!$Q254),ROW(Source!$B$1:$B$250),FALSE),R$3)),"")</f>
        <v/>
      </c>
      <c r="S254" t="str">
        <f t="array" aca="1" ref="S254" ca="1">IFERROR(INDEX(Source!$A$1:$A$250,SMALL(IF(--(Source!$B$1:$B$250=$O254)*--(Source!$E$1:$E$250=$Q$3)*--(Source!$D$1:$D$250=Pyramid!$Q254),ROW(Source!$B$1:$B$250),FALSE),S$3)),"")</f>
        <v/>
      </c>
      <c r="T254" t="str">
        <f t="array" aca="1" ref="T254" ca="1">IFERROR(INDEX(Source!$A$1:$A$250,SMALL(IF(--(Source!$B$1:$B$250=$O254)*--(Source!$E$1:$E$250=$Q$3)*--(Source!$D$1:$D$250=Pyramid!$Q254),ROW(Source!$B$1:$B$250),FALSE),T$3)),"")</f>
        <v/>
      </c>
      <c r="U254" t="str">
        <f t="array" aca="1" ref="U254" ca="1">IFERROR(INDEX(Source!$A$1:$A$250,SMALL(IF(--(Source!$B$1:$B$250=$O254)*--(Source!$E$1:$E$250=$Q$3)*--(Source!$D$1:$D$250=Pyramid!$Q254),ROW(Source!$B$1:$B$250),FALSE),U$3)),"")</f>
        <v/>
      </c>
      <c r="V254" t="str">
        <f t="array" aca="1" ref="V254" ca="1">IFERROR(INDEX(Source!$A$1:$A$250,SMALL(IF(--(Source!$B$1:$B$250=$O254)*--(Source!$E$1:$E$250=$Q$3)*--(Source!$D$1:$D$250=Pyramid!$Q254),ROW(Source!$B$1:$B$250),FALSE),V$3)),"")</f>
        <v/>
      </c>
      <c r="W254" t="str">
        <f t="array" aca="1" ref="W254" ca="1">IFERROR(INDEX(Source!$A$1:$A$250,SMALL(IF(--(Source!$B$1:$B$250=$O254)*--(Source!$E$1:$E$250=$Q$3)*--(Source!$D$1:$D$250=Pyramid!$Q254),ROW(Source!$B$1:$B$250),FALSE),W$3)),"")</f>
        <v/>
      </c>
      <c r="X254" t="str">
        <f t="array" aca="1" ref="X254" ca="1">IFERROR(INDEX(Source!$A$1:$A$250,SMALL(IF(--(Source!$B$1:$B$250=$O254)*--(Source!$E$1:$E$250=$Q$3)*--(Source!$D$1:$D$250=Pyramid!$Q254),ROW(Source!$B$1:$B$250),FALSE),X$3)),"")</f>
        <v/>
      </c>
      <c r="Y254" s="5">
        <f t="shared" ca="1" si="12"/>
        <v>0</v>
      </c>
    </row>
    <row r="255" spans="3:25">
      <c r="C255">
        <v>251</v>
      </c>
      <c r="D255" s="5">
        <f t="shared" ca="1" si="10"/>
        <v>0</v>
      </c>
      <c r="E255" t="str">
        <f t="array" aca="1" ref="E255" ca="1">IFERROR(INDEX(Source!$A$1:$A$250,SMALL(IF(--(Source!$B$1:$B$250=$O255)*--(Source!$E$1:$E$250=$M$3)*--(Source!$D$1:$D$250=Pyramid!$M255),ROW(Source!$B$1:$B$250),FALSE),E$3)),"")</f>
        <v/>
      </c>
      <c r="F255" t="str">
        <f t="array" aca="1" ref="F255" ca="1">IFERROR(INDEX(Source!$A$1:$A$250,SMALL(IF(--(Source!$B$1:$B$250=$O255)*--(Source!$E$1:$E$250=$M$3)*--(Source!$D$1:$D$250=Pyramid!$M255),ROW(Source!$B$1:$B$250),FALSE),F$3)),"")</f>
        <v/>
      </c>
      <c r="G255" t="str">
        <f t="array" aca="1" ref="G255" ca="1">IFERROR(INDEX(Source!$A$1:$A$250,SMALL(IF(--(Source!$B$1:$B$250=$O255)*--(Source!$E$1:$E$250=$M$3)*--(Source!$D$1:$D$250=Pyramid!$M255),ROW(Source!$B$1:$B$250),FALSE),G$3)),"")</f>
        <v/>
      </c>
      <c r="H255" t="str">
        <f t="array" aca="1" ref="H255" ca="1">IFERROR(INDEX(Source!$A$1:$A$250,SMALL(IF(--(Source!$B$1:$B$250=$O255)*--(Source!$E$1:$E$250=$M$3)*--(Source!$D$1:$D$250=Pyramid!$M255),ROW(Source!$B$1:$B$250),FALSE),H$3)),"")</f>
        <v/>
      </c>
      <c r="I255" t="str">
        <f t="array" aca="1" ref="I255" ca="1">IFERROR(INDEX(Source!$A$1:$A$250,SMALL(IF(--(Source!$B$1:$B$250=$O255)*--(Source!$E$1:$E$250=$M$3)*--(Source!$D$1:$D$250=Pyramid!$M255),ROW(Source!$B$1:$B$250),FALSE),I$3)),"")</f>
        <v/>
      </c>
      <c r="J255" t="str">
        <f t="array" aca="1" ref="J255" ca="1">IFERROR(INDEX(Source!$A$1:$A$250,SMALL(IF(--(Source!$B$1:$B$250=$O255)*--(Source!$E$1:$E$250=$M$3)*--(Source!$D$1:$D$250=Pyramid!$M255),ROW(Source!$B$1:$B$250),FALSE),J$3)),"")</f>
        <v/>
      </c>
      <c r="K255" t="str">
        <f t="array" aca="1" ref="K255" ca="1">IFERROR(INDEX(Source!$A$1:$A$250,SMALL(IF(--(Source!$B$1:$B$250=$O255)*--(Source!$E$1:$E$250=$M$3)*--(Source!$D$1:$D$250=Pyramid!$M255),ROW(Source!$B$1:$B$250),FALSE),K$3)),"")</f>
        <v/>
      </c>
      <c r="L255" t="str">
        <f t="array" aca="1" ref="L255" ca="1">IFERROR(INDEX(Source!$A$1:$A$250,SMALL(IF(--(Source!$B$1:$B$250=$O255)*--(Source!$E$1:$E$250=$M$3)*--(Source!$D$1:$D$250=Pyramid!$M255),ROW(Source!$B$1:$B$250),FALSE),L$3)),"")</f>
        <v/>
      </c>
      <c r="M255" t="str">
        <f t="shared" si="11"/>
        <v>28/7/2016</v>
      </c>
      <c r="N255">
        <f ca="1">COUNTIFS(Source!B:B,Pyramid!$O255,Source!$D:$D,Pyramid!$M255,Source!$E:$E,Pyramid!$M$3)</f>
        <v>0</v>
      </c>
      <c r="O255">
        <f ca="1">OFFSET(Sheet2!$N$3,INT(C255/5),)</f>
        <v>21088</v>
      </c>
      <c r="P255">
        <f ca="1">COUNTIFS(Source!B:B,Pyramid!$O255,Source!D:D,Pyramid!$Q255,Source!$E:$E,Pyramid!$Q$3)</f>
        <v>0</v>
      </c>
      <c r="Q255" t="str">
        <f t="shared" si="11"/>
        <v>28/7/2016</v>
      </c>
      <c r="R255" t="str">
        <f t="array" aca="1" ref="R255" ca="1">IFERROR(INDEX(Source!$A$1:$A$250,SMALL(IF(--(Source!$B$1:$B$250=$O255)*--(Source!$E$1:$E$250=$Q$3)*--(Source!$D$1:$D$250=Pyramid!$Q255),ROW(Source!$B$1:$B$250),FALSE),R$3)),"")</f>
        <v/>
      </c>
      <c r="S255" t="str">
        <f t="array" aca="1" ref="S255" ca="1">IFERROR(INDEX(Source!$A$1:$A$250,SMALL(IF(--(Source!$B$1:$B$250=$O255)*--(Source!$E$1:$E$250=$Q$3)*--(Source!$D$1:$D$250=Pyramid!$Q255),ROW(Source!$B$1:$B$250),FALSE),S$3)),"")</f>
        <v/>
      </c>
      <c r="T255" t="str">
        <f t="array" aca="1" ref="T255" ca="1">IFERROR(INDEX(Source!$A$1:$A$250,SMALL(IF(--(Source!$B$1:$B$250=$O255)*--(Source!$E$1:$E$250=$Q$3)*--(Source!$D$1:$D$250=Pyramid!$Q255),ROW(Source!$B$1:$B$250),FALSE),T$3)),"")</f>
        <v/>
      </c>
      <c r="U255" t="str">
        <f t="array" aca="1" ref="U255" ca="1">IFERROR(INDEX(Source!$A$1:$A$250,SMALL(IF(--(Source!$B$1:$B$250=$O255)*--(Source!$E$1:$E$250=$Q$3)*--(Source!$D$1:$D$250=Pyramid!$Q255),ROW(Source!$B$1:$B$250),FALSE),U$3)),"")</f>
        <v/>
      </c>
      <c r="V255" t="str">
        <f t="array" aca="1" ref="V255" ca="1">IFERROR(INDEX(Source!$A$1:$A$250,SMALL(IF(--(Source!$B$1:$B$250=$O255)*--(Source!$E$1:$E$250=$Q$3)*--(Source!$D$1:$D$250=Pyramid!$Q255),ROW(Source!$B$1:$B$250),FALSE),V$3)),"")</f>
        <v/>
      </c>
      <c r="W255" t="str">
        <f t="array" aca="1" ref="W255" ca="1">IFERROR(INDEX(Source!$A$1:$A$250,SMALL(IF(--(Source!$B$1:$B$250=$O255)*--(Source!$E$1:$E$250=$Q$3)*--(Source!$D$1:$D$250=Pyramid!$Q255),ROW(Source!$B$1:$B$250),FALSE),W$3)),"")</f>
        <v/>
      </c>
      <c r="X255" t="str">
        <f t="array" aca="1" ref="X255" ca="1">IFERROR(INDEX(Source!$A$1:$A$250,SMALL(IF(--(Source!$B$1:$B$250=$O255)*--(Source!$E$1:$E$250=$Q$3)*--(Source!$D$1:$D$250=Pyramid!$Q255),ROW(Source!$B$1:$B$250),FALSE),X$3)),"")</f>
        <v/>
      </c>
      <c r="Y255" s="5">
        <f t="shared" ca="1" si="12"/>
        <v>0</v>
      </c>
    </row>
    <row r="256" spans="3:25">
      <c r="C256">
        <v>252</v>
      </c>
      <c r="D256" s="5">
        <f t="shared" ca="1" si="10"/>
        <v>0</v>
      </c>
      <c r="E256" t="str">
        <f t="array" aca="1" ref="E256" ca="1">IFERROR(INDEX(Source!$A$1:$A$250,SMALL(IF(--(Source!$B$1:$B$250=$O256)*--(Source!$E$1:$E$250=$M$3)*--(Source!$D$1:$D$250=Pyramid!$M256),ROW(Source!$B$1:$B$250),FALSE),E$3)),"")</f>
        <v/>
      </c>
      <c r="F256" t="str">
        <f t="array" aca="1" ref="F256" ca="1">IFERROR(INDEX(Source!$A$1:$A$250,SMALL(IF(--(Source!$B$1:$B$250=$O256)*--(Source!$E$1:$E$250=$M$3)*--(Source!$D$1:$D$250=Pyramid!$M256),ROW(Source!$B$1:$B$250),FALSE),F$3)),"")</f>
        <v/>
      </c>
      <c r="G256" t="str">
        <f t="array" aca="1" ref="G256" ca="1">IFERROR(INDEX(Source!$A$1:$A$250,SMALL(IF(--(Source!$B$1:$B$250=$O256)*--(Source!$E$1:$E$250=$M$3)*--(Source!$D$1:$D$250=Pyramid!$M256),ROW(Source!$B$1:$B$250),FALSE),G$3)),"")</f>
        <v/>
      </c>
      <c r="H256" t="str">
        <f t="array" aca="1" ref="H256" ca="1">IFERROR(INDEX(Source!$A$1:$A$250,SMALL(IF(--(Source!$B$1:$B$250=$O256)*--(Source!$E$1:$E$250=$M$3)*--(Source!$D$1:$D$250=Pyramid!$M256),ROW(Source!$B$1:$B$250),FALSE),H$3)),"")</f>
        <v/>
      </c>
      <c r="I256" t="str">
        <f t="array" aca="1" ref="I256" ca="1">IFERROR(INDEX(Source!$A$1:$A$250,SMALL(IF(--(Source!$B$1:$B$250=$O256)*--(Source!$E$1:$E$250=$M$3)*--(Source!$D$1:$D$250=Pyramid!$M256),ROW(Source!$B$1:$B$250),FALSE),I$3)),"")</f>
        <v/>
      </c>
      <c r="J256" t="str">
        <f t="array" aca="1" ref="J256" ca="1">IFERROR(INDEX(Source!$A$1:$A$250,SMALL(IF(--(Source!$B$1:$B$250=$O256)*--(Source!$E$1:$E$250=$M$3)*--(Source!$D$1:$D$250=Pyramid!$M256),ROW(Source!$B$1:$B$250),FALSE),J$3)),"")</f>
        <v/>
      </c>
      <c r="K256" t="str">
        <f t="array" aca="1" ref="K256" ca="1">IFERROR(INDEX(Source!$A$1:$A$250,SMALL(IF(--(Source!$B$1:$B$250=$O256)*--(Source!$E$1:$E$250=$M$3)*--(Source!$D$1:$D$250=Pyramid!$M256),ROW(Source!$B$1:$B$250),FALSE),K$3)),"")</f>
        <v/>
      </c>
      <c r="L256" t="str">
        <f t="array" aca="1" ref="L256" ca="1">IFERROR(INDEX(Source!$A$1:$A$250,SMALL(IF(--(Source!$B$1:$B$250=$O256)*--(Source!$E$1:$E$250=$M$3)*--(Source!$D$1:$D$250=Pyramid!$M256),ROW(Source!$B$1:$B$250),FALSE),L$3)),"")</f>
        <v/>
      </c>
      <c r="M256" t="str">
        <f t="shared" si="11"/>
        <v>30/8/2016</v>
      </c>
      <c r="N256">
        <f ca="1">COUNTIFS(Source!B:B,Pyramid!$O256,Source!$D:$D,Pyramid!$M256,Source!$E:$E,Pyramid!$M$3)</f>
        <v>0</v>
      </c>
      <c r="O256">
        <f ca="1">OFFSET(Sheet2!$N$3,INT(C256/5),)</f>
        <v>21088</v>
      </c>
      <c r="P256">
        <f ca="1">COUNTIFS(Source!B:B,Pyramid!$O256,Source!D:D,Pyramid!$Q256,Source!$E:$E,Pyramid!$Q$3)</f>
        <v>1</v>
      </c>
      <c r="Q256" t="str">
        <f t="shared" si="11"/>
        <v>30/8/2016</v>
      </c>
      <c r="R256" t="str">
        <f t="array" aca="1" ref="R256" ca="1">IFERROR(INDEX(Source!$A$1:$A$250,SMALL(IF(--(Source!$B$1:$B$250=$O256)*--(Source!$E$1:$E$250=$Q$3)*--(Source!$D$1:$D$250=Pyramid!$Q256),ROW(Source!$B$1:$B$250),FALSE),R$3)),"")</f>
        <v>27828 HK Equity</v>
      </c>
      <c r="S256" t="str">
        <f t="array" aca="1" ref="S256" ca="1">IFERROR(INDEX(Source!$A$1:$A$250,SMALL(IF(--(Source!$B$1:$B$250=$O256)*--(Source!$E$1:$E$250=$Q$3)*--(Source!$D$1:$D$250=Pyramid!$Q256),ROW(Source!$B$1:$B$250),FALSE),S$3)),"")</f>
        <v/>
      </c>
      <c r="T256" t="str">
        <f t="array" aca="1" ref="T256" ca="1">IFERROR(INDEX(Source!$A$1:$A$250,SMALL(IF(--(Source!$B$1:$B$250=$O256)*--(Source!$E$1:$E$250=$Q$3)*--(Source!$D$1:$D$250=Pyramid!$Q256),ROW(Source!$B$1:$B$250),FALSE),T$3)),"")</f>
        <v/>
      </c>
      <c r="U256" t="str">
        <f t="array" aca="1" ref="U256" ca="1">IFERROR(INDEX(Source!$A$1:$A$250,SMALL(IF(--(Source!$B$1:$B$250=$O256)*--(Source!$E$1:$E$250=$Q$3)*--(Source!$D$1:$D$250=Pyramid!$Q256),ROW(Source!$B$1:$B$250),FALSE),U$3)),"")</f>
        <v/>
      </c>
      <c r="V256" t="str">
        <f t="array" aca="1" ref="V256" ca="1">IFERROR(INDEX(Source!$A$1:$A$250,SMALL(IF(--(Source!$B$1:$B$250=$O256)*--(Source!$E$1:$E$250=$Q$3)*--(Source!$D$1:$D$250=Pyramid!$Q256),ROW(Source!$B$1:$B$250),FALSE),V$3)),"")</f>
        <v/>
      </c>
      <c r="W256" t="str">
        <f t="array" aca="1" ref="W256" ca="1">IFERROR(INDEX(Source!$A$1:$A$250,SMALL(IF(--(Source!$B$1:$B$250=$O256)*--(Source!$E$1:$E$250=$Q$3)*--(Source!$D$1:$D$250=Pyramid!$Q256),ROW(Source!$B$1:$B$250),FALSE),W$3)),"")</f>
        <v/>
      </c>
      <c r="X256" t="str">
        <f t="array" aca="1" ref="X256" ca="1">IFERROR(INDEX(Source!$A$1:$A$250,SMALL(IF(--(Source!$B$1:$B$250=$O256)*--(Source!$E$1:$E$250=$Q$3)*--(Source!$D$1:$D$250=Pyramid!$Q256),ROW(Source!$B$1:$B$250),FALSE),X$3)),"")</f>
        <v/>
      </c>
      <c r="Y256" s="5">
        <f t="shared" ca="1" si="12"/>
        <v>0</v>
      </c>
    </row>
    <row r="257" spans="3:25">
      <c r="C257">
        <v>253</v>
      </c>
      <c r="D257" s="5">
        <f t="shared" ca="1" si="10"/>
        <v>0</v>
      </c>
      <c r="E257" t="str">
        <f t="array" aca="1" ref="E257" ca="1">IFERROR(INDEX(Source!$A$1:$A$250,SMALL(IF(--(Source!$B$1:$B$250=$O257)*--(Source!$E$1:$E$250=$M$3)*--(Source!$D$1:$D$250=Pyramid!$M257),ROW(Source!$B$1:$B$250),FALSE),E$3)),"")</f>
        <v/>
      </c>
      <c r="F257" t="str">
        <f t="array" aca="1" ref="F257" ca="1">IFERROR(INDEX(Source!$A$1:$A$250,SMALL(IF(--(Source!$B$1:$B$250=$O257)*--(Source!$E$1:$E$250=$M$3)*--(Source!$D$1:$D$250=Pyramid!$M257),ROW(Source!$B$1:$B$250),FALSE),F$3)),"")</f>
        <v/>
      </c>
      <c r="G257" t="str">
        <f t="array" aca="1" ref="G257" ca="1">IFERROR(INDEX(Source!$A$1:$A$250,SMALL(IF(--(Source!$B$1:$B$250=$O257)*--(Source!$E$1:$E$250=$M$3)*--(Source!$D$1:$D$250=Pyramid!$M257),ROW(Source!$B$1:$B$250),FALSE),G$3)),"")</f>
        <v/>
      </c>
      <c r="H257" t="str">
        <f t="array" aca="1" ref="H257" ca="1">IFERROR(INDEX(Source!$A$1:$A$250,SMALL(IF(--(Source!$B$1:$B$250=$O257)*--(Source!$E$1:$E$250=$M$3)*--(Source!$D$1:$D$250=Pyramid!$M257),ROW(Source!$B$1:$B$250),FALSE),H$3)),"")</f>
        <v/>
      </c>
      <c r="I257" t="str">
        <f t="array" aca="1" ref="I257" ca="1">IFERROR(INDEX(Source!$A$1:$A$250,SMALL(IF(--(Source!$B$1:$B$250=$O257)*--(Source!$E$1:$E$250=$M$3)*--(Source!$D$1:$D$250=Pyramid!$M257),ROW(Source!$B$1:$B$250),FALSE),I$3)),"")</f>
        <v/>
      </c>
      <c r="J257" t="str">
        <f t="array" aca="1" ref="J257" ca="1">IFERROR(INDEX(Source!$A$1:$A$250,SMALL(IF(--(Source!$B$1:$B$250=$O257)*--(Source!$E$1:$E$250=$M$3)*--(Source!$D$1:$D$250=Pyramid!$M257),ROW(Source!$B$1:$B$250),FALSE),J$3)),"")</f>
        <v/>
      </c>
      <c r="K257" t="str">
        <f t="array" aca="1" ref="K257" ca="1">IFERROR(INDEX(Source!$A$1:$A$250,SMALL(IF(--(Source!$B$1:$B$250=$O257)*--(Source!$E$1:$E$250=$M$3)*--(Source!$D$1:$D$250=Pyramid!$M257),ROW(Source!$B$1:$B$250),FALSE),K$3)),"")</f>
        <v/>
      </c>
      <c r="L257" t="str">
        <f t="array" aca="1" ref="L257" ca="1">IFERROR(INDEX(Source!$A$1:$A$250,SMALL(IF(--(Source!$B$1:$B$250=$O257)*--(Source!$E$1:$E$250=$M$3)*--(Source!$D$1:$D$250=Pyramid!$M257),ROW(Source!$B$1:$B$250),FALSE),L$3)),"")</f>
        <v>25960 HK Equity</v>
      </c>
      <c r="M257" t="str">
        <f t="shared" si="11"/>
        <v>29/9/2016</v>
      </c>
      <c r="N257">
        <f ca="1">COUNTIFS(Source!B:B,Pyramid!$O257,Source!$D:$D,Pyramid!$M257,Source!$E:$E,Pyramid!$M$3)</f>
        <v>1</v>
      </c>
      <c r="O257">
        <f ca="1">OFFSET(Sheet2!$N$3,INT(C257/5),)</f>
        <v>21088</v>
      </c>
      <c r="P257">
        <f ca="1">COUNTIFS(Source!B:B,Pyramid!$O257,Source!D:D,Pyramid!$Q257,Source!$E:$E,Pyramid!$Q$3)</f>
        <v>0</v>
      </c>
      <c r="Q257" t="str">
        <f t="shared" si="11"/>
        <v>29/9/2016</v>
      </c>
      <c r="R257" t="str">
        <f t="array" aca="1" ref="R257" ca="1">IFERROR(INDEX(Source!$A$1:$A$250,SMALL(IF(--(Source!$B$1:$B$250=$O257)*--(Source!$E$1:$E$250=$Q$3)*--(Source!$D$1:$D$250=Pyramid!$Q257),ROW(Source!$B$1:$B$250),FALSE),R$3)),"")</f>
        <v/>
      </c>
      <c r="S257" t="str">
        <f t="array" aca="1" ref="S257" ca="1">IFERROR(INDEX(Source!$A$1:$A$250,SMALL(IF(--(Source!$B$1:$B$250=$O257)*--(Source!$E$1:$E$250=$Q$3)*--(Source!$D$1:$D$250=Pyramid!$Q257),ROW(Source!$B$1:$B$250),FALSE),S$3)),"")</f>
        <v/>
      </c>
      <c r="T257" t="str">
        <f t="array" aca="1" ref="T257" ca="1">IFERROR(INDEX(Source!$A$1:$A$250,SMALL(IF(--(Source!$B$1:$B$250=$O257)*--(Source!$E$1:$E$250=$Q$3)*--(Source!$D$1:$D$250=Pyramid!$Q257),ROW(Source!$B$1:$B$250),FALSE),T$3)),"")</f>
        <v/>
      </c>
      <c r="U257" t="str">
        <f t="array" aca="1" ref="U257" ca="1">IFERROR(INDEX(Source!$A$1:$A$250,SMALL(IF(--(Source!$B$1:$B$250=$O257)*--(Source!$E$1:$E$250=$Q$3)*--(Source!$D$1:$D$250=Pyramid!$Q257),ROW(Source!$B$1:$B$250),FALSE),U$3)),"")</f>
        <v/>
      </c>
      <c r="V257" t="str">
        <f t="array" aca="1" ref="V257" ca="1">IFERROR(INDEX(Source!$A$1:$A$250,SMALL(IF(--(Source!$B$1:$B$250=$O257)*--(Source!$E$1:$E$250=$Q$3)*--(Source!$D$1:$D$250=Pyramid!$Q257),ROW(Source!$B$1:$B$250),FALSE),V$3)),"")</f>
        <v/>
      </c>
      <c r="W257" t="str">
        <f t="array" aca="1" ref="W257" ca="1">IFERROR(INDEX(Source!$A$1:$A$250,SMALL(IF(--(Source!$B$1:$B$250=$O257)*--(Source!$E$1:$E$250=$Q$3)*--(Source!$D$1:$D$250=Pyramid!$Q257),ROW(Source!$B$1:$B$250),FALSE),W$3)),"")</f>
        <v/>
      </c>
      <c r="X257" t="str">
        <f t="array" aca="1" ref="X257" ca="1">IFERROR(INDEX(Source!$A$1:$A$250,SMALL(IF(--(Source!$B$1:$B$250=$O257)*--(Source!$E$1:$E$250=$Q$3)*--(Source!$D$1:$D$250=Pyramid!$Q257),ROW(Source!$B$1:$B$250),FALSE),X$3)),"")</f>
        <v/>
      </c>
      <c r="Y257" s="5">
        <f t="shared" ca="1" si="12"/>
        <v>0</v>
      </c>
    </row>
    <row r="258" spans="3:25">
      <c r="C258">
        <v>254</v>
      </c>
      <c r="D258" s="5">
        <f t="shared" ca="1" si="10"/>
        <v>0</v>
      </c>
      <c r="E258" t="str">
        <f t="array" aca="1" ref="E258" ca="1">IFERROR(INDEX(Source!$A$1:$A$250,SMALL(IF(--(Source!$B$1:$B$250=$O258)*--(Source!$E$1:$E$250=$M$3)*--(Source!$D$1:$D$250=Pyramid!$M258),ROW(Source!$B$1:$B$250),FALSE),E$3)),"")</f>
        <v/>
      </c>
      <c r="F258" t="str">
        <f t="array" aca="1" ref="F258" ca="1">IFERROR(INDEX(Source!$A$1:$A$250,SMALL(IF(--(Source!$B$1:$B$250=$O258)*--(Source!$E$1:$E$250=$M$3)*--(Source!$D$1:$D$250=Pyramid!$M258),ROW(Source!$B$1:$B$250),FALSE),F$3)),"")</f>
        <v/>
      </c>
      <c r="G258" t="str">
        <f t="array" aca="1" ref="G258" ca="1">IFERROR(INDEX(Source!$A$1:$A$250,SMALL(IF(--(Source!$B$1:$B$250=$O258)*--(Source!$E$1:$E$250=$M$3)*--(Source!$D$1:$D$250=Pyramid!$M258),ROW(Source!$B$1:$B$250),FALSE),G$3)),"")</f>
        <v/>
      </c>
      <c r="H258" t="str">
        <f t="array" aca="1" ref="H258" ca="1">IFERROR(INDEX(Source!$A$1:$A$250,SMALL(IF(--(Source!$B$1:$B$250=$O258)*--(Source!$E$1:$E$250=$M$3)*--(Source!$D$1:$D$250=Pyramid!$M258),ROW(Source!$B$1:$B$250),FALSE),H$3)),"")</f>
        <v/>
      </c>
      <c r="I258" t="str">
        <f t="array" aca="1" ref="I258" ca="1">IFERROR(INDEX(Source!$A$1:$A$250,SMALL(IF(--(Source!$B$1:$B$250=$O258)*--(Source!$E$1:$E$250=$M$3)*--(Source!$D$1:$D$250=Pyramid!$M258),ROW(Source!$B$1:$B$250),FALSE),I$3)),"")</f>
        <v/>
      </c>
      <c r="J258" t="str">
        <f t="array" aca="1" ref="J258" ca="1">IFERROR(INDEX(Source!$A$1:$A$250,SMALL(IF(--(Source!$B$1:$B$250=$O258)*--(Source!$E$1:$E$250=$M$3)*--(Source!$D$1:$D$250=Pyramid!$M258),ROW(Source!$B$1:$B$250),FALSE),J$3)),"")</f>
        <v/>
      </c>
      <c r="K258" t="str">
        <f t="array" aca="1" ref="K258" ca="1">IFERROR(INDEX(Source!$A$1:$A$250,SMALL(IF(--(Source!$B$1:$B$250=$O258)*--(Source!$E$1:$E$250=$M$3)*--(Source!$D$1:$D$250=Pyramid!$M258),ROW(Source!$B$1:$B$250),FALSE),K$3)),"")</f>
        <v/>
      </c>
      <c r="L258" t="str">
        <f t="array" aca="1" ref="L258" ca="1">IFERROR(INDEX(Source!$A$1:$A$250,SMALL(IF(--(Source!$B$1:$B$250=$O258)*--(Source!$E$1:$E$250=$M$3)*--(Source!$D$1:$D$250=Pyramid!$M258),ROW(Source!$B$1:$B$250),FALSE),L$3)),"")</f>
        <v/>
      </c>
      <c r="M258" t="str">
        <f t="shared" si="11"/>
        <v>28/10/2016</v>
      </c>
      <c r="N258">
        <f ca="1">COUNTIFS(Source!B:B,Pyramid!$O258,Source!$D:$D,Pyramid!$M258,Source!$E:$E,Pyramid!$M$3)</f>
        <v>0</v>
      </c>
      <c r="O258">
        <f ca="1">OFFSET(Sheet2!$N$3,INT(C258/5),)</f>
        <v>21088</v>
      </c>
      <c r="P258">
        <f ca="1">COUNTIFS(Source!B:B,Pyramid!$O258,Source!D:D,Pyramid!$Q258,Source!$E:$E,Pyramid!$Q$3)</f>
        <v>0</v>
      </c>
      <c r="Q258" t="str">
        <f t="shared" si="11"/>
        <v>28/10/2016</v>
      </c>
      <c r="R258" t="str">
        <f t="array" aca="1" ref="R258" ca="1">IFERROR(INDEX(Source!$A$1:$A$250,SMALL(IF(--(Source!$B$1:$B$250=$O258)*--(Source!$E$1:$E$250=$Q$3)*--(Source!$D$1:$D$250=Pyramid!$Q258),ROW(Source!$B$1:$B$250),FALSE),R$3)),"")</f>
        <v/>
      </c>
      <c r="S258" t="str">
        <f t="array" aca="1" ref="S258" ca="1">IFERROR(INDEX(Source!$A$1:$A$250,SMALL(IF(--(Source!$B$1:$B$250=$O258)*--(Source!$E$1:$E$250=$Q$3)*--(Source!$D$1:$D$250=Pyramid!$Q258),ROW(Source!$B$1:$B$250),FALSE),S$3)),"")</f>
        <v/>
      </c>
      <c r="T258" t="str">
        <f t="array" aca="1" ref="T258" ca="1">IFERROR(INDEX(Source!$A$1:$A$250,SMALL(IF(--(Source!$B$1:$B$250=$O258)*--(Source!$E$1:$E$250=$Q$3)*--(Source!$D$1:$D$250=Pyramid!$Q258),ROW(Source!$B$1:$B$250),FALSE),T$3)),"")</f>
        <v/>
      </c>
      <c r="U258" t="str">
        <f t="array" aca="1" ref="U258" ca="1">IFERROR(INDEX(Source!$A$1:$A$250,SMALL(IF(--(Source!$B$1:$B$250=$O258)*--(Source!$E$1:$E$250=$Q$3)*--(Source!$D$1:$D$250=Pyramid!$Q258),ROW(Source!$B$1:$B$250),FALSE),U$3)),"")</f>
        <v/>
      </c>
      <c r="V258" t="str">
        <f t="array" aca="1" ref="V258" ca="1">IFERROR(INDEX(Source!$A$1:$A$250,SMALL(IF(--(Source!$B$1:$B$250=$O258)*--(Source!$E$1:$E$250=$Q$3)*--(Source!$D$1:$D$250=Pyramid!$Q258),ROW(Source!$B$1:$B$250),FALSE),V$3)),"")</f>
        <v/>
      </c>
      <c r="W258" t="str">
        <f t="array" aca="1" ref="W258" ca="1">IFERROR(INDEX(Source!$A$1:$A$250,SMALL(IF(--(Source!$B$1:$B$250=$O258)*--(Source!$E$1:$E$250=$Q$3)*--(Source!$D$1:$D$250=Pyramid!$Q258),ROW(Source!$B$1:$B$250),FALSE),W$3)),"")</f>
        <v/>
      </c>
      <c r="X258" t="str">
        <f t="array" aca="1" ref="X258" ca="1">IFERROR(INDEX(Source!$A$1:$A$250,SMALL(IF(--(Source!$B$1:$B$250=$O258)*--(Source!$E$1:$E$250=$Q$3)*--(Source!$D$1:$D$250=Pyramid!$Q258),ROW(Source!$B$1:$B$250),FALSE),X$3)),"")</f>
        <v/>
      </c>
      <c r="Y258" s="5">
        <f t="shared" ca="1" si="12"/>
        <v>0</v>
      </c>
    </row>
    <row r="259" spans="3:25">
      <c r="C259">
        <v>255</v>
      </c>
      <c r="D259" s="5">
        <f t="shared" ca="1" si="10"/>
        <v>0</v>
      </c>
      <c r="E259" t="str">
        <f t="array" aca="1" ref="E259" ca="1">IFERROR(INDEX(Source!$A$1:$A$250,SMALL(IF(--(Source!$B$1:$B$250=$O259)*--(Source!$E$1:$E$250=$M$3)*--(Source!$D$1:$D$250=Pyramid!$M259),ROW(Source!$B$1:$B$250),FALSE),E$3)),"")</f>
        <v/>
      </c>
      <c r="F259" t="str">
        <f t="array" aca="1" ref="F259" ca="1">IFERROR(INDEX(Source!$A$1:$A$250,SMALL(IF(--(Source!$B$1:$B$250=$O259)*--(Source!$E$1:$E$250=$M$3)*--(Source!$D$1:$D$250=Pyramid!$M259),ROW(Source!$B$1:$B$250),FALSE),F$3)),"")</f>
        <v/>
      </c>
      <c r="G259" t="str">
        <f t="array" aca="1" ref="G259" ca="1">IFERROR(INDEX(Source!$A$1:$A$250,SMALL(IF(--(Source!$B$1:$B$250=$O259)*--(Source!$E$1:$E$250=$M$3)*--(Source!$D$1:$D$250=Pyramid!$M259),ROW(Source!$B$1:$B$250),FALSE),G$3)),"")</f>
        <v/>
      </c>
      <c r="H259" t="str">
        <f t="array" aca="1" ref="H259" ca="1">IFERROR(INDEX(Source!$A$1:$A$250,SMALL(IF(--(Source!$B$1:$B$250=$O259)*--(Source!$E$1:$E$250=$M$3)*--(Source!$D$1:$D$250=Pyramid!$M259),ROW(Source!$B$1:$B$250),FALSE),H$3)),"")</f>
        <v/>
      </c>
      <c r="I259" t="str">
        <f t="array" aca="1" ref="I259" ca="1">IFERROR(INDEX(Source!$A$1:$A$250,SMALL(IF(--(Source!$B$1:$B$250=$O259)*--(Source!$E$1:$E$250=$M$3)*--(Source!$D$1:$D$250=Pyramid!$M259),ROW(Source!$B$1:$B$250),FALSE),I$3)),"")</f>
        <v/>
      </c>
      <c r="J259" t="str">
        <f t="array" aca="1" ref="J259" ca="1">IFERROR(INDEX(Source!$A$1:$A$250,SMALL(IF(--(Source!$B$1:$B$250=$O259)*--(Source!$E$1:$E$250=$M$3)*--(Source!$D$1:$D$250=Pyramid!$M259),ROW(Source!$B$1:$B$250),FALSE),J$3)),"")</f>
        <v/>
      </c>
      <c r="K259" t="str">
        <f t="array" aca="1" ref="K259" ca="1">IFERROR(INDEX(Source!$A$1:$A$250,SMALL(IF(--(Source!$B$1:$B$250=$O259)*--(Source!$E$1:$E$250=$M$3)*--(Source!$D$1:$D$250=Pyramid!$M259),ROW(Source!$B$1:$B$250),FALSE),K$3)),"")</f>
        <v/>
      </c>
      <c r="L259" t="str">
        <f t="array" aca="1" ref="L259" ca="1">IFERROR(INDEX(Source!$A$1:$A$250,SMALL(IF(--(Source!$B$1:$B$250=$O259)*--(Source!$E$1:$E$250=$M$3)*--(Source!$D$1:$D$250=Pyramid!$M259),ROW(Source!$B$1:$B$250),FALSE),L$3)),"")</f>
        <v>24262 HK Equity</v>
      </c>
      <c r="M259" t="str">
        <f t="shared" si="11"/>
        <v>29/6/2016</v>
      </c>
      <c r="N259">
        <f ca="1">COUNTIFS(Source!B:B,Pyramid!$O259,Source!$D:$D,Pyramid!$M259,Source!$E:$E,Pyramid!$M$3)</f>
        <v>1</v>
      </c>
      <c r="O259">
        <f ca="1">OFFSET(Sheet2!$N$3,INT(C259/5),)</f>
        <v>21100</v>
      </c>
      <c r="P259">
        <f ca="1">COUNTIFS(Source!B:B,Pyramid!$O259,Source!D:D,Pyramid!$Q259,Source!$E:$E,Pyramid!$Q$3)</f>
        <v>0</v>
      </c>
      <c r="Q259" t="str">
        <f t="shared" si="11"/>
        <v>29/6/2016</v>
      </c>
      <c r="R259" t="str">
        <f t="array" aca="1" ref="R259" ca="1">IFERROR(INDEX(Source!$A$1:$A$250,SMALL(IF(--(Source!$B$1:$B$250=$O259)*--(Source!$E$1:$E$250=$Q$3)*--(Source!$D$1:$D$250=Pyramid!$Q259),ROW(Source!$B$1:$B$250),FALSE),R$3)),"")</f>
        <v/>
      </c>
      <c r="S259" t="str">
        <f t="array" aca="1" ref="S259" ca="1">IFERROR(INDEX(Source!$A$1:$A$250,SMALL(IF(--(Source!$B$1:$B$250=$O259)*--(Source!$E$1:$E$250=$Q$3)*--(Source!$D$1:$D$250=Pyramid!$Q259),ROW(Source!$B$1:$B$250),FALSE),S$3)),"")</f>
        <v/>
      </c>
      <c r="T259" t="str">
        <f t="array" aca="1" ref="T259" ca="1">IFERROR(INDEX(Source!$A$1:$A$250,SMALL(IF(--(Source!$B$1:$B$250=$O259)*--(Source!$E$1:$E$250=$Q$3)*--(Source!$D$1:$D$250=Pyramid!$Q259),ROW(Source!$B$1:$B$250),FALSE),T$3)),"")</f>
        <v/>
      </c>
      <c r="U259" t="str">
        <f t="array" aca="1" ref="U259" ca="1">IFERROR(INDEX(Source!$A$1:$A$250,SMALL(IF(--(Source!$B$1:$B$250=$O259)*--(Source!$E$1:$E$250=$Q$3)*--(Source!$D$1:$D$250=Pyramid!$Q259),ROW(Source!$B$1:$B$250),FALSE),U$3)),"")</f>
        <v/>
      </c>
      <c r="V259" t="str">
        <f t="array" aca="1" ref="V259" ca="1">IFERROR(INDEX(Source!$A$1:$A$250,SMALL(IF(--(Source!$B$1:$B$250=$O259)*--(Source!$E$1:$E$250=$Q$3)*--(Source!$D$1:$D$250=Pyramid!$Q259),ROW(Source!$B$1:$B$250),FALSE),V$3)),"")</f>
        <v/>
      </c>
      <c r="W259" t="str">
        <f t="array" aca="1" ref="W259" ca="1">IFERROR(INDEX(Source!$A$1:$A$250,SMALL(IF(--(Source!$B$1:$B$250=$O259)*--(Source!$E$1:$E$250=$Q$3)*--(Source!$D$1:$D$250=Pyramid!$Q259),ROW(Source!$B$1:$B$250),FALSE),W$3)),"")</f>
        <v/>
      </c>
      <c r="X259" t="str">
        <f t="array" aca="1" ref="X259" ca="1">IFERROR(INDEX(Source!$A$1:$A$250,SMALL(IF(--(Source!$B$1:$B$250=$O259)*--(Source!$E$1:$E$250=$Q$3)*--(Source!$D$1:$D$250=Pyramid!$Q259),ROW(Source!$B$1:$B$250),FALSE),X$3)),"")</f>
        <v/>
      </c>
      <c r="Y259" s="5">
        <f t="shared" ca="1" si="12"/>
        <v>0</v>
      </c>
    </row>
    <row r="260" spans="3:25">
      <c r="C260">
        <v>256</v>
      </c>
      <c r="D260" s="5">
        <f t="shared" ca="1" si="10"/>
        <v>0</v>
      </c>
      <c r="E260" t="str">
        <f t="array" aca="1" ref="E260" ca="1">IFERROR(INDEX(Source!$A$1:$A$250,SMALL(IF(--(Source!$B$1:$B$250=$O260)*--(Source!$E$1:$E$250=$M$3)*--(Source!$D$1:$D$250=Pyramid!$M260),ROW(Source!$B$1:$B$250),FALSE),E$3)),"")</f>
        <v/>
      </c>
      <c r="F260" t="str">
        <f t="array" aca="1" ref="F260" ca="1">IFERROR(INDEX(Source!$A$1:$A$250,SMALL(IF(--(Source!$B$1:$B$250=$O260)*--(Source!$E$1:$E$250=$M$3)*--(Source!$D$1:$D$250=Pyramid!$M260),ROW(Source!$B$1:$B$250),FALSE),F$3)),"")</f>
        <v/>
      </c>
      <c r="G260" t="str">
        <f t="array" aca="1" ref="G260" ca="1">IFERROR(INDEX(Source!$A$1:$A$250,SMALL(IF(--(Source!$B$1:$B$250=$O260)*--(Source!$E$1:$E$250=$M$3)*--(Source!$D$1:$D$250=Pyramid!$M260),ROW(Source!$B$1:$B$250),FALSE),G$3)),"")</f>
        <v/>
      </c>
      <c r="H260" t="str">
        <f t="array" aca="1" ref="H260" ca="1">IFERROR(INDEX(Source!$A$1:$A$250,SMALL(IF(--(Source!$B$1:$B$250=$O260)*--(Source!$E$1:$E$250=$M$3)*--(Source!$D$1:$D$250=Pyramid!$M260),ROW(Source!$B$1:$B$250),FALSE),H$3)),"")</f>
        <v/>
      </c>
      <c r="I260" t="str">
        <f t="array" aca="1" ref="I260" ca="1">IFERROR(INDEX(Source!$A$1:$A$250,SMALL(IF(--(Source!$B$1:$B$250=$O260)*--(Source!$E$1:$E$250=$M$3)*--(Source!$D$1:$D$250=Pyramid!$M260),ROW(Source!$B$1:$B$250),FALSE),I$3)),"")</f>
        <v/>
      </c>
      <c r="J260" t="str">
        <f t="array" aca="1" ref="J260" ca="1">IFERROR(INDEX(Source!$A$1:$A$250,SMALL(IF(--(Source!$B$1:$B$250=$O260)*--(Source!$E$1:$E$250=$M$3)*--(Source!$D$1:$D$250=Pyramid!$M260),ROW(Source!$B$1:$B$250),FALSE),J$3)),"")</f>
        <v/>
      </c>
      <c r="K260" t="str">
        <f t="array" aca="1" ref="K260" ca="1">IFERROR(INDEX(Source!$A$1:$A$250,SMALL(IF(--(Source!$B$1:$B$250=$O260)*--(Source!$E$1:$E$250=$M$3)*--(Source!$D$1:$D$250=Pyramid!$M260),ROW(Source!$B$1:$B$250),FALSE),K$3)),"")</f>
        <v/>
      </c>
      <c r="L260" t="str">
        <f t="array" aca="1" ref="L260" ca="1">IFERROR(INDEX(Source!$A$1:$A$250,SMALL(IF(--(Source!$B$1:$B$250=$O260)*--(Source!$E$1:$E$250=$M$3)*--(Source!$D$1:$D$250=Pyramid!$M260),ROW(Source!$B$1:$B$250),FALSE),L$3)),"")</f>
        <v/>
      </c>
      <c r="M260" t="str">
        <f t="shared" si="11"/>
        <v>28/7/2016</v>
      </c>
      <c r="N260">
        <f ca="1">COUNTIFS(Source!B:B,Pyramid!$O260,Source!$D:$D,Pyramid!$M260,Source!$E:$E,Pyramid!$M$3)</f>
        <v>0</v>
      </c>
      <c r="O260">
        <f ca="1">OFFSET(Sheet2!$N$3,INT(C260/5),)</f>
        <v>21100</v>
      </c>
      <c r="P260">
        <f ca="1">COUNTIFS(Source!B:B,Pyramid!$O260,Source!D:D,Pyramid!$Q260,Source!$E:$E,Pyramid!$Q$3)</f>
        <v>0</v>
      </c>
      <c r="Q260" t="str">
        <f t="shared" si="11"/>
        <v>28/7/2016</v>
      </c>
      <c r="R260" t="str">
        <f t="array" aca="1" ref="R260" ca="1">IFERROR(INDEX(Source!$A$1:$A$250,SMALL(IF(--(Source!$B$1:$B$250=$O260)*--(Source!$E$1:$E$250=$Q$3)*--(Source!$D$1:$D$250=Pyramid!$Q260),ROW(Source!$B$1:$B$250),FALSE),R$3)),"")</f>
        <v/>
      </c>
      <c r="S260" t="str">
        <f t="array" aca="1" ref="S260" ca="1">IFERROR(INDEX(Source!$A$1:$A$250,SMALL(IF(--(Source!$B$1:$B$250=$O260)*--(Source!$E$1:$E$250=$Q$3)*--(Source!$D$1:$D$250=Pyramid!$Q260),ROW(Source!$B$1:$B$250),FALSE),S$3)),"")</f>
        <v/>
      </c>
      <c r="T260" t="str">
        <f t="array" aca="1" ref="T260" ca="1">IFERROR(INDEX(Source!$A$1:$A$250,SMALL(IF(--(Source!$B$1:$B$250=$O260)*--(Source!$E$1:$E$250=$Q$3)*--(Source!$D$1:$D$250=Pyramid!$Q260),ROW(Source!$B$1:$B$250),FALSE),T$3)),"")</f>
        <v/>
      </c>
      <c r="U260" t="str">
        <f t="array" aca="1" ref="U260" ca="1">IFERROR(INDEX(Source!$A$1:$A$250,SMALL(IF(--(Source!$B$1:$B$250=$O260)*--(Source!$E$1:$E$250=$Q$3)*--(Source!$D$1:$D$250=Pyramid!$Q260),ROW(Source!$B$1:$B$250),FALSE),U$3)),"")</f>
        <v/>
      </c>
      <c r="V260" t="str">
        <f t="array" aca="1" ref="V260" ca="1">IFERROR(INDEX(Source!$A$1:$A$250,SMALL(IF(--(Source!$B$1:$B$250=$O260)*--(Source!$E$1:$E$250=$Q$3)*--(Source!$D$1:$D$250=Pyramid!$Q260),ROW(Source!$B$1:$B$250),FALSE),V$3)),"")</f>
        <v/>
      </c>
      <c r="W260" t="str">
        <f t="array" aca="1" ref="W260" ca="1">IFERROR(INDEX(Source!$A$1:$A$250,SMALL(IF(--(Source!$B$1:$B$250=$O260)*--(Source!$E$1:$E$250=$Q$3)*--(Source!$D$1:$D$250=Pyramid!$Q260),ROW(Source!$B$1:$B$250),FALSE),W$3)),"")</f>
        <v/>
      </c>
      <c r="X260" t="str">
        <f t="array" aca="1" ref="X260" ca="1">IFERROR(INDEX(Source!$A$1:$A$250,SMALL(IF(--(Source!$B$1:$B$250=$O260)*--(Source!$E$1:$E$250=$Q$3)*--(Source!$D$1:$D$250=Pyramid!$Q260),ROW(Source!$B$1:$B$250),FALSE),X$3)),"")</f>
        <v/>
      </c>
      <c r="Y260" s="5">
        <f t="shared" ca="1" si="12"/>
        <v>0</v>
      </c>
    </row>
    <row r="261" spans="3:25">
      <c r="C261">
        <v>257</v>
      </c>
      <c r="D261" s="5">
        <f t="shared" ref="D261:D324" ca="1" si="13">SUMPRODUCT(--(E261:L261&lt;&gt;""))-N261</f>
        <v>0</v>
      </c>
      <c r="E261" t="str">
        <f t="array" aca="1" ref="E261" ca="1">IFERROR(INDEX(Source!$A$1:$A$250,SMALL(IF(--(Source!$B$1:$B$250=$O261)*--(Source!$E$1:$E$250=$M$3)*--(Source!$D$1:$D$250=Pyramid!$M261),ROW(Source!$B$1:$B$250),FALSE),E$3)),"")</f>
        <v/>
      </c>
      <c r="F261" t="str">
        <f t="array" aca="1" ref="F261" ca="1">IFERROR(INDEX(Source!$A$1:$A$250,SMALL(IF(--(Source!$B$1:$B$250=$O261)*--(Source!$E$1:$E$250=$M$3)*--(Source!$D$1:$D$250=Pyramid!$M261),ROW(Source!$B$1:$B$250),FALSE),F$3)),"")</f>
        <v/>
      </c>
      <c r="G261" t="str">
        <f t="array" aca="1" ref="G261" ca="1">IFERROR(INDEX(Source!$A$1:$A$250,SMALL(IF(--(Source!$B$1:$B$250=$O261)*--(Source!$E$1:$E$250=$M$3)*--(Source!$D$1:$D$250=Pyramid!$M261),ROW(Source!$B$1:$B$250),FALSE),G$3)),"")</f>
        <v/>
      </c>
      <c r="H261" t="str">
        <f t="array" aca="1" ref="H261" ca="1">IFERROR(INDEX(Source!$A$1:$A$250,SMALL(IF(--(Source!$B$1:$B$250=$O261)*--(Source!$E$1:$E$250=$M$3)*--(Source!$D$1:$D$250=Pyramid!$M261),ROW(Source!$B$1:$B$250),FALSE),H$3)),"")</f>
        <v/>
      </c>
      <c r="I261" t="str">
        <f t="array" aca="1" ref="I261" ca="1">IFERROR(INDEX(Source!$A$1:$A$250,SMALL(IF(--(Source!$B$1:$B$250=$O261)*--(Source!$E$1:$E$250=$M$3)*--(Source!$D$1:$D$250=Pyramid!$M261),ROW(Source!$B$1:$B$250),FALSE),I$3)),"")</f>
        <v/>
      </c>
      <c r="J261" t="str">
        <f t="array" aca="1" ref="J261" ca="1">IFERROR(INDEX(Source!$A$1:$A$250,SMALL(IF(--(Source!$B$1:$B$250=$O261)*--(Source!$E$1:$E$250=$M$3)*--(Source!$D$1:$D$250=Pyramid!$M261),ROW(Source!$B$1:$B$250),FALSE),J$3)),"")</f>
        <v/>
      </c>
      <c r="K261" t="str">
        <f t="array" aca="1" ref="K261" ca="1">IFERROR(INDEX(Source!$A$1:$A$250,SMALL(IF(--(Source!$B$1:$B$250=$O261)*--(Source!$E$1:$E$250=$M$3)*--(Source!$D$1:$D$250=Pyramid!$M261),ROW(Source!$B$1:$B$250),FALSE),K$3)),"")</f>
        <v/>
      </c>
      <c r="L261" t="str">
        <f t="array" aca="1" ref="L261" ca="1">IFERROR(INDEX(Source!$A$1:$A$250,SMALL(IF(--(Source!$B$1:$B$250=$O261)*--(Source!$E$1:$E$250=$M$3)*--(Source!$D$1:$D$250=Pyramid!$M261),ROW(Source!$B$1:$B$250),FALSE),L$3)),"")</f>
        <v/>
      </c>
      <c r="M261" t="str">
        <f t="shared" ref="M261:Q324" si="14">INDEX($A$4:$A$8,MOD($C261,5)+1)</f>
        <v>30/8/2016</v>
      </c>
      <c r="N261">
        <f ca="1">COUNTIFS(Source!B:B,Pyramid!$O261,Source!$D:$D,Pyramid!$M261,Source!$E:$E,Pyramid!$M$3)</f>
        <v>0</v>
      </c>
      <c r="O261">
        <f ca="1">OFFSET(Sheet2!$N$3,INT(C261/5),)</f>
        <v>21100</v>
      </c>
      <c r="P261">
        <f ca="1">COUNTIFS(Source!B:B,Pyramid!$O261,Source!D:D,Pyramid!$Q261,Source!$E:$E,Pyramid!$Q$3)</f>
        <v>0</v>
      </c>
      <c r="Q261" t="str">
        <f t="shared" si="14"/>
        <v>30/8/2016</v>
      </c>
      <c r="R261" t="str">
        <f t="array" aca="1" ref="R261" ca="1">IFERROR(INDEX(Source!$A$1:$A$250,SMALL(IF(--(Source!$B$1:$B$250=$O261)*--(Source!$E$1:$E$250=$Q$3)*--(Source!$D$1:$D$250=Pyramid!$Q261),ROW(Source!$B$1:$B$250),FALSE),R$3)),"")</f>
        <v/>
      </c>
      <c r="S261" t="str">
        <f t="array" aca="1" ref="S261" ca="1">IFERROR(INDEX(Source!$A$1:$A$250,SMALL(IF(--(Source!$B$1:$B$250=$O261)*--(Source!$E$1:$E$250=$Q$3)*--(Source!$D$1:$D$250=Pyramid!$Q261),ROW(Source!$B$1:$B$250),FALSE),S$3)),"")</f>
        <v/>
      </c>
      <c r="T261" t="str">
        <f t="array" aca="1" ref="T261" ca="1">IFERROR(INDEX(Source!$A$1:$A$250,SMALL(IF(--(Source!$B$1:$B$250=$O261)*--(Source!$E$1:$E$250=$Q$3)*--(Source!$D$1:$D$250=Pyramid!$Q261),ROW(Source!$B$1:$B$250),FALSE),T$3)),"")</f>
        <v/>
      </c>
      <c r="U261" t="str">
        <f t="array" aca="1" ref="U261" ca="1">IFERROR(INDEX(Source!$A$1:$A$250,SMALL(IF(--(Source!$B$1:$B$250=$O261)*--(Source!$E$1:$E$250=$Q$3)*--(Source!$D$1:$D$250=Pyramid!$Q261),ROW(Source!$B$1:$B$250),FALSE),U$3)),"")</f>
        <v/>
      </c>
      <c r="V261" t="str">
        <f t="array" aca="1" ref="V261" ca="1">IFERROR(INDEX(Source!$A$1:$A$250,SMALL(IF(--(Source!$B$1:$B$250=$O261)*--(Source!$E$1:$E$250=$Q$3)*--(Source!$D$1:$D$250=Pyramid!$Q261),ROW(Source!$B$1:$B$250),FALSE),V$3)),"")</f>
        <v/>
      </c>
      <c r="W261" t="str">
        <f t="array" aca="1" ref="W261" ca="1">IFERROR(INDEX(Source!$A$1:$A$250,SMALL(IF(--(Source!$B$1:$B$250=$O261)*--(Source!$E$1:$E$250=$Q$3)*--(Source!$D$1:$D$250=Pyramid!$Q261),ROW(Source!$B$1:$B$250),FALSE),W$3)),"")</f>
        <v/>
      </c>
      <c r="X261" t="str">
        <f t="array" aca="1" ref="X261" ca="1">IFERROR(INDEX(Source!$A$1:$A$250,SMALL(IF(--(Source!$B$1:$B$250=$O261)*--(Source!$E$1:$E$250=$Q$3)*--(Source!$D$1:$D$250=Pyramid!$Q261),ROW(Source!$B$1:$B$250),FALSE),X$3)),"")</f>
        <v/>
      </c>
      <c r="Y261" s="5">
        <f t="shared" ref="Y261:Y324" ca="1" si="15">SUMPRODUCT(--(R261:X261&lt;&gt;""))-P261</f>
        <v>0</v>
      </c>
    </row>
    <row r="262" spans="3:25">
      <c r="C262">
        <v>258</v>
      </c>
      <c r="D262" s="5">
        <f t="shared" ca="1" si="13"/>
        <v>0</v>
      </c>
      <c r="E262" t="str">
        <f t="array" aca="1" ref="E262" ca="1">IFERROR(INDEX(Source!$A$1:$A$250,SMALL(IF(--(Source!$B$1:$B$250=$O262)*--(Source!$E$1:$E$250=$M$3)*--(Source!$D$1:$D$250=Pyramid!$M262),ROW(Source!$B$1:$B$250),FALSE),E$3)),"")</f>
        <v/>
      </c>
      <c r="F262" t="str">
        <f t="array" aca="1" ref="F262" ca="1">IFERROR(INDEX(Source!$A$1:$A$250,SMALL(IF(--(Source!$B$1:$B$250=$O262)*--(Source!$E$1:$E$250=$M$3)*--(Source!$D$1:$D$250=Pyramid!$M262),ROW(Source!$B$1:$B$250),FALSE),F$3)),"")</f>
        <v/>
      </c>
      <c r="G262" t="str">
        <f t="array" aca="1" ref="G262" ca="1">IFERROR(INDEX(Source!$A$1:$A$250,SMALL(IF(--(Source!$B$1:$B$250=$O262)*--(Source!$E$1:$E$250=$M$3)*--(Source!$D$1:$D$250=Pyramid!$M262),ROW(Source!$B$1:$B$250),FALSE),G$3)),"")</f>
        <v/>
      </c>
      <c r="H262" t="str">
        <f t="array" aca="1" ref="H262" ca="1">IFERROR(INDEX(Source!$A$1:$A$250,SMALL(IF(--(Source!$B$1:$B$250=$O262)*--(Source!$E$1:$E$250=$M$3)*--(Source!$D$1:$D$250=Pyramid!$M262),ROW(Source!$B$1:$B$250),FALSE),H$3)),"")</f>
        <v/>
      </c>
      <c r="I262" t="str">
        <f t="array" aca="1" ref="I262" ca="1">IFERROR(INDEX(Source!$A$1:$A$250,SMALL(IF(--(Source!$B$1:$B$250=$O262)*--(Source!$E$1:$E$250=$M$3)*--(Source!$D$1:$D$250=Pyramid!$M262),ROW(Source!$B$1:$B$250),FALSE),I$3)),"")</f>
        <v/>
      </c>
      <c r="J262" t="str">
        <f t="array" aca="1" ref="J262" ca="1">IFERROR(INDEX(Source!$A$1:$A$250,SMALL(IF(--(Source!$B$1:$B$250=$O262)*--(Source!$E$1:$E$250=$M$3)*--(Source!$D$1:$D$250=Pyramid!$M262),ROW(Source!$B$1:$B$250),FALSE),J$3)),"")</f>
        <v/>
      </c>
      <c r="K262" t="str">
        <f t="array" aca="1" ref="K262" ca="1">IFERROR(INDEX(Source!$A$1:$A$250,SMALL(IF(--(Source!$B$1:$B$250=$O262)*--(Source!$E$1:$E$250=$M$3)*--(Source!$D$1:$D$250=Pyramid!$M262),ROW(Source!$B$1:$B$250),FALSE),K$3)),"")</f>
        <v/>
      </c>
      <c r="L262" t="str">
        <f t="array" aca="1" ref="L262" ca="1">IFERROR(INDEX(Source!$A$1:$A$250,SMALL(IF(--(Source!$B$1:$B$250=$O262)*--(Source!$E$1:$E$250=$M$3)*--(Source!$D$1:$D$250=Pyramid!$M262),ROW(Source!$B$1:$B$250),FALSE),L$3)),"")</f>
        <v/>
      </c>
      <c r="M262" t="str">
        <f t="shared" si="14"/>
        <v>29/9/2016</v>
      </c>
      <c r="N262">
        <f ca="1">COUNTIFS(Source!B:B,Pyramid!$O262,Source!$D:$D,Pyramid!$M262,Source!$E:$E,Pyramid!$M$3)</f>
        <v>0</v>
      </c>
      <c r="O262">
        <f ca="1">OFFSET(Sheet2!$N$3,INT(C262/5),)</f>
        <v>21100</v>
      </c>
      <c r="P262">
        <f ca="1">COUNTIFS(Source!B:B,Pyramid!$O262,Source!D:D,Pyramid!$Q262,Source!$E:$E,Pyramid!$Q$3)</f>
        <v>0</v>
      </c>
      <c r="Q262" t="str">
        <f t="shared" si="14"/>
        <v>29/9/2016</v>
      </c>
      <c r="R262" t="str">
        <f t="array" aca="1" ref="R262" ca="1">IFERROR(INDEX(Source!$A$1:$A$250,SMALL(IF(--(Source!$B$1:$B$250=$O262)*--(Source!$E$1:$E$250=$Q$3)*--(Source!$D$1:$D$250=Pyramid!$Q262),ROW(Source!$B$1:$B$250),FALSE),R$3)),"")</f>
        <v/>
      </c>
      <c r="S262" t="str">
        <f t="array" aca="1" ref="S262" ca="1">IFERROR(INDEX(Source!$A$1:$A$250,SMALL(IF(--(Source!$B$1:$B$250=$O262)*--(Source!$E$1:$E$250=$Q$3)*--(Source!$D$1:$D$250=Pyramid!$Q262),ROW(Source!$B$1:$B$250),FALSE),S$3)),"")</f>
        <v/>
      </c>
      <c r="T262" t="str">
        <f t="array" aca="1" ref="T262" ca="1">IFERROR(INDEX(Source!$A$1:$A$250,SMALL(IF(--(Source!$B$1:$B$250=$O262)*--(Source!$E$1:$E$250=$Q$3)*--(Source!$D$1:$D$250=Pyramid!$Q262),ROW(Source!$B$1:$B$250),FALSE),T$3)),"")</f>
        <v/>
      </c>
      <c r="U262" t="str">
        <f t="array" aca="1" ref="U262" ca="1">IFERROR(INDEX(Source!$A$1:$A$250,SMALL(IF(--(Source!$B$1:$B$250=$O262)*--(Source!$E$1:$E$250=$Q$3)*--(Source!$D$1:$D$250=Pyramid!$Q262),ROW(Source!$B$1:$B$250),FALSE),U$3)),"")</f>
        <v/>
      </c>
      <c r="V262" t="str">
        <f t="array" aca="1" ref="V262" ca="1">IFERROR(INDEX(Source!$A$1:$A$250,SMALL(IF(--(Source!$B$1:$B$250=$O262)*--(Source!$E$1:$E$250=$Q$3)*--(Source!$D$1:$D$250=Pyramid!$Q262),ROW(Source!$B$1:$B$250),FALSE),V$3)),"")</f>
        <v/>
      </c>
      <c r="W262" t="str">
        <f t="array" aca="1" ref="W262" ca="1">IFERROR(INDEX(Source!$A$1:$A$250,SMALL(IF(--(Source!$B$1:$B$250=$O262)*--(Source!$E$1:$E$250=$Q$3)*--(Source!$D$1:$D$250=Pyramid!$Q262),ROW(Source!$B$1:$B$250),FALSE),W$3)),"")</f>
        <v/>
      </c>
      <c r="X262" t="str">
        <f t="array" aca="1" ref="X262" ca="1">IFERROR(INDEX(Source!$A$1:$A$250,SMALL(IF(--(Source!$B$1:$B$250=$O262)*--(Source!$E$1:$E$250=$Q$3)*--(Source!$D$1:$D$250=Pyramid!$Q262),ROW(Source!$B$1:$B$250),FALSE),X$3)),"")</f>
        <v/>
      </c>
      <c r="Y262" s="5">
        <f t="shared" ca="1" si="15"/>
        <v>0</v>
      </c>
    </row>
    <row r="263" spans="3:25">
      <c r="C263">
        <v>259</v>
      </c>
      <c r="D263" s="5">
        <f t="shared" ca="1" si="13"/>
        <v>0</v>
      </c>
      <c r="E263" t="str">
        <f t="array" aca="1" ref="E263" ca="1">IFERROR(INDEX(Source!$A$1:$A$250,SMALL(IF(--(Source!$B$1:$B$250=$O263)*--(Source!$E$1:$E$250=$M$3)*--(Source!$D$1:$D$250=Pyramid!$M263),ROW(Source!$B$1:$B$250),FALSE),E$3)),"")</f>
        <v/>
      </c>
      <c r="F263" t="str">
        <f t="array" aca="1" ref="F263" ca="1">IFERROR(INDEX(Source!$A$1:$A$250,SMALL(IF(--(Source!$B$1:$B$250=$O263)*--(Source!$E$1:$E$250=$M$3)*--(Source!$D$1:$D$250=Pyramid!$M263),ROW(Source!$B$1:$B$250),FALSE),F$3)),"")</f>
        <v/>
      </c>
      <c r="G263" t="str">
        <f t="array" aca="1" ref="G263" ca="1">IFERROR(INDEX(Source!$A$1:$A$250,SMALL(IF(--(Source!$B$1:$B$250=$O263)*--(Source!$E$1:$E$250=$M$3)*--(Source!$D$1:$D$250=Pyramid!$M263),ROW(Source!$B$1:$B$250),FALSE),G$3)),"")</f>
        <v/>
      </c>
      <c r="H263" t="str">
        <f t="array" aca="1" ref="H263" ca="1">IFERROR(INDEX(Source!$A$1:$A$250,SMALL(IF(--(Source!$B$1:$B$250=$O263)*--(Source!$E$1:$E$250=$M$3)*--(Source!$D$1:$D$250=Pyramid!$M263),ROW(Source!$B$1:$B$250),FALSE),H$3)),"")</f>
        <v/>
      </c>
      <c r="I263" t="str">
        <f t="array" aca="1" ref="I263" ca="1">IFERROR(INDEX(Source!$A$1:$A$250,SMALL(IF(--(Source!$B$1:$B$250=$O263)*--(Source!$E$1:$E$250=$M$3)*--(Source!$D$1:$D$250=Pyramid!$M263),ROW(Source!$B$1:$B$250),FALSE),I$3)),"")</f>
        <v/>
      </c>
      <c r="J263" t="str">
        <f t="array" aca="1" ref="J263" ca="1">IFERROR(INDEX(Source!$A$1:$A$250,SMALL(IF(--(Source!$B$1:$B$250=$O263)*--(Source!$E$1:$E$250=$M$3)*--(Source!$D$1:$D$250=Pyramid!$M263),ROW(Source!$B$1:$B$250),FALSE),J$3)),"")</f>
        <v/>
      </c>
      <c r="K263" t="str">
        <f t="array" aca="1" ref="K263" ca="1">IFERROR(INDEX(Source!$A$1:$A$250,SMALL(IF(--(Source!$B$1:$B$250=$O263)*--(Source!$E$1:$E$250=$M$3)*--(Source!$D$1:$D$250=Pyramid!$M263),ROW(Source!$B$1:$B$250),FALSE),K$3)),"")</f>
        <v/>
      </c>
      <c r="L263" t="str">
        <f t="array" aca="1" ref="L263" ca="1">IFERROR(INDEX(Source!$A$1:$A$250,SMALL(IF(--(Source!$B$1:$B$250=$O263)*--(Source!$E$1:$E$250=$M$3)*--(Source!$D$1:$D$250=Pyramid!$M263),ROW(Source!$B$1:$B$250),FALSE),L$3)),"")</f>
        <v/>
      </c>
      <c r="M263" t="str">
        <f t="shared" si="14"/>
        <v>28/10/2016</v>
      </c>
      <c r="N263">
        <f ca="1">COUNTIFS(Source!B:B,Pyramid!$O263,Source!$D:$D,Pyramid!$M263,Source!$E:$E,Pyramid!$M$3)</f>
        <v>0</v>
      </c>
      <c r="O263">
        <f ca="1">OFFSET(Sheet2!$N$3,INT(C263/5),)</f>
        <v>21100</v>
      </c>
      <c r="P263">
        <f ca="1">COUNTIFS(Source!B:B,Pyramid!$O263,Source!D:D,Pyramid!$Q263,Source!$E:$E,Pyramid!$Q$3)</f>
        <v>0</v>
      </c>
      <c r="Q263" t="str">
        <f t="shared" si="14"/>
        <v>28/10/2016</v>
      </c>
      <c r="R263" t="str">
        <f t="array" aca="1" ref="R263" ca="1">IFERROR(INDEX(Source!$A$1:$A$250,SMALL(IF(--(Source!$B$1:$B$250=$O263)*--(Source!$E$1:$E$250=$Q$3)*--(Source!$D$1:$D$250=Pyramid!$Q263),ROW(Source!$B$1:$B$250),FALSE),R$3)),"")</f>
        <v/>
      </c>
      <c r="S263" t="str">
        <f t="array" aca="1" ref="S263" ca="1">IFERROR(INDEX(Source!$A$1:$A$250,SMALL(IF(--(Source!$B$1:$B$250=$O263)*--(Source!$E$1:$E$250=$Q$3)*--(Source!$D$1:$D$250=Pyramid!$Q263),ROW(Source!$B$1:$B$250),FALSE),S$3)),"")</f>
        <v/>
      </c>
      <c r="T263" t="str">
        <f t="array" aca="1" ref="T263" ca="1">IFERROR(INDEX(Source!$A$1:$A$250,SMALL(IF(--(Source!$B$1:$B$250=$O263)*--(Source!$E$1:$E$250=$Q$3)*--(Source!$D$1:$D$250=Pyramid!$Q263),ROW(Source!$B$1:$B$250),FALSE),T$3)),"")</f>
        <v/>
      </c>
      <c r="U263" t="str">
        <f t="array" aca="1" ref="U263" ca="1">IFERROR(INDEX(Source!$A$1:$A$250,SMALL(IF(--(Source!$B$1:$B$250=$O263)*--(Source!$E$1:$E$250=$Q$3)*--(Source!$D$1:$D$250=Pyramid!$Q263),ROW(Source!$B$1:$B$250),FALSE),U$3)),"")</f>
        <v/>
      </c>
      <c r="V263" t="str">
        <f t="array" aca="1" ref="V263" ca="1">IFERROR(INDEX(Source!$A$1:$A$250,SMALL(IF(--(Source!$B$1:$B$250=$O263)*--(Source!$E$1:$E$250=$Q$3)*--(Source!$D$1:$D$250=Pyramid!$Q263),ROW(Source!$B$1:$B$250),FALSE),V$3)),"")</f>
        <v/>
      </c>
      <c r="W263" t="str">
        <f t="array" aca="1" ref="W263" ca="1">IFERROR(INDEX(Source!$A$1:$A$250,SMALL(IF(--(Source!$B$1:$B$250=$O263)*--(Source!$E$1:$E$250=$Q$3)*--(Source!$D$1:$D$250=Pyramid!$Q263),ROW(Source!$B$1:$B$250),FALSE),W$3)),"")</f>
        <v/>
      </c>
      <c r="X263" t="str">
        <f t="array" aca="1" ref="X263" ca="1">IFERROR(INDEX(Source!$A$1:$A$250,SMALL(IF(--(Source!$B$1:$B$250=$O263)*--(Source!$E$1:$E$250=$Q$3)*--(Source!$D$1:$D$250=Pyramid!$Q263),ROW(Source!$B$1:$B$250),FALSE),X$3)),"")</f>
        <v/>
      </c>
      <c r="Y263" s="5">
        <f t="shared" ca="1" si="15"/>
        <v>0</v>
      </c>
    </row>
    <row r="264" spans="3:25">
      <c r="C264">
        <v>260</v>
      </c>
      <c r="D264" s="5">
        <f t="shared" ca="1" si="13"/>
        <v>0</v>
      </c>
      <c r="E264" t="str">
        <f t="array" aca="1" ref="E264" ca="1">IFERROR(INDEX(Source!$A$1:$A$250,SMALL(IF(--(Source!$B$1:$B$250=$O264)*--(Source!$E$1:$E$250=$M$3)*--(Source!$D$1:$D$250=Pyramid!$M264),ROW(Source!$B$1:$B$250),FALSE),E$3)),"")</f>
        <v/>
      </c>
      <c r="F264" t="str">
        <f t="array" aca="1" ref="F264" ca="1">IFERROR(INDEX(Source!$A$1:$A$250,SMALL(IF(--(Source!$B$1:$B$250=$O264)*--(Source!$E$1:$E$250=$M$3)*--(Source!$D$1:$D$250=Pyramid!$M264),ROW(Source!$B$1:$B$250),FALSE),F$3)),"")</f>
        <v/>
      </c>
      <c r="G264" t="str">
        <f t="array" aca="1" ref="G264" ca="1">IFERROR(INDEX(Source!$A$1:$A$250,SMALL(IF(--(Source!$B$1:$B$250=$O264)*--(Source!$E$1:$E$250=$M$3)*--(Source!$D$1:$D$250=Pyramid!$M264),ROW(Source!$B$1:$B$250),FALSE),G$3)),"")</f>
        <v/>
      </c>
      <c r="H264" t="str">
        <f t="array" aca="1" ref="H264" ca="1">IFERROR(INDEX(Source!$A$1:$A$250,SMALL(IF(--(Source!$B$1:$B$250=$O264)*--(Source!$E$1:$E$250=$M$3)*--(Source!$D$1:$D$250=Pyramid!$M264),ROW(Source!$B$1:$B$250),FALSE),H$3)),"")</f>
        <v/>
      </c>
      <c r="I264" t="str">
        <f t="array" aca="1" ref="I264" ca="1">IFERROR(INDEX(Source!$A$1:$A$250,SMALL(IF(--(Source!$B$1:$B$250=$O264)*--(Source!$E$1:$E$250=$M$3)*--(Source!$D$1:$D$250=Pyramid!$M264),ROW(Source!$B$1:$B$250),FALSE),I$3)),"")</f>
        <v/>
      </c>
      <c r="J264" t="str">
        <f t="array" aca="1" ref="J264" ca="1">IFERROR(INDEX(Source!$A$1:$A$250,SMALL(IF(--(Source!$B$1:$B$250=$O264)*--(Source!$E$1:$E$250=$M$3)*--(Source!$D$1:$D$250=Pyramid!$M264),ROW(Source!$B$1:$B$250),FALSE),J$3)),"")</f>
        <v/>
      </c>
      <c r="K264" t="str">
        <f t="array" aca="1" ref="K264" ca="1">IFERROR(INDEX(Source!$A$1:$A$250,SMALL(IF(--(Source!$B$1:$B$250=$O264)*--(Source!$E$1:$E$250=$M$3)*--(Source!$D$1:$D$250=Pyramid!$M264),ROW(Source!$B$1:$B$250),FALSE),K$3)),"")</f>
        <v/>
      </c>
      <c r="L264" t="str">
        <f t="array" aca="1" ref="L264" ca="1">IFERROR(INDEX(Source!$A$1:$A$250,SMALL(IF(--(Source!$B$1:$B$250=$O264)*--(Source!$E$1:$E$250=$M$3)*--(Source!$D$1:$D$250=Pyramid!$M264),ROW(Source!$B$1:$B$250),FALSE),L$3)),"")</f>
        <v/>
      </c>
      <c r="M264" t="str">
        <f t="shared" si="14"/>
        <v>29/6/2016</v>
      </c>
      <c r="N264">
        <f ca="1">COUNTIFS(Source!B:B,Pyramid!$O264,Source!$D:$D,Pyramid!$M264,Source!$E:$E,Pyramid!$M$3)</f>
        <v>0</v>
      </c>
      <c r="O264">
        <f ca="1">OFFSET(Sheet2!$N$3,INT(C264/5),)</f>
        <v>21400</v>
      </c>
      <c r="P264">
        <f ca="1">COUNTIFS(Source!B:B,Pyramid!$O264,Source!D:D,Pyramid!$Q264,Source!$E:$E,Pyramid!$Q$3)</f>
        <v>0</v>
      </c>
      <c r="Q264" t="str">
        <f t="shared" si="14"/>
        <v>29/6/2016</v>
      </c>
      <c r="R264" t="str">
        <f t="array" aca="1" ref="R264" ca="1">IFERROR(INDEX(Source!$A$1:$A$250,SMALL(IF(--(Source!$B$1:$B$250=$O264)*--(Source!$E$1:$E$250=$Q$3)*--(Source!$D$1:$D$250=Pyramid!$Q264),ROW(Source!$B$1:$B$250),FALSE),R$3)),"")</f>
        <v/>
      </c>
      <c r="S264" t="str">
        <f t="array" aca="1" ref="S264" ca="1">IFERROR(INDEX(Source!$A$1:$A$250,SMALL(IF(--(Source!$B$1:$B$250=$O264)*--(Source!$E$1:$E$250=$Q$3)*--(Source!$D$1:$D$250=Pyramid!$Q264),ROW(Source!$B$1:$B$250),FALSE),S$3)),"")</f>
        <v/>
      </c>
      <c r="T264" t="str">
        <f t="array" aca="1" ref="T264" ca="1">IFERROR(INDEX(Source!$A$1:$A$250,SMALL(IF(--(Source!$B$1:$B$250=$O264)*--(Source!$E$1:$E$250=$Q$3)*--(Source!$D$1:$D$250=Pyramid!$Q264),ROW(Source!$B$1:$B$250),FALSE),T$3)),"")</f>
        <v/>
      </c>
      <c r="U264" t="str">
        <f t="array" aca="1" ref="U264" ca="1">IFERROR(INDEX(Source!$A$1:$A$250,SMALL(IF(--(Source!$B$1:$B$250=$O264)*--(Source!$E$1:$E$250=$Q$3)*--(Source!$D$1:$D$250=Pyramid!$Q264),ROW(Source!$B$1:$B$250),FALSE),U$3)),"")</f>
        <v/>
      </c>
      <c r="V264" t="str">
        <f t="array" aca="1" ref="V264" ca="1">IFERROR(INDEX(Source!$A$1:$A$250,SMALL(IF(--(Source!$B$1:$B$250=$O264)*--(Source!$E$1:$E$250=$Q$3)*--(Source!$D$1:$D$250=Pyramid!$Q264),ROW(Source!$B$1:$B$250),FALSE),V$3)),"")</f>
        <v/>
      </c>
      <c r="W264" t="str">
        <f t="array" aca="1" ref="W264" ca="1">IFERROR(INDEX(Source!$A$1:$A$250,SMALL(IF(--(Source!$B$1:$B$250=$O264)*--(Source!$E$1:$E$250=$Q$3)*--(Source!$D$1:$D$250=Pyramid!$Q264),ROW(Source!$B$1:$B$250),FALSE),W$3)),"")</f>
        <v/>
      </c>
      <c r="X264" t="str">
        <f t="array" aca="1" ref="X264" ca="1">IFERROR(INDEX(Source!$A$1:$A$250,SMALL(IF(--(Source!$B$1:$B$250=$O264)*--(Source!$E$1:$E$250=$Q$3)*--(Source!$D$1:$D$250=Pyramid!$Q264),ROW(Source!$B$1:$B$250),FALSE),X$3)),"")</f>
        <v/>
      </c>
      <c r="Y264" s="5">
        <f t="shared" ca="1" si="15"/>
        <v>0</v>
      </c>
    </row>
    <row r="265" spans="3:25">
      <c r="C265">
        <v>261</v>
      </c>
      <c r="D265" s="5">
        <f t="shared" ca="1" si="13"/>
        <v>0</v>
      </c>
      <c r="E265" t="str">
        <f t="array" aca="1" ref="E265" ca="1">IFERROR(INDEX(Source!$A$1:$A$250,SMALL(IF(--(Source!$B$1:$B$250=$O265)*--(Source!$E$1:$E$250=$M$3)*--(Source!$D$1:$D$250=Pyramid!$M265),ROW(Source!$B$1:$B$250),FALSE),E$3)),"")</f>
        <v/>
      </c>
      <c r="F265" t="str">
        <f t="array" aca="1" ref="F265" ca="1">IFERROR(INDEX(Source!$A$1:$A$250,SMALL(IF(--(Source!$B$1:$B$250=$O265)*--(Source!$E$1:$E$250=$M$3)*--(Source!$D$1:$D$250=Pyramid!$M265),ROW(Source!$B$1:$B$250),FALSE),F$3)),"")</f>
        <v/>
      </c>
      <c r="G265" t="str">
        <f t="array" aca="1" ref="G265" ca="1">IFERROR(INDEX(Source!$A$1:$A$250,SMALL(IF(--(Source!$B$1:$B$250=$O265)*--(Source!$E$1:$E$250=$M$3)*--(Source!$D$1:$D$250=Pyramid!$M265),ROW(Source!$B$1:$B$250),FALSE),G$3)),"")</f>
        <v/>
      </c>
      <c r="H265" t="str">
        <f t="array" aca="1" ref="H265" ca="1">IFERROR(INDEX(Source!$A$1:$A$250,SMALL(IF(--(Source!$B$1:$B$250=$O265)*--(Source!$E$1:$E$250=$M$3)*--(Source!$D$1:$D$250=Pyramid!$M265),ROW(Source!$B$1:$B$250),FALSE),H$3)),"")</f>
        <v/>
      </c>
      <c r="I265" t="str">
        <f t="array" aca="1" ref="I265" ca="1">IFERROR(INDEX(Source!$A$1:$A$250,SMALL(IF(--(Source!$B$1:$B$250=$O265)*--(Source!$E$1:$E$250=$M$3)*--(Source!$D$1:$D$250=Pyramid!$M265),ROW(Source!$B$1:$B$250),FALSE),I$3)),"")</f>
        <v/>
      </c>
      <c r="J265" t="str">
        <f t="array" aca="1" ref="J265" ca="1">IFERROR(INDEX(Source!$A$1:$A$250,SMALL(IF(--(Source!$B$1:$B$250=$O265)*--(Source!$E$1:$E$250=$M$3)*--(Source!$D$1:$D$250=Pyramid!$M265),ROW(Source!$B$1:$B$250),FALSE),J$3)),"")</f>
        <v/>
      </c>
      <c r="K265" t="str">
        <f t="array" aca="1" ref="K265" ca="1">IFERROR(INDEX(Source!$A$1:$A$250,SMALL(IF(--(Source!$B$1:$B$250=$O265)*--(Source!$E$1:$E$250=$M$3)*--(Source!$D$1:$D$250=Pyramid!$M265),ROW(Source!$B$1:$B$250),FALSE),K$3)),"")</f>
        <v/>
      </c>
      <c r="L265" t="str">
        <f t="array" aca="1" ref="L265" ca="1">IFERROR(INDEX(Source!$A$1:$A$250,SMALL(IF(--(Source!$B$1:$B$250=$O265)*--(Source!$E$1:$E$250=$M$3)*--(Source!$D$1:$D$250=Pyramid!$M265),ROW(Source!$B$1:$B$250),FALSE),L$3)),"")</f>
        <v/>
      </c>
      <c r="M265" t="str">
        <f t="shared" si="14"/>
        <v>28/7/2016</v>
      </c>
      <c r="N265">
        <f ca="1">COUNTIFS(Source!B:B,Pyramid!$O265,Source!$D:$D,Pyramid!$M265,Source!$E:$E,Pyramid!$M$3)</f>
        <v>0</v>
      </c>
      <c r="O265">
        <f ca="1">OFFSET(Sheet2!$N$3,INT(C265/5),)</f>
        <v>21400</v>
      </c>
      <c r="P265">
        <f ca="1">COUNTIFS(Source!B:B,Pyramid!$O265,Source!D:D,Pyramid!$Q265,Source!$E:$E,Pyramid!$Q$3)</f>
        <v>1</v>
      </c>
      <c r="Q265" t="str">
        <f t="shared" si="14"/>
        <v>28/7/2016</v>
      </c>
      <c r="R265" t="str">
        <f t="array" aca="1" ref="R265" ca="1">IFERROR(INDEX(Source!$A$1:$A$250,SMALL(IF(--(Source!$B$1:$B$250=$O265)*--(Source!$E$1:$E$250=$Q$3)*--(Source!$D$1:$D$250=Pyramid!$Q265),ROW(Source!$B$1:$B$250),FALSE),R$3)),"")</f>
        <v>27564 HK Equity</v>
      </c>
      <c r="S265" t="str">
        <f t="array" aca="1" ref="S265" ca="1">IFERROR(INDEX(Source!$A$1:$A$250,SMALL(IF(--(Source!$B$1:$B$250=$O265)*--(Source!$E$1:$E$250=$Q$3)*--(Source!$D$1:$D$250=Pyramid!$Q265),ROW(Source!$B$1:$B$250),FALSE),S$3)),"")</f>
        <v/>
      </c>
      <c r="T265" t="str">
        <f t="array" aca="1" ref="T265" ca="1">IFERROR(INDEX(Source!$A$1:$A$250,SMALL(IF(--(Source!$B$1:$B$250=$O265)*--(Source!$E$1:$E$250=$Q$3)*--(Source!$D$1:$D$250=Pyramid!$Q265),ROW(Source!$B$1:$B$250),FALSE),T$3)),"")</f>
        <v/>
      </c>
      <c r="U265" t="str">
        <f t="array" aca="1" ref="U265" ca="1">IFERROR(INDEX(Source!$A$1:$A$250,SMALL(IF(--(Source!$B$1:$B$250=$O265)*--(Source!$E$1:$E$250=$Q$3)*--(Source!$D$1:$D$250=Pyramid!$Q265),ROW(Source!$B$1:$B$250),FALSE),U$3)),"")</f>
        <v/>
      </c>
      <c r="V265" t="str">
        <f t="array" aca="1" ref="V265" ca="1">IFERROR(INDEX(Source!$A$1:$A$250,SMALL(IF(--(Source!$B$1:$B$250=$O265)*--(Source!$E$1:$E$250=$Q$3)*--(Source!$D$1:$D$250=Pyramid!$Q265),ROW(Source!$B$1:$B$250),FALSE),V$3)),"")</f>
        <v/>
      </c>
      <c r="W265" t="str">
        <f t="array" aca="1" ref="W265" ca="1">IFERROR(INDEX(Source!$A$1:$A$250,SMALL(IF(--(Source!$B$1:$B$250=$O265)*--(Source!$E$1:$E$250=$Q$3)*--(Source!$D$1:$D$250=Pyramid!$Q265),ROW(Source!$B$1:$B$250),FALSE),W$3)),"")</f>
        <v/>
      </c>
      <c r="X265" t="str">
        <f t="array" aca="1" ref="X265" ca="1">IFERROR(INDEX(Source!$A$1:$A$250,SMALL(IF(--(Source!$B$1:$B$250=$O265)*--(Source!$E$1:$E$250=$Q$3)*--(Source!$D$1:$D$250=Pyramid!$Q265),ROW(Source!$B$1:$B$250),FALSE),X$3)),"")</f>
        <v/>
      </c>
      <c r="Y265" s="5">
        <f t="shared" ca="1" si="15"/>
        <v>0</v>
      </c>
    </row>
    <row r="266" spans="3:25">
      <c r="C266">
        <v>262</v>
      </c>
      <c r="D266" s="5">
        <f t="shared" ca="1" si="13"/>
        <v>0</v>
      </c>
      <c r="E266" t="str">
        <f t="array" aca="1" ref="E266" ca="1">IFERROR(INDEX(Source!$A$1:$A$250,SMALL(IF(--(Source!$B$1:$B$250=$O266)*--(Source!$E$1:$E$250=$M$3)*--(Source!$D$1:$D$250=Pyramid!$M266),ROW(Source!$B$1:$B$250),FALSE),E$3)),"")</f>
        <v/>
      </c>
      <c r="F266" t="str">
        <f t="array" aca="1" ref="F266" ca="1">IFERROR(INDEX(Source!$A$1:$A$250,SMALL(IF(--(Source!$B$1:$B$250=$O266)*--(Source!$E$1:$E$250=$M$3)*--(Source!$D$1:$D$250=Pyramid!$M266),ROW(Source!$B$1:$B$250),FALSE),F$3)),"")</f>
        <v/>
      </c>
      <c r="G266" t="str">
        <f t="array" aca="1" ref="G266" ca="1">IFERROR(INDEX(Source!$A$1:$A$250,SMALL(IF(--(Source!$B$1:$B$250=$O266)*--(Source!$E$1:$E$250=$M$3)*--(Source!$D$1:$D$250=Pyramid!$M266),ROW(Source!$B$1:$B$250),FALSE),G$3)),"")</f>
        <v/>
      </c>
      <c r="H266" t="str">
        <f t="array" aca="1" ref="H266" ca="1">IFERROR(INDEX(Source!$A$1:$A$250,SMALL(IF(--(Source!$B$1:$B$250=$O266)*--(Source!$E$1:$E$250=$M$3)*--(Source!$D$1:$D$250=Pyramid!$M266),ROW(Source!$B$1:$B$250),FALSE),H$3)),"")</f>
        <v/>
      </c>
      <c r="I266" t="str">
        <f t="array" aca="1" ref="I266" ca="1">IFERROR(INDEX(Source!$A$1:$A$250,SMALL(IF(--(Source!$B$1:$B$250=$O266)*--(Source!$E$1:$E$250=$M$3)*--(Source!$D$1:$D$250=Pyramid!$M266),ROW(Source!$B$1:$B$250),FALSE),I$3)),"")</f>
        <v/>
      </c>
      <c r="J266" t="str">
        <f t="array" aca="1" ref="J266" ca="1">IFERROR(INDEX(Source!$A$1:$A$250,SMALL(IF(--(Source!$B$1:$B$250=$O266)*--(Source!$E$1:$E$250=$M$3)*--(Source!$D$1:$D$250=Pyramid!$M266),ROW(Source!$B$1:$B$250),FALSE),J$3)),"")</f>
        <v>25236 HK Equity</v>
      </c>
      <c r="K266" t="str">
        <f t="array" aca="1" ref="K266" ca="1">IFERROR(INDEX(Source!$A$1:$A$250,SMALL(IF(--(Source!$B$1:$B$250=$O266)*--(Source!$E$1:$E$250=$M$3)*--(Source!$D$1:$D$250=Pyramid!$M266),ROW(Source!$B$1:$B$250),FALSE),K$3)),"")</f>
        <v>25679 HK Equity</v>
      </c>
      <c r="L266" t="str">
        <f t="array" aca="1" ref="L266" ca="1">IFERROR(INDEX(Source!$A$1:$A$250,SMALL(IF(--(Source!$B$1:$B$250=$O266)*--(Source!$E$1:$E$250=$M$3)*--(Source!$D$1:$D$250=Pyramid!$M266),ROW(Source!$B$1:$B$250),FALSE),L$3)),"")</f>
        <v>26987 HK Equity</v>
      </c>
      <c r="M266" t="str">
        <f t="shared" si="14"/>
        <v>30/8/2016</v>
      </c>
      <c r="N266">
        <f ca="1">COUNTIFS(Source!B:B,Pyramid!$O266,Source!$D:$D,Pyramid!$M266,Source!$E:$E,Pyramid!$M$3)</f>
        <v>3</v>
      </c>
      <c r="O266">
        <f ca="1">OFFSET(Sheet2!$N$3,INT(C266/5),)</f>
        <v>21400</v>
      </c>
      <c r="P266">
        <f ca="1">COUNTIFS(Source!B:B,Pyramid!$O266,Source!D:D,Pyramid!$Q266,Source!$E:$E,Pyramid!$Q$3)</f>
        <v>0</v>
      </c>
      <c r="Q266" t="str">
        <f t="shared" si="14"/>
        <v>30/8/2016</v>
      </c>
      <c r="R266" t="str">
        <f t="array" aca="1" ref="R266" ca="1">IFERROR(INDEX(Source!$A$1:$A$250,SMALL(IF(--(Source!$B$1:$B$250=$O266)*--(Source!$E$1:$E$250=$Q$3)*--(Source!$D$1:$D$250=Pyramid!$Q266),ROW(Source!$B$1:$B$250),FALSE),R$3)),"")</f>
        <v/>
      </c>
      <c r="S266" t="str">
        <f t="array" aca="1" ref="S266" ca="1">IFERROR(INDEX(Source!$A$1:$A$250,SMALL(IF(--(Source!$B$1:$B$250=$O266)*--(Source!$E$1:$E$250=$Q$3)*--(Source!$D$1:$D$250=Pyramid!$Q266),ROW(Source!$B$1:$B$250),FALSE),S$3)),"")</f>
        <v/>
      </c>
      <c r="T266" t="str">
        <f t="array" aca="1" ref="T266" ca="1">IFERROR(INDEX(Source!$A$1:$A$250,SMALL(IF(--(Source!$B$1:$B$250=$O266)*--(Source!$E$1:$E$250=$Q$3)*--(Source!$D$1:$D$250=Pyramid!$Q266),ROW(Source!$B$1:$B$250),FALSE),T$3)),"")</f>
        <v/>
      </c>
      <c r="U266" t="str">
        <f t="array" aca="1" ref="U266" ca="1">IFERROR(INDEX(Source!$A$1:$A$250,SMALL(IF(--(Source!$B$1:$B$250=$O266)*--(Source!$E$1:$E$250=$Q$3)*--(Source!$D$1:$D$250=Pyramid!$Q266),ROW(Source!$B$1:$B$250),FALSE),U$3)),"")</f>
        <v/>
      </c>
      <c r="V266" t="str">
        <f t="array" aca="1" ref="V266" ca="1">IFERROR(INDEX(Source!$A$1:$A$250,SMALL(IF(--(Source!$B$1:$B$250=$O266)*--(Source!$E$1:$E$250=$Q$3)*--(Source!$D$1:$D$250=Pyramid!$Q266),ROW(Source!$B$1:$B$250),FALSE),V$3)),"")</f>
        <v/>
      </c>
      <c r="W266" t="str">
        <f t="array" aca="1" ref="W266" ca="1">IFERROR(INDEX(Source!$A$1:$A$250,SMALL(IF(--(Source!$B$1:$B$250=$O266)*--(Source!$E$1:$E$250=$Q$3)*--(Source!$D$1:$D$250=Pyramid!$Q266),ROW(Source!$B$1:$B$250),FALSE),W$3)),"")</f>
        <v/>
      </c>
      <c r="X266" t="str">
        <f t="array" aca="1" ref="X266" ca="1">IFERROR(INDEX(Source!$A$1:$A$250,SMALL(IF(--(Source!$B$1:$B$250=$O266)*--(Source!$E$1:$E$250=$Q$3)*--(Source!$D$1:$D$250=Pyramid!$Q266),ROW(Source!$B$1:$B$250),FALSE),X$3)),"")</f>
        <v/>
      </c>
      <c r="Y266" s="5">
        <f t="shared" ca="1" si="15"/>
        <v>0</v>
      </c>
    </row>
    <row r="267" spans="3:25">
      <c r="C267">
        <v>263</v>
      </c>
      <c r="D267" s="5">
        <f t="shared" ca="1" si="13"/>
        <v>0</v>
      </c>
      <c r="E267" t="str">
        <f t="array" aca="1" ref="E267" ca="1">IFERROR(INDEX(Source!$A$1:$A$250,SMALL(IF(--(Source!$B$1:$B$250=$O267)*--(Source!$E$1:$E$250=$M$3)*--(Source!$D$1:$D$250=Pyramid!$M267),ROW(Source!$B$1:$B$250),FALSE),E$3)),"")</f>
        <v/>
      </c>
      <c r="F267" t="str">
        <f t="array" aca="1" ref="F267" ca="1">IFERROR(INDEX(Source!$A$1:$A$250,SMALL(IF(--(Source!$B$1:$B$250=$O267)*--(Source!$E$1:$E$250=$M$3)*--(Source!$D$1:$D$250=Pyramid!$M267),ROW(Source!$B$1:$B$250),FALSE),F$3)),"")</f>
        <v/>
      </c>
      <c r="G267" t="str">
        <f t="array" aca="1" ref="G267" ca="1">IFERROR(INDEX(Source!$A$1:$A$250,SMALL(IF(--(Source!$B$1:$B$250=$O267)*--(Source!$E$1:$E$250=$M$3)*--(Source!$D$1:$D$250=Pyramid!$M267),ROW(Source!$B$1:$B$250),FALSE),G$3)),"")</f>
        <v/>
      </c>
      <c r="H267" t="str">
        <f t="array" aca="1" ref="H267" ca="1">IFERROR(INDEX(Source!$A$1:$A$250,SMALL(IF(--(Source!$B$1:$B$250=$O267)*--(Source!$E$1:$E$250=$M$3)*--(Source!$D$1:$D$250=Pyramid!$M267),ROW(Source!$B$1:$B$250),FALSE),H$3)),"")</f>
        <v/>
      </c>
      <c r="I267" t="str">
        <f t="array" aca="1" ref="I267" ca="1">IFERROR(INDEX(Source!$A$1:$A$250,SMALL(IF(--(Source!$B$1:$B$250=$O267)*--(Source!$E$1:$E$250=$M$3)*--(Source!$D$1:$D$250=Pyramid!$M267),ROW(Source!$B$1:$B$250),FALSE),I$3)),"")</f>
        <v/>
      </c>
      <c r="J267" t="str">
        <f t="array" aca="1" ref="J267" ca="1">IFERROR(INDEX(Source!$A$1:$A$250,SMALL(IF(--(Source!$B$1:$B$250=$O267)*--(Source!$E$1:$E$250=$M$3)*--(Source!$D$1:$D$250=Pyramid!$M267),ROW(Source!$B$1:$B$250),FALSE),J$3)),"")</f>
        <v>26753 HK Equity</v>
      </c>
      <c r="K267" t="str">
        <f t="array" aca="1" ref="K267" ca="1">IFERROR(INDEX(Source!$A$1:$A$250,SMALL(IF(--(Source!$B$1:$B$250=$O267)*--(Source!$E$1:$E$250=$M$3)*--(Source!$D$1:$D$250=Pyramid!$M267),ROW(Source!$B$1:$B$250),FALSE),K$3)),"")</f>
        <v>26756 HK Equity</v>
      </c>
      <c r="L267" t="str">
        <f t="array" aca="1" ref="L267" ca="1">IFERROR(INDEX(Source!$A$1:$A$250,SMALL(IF(--(Source!$B$1:$B$250=$O267)*--(Source!$E$1:$E$250=$M$3)*--(Source!$D$1:$D$250=Pyramid!$M267),ROW(Source!$B$1:$B$250),FALSE),L$3)),"")</f>
        <v>26121 HK Equity</v>
      </c>
      <c r="M267" t="str">
        <f t="shared" si="14"/>
        <v>29/9/2016</v>
      </c>
      <c r="N267">
        <f ca="1">COUNTIFS(Source!B:B,Pyramid!$O267,Source!$D:$D,Pyramid!$M267,Source!$E:$E,Pyramid!$M$3)</f>
        <v>3</v>
      </c>
      <c r="O267">
        <f ca="1">OFFSET(Sheet2!$N$3,INT(C267/5),)</f>
        <v>21400</v>
      </c>
      <c r="P267">
        <f ca="1">COUNTIFS(Source!B:B,Pyramid!$O267,Source!D:D,Pyramid!$Q267,Source!$E:$E,Pyramid!$Q$3)</f>
        <v>0</v>
      </c>
      <c r="Q267" t="str">
        <f t="shared" si="14"/>
        <v>29/9/2016</v>
      </c>
      <c r="R267" t="str">
        <f t="array" aca="1" ref="R267" ca="1">IFERROR(INDEX(Source!$A$1:$A$250,SMALL(IF(--(Source!$B$1:$B$250=$O267)*--(Source!$E$1:$E$250=$Q$3)*--(Source!$D$1:$D$250=Pyramid!$Q267),ROW(Source!$B$1:$B$250),FALSE),R$3)),"")</f>
        <v/>
      </c>
      <c r="S267" t="str">
        <f t="array" aca="1" ref="S267" ca="1">IFERROR(INDEX(Source!$A$1:$A$250,SMALL(IF(--(Source!$B$1:$B$250=$O267)*--(Source!$E$1:$E$250=$Q$3)*--(Source!$D$1:$D$250=Pyramid!$Q267),ROW(Source!$B$1:$B$250),FALSE),S$3)),"")</f>
        <v/>
      </c>
      <c r="T267" t="str">
        <f t="array" aca="1" ref="T267" ca="1">IFERROR(INDEX(Source!$A$1:$A$250,SMALL(IF(--(Source!$B$1:$B$250=$O267)*--(Source!$E$1:$E$250=$Q$3)*--(Source!$D$1:$D$250=Pyramid!$Q267),ROW(Source!$B$1:$B$250),FALSE),T$3)),"")</f>
        <v/>
      </c>
      <c r="U267" t="str">
        <f t="array" aca="1" ref="U267" ca="1">IFERROR(INDEX(Source!$A$1:$A$250,SMALL(IF(--(Source!$B$1:$B$250=$O267)*--(Source!$E$1:$E$250=$Q$3)*--(Source!$D$1:$D$250=Pyramid!$Q267),ROW(Source!$B$1:$B$250),FALSE),U$3)),"")</f>
        <v/>
      </c>
      <c r="V267" t="str">
        <f t="array" aca="1" ref="V267" ca="1">IFERROR(INDEX(Source!$A$1:$A$250,SMALL(IF(--(Source!$B$1:$B$250=$O267)*--(Source!$E$1:$E$250=$Q$3)*--(Source!$D$1:$D$250=Pyramid!$Q267),ROW(Source!$B$1:$B$250),FALSE),V$3)),"")</f>
        <v/>
      </c>
      <c r="W267" t="str">
        <f t="array" aca="1" ref="W267" ca="1">IFERROR(INDEX(Source!$A$1:$A$250,SMALL(IF(--(Source!$B$1:$B$250=$O267)*--(Source!$E$1:$E$250=$Q$3)*--(Source!$D$1:$D$250=Pyramid!$Q267),ROW(Source!$B$1:$B$250),FALSE),W$3)),"")</f>
        <v/>
      </c>
      <c r="X267" t="str">
        <f t="array" aca="1" ref="X267" ca="1">IFERROR(INDEX(Source!$A$1:$A$250,SMALL(IF(--(Source!$B$1:$B$250=$O267)*--(Source!$E$1:$E$250=$Q$3)*--(Source!$D$1:$D$250=Pyramid!$Q267),ROW(Source!$B$1:$B$250),FALSE),X$3)),"")</f>
        <v/>
      </c>
      <c r="Y267" s="5">
        <f t="shared" ca="1" si="15"/>
        <v>0</v>
      </c>
    </row>
    <row r="268" spans="3:25">
      <c r="C268">
        <v>264</v>
      </c>
      <c r="D268" s="5">
        <f t="shared" ca="1" si="13"/>
        <v>0</v>
      </c>
      <c r="E268" t="str">
        <f t="array" aca="1" ref="E268" ca="1">IFERROR(INDEX(Source!$A$1:$A$250,SMALL(IF(--(Source!$B$1:$B$250=$O268)*--(Source!$E$1:$E$250=$M$3)*--(Source!$D$1:$D$250=Pyramid!$M268),ROW(Source!$B$1:$B$250),FALSE),E$3)),"")</f>
        <v/>
      </c>
      <c r="F268" t="str">
        <f t="array" aca="1" ref="F268" ca="1">IFERROR(INDEX(Source!$A$1:$A$250,SMALL(IF(--(Source!$B$1:$B$250=$O268)*--(Source!$E$1:$E$250=$M$3)*--(Source!$D$1:$D$250=Pyramid!$M268),ROW(Source!$B$1:$B$250),FALSE),F$3)),"")</f>
        <v/>
      </c>
      <c r="G268" t="str">
        <f t="array" aca="1" ref="G268" ca="1">IFERROR(INDEX(Source!$A$1:$A$250,SMALL(IF(--(Source!$B$1:$B$250=$O268)*--(Source!$E$1:$E$250=$M$3)*--(Source!$D$1:$D$250=Pyramid!$M268),ROW(Source!$B$1:$B$250),FALSE),G$3)),"")</f>
        <v/>
      </c>
      <c r="H268" t="str">
        <f t="array" aca="1" ref="H268" ca="1">IFERROR(INDEX(Source!$A$1:$A$250,SMALL(IF(--(Source!$B$1:$B$250=$O268)*--(Source!$E$1:$E$250=$M$3)*--(Source!$D$1:$D$250=Pyramid!$M268),ROW(Source!$B$1:$B$250),FALSE),H$3)),"")</f>
        <v/>
      </c>
      <c r="I268" t="str">
        <f t="array" aca="1" ref="I268" ca="1">IFERROR(INDEX(Source!$A$1:$A$250,SMALL(IF(--(Source!$B$1:$B$250=$O268)*--(Source!$E$1:$E$250=$M$3)*--(Source!$D$1:$D$250=Pyramid!$M268),ROW(Source!$B$1:$B$250),FALSE),I$3)),"")</f>
        <v/>
      </c>
      <c r="J268" t="str">
        <f t="array" aca="1" ref="J268" ca="1">IFERROR(INDEX(Source!$A$1:$A$250,SMALL(IF(--(Source!$B$1:$B$250=$O268)*--(Source!$E$1:$E$250=$M$3)*--(Source!$D$1:$D$250=Pyramid!$M268),ROW(Source!$B$1:$B$250),FALSE),J$3)),"")</f>
        <v/>
      </c>
      <c r="K268" t="str">
        <f t="array" aca="1" ref="K268" ca="1">IFERROR(INDEX(Source!$A$1:$A$250,SMALL(IF(--(Source!$B$1:$B$250=$O268)*--(Source!$E$1:$E$250=$M$3)*--(Source!$D$1:$D$250=Pyramid!$M268),ROW(Source!$B$1:$B$250),FALSE),K$3)),"")</f>
        <v/>
      </c>
      <c r="L268" t="str">
        <f t="array" aca="1" ref="L268" ca="1">IFERROR(INDEX(Source!$A$1:$A$250,SMALL(IF(--(Source!$B$1:$B$250=$O268)*--(Source!$E$1:$E$250=$M$3)*--(Source!$D$1:$D$250=Pyramid!$M268),ROW(Source!$B$1:$B$250),FALSE),L$3)),"")</f>
        <v/>
      </c>
      <c r="M268" t="str">
        <f t="shared" si="14"/>
        <v>28/10/2016</v>
      </c>
      <c r="N268">
        <f ca="1">COUNTIFS(Source!B:B,Pyramid!$O268,Source!$D:$D,Pyramid!$M268,Source!$E:$E,Pyramid!$M$3)</f>
        <v>0</v>
      </c>
      <c r="O268">
        <f ca="1">OFFSET(Sheet2!$N$3,INT(C268/5),)</f>
        <v>21400</v>
      </c>
      <c r="P268">
        <f ca="1">COUNTIFS(Source!B:B,Pyramid!$O268,Source!D:D,Pyramid!$Q268,Source!$E:$E,Pyramid!$Q$3)</f>
        <v>1</v>
      </c>
      <c r="Q268" t="str">
        <f t="shared" si="14"/>
        <v>28/10/2016</v>
      </c>
      <c r="R268" t="str">
        <f t="array" aca="1" ref="R268" ca="1">IFERROR(INDEX(Source!$A$1:$A$250,SMALL(IF(--(Source!$B$1:$B$250=$O268)*--(Source!$E$1:$E$250=$Q$3)*--(Source!$D$1:$D$250=Pyramid!$Q268),ROW(Source!$B$1:$B$250),FALSE),R$3)),"")</f>
        <v>27465 HK Equity</v>
      </c>
      <c r="S268" t="str">
        <f t="array" aca="1" ref="S268" ca="1">IFERROR(INDEX(Source!$A$1:$A$250,SMALL(IF(--(Source!$B$1:$B$250=$O268)*--(Source!$E$1:$E$250=$Q$3)*--(Source!$D$1:$D$250=Pyramid!$Q268),ROW(Source!$B$1:$B$250),FALSE),S$3)),"")</f>
        <v/>
      </c>
      <c r="T268" t="str">
        <f t="array" aca="1" ref="T268" ca="1">IFERROR(INDEX(Source!$A$1:$A$250,SMALL(IF(--(Source!$B$1:$B$250=$O268)*--(Source!$E$1:$E$250=$Q$3)*--(Source!$D$1:$D$250=Pyramid!$Q268),ROW(Source!$B$1:$B$250),FALSE),T$3)),"")</f>
        <v/>
      </c>
      <c r="U268" t="str">
        <f t="array" aca="1" ref="U268" ca="1">IFERROR(INDEX(Source!$A$1:$A$250,SMALL(IF(--(Source!$B$1:$B$250=$O268)*--(Source!$E$1:$E$250=$Q$3)*--(Source!$D$1:$D$250=Pyramid!$Q268),ROW(Source!$B$1:$B$250),FALSE),U$3)),"")</f>
        <v/>
      </c>
      <c r="V268" t="str">
        <f t="array" aca="1" ref="V268" ca="1">IFERROR(INDEX(Source!$A$1:$A$250,SMALL(IF(--(Source!$B$1:$B$250=$O268)*--(Source!$E$1:$E$250=$Q$3)*--(Source!$D$1:$D$250=Pyramid!$Q268),ROW(Source!$B$1:$B$250),FALSE),V$3)),"")</f>
        <v/>
      </c>
      <c r="W268" t="str">
        <f t="array" aca="1" ref="W268" ca="1">IFERROR(INDEX(Source!$A$1:$A$250,SMALL(IF(--(Source!$B$1:$B$250=$O268)*--(Source!$E$1:$E$250=$Q$3)*--(Source!$D$1:$D$250=Pyramid!$Q268),ROW(Source!$B$1:$B$250),FALSE),W$3)),"")</f>
        <v/>
      </c>
      <c r="X268" t="str">
        <f t="array" aca="1" ref="X268" ca="1">IFERROR(INDEX(Source!$A$1:$A$250,SMALL(IF(--(Source!$B$1:$B$250=$O268)*--(Source!$E$1:$E$250=$Q$3)*--(Source!$D$1:$D$250=Pyramid!$Q268),ROW(Source!$B$1:$B$250),FALSE),X$3)),"")</f>
        <v/>
      </c>
      <c r="Y268" s="5">
        <f t="shared" ca="1" si="15"/>
        <v>0</v>
      </c>
    </row>
    <row r="269" spans="3:25">
      <c r="C269">
        <v>265</v>
      </c>
      <c r="D269" s="5">
        <f t="shared" ca="1" si="13"/>
        <v>0</v>
      </c>
      <c r="E269" t="str">
        <f t="array" aca="1" ref="E269" ca="1">IFERROR(INDEX(Source!$A$1:$A$250,SMALL(IF(--(Source!$B$1:$B$250=$O269)*--(Source!$E$1:$E$250=$M$3)*--(Source!$D$1:$D$250=Pyramid!$M269),ROW(Source!$B$1:$B$250),FALSE),E$3)),"")</f>
        <v/>
      </c>
      <c r="F269" t="str">
        <f t="array" aca="1" ref="F269" ca="1">IFERROR(INDEX(Source!$A$1:$A$250,SMALL(IF(--(Source!$B$1:$B$250=$O269)*--(Source!$E$1:$E$250=$M$3)*--(Source!$D$1:$D$250=Pyramid!$M269),ROW(Source!$B$1:$B$250),FALSE),F$3)),"")</f>
        <v/>
      </c>
      <c r="G269" t="str">
        <f t="array" aca="1" ref="G269" ca="1">IFERROR(INDEX(Source!$A$1:$A$250,SMALL(IF(--(Source!$B$1:$B$250=$O269)*--(Source!$E$1:$E$250=$M$3)*--(Source!$D$1:$D$250=Pyramid!$M269),ROW(Source!$B$1:$B$250),FALSE),G$3)),"")</f>
        <v/>
      </c>
      <c r="H269" t="str">
        <f t="array" aca="1" ref="H269" ca="1">IFERROR(INDEX(Source!$A$1:$A$250,SMALL(IF(--(Source!$B$1:$B$250=$O269)*--(Source!$E$1:$E$250=$M$3)*--(Source!$D$1:$D$250=Pyramid!$M269),ROW(Source!$B$1:$B$250),FALSE),H$3)),"")</f>
        <v/>
      </c>
      <c r="I269" t="str">
        <f t="array" aca="1" ref="I269" ca="1">IFERROR(INDEX(Source!$A$1:$A$250,SMALL(IF(--(Source!$B$1:$B$250=$O269)*--(Source!$E$1:$E$250=$M$3)*--(Source!$D$1:$D$250=Pyramid!$M269),ROW(Source!$B$1:$B$250),FALSE),I$3)),"")</f>
        <v/>
      </c>
      <c r="J269" t="str">
        <f t="array" aca="1" ref="J269" ca="1">IFERROR(INDEX(Source!$A$1:$A$250,SMALL(IF(--(Source!$B$1:$B$250=$O269)*--(Source!$E$1:$E$250=$M$3)*--(Source!$D$1:$D$250=Pyramid!$M269),ROW(Source!$B$1:$B$250),FALSE),J$3)),"")</f>
        <v/>
      </c>
      <c r="K269" t="str">
        <f t="array" aca="1" ref="K269" ca="1">IFERROR(INDEX(Source!$A$1:$A$250,SMALL(IF(--(Source!$B$1:$B$250=$O269)*--(Source!$E$1:$E$250=$M$3)*--(Source!$D$1:$D$250=Pyramid!$M269),ROW(Source!$B$1:$B$250),FALSE),K$3)),"")</f>
        <v/>
      </c>
      <c r="L269" t="str">
        <f t="array" aca="1" ref="L269" ca="1">IFERROR(INDEX(Source!$A$1:$A$250,SMALL(IF(--(Source!$B$1:$B$250=$O269)*--(Source!$E$1:$E$250=$M$3)*--(Source!$D$1:$D$250=Pyramid!$M269),ROW(Source!$B$1:$B$250),FALSE),L$3)),"")</f>
        <v/>
      </c>
      <c r="M269" t="str">
        <f t="shared" si="14"/>
        <v>29/6/2016</v>
      </c>
      <c r="N269">
        <f ca="1">COUNTIFS(Source!B:B,Pyramid!$O269,Source!$D:$D,Pyramid!$M269,Source!$E:$E,Pyramid!$M$3)</f>
        <v>0</v>
      </c>
      <c r="O269">
        <f ca="1">OFFSET(Sheet2!$N$3,INT(C269/5),)</f>
        <v>21498</v>
      </c>
      <c r="P269">
        <f ca="1">COUNTIFS(Source!B:B,Pyramid!$O269,Source!D:D,Pyramid!$Q269,Source!$E:$E,Pyramid!$Q$3)</f>
        <v>0</v>
      </c>
      <c r="Q269" t="str">
        <f t="shared" si="14"/>
        <v>29/6/2016</v>
      </c>
      <c r="R269" t="str">
        <f t="array" aca="1" ref="R269" ca="1">IFERROR(INDEX(Source!$A$1:$A$250,SMALL(IF(--(Source!$B$1:$B$250=$O269)*--(Source!$E$1:$E$250=$Q$3)*--(Source!$D$1:$D$250=Pyramid!$Q269),ROW(Source!$B$1:$B$250),FALSE),R$3)),"")</f>
        <v/>
      </c>
      <c r="S269" t="str">
        <f t="array" aca="1" ref="S269" ca="1">IFERROR(INDEX(Source!$A$1:$A$250,SMALL(IF(--(Source!$B$1:$B$250=$O269)*--(Source!$E$1:$E$250=$Q$3)*--(Source!$D$1:$D$250=Pyramid!$Q269),ROW(Source!$B$1:$B$250),FALSE),S$3)),"")</f>
        <v/>
      </c>
      <c r="T269" t="str">
        <f t="array" aca="1" ref="T269" ca="1">IFERROR(INDEX(Source!$A$1:$A$250,SMALL(IF(--(Source!$B$1:$B$250=$O269)*--(Source!$E$1:$E$250=$Q$3)*--(Source!$D$1:$D$250=Pyramid!$Q269),ROW(Source!$B$1:$B$250),FALSE),T$3)),"")</f>
        <v/>
      </c>
      <c r="U269" t="str">
        <f t="array" aca="1" ref="U269" ca="1">IFERROR(INDEX(Source!$A$1:$A$250,SMALL(IF(--(Source!$B$1:$B$250=$O269)*--(Source!$E$1:$E$250=$Q$3)*--(Source!$D$1:$D$250=Pyramid!$Q269),ROW(Source!$B$1:$B$250),FALSE),U$3)),"")</f>
        <v/>
      </c>
      <c r="V269" t="str">
        <f t="array" aca="1" ref="V269" ca="1">IFERROR(INDEX(Source!$A$1:$A$250,SMALL(IF(--(Source!$B$1:$B$250=$O269)*--(Source!$E$1:$E$250=$Q$3)*--(Source!$D$1:$D$250=Pyramid!$Q269),ROW(Source!$B$1:$B$250),FALSE),V$3)),"")</f>
        <v/>
      </c>
      <c r="W269" t="str">
        <f t="array" aca="1" ref="W269" ca="1">IFERROR(INDEX(Source!$A$1:$A$250,SMALL(IF(--(Source!$B$1:$B$250=$O269)*--(Source!$E$1:$E$250=$Q$3)*--(Source!$D$1:$D$250=Pyramid!$Q269),ROW(Source!$B$1:$B$250),FALSE),W$3)),"")</f>
        <v/>
      </c>
      <c r="X269" t="str">
        <f t="array" aca="1" ref="X269" ca="1">IFERROR(INDEX(Source!$A$1:$A$250,SMALL(IF(--(Source!$B$1:$B$250=$O269)*--(Source!$E$1:$E$250=$Q$3)*--(Source!$D$1:$D$250=Pyramid!$Q269),ROW(Source!$B$1:$B$250),FALSE),X$3)),"")</f>
        <v/>
      </c>
      <c r="Y269" s="5">
        <f t="shared" ca="1" si="15"/>
        <v>0</v>
      </c>
    </row>
    <row r="270" spans="3:25">
      <c r="C270">
        <v>266</v>
      </c>
      <c r="D270" s="5">
        <f t="shared" ca="1" si="13"/>
        <v>0</v>
      </c>
      <c r="E270" t="str">
        <f t="array" aca="1" ref="E270" ca="1">IFERROR(INDEX(Source!$A$1:$A$250,SMALL(IF(--(Source!$B$1:$B$250=$O270)*--(Source!$E$1:$E$250=$M$3)*--(Source!$D$1:$D$250=Pyramid!$M270),ROW(Source!$B$1:$B$250),FALSE),E$3)),"")</f>
        <v/>
      </c>
      <c r="F270" t="str">
        <f t="array" aca="1" ref="F270" ca="1">IFERROR(INDEX(Source!$A$1:$A$250,SMALL(IF(--(Source!$B$1:$B$250=$O270)*--(Source!$E$1:$E$250=$M$3)*--(Source!$D$1:$D$250=Pyramid!$M270),ROW(Source!$B$1:$B$250),FALSE),F$3)),"")</f>
        <v/>
      </c>
      <c r="G270" t="str">
        <f t="array" aca="1" ref="G270" ca="1">IFERROR(INDEX(Source!$A$1:$A$250,SMALL(IF(--(Source!$B$1:$B$250=$O270)*--(Source!$E$1:$E$250=$M$3)*--(Source!$D$1:$D$250=Pyramid!$M270),ROW(Source!$B$1:$B$250),FALSE),G$3)),"")</f>
        <v/>
      </c>
      <c r="H270" t="str">
        <f t="array" aca="1" ref="H270" ca="1">IFERROR(INDEX(Source!$A$1:$A$250,SMALL(IF(--(Source!$B$1:$B$250=$O270)*--(Source!$E$1:$E$250=$M$3)*--(Source!$D$1:$D$250=Pyramid!$M270),ROW(Source!$B$1:$B$250),FALSE),H$3)),"")</f>
        <v/>
      </c>
      <c r="I270" t="str">
        <f t="array" aca="1" ref="I270" ca="1">IFERROR(INDEX(Source!$A$1:$A$250,SMALL(IF(--(Source!$B$1:$B$250=$O270)*--(Source!$E$1:$E$250=$M$3)*--(Source!$D$1:$D$250=Pyramid!$M270),ROW(Source!$B$1:$B$250),FALSE),I$3)),"")</f>
        <v/>
      </c>
      <c r="J270" t="str">
        <f t="array" aca="1" ref="J270" ca="1">IFERROR(INDEX(Source!$A$1:$A$250,SMALL(IF(--(Source!$B$1:$B$250=$O270)*--(Source!$E$1:$E$250=$M$3)*--(Source!$D$1:$D$250=Pyramid!$M270),ROW(Source!$B$1:$B$250),FALSE),J$3)),"")</f>
        <v/>
      </c>
      <c r="K270" t="str">
        <f t="array" aca="1" ref="K270" ca="1">IFERROR(INDEX(Source!$A$1:$A$250,SMALL(IF(--(Source!$B$1:$B$250=$O270)*--(Source!$E$1:$E$250=$M$3)*--(Source!$D$1:$D$250=Pyramid!$M270),ROW(Source!$B$1:$B$250),FALSE),K$3)),"")</f>
        <v/>
      </c>
      <c r="L270" t="str">
        <f t="array" aca="1" ref="L270" ca="1">IFERROR(INDEX(Source!$A$1:$A$250,SMALL(IF(--(Source!$B$1:$B$250=$O270)*--(Source!$E$1:$E$250=$M$3)*--(Source!$D$1:$D$250=Pyramid!$M270),ROW(Source!$B$1:$B$250),FALSE),L$3)),"")</f>
        <v/>
      </c>
      <c r="M270" t="str">
        <f t="shared" si="14"/>
        <v>28/7/2016</v>
      </c>
      <c r="N270">
        <f ca="1">COUNTIFS(Source!B:B,Pyramid!$O270,Source!$D:$D,Pyramid!$M270,Source!$E:$E,Pyramid!$M$3)</f>
        <v>0</v>
      </c>
      <c r="O270">
        <f ca="1">OFFSET(Sheet2!$N$3,INT(C270/5),)</f>
        <v>21498</v>
      </c>
      <c r="P270">
        <f ca="1">COUNTIFS(Source!B:B,Pyramid!$O270,Source!D:D,Pyramid!$Q270,Source!$E:$E,Pyramid!$Q$3)</f>
        <v>0</v>
      </c>
      <c r="Q270" t="str">
        <f t="shared" si="14"/>
        <v>28/7/2016</v>
      </c>
      <c r="R270" t="str">
        <f t="array" aca="1" ref="R270" ca="1">IFERROR(INDEX(Source!$A$1:$A$250,SMALL(IF(--(Source!$B$1:$B$250=$O270)*--(Source!$E$1:$E$250=$Q$3)*--(Source!$D$1:$D$250=Pyramid!$Q270),ROW(Source!$B$1:$B$250),FALSE),R$3)),"")</f>
        <v/>
      </c>
      <c r="S270" t="str">
        <f t="array" aca="1" ref="S270" ca="1">IFERROR(INDEX(Source!$A$1:$A$250,SMALL(IF(--(Source!$B$1:$B$250=$O270)*--(Source!$E$1:$E$250=$Q$3)*--(Source!$D$1:$D$250=Pyramid!$Q270),ROW(Source!$B$1:$B$250),FALSE),S$3)),"")</f>
        <v/>
      </c>
      <c r="T270" t="str">
        <f t="array" aca="1" ref="T270" ca="1">IFERROR(INDEX(Source!$A$1:$A$250,SMALL(IF(--(Source!$B$1:$B$250=$O270)*--(Source!$E$1:$E$250=$Q$3)*--(Source!$D$1:$D$250=Pyramid!$Q270),ROW(Source!$B$1:$B$250),FALSE),T$3)),"")</f>
        <v/>
      </c>
      <c r="U270" t="str">
        <f t="array" aca="1" ref="U270" ca="1">IFERROR(INDEX(Source!$A$1:$A$250,SMALL(IF(--(Source!$B$1:$B$250=$O270)*--(Source!$E$1:$E$250=$Q$3)*--(Source!$D$1:$D$250=Pyramid!$Q270),ROW(Source!$B$1:$B$250),FALSE),U$3)),"")</f>
        <v/>
      </c>
      <c r="V270" t="str">
        <f t="array" aca="1" ref="V270" ca="1">IFERROR(INDEX(Source!$A$1:$A$250,SMALL(IF(--(Source!$B$1:$B$250=$O270)*--(Source!$E$1:$E$250=$Q$3)*--(Source!$D$1:$D$250=Pyramid!$Q270),ROW(Source!$B$1:$B$250),FALSE),V$3)),"")</f>
        <v/>
      </c>
      <c r="W270" t="str">
        <f t="array" aca="1" ref="W270" ca="1">IFERROR(INDEX(Source!$A$1:$A$250,SMALL(IF(--(Source!$B$1:$B$250=$O270)*--(Source!$E$1:$E$250=$Q$3)*--(Source!$D$1:$D$250=Pyramid!$Q270),ROW(Source!$B$1:$B$250),FALSE),W$3)),"")</f>
        <v/>
      </c>
      <c r="X270" t="str">
        <f t="array" aca="1" ref="X270" ca="1">IFERROR(INDEX(Source!$A$1:$A$250,SMALL(IF(--(Source!$B$1:$B$250=$O270)*--(Source!$E$1:$E$250=$Q$3)*--(Source!$D$1:$D$250=Pyramid!$Q270),ROW(Source!$B$1:$B$250),FALSE),X$3)),"")</f>
        <v/>
      </c>
      <c r="Y270" s="5">
        <f t="shared" ca="1" si="15"/>
        <v>0</v>
      </c>
    </row>
    <row r="271" spans="3:25">
      <c r="C271">
        <v>267</v>
      </c>
      <c r="D271" s="5">
        <f t="shared" ca="1" si="13"/>
        <v>0</v>
      </c>
      <c r="E271" t="str">
        <f t="array" aca="1" ref="E271" ca="1">IFERROR(INDEX(Source!$A$1:$A$250,SMALL(IF(--(Source!$B$1:$B$250=$O271)*--(Source!$E$1:$E$250=$M$3)*--(Source!$D$1:$D$250=Pyramid!$M271),ROW(Source!$B$1:$B$250),FALSE),E$3)),"")</f>
        <v/>
      </c>
      <c r="F271" t="str">
        <f t="array" aca="1" ref="F271" ca="1">IFERROR(INDEX(Source!$A$1:$A$250,SMALL(IF(--(Source!$B$1:$B$250=$O271)*--(Source!$E$1:$E$250=$M$3)*--(Source!$D$1:$D$250=Pyramid!$M271),ROW(Source!$B$1:$B$250),FALSE),F$3)),"")</f>
        <v/>
      </c>
      <c r="G271" t="str">
        <f t="array" aca="1" ref="G271" ca="1">IFERROR(INDEX(Source!$A$1:$A$250,SMALL(IF(--(Source!$B$1:$B$250=$O271)*--(Source!$E$1:$E$250=$M$3)*--(Source!$D$1:$D$250=Pyramid!$M271),ROW(Source!$B$1:$B$250),FALSE),G$3)),"")</f>
        <v/>
      </c>
      <c r="H271" t="str">
        <f t="array" aca="1" ref="H271" ca="1">IFERROR(INDEX(Source!$A$1:$A$250,SMALL(IF(--(Source!$B$1:$B$250=$O271)*--(Source!$E$1:$E$250=$M$3)*--(Source!$D$1:$D$250=Pyramid!$M271),ROW(Source!$B$1:$B$250),FALSE),H$3)),"")</f>
        <v/>
      </c>
      <c r="I271" t="str">
        <f t="array" aca="1" ref="I271" ca="1">IFERROR(INDEX(Source!$A$1:$A$250,SMALL(IF(--(Source!$B$1:$B$250=$O271)*--(Source!$E$1:$E$250=$M$3)*--(Source!$D$1:$D$250=Pyramid!$M271),ROW(Source!$B$1:$B$250),FALSE),I$3)),"")</f>
        <v/>
      </c>
      <c r="J271" t="str">
        <f t="array" aca="1" ref="J271" ca="1">IFERROR(INDEX(Source!$A$1:$A$250,SMALL(IF(--(Source!$B$1:$B$250=$O271)*--(Source!$E$1:$E$250=$M$3)*--(Source!$D$1:$D$250=Pyramid!$M271),ROW(Source!$B$1:$B$250),FALSE),J$3)),"")</f>
        <v/>
      </c>
      <c r="K271" t="str">
        <f t="array" aca="1" ref="K271" ca="1">IFERROR(INDEX(Source!$A$1:$A$250,SMALL(IF(--(Source!$B$1:$B$250=$O271)*--(Source!$E$1:$E$250=$M$3)*--(Source!$D$1:$D$250=Pyramid!$M271),ROW(Source!$B$1:$B$250),FALSE),K$3)),"")</f>
        <v/>
      </c>
      <c r="L271" t="str">
        <f t="array" aca="1" ref="L271" ca="1">IFERROR(INDEX(Source!$A$1:$A$250,SMALL(IF(--(Source!$B$1:$B$250=$O271)*--(Source!$E$1:$E$250=$M$3)*--(Source!$D$1:$D$250=Pyramid!$M271),ROW(Source!$B$1:$B$250),FALSE),L$3)),"")</f>
        <v/>
      </c>
      <c r="M271" t="str">
        <f t="shared" si="14"/>
        <v>30/8/2016</v>
      </c>
      <c r="N271">
        <f ca="1">COUNTIFS(Source!B:B,Pyramid!$O271,Source!$D:$D,Pyramid!$M271,Source!$E:$E,Pyramid!$M$3)</f>
        <v>0</v>
      </c>
      <c r="O271">
        <f ca="1">OFFSET(Sheet2!$N$3,INT(C271/5),)</f>
        <v>21498</v>
      </c>
      <c r="P271">
        <f ca="1">COUNTIFS(Source!B:B,Pyramid!$O271,Source!D:D,Pyramid!$Q271,Source!$E:$E,Pyramid!$Q$3)</f>
        <v>0</v>
      </c>
      <c r="Q271" t="str">
        <f t="shared" si="14"/>
        <v>30/8/2016</v>
      </c>
      <c r="R271" t="str">
        <f t="array" aca="1" ref="R271" ca="1">IFERROR(INDEX(Source!$A$1:$A$250,SMALL(IF(--(Source!$B$1:$B$250=$O271)*--(Source!$E$1:$E$250=$Q$3)*--(Source!$D$1:$D$250=Pyramid!$Q271),ROW(Source!$B$1:$B$250),FALSE),R$3)),"")</f>
        <v/>
      </c>
      <c r="S271" t="str">
        <f t="array" aca="1" ref="S271" ca="1">IFERROR(INDEX(Source!$A$1:$A$250,SMALL(IF(--(Source!$B$1:$B$250=$O271)*--(Source!$E$1:$E$250=$Q$3)*--(Source!$D$1:$D$250=Pyramid!$Q271),ROW(Source!$B$1:$B$250),FALSE),S$3)),"")</f>
        <v/>
      </c>
      <c r="T271" t="str">
        <f t="array" aca="1" ref="T271" ca="1">IFERROR(INDEX(Source!$A$1:$A$250,SMALL(IF(--(Source!$B$1:$B$250=$O271)*--(Source!$E$1:$E$250=$Q$3)*--(Source!$D$1:$D$250=Pyramid!$Q271),ROW(Source!$B$1:$B$250),FALSE),T$3)),"")</f>
        <v/>
      </c>
      <c r="U271" t="str">
        <f t="array" aca="1" ref="U271" ca="1">IFERROR(INDEX(Source!$A$1:$A$250,SMALL(IF(--(Source!$B$1:$B$250=$O271)*--(Source!$E$1:$E$250=$Q$3)*--(Source!$D$1:$D$250=Pyramid!$Q271),ROW(Source!$B$1:$B$250),FALSE),U$3)),"")</f>
        <v/>
      </c>
      <c r="V271" t="str">
        <f t="array" aca="1" ref="V271" ca="1">IFERROR(INDEX(Source!$A$1:$A$250,SMALL(IF(--(Source!$B$1:$B$250=$O271)*--(Source!$E$1:$E$250=$Q$3)*--(Source!$D$1:$D$250=Pyramid!$Q271),ROW(Source!$B$1:$B$250),FALSE),V$3)),"")</f>
        <v/>
      </c>
      <c r="W271" t="str">
        <f t="array" aca="1" ref="W271" ca="1">IFERROR(INDEX(Source!$A$1:$A$250,SMALL(IF(--(Source!$B$1:$B$250=$O271)*--(Source!$E$1:$E$250=$Q$3)*--(Source!$D$1:$D$250=Pyramid!$Q271),ROW(Source!$B$1:$B$250),FALSE),W$3)),"")</f>
        <v/>
      </c>
      <c r="X271" t="str">
        <f t="array" aca="1" ref="X271" ca="1">IFERROR(INDEX(Source!$A$1:$A$250,SMALL(IF(--(Source!$B$1:$B$250=$O271)*--(Source!$E$1:$E$250=$Q$3)*--(Source!$D$1:$D$250=Pyramid!$Q271),ROW(Source!$B$1:$B$250),FALSE),X$3)),"")</f>
        <v/>
      </c>
      <c r="Y271" s="5">
        <f t="shared" ca="1" si="15"/>
        <v>0</v>
      </c>
    </row>
    <row r="272" spans="3:25">
      <c r="C272">
        <v>268</v>
      </c>
      <c r="D272" s="5">
        <f t="shared" ca="1" si="13"/>
        <v>0</v>
      </c>
      <c r="E272" t="str">
        <f t="array" aca="1" ref="E272" ca="1">IFERROR(INDEX(Source!$A$1:$A$250,SMALL(IF(--(Source!$B$1:$B$250=$O272)*--(Source!$E$1:$E$250=$M$3)*--(Source!$D$1:$D$250=Pyramid!$M272),ROW(Source!$B$1:$B$250),FALSE),E$3)),"")</f>
        <v/>
      </c>
      <c r="F272" t="str">
        <f t="array" aca="1" ref="F272" ca="1">IFERROR(INDEX(Source!$A$1:$A$250,SMALL(IF(--(Source!$B$1:$B$250=$O272)*--(Source!$E$1:$E$250=$M$3)*--(Source!$D$1:$D$250=Pyramid!$M272),ROW(Source!$B$1:$B$250),FALSE),F$3)),"")</f>
        <v/>
      </c>
      <c r="G272" t="str">
        <f t="array" aca="1" ref="G272" ca="1">IFERROR(INDEX(Source!$A$1:$A$250,SMALL(IF(--(Source!$B$1:$B$250=$O272)*--(Source!$E$1:$E$250=$M$3)*--(Source!$D$1:$D$250=Pyramid!$M272),ROW(Source!$B$1:$B$250),FALSE),G$3)),"")</f>
        <v/>
      </c>
      <c r="H272" t="str">
        <f t="array" aca="1" ref="H272" ca="1">IFERROR(INDEX(Source!$A$1:$A$250,SMALL(IF(--(Source!$B$1:$B$250=$O272)*--(Source!$E$1:$E$250=$M$3)*--(Source!$D$1:$D$250=Pyramid!$M272),ROW(Source!$B$1:$B$250),FALSE),H$3)),"")</f>
        <v/>
      </c>
      <c r="I272" t="str">
        <f t="array" aca="1" ref="I272" ca="1">IFERROR(INDEX(Source!$A$1:$A$250,SMALL(IF(--(Source!$B$1:$B$250=$O272)*--(Source!$E$1:$E$250=$M$3)*--(Source!$D$1:$D$250=Pyramid!$M272),ROW(Source!$B$1:$B$250),FALSE),I$3)),"")</f>
        <v/>
      </c>
      <c r="J272" t="str">
        <f t="array" aca="1" ref="J272" ca="1">IFERROR(INDEX(Source!$A$1:$A$250,SMALL(IF(--(Source!$B$1:$B$250=$O272)*--(Source!$E$1:$E$250=$M$3)*--(Source!$D$1:$D$250=Pyramid!$M272),ROW(Source!$B$1:$B$250),FALSE),J$3)),"")</f>
        <v/>
      </c>
      <c r="K272" t="str">
        <f t="array" aca="1" ref="K272" ca="1">IFERROR(INDEX(Source!$A$1:$A$250,SMALL(IF(--(Source!$B$1:$B$250=$O272)*--(Source!$E$1:$E$250=$M$3)*--(Source!$D$1:$D$250=Pyramid!$M272),ROW(Source!$B$1:$B$250),FALSE),K$3)),"")</f>
        <v/>
      </c>
      <c r="L272" t="str">
        <f t="array" aca="1" ref="L272" ca="1">IFERROR(INDEX(Source!$A$1:$A$250,SMALL(IF(--(Source!$B$1:$B$250=$O272)*--(Source!$E$1:$E$250=$M$3)*--(Source!$D$1:$D$250=Pyramid!$M272),ROW(Source!$B$1:$B$250),FALSE),L$3)),"")</f>
        <v>26488 HK Equity</v>
      </c>
      <c r="M272" t="str">
        <f t="shared" si="14"/>
        <v>29/9/2016</v>
      </c>
      <c r="N272">
        <f ca="1">COUNTIFS(Source!B:B,Pyramid!$O272,Source!$D:$D,Pyramid!$M272,Source!$E:$E,Pyramid!$M$3)</f>
        <v>1</v>
      </c>
      <c r="O272">
        <f ca="1">OFFSET(Sheet2!$N$3,INT(C272/5),)</f>
        <v>21498</v>
      </c>
      <c r="P272">
        <f ca="1">COUNTIFS(Source!B:B,Pyramid!$O272,Source!D:D,Pyramid!$Q272,Source!$E:$E,Pyramid!$Q$3)</f>
        <v>0</v>
      </c>
      <c r="Q272" t="str">
        <f t="shared" si="14"/>
        <v>29/9/2016</v>
      </c>
      <c r="R272" t="str">
        <f t="array" aca="1" ref="R272" ca="1">IFERROR(INDEX(Source!$A$1:$A$250,SMALL(IF(--(Source!$B$1:$B$250=$O272)*--(Source!$E$1:$E$250=$Q$3)*--(Source!$D$1:$D$250=Pyramid!$Q272),ROW(Source!$B$1:$B$250),FALSE),R$3)),"")</f>
        <v/>
      </c>
      <c r="S272" t="str">
        <f t="array" aca="1" ref="S272" ca="1">IFERROR(INDEX(Source!$A$1:$A$250,SMALL(IF(--(Source!$B$1:$B$250=$O272)*--(Source!$E$1:$E$250=$Q$3)*--(Source!$D$1:$D$250=Pyramid!$Q272),ROW(Source!$B$1:$B$250),FALSE),S$3)),"")</f>
        <v/>
      </c>
      <c r="T272" t="str">
        <f t="array" aca="1" ref="T272" ca="1">IFERROR(INDEX(Source!$A$1:$A$250,SMALL(IF(--(Source!$B$1:$B$250=$O272)*--(Source!$E$1:$E$250=$Q$3)*--(Source!$D$1:$D$250=Pyramid!$Q272),ROW(Source!$B$1:$B$250),FALSE),T$3)),"")</f>
        <v/>
      </c>
      <c r="U272" t="str">
        <f t="array" aca="1" ref="U272" ca="1">IFERROR(INDEX(Source!$A$1:$A$250,SMALL(IF(--(Source!$B$1:$B$250=$O272)*--(Source!$E$1:$E$250=$Q$3)*--(Source!$D$1:$D$250=Pyramid!$Q272),ROW(Source!$B$1:$B$250),FALSE),U$3)),"")</f>
        <v/>
      </c>
      <c r="V272" t="str">
        <f t="array" aca="1" ref="V272" ca="1">IFERROR(INDEX(Source!$A$1:$A$250,SMALL(IF(--(Source!$B$1:$B$250=$O272)*--(Source!$E$1:$E$250=$Q$3)*--(Source!$D$1:$D$250=Pyramid!$Q272),ROW(Source!$B$1:$B$250),FALSE),V$3)),"")</f>
        <v/>
      </c>
      <c r="W272" t="str">
        <f t="array" aca="1" ref="W272" ca="1">IFERROR(INDEX(Source!$A$1:$A$250,SMALL(IF(--(Source!$B$1:$B$250=$O272)*--(Source!$E$1:$E$250=$Q$3)*--(Source!$D$1:$D$250=Pyramid!$Q272),ROW(Source!$B$1:$B$250),FALSE),W$3)),"")</f>
        <v/>
      </c>
      <c r="X272" t="str">
        <f t="array" aca="1" ref="X272" ca="1">IFERROR(INDEX(Source!$A$1:$A$250,SMALL(IF(--(Source!$B$1:$B$250=$O272)*--(Source!$E$1:$E$250=$Q$3)*--(Source!$D$1:$D$250=Pyramid!$Q272),ROW(Source!$B$1:$B$250),FALSE),X$3)),"")</f>
        <v/>
      </c>
      <c r="Y272" s="5">
        <f t="shared" ca="1" si="15"/>
        <v>0</v>
      </c>
    </row>
    <row r="273" spans="3:25">
      <c r="C273">
        <v>269</v>
      </c>
      <c r="D273" s="5">
        <f t="shared" ca="1" si="13"/>
        <v>0</v>
      </c>
      <c r="E273" t="str">
        <f t="array" aca="1" ref="E273" ca="1">IFERROR(INDEX(Source!$A$1:$A$250,SMALL(IF(--(Source!$B$1:$B$250=$O273)*--(Source!$E$1:$E$250=$M$3)*--(Source!$D$1:$D$250=Pyramid!$M273),ROW(Source!$B$1:$B$250),FALSE),E$3)),"")</f>
        <v/>
      </c>
      <c r="F273" t="str">
        <f t="array" aca="1" ref="F273" ca="1">IFERROR(INDEX(Source!$A$1:$A$250,SMALL(IF(--(Source!$B$1:$B$250=$O273)*--(Source!$E$1:$E$250=$M$3)*--(Source!$D$1:$D$250=Pyramid!$M273),ROW(Source!$B$1:$B$250),FALSE),F$3)),"")</f>
        <v/>
      </c>
      <c r="G273" t="str">
        <f t="array" aca="1" ref="G273" ca="1">IFERROR(INDEX(Source!$A$1:$A$250,SMALL(IF(--(Source!$B$1:$B$250=$O273)*--(Source!$E$1:$E$250=$M$3)*--(Source!$D$1:$D$250=Pyramid!$M273),ROW(Source!$B$1:$B$250),FALSE),G$3)),"")</f>
        <v/>
      </c>
      <c r="H273" t="str">
        <f t="array" aca="1" ref="H273" ca="1">IFERROR(INDEX(Source!$A$1:$A$250,SMALL(IF(--(Source!$B$1:$B$250=$O273)*--(Source!$E$1:$E$250=$M$3)*--(Source!$D$1:$D$250=Pyramid!$M273),ROW(Source!$B$1:$B$250),FALSE),H$3)),"")</f>
        <v/>
      </c>
      <c r="I273" t="str">
        <f t="array" aca="1" ref="I273" ca="1">IFERROR(INDEX(Source!$A$1:$A$250,SMALL(IF(--(Source!$B$1:$B$250=$O273)*--(Source!$E$1:$E$250=$M$3)*--(Source!$D$1:$D$250=Pyramid!$M273),ROW(Source!$B$1:$B$250),FALSE),I$3)),"")</f>
        <v/>
      </c>
      <c r="J273" t="str">
        <f t="array" aca="1" ref="J273" ca="1">IFERROR(INDEX(Source!$A$1:$A$250,SMALL(IF(--(Source!$B$1:$B$250=$O273)*--(Source!$E$1:$E$250=$M$3)*--(Source!$D$1:$D$250=Pyramid!$M273),ROW(Source!$B$1:$B$250),FALSE),J$3)),"")</f>
        <v/>
      </c>
      <c r="K273" t="str">
        <f t="array" aca="1" ref="K273" ca="1">IFERROR(INDEX(Source!$A$1:$A$250,SMALL(IF(--(Source!$B$1:$B$250=$O273)*--(Source!$E$1:$E$250=$M$3)*--(Source!$D$1:$D$250=Pyramid!$M273),ROW(Source!$B$1:$B$250),FALSE),K$3)),"")</f>
        <v/>
      </c>
      <c r="L273" t="str">
        <f t="array" aca="1" ref="L273" ca="1">IFERROR(INDEX(Source!$A$1:$A$250,SMALL(IF(--(Source!$B$1:$B$250=$O273)*--(Source!$E$1:$E$250=$M$3)*--(Source!$D$1:$D$250=Pyramid!$M273),ROW(Source!$B$1:$B$250),FALSE),L$3)),"")</f>
        <v/>
      </c>
      <c r="M273" t="str">
        <f t="shared" si="14"/>
        <v>28/10/2016</v>
      </c>
      <c r="N273">
        <f ca="1">COUNTIFS(Source!B:B,Pyramid!$O273,Source!$D:$D,Pyramid!$M273,Source!$E:$E,Pyramid!$M$3)</f>
        <v>0</v>
      </c>
      <c r="O273">
        <f ca="1">OFFSET(Sheet2!$N$3,INT(C273/5),)</f>
        <v>21498</v>
      </c>
      <c r="P273">
        <f ca="1">COUNTIFS(Source!B:B,Pyramid!$O273,Source!D:D,Pyramid!$Q273,Source!$E:$E,Pyramid!$Q$3)</f>
        <v>0</v>
      </c>
      <c r="Q273" t="str">
        <f t="shared" si="14"/>
        <v>28/10/2016</v>
      </c>
      <c r="R273" t="str">
        <f t="array" aca="1" ref="R273" ca="1">IFERROR(INDEX(Source!$A$1:$A$250,SMALL(IF(--(Source!$B$1:$B$250=$O273)*--(Source!$E$1:$E$250=$Q$3)*--(Source!$D$1:$D$250=Pyramid!$Q273),ROW(Source!$B$1:$B$250),FALSE),R$3)),"")</f>
        <v/>
      </c>
      <c r="S273" t="str">
        <f t="array" aca="1" ref="S273" ca="1">IFERROR(INDEX(Source!$A$1:$A$250,SMALL(IF(--(Source!$B$1:$B$250=$O273)*--(Source!$E$1:$E$250=$Q$3)*--(Source!$D$1:$D$250=Pyramid!$Q273),ROW(Source!$B$1:$B$250),FALSE),S$3)),"")</f>
        <v/>
      </c>
      <c r="T273" t="str">
        <f t="array" aca="1" ref="T273" ca="1">IFERROR(INDEX(Source!$A$1:$A$250,SMALL(IF(--(Source!$B$1:$B$250=$O273)*--(Source!$E$1:$E$250=$Q$3)*--(Source!$D$1:$D$250=Pyramid!$Q273),ROW(Source!$B$1:$B$250),FALSE),T$3)),"")</f>
        <v/>
      </c>
      <c r="U273" t="str">
        <f t="array" aca="1" ref="U273" ca="1">IFERROR(INDEX(Source!$A$1:$A$250,SMALL(IF(--(Source!$B$1:$B$250=$O273)*--(Source!$E$1:$E$250=$Q$3)*--(Source!$D$1:$D$250=Pyramid!$Q273),ROW(Source!$B$1:$B$250),FALSE),U$3)),"")</f>
        <v/>
      </c>
      <c r="V273" t="str">
        <f t="array" aca="1" ref="V273" ca="1">IFERROR(INDEX(Source!$A$1:$A$250,SMALL(IF(--(Source!$B$1:$B$250=$O273)*--(Source!$E$1:$E$250=$Q$3)*--(Source!$D$1:$D$250=Pyramid!$Q273),ROW(Source!$B$1:$B$250),FALSE),V$3)),"")</f>
        <v/>
      </c>
      <c r="W273" t="str">
        <f t="array" aca="1" ref="W273" ca="1">IFERROR(INDEX(Source!$A$1:$A$250,SMALL(IF(--(Source!$B$1:$B$250=$O273)*--(Source!$E$1:$E$250=$Q$3)*--(Source!$D$1:$D$250=Pyramid!$Q273),ROW(Source!$B$1:$B$250),FALSE),W$3)),"")</f>
        <v/>
      </c>
      <c r="X273" t="str">
        <f t="array" aca="1" ref="X273" ca="1">IFERROR(INDEX(Source!$A$1:$A$250,SMALL(IF(--(Source!$B$1:$B$250=$O273)*--(Source!$E$1:$E$250=$Q$3)*--(Source!$D$1:$D$250=Pyramid!$Q273),ROW(Source!$B$1:$B$250),FALSE),X$3)),"")</f>
        <v/>
      </c>
      <c r="Y273" s="5">
        <f t="shared" ca="1" si="15"/>
        <v>0</v>
      </c>
    </row>
    <row r="274" spans="3:25">
      <c r="C274">
        <v>270</v>
      </c>
      <c r="D274" s="5">
        <f t="shared" ca="1" si="13"/>
        <v>0</v>
      </c>
      <c r="E274" t="str">
        <f t="array" aca="1" ref="E274" ca="1">IFERROR(INDEX(Source!$A$1:$A$250,SMALL(IF(--(Source!$B$1:$B$250=$O274)*--(Source!$E$1:$E$250=$M$3)*--(Source!$D$1:$D$250=Pyramid!$M274),ROW(Source!$B$1:$B$250),FALSE),E$3)),"")</f>
        <v/>
      </c>
      <c r="F274" t="str">
        <f t="array" aca="1" ref="F274" ca="1">IFERROR(INDEX(Source!$A$1:$A$250,SMALL(IF(--(Source!$B$1:$B$250=$O274)*--(Source!$E$1:$E$250=$M$3)*--(Source!$D$1:$D$250=Pyramid!$M274),ROW(Source!$B$1:$B$250),FALSE),F$3)),"")</f>
        <v/>
      </c>
      <c r="G274" t="str">
        <f t="array" aca="1" ref="G274" ca="1">IFERROR(INDEX(Source!$A$1:$A$250,SMALL(IF(--(Source!$B$1:$B$250=$O274)*--(Source!$E$1:$E$250=$M$3)*--(Source!$D$1:$D$250=Pyramid!$M274),ROW(Source!$B$1:$B$250),FALSE),G$3)),"")</f>
        <v/>
      </c>
      <c r="H274" t="str">
        <f t="array" aca="1" ref="H274" ca="1">IFERROR(INDEX(Source!$A$1:$A$250,SMALL(IF(--(Source!$B$1:$B$250=$O274)*--(Source!$E$1:$E$250=$M$3)*--(Source!$D$1:$D$250=Pyramid!$M274),ROW(Source!$B$1:$B$250),FALSE),H$3)),"")</f>
        <v/>
      </c>
      <c r="I274" t="str">
        <f t="array" aca="1" ref="I274" ca="1">IFERROR(INDEX(Source!$A$1:$A$250,SMALL(IF(--(Source!$B$1:$B$250=$O274)*--(Source!$E$1:$E$250=$M$3)*--(Source!$D$1:$D$250=Pyramid!$M274),ROW(Source!$B$1:$B$250),FALSE),I$3)),"")</f>
        <v/>
      </c>
      <c r="J274" t="str">
        <f t="array" aca="1" ref="J274" ca="1">IFERROR(INDEX(Source!$A$1:$A$250,SMALL(IF(--(Source!$B$1:$B$250=$O274)*--(Source!$E$1:$E$250=$M$3)*--(Source!$D$1:$D$250=Pyramid!$M274),ROW(Source!$B$1:$B$250),FALSE),J$3)),"")</f>
        <v/>
      </c>
      <c r="K274" t="str">
        <f t="array" aca="1" ref="K274" ca="1">IFERROR(INDEX(Source!$A$1:$A$250,SMALL(IF(--(Source!$B$1:$B$250=$O274)*--(Source!$E$1:$E$250=$M$3)*--(Source!$D$1:$D$250=Pyramid!$M274),ROW(Source!$B$1:$B$250),FALSE),K$3)),"")</f>
        <v/>
      </c>
      <c r="L274" t="str">
        <f t="array" aca="1" ref="L274" ca="1">IFERROR(INDEX(Source!$A$1:$A$250,SMALL(IF(--(Source!$B$1:$B$250=$O274)*--(Source!$E$1:$E$250=$M$3)*--(Source!$D$1:$D$250=Pyramid!$M274),ROW(Source!$B$1:$B$250),FALSE),L$3)),"")</f>
        <v/>
      </c>
      <c r="M274" t="str">
        <f t="shared" si="14"/>
        <v>29/6/2016</v>
      </c>
      <c r="N274">
        <f ca="1">COUNTIFS(Source!B:B,Pyramid!$O274,Source!$D:$D,Pyramid!$M274,Source!$E:$E,Pyramid!$M$3)</f>
        <v>0</v>
      </c>
      <c r="O274">
        <f ca="1">OFFSET(Sheet2!$N$3,INT(C274/5),)</f>
        <v>21500</v>
      </c>
      <c r="P274">
        <f ca="1">COUNTIFS(Source!B:B,Pyramid!$O274,Source!D:D,Pyramid!$Q274,Source!$E:$E,Pyramid!$Q$3)</f>
        <v>0</v>
      </c>
      <c r="Q274" t="str">
        <f t="shared" si="14"/>
        <v>29/6/2016</v>
      </c>
      <c r="R274" t="str">
        <f t="array" aca="1" ref="R274" ca="1">IFERROR(INDEX(Source!$A$1:$A$250,SMALL(IF(--(Source!$B$1:$B$250=$O274)*--(Source!$E$1:$E$250=$Q$3)*--(Source!$D$1:$D$250=Pyramid!$Q274),ROW(Source!$B$1:$B$250),FALSE),R$3)),"")</f>
        <v/>
      </c>
      <c r="S274" t="str">
        <f t="array" aca="1" ref="S274" ca="1">IFERROR(INDEX(Source!$A$1:$A$250,SMALL(IF(--(Source!$B$1:$B$250=$O274)*--(Source!$E$1:$E$250=$Q$3)*--(Source!$D$1:$D$250=Pyramid!$Q274),ROW(Source!$B$1:$B$250),FALSE),S$3)),"")</f>
        <v/>
      </c>
      <c r="T274" t="str">
        <f t="array" aca="1" ref="T274" ca="1">IFERROR(INDEX(Source!$A$1:$A$250,SMALL(IF(--(Source!$B$1:$B$250=$O274)*--(Source!$E$1:$E$250=$Q$3)*--(Source!$D$1:$D$250=Pyramid!$Q274),ROW(Source!$B$1:$B$250),FALSE),T$3)),"")</f>
        <v/>
      </c>
      <c r="U274" t="str">
        <f t="array" aca="1" ref="U274" ca="1">IFERROR(INDEX(Source!$A$1:$A$250,SMALL(IF(--(Source!$B$1:$B$250=$O274)*--(Source!$E$1:$E$250=$Q$3)*--(Source!$D$1:$D$250=Pyramid!$Q274),ROW(Source!$B$1:$B$250),FALSE),U$3)),"")</f>
        <v/>
      </c>
      <c r="V274" t="str">
        <f t="array" aca="1" ref="V274" ca="1">IFERROR(INDEX(Source!$A$1:$A$250,SMALL(IF(--(Source!$B$1:$B$250=$O274)*--(Source!$E$1:$E$250=$Q$3)*--(Source!$D$1:$D$250=Pyramid!$Q274),ROW(Source!$B$1:$B$250),FALSE),V$3)),"")</f>
        <v/>
      </c>
      <c r="W274" t="str">
        <f t="array" aca="1" ref="W274" ca="1">IFERROR(INDEX(Source!$A$1:$A$250,SMALL(IF(--(Source!$B$1:$B$250=$O274)*--(Source!$E$1:$E$250=$Q$3)*--(Source!$D$1:$D$250=Pyramid!$Q274),ROW(Source!$B$1:$B$250),FALSE),W$3)),"")</f>
        <v/>
      </c>
      <c r="X274" t="str">
        <f t="array" aca="1" ref="X274" ca="1">IFERROR(INDEX(Source!$A$1:$A$250,SMALL(IF(--(Source!$B$1:$B$250=$O274)*--(Source!$E$1:$E$250=$Q$3)*--(Source!$D$1:$D$250=Pyramid!$Q274),ROW(Source!$B$1:$B$250),FALSE),X$3)),"")</f>
        <v/>
      </c>
      <c r="Y274" s="5">
        <f t="shared" ca="1" si="15"/>
        <v>0</v>
      </c>
    </row>
    <row r="275" spans="3:25">
      <c r="C275">
        <v>271</v>
      </c>
      <c r="D275" s="5">
        <f t="shared" ca="1" si="13"/>
        <v>0</v>
      </c>
      <c r="E275" t="str">
        <f t="array" aca="1" ref="E275" ca="1">IFERROR(INDEX(Source!$A$1:$A$250,SMALL(IF(--(Source!$B$1:$B$250=$O275)*--(Source!$E$1:$E$250=$M$3)*--(Source!$D$1:$D$250=Pyramid!$M275),ROW(Source!$B$1:$B$250),FALSE),E$3)),"")</f>
        <v/>
      </c>
      <c r="F275" t="str">
        <f t="array" aca="1" ref="F275" ca="1">IFERROR(INDEX(Source!$A$1:$A$250,SMALL(IF(--(Source!$B$1:$B$250=$O275)*--(Source!$E$1:$E$250=$M$3)*--(Source!$D$1:$D$250=Pyramid!$M275),ROW(Source!$B$1:$B$250),FALSE),F$3)),"")</f>
        <v/>
      </c>
      <c r="G275" t="str">
        <f t="array" aca="1" ref="G275" ca="1">IFERROR(INDEX(Source!$A$1:$A$250,SMALL(IF(--(Source!$B$1:$B$250=$O275)*--(Source!$E$1:$E$250=$M$3)*--(Source!$D$1:$D$250=Pyramid!$M275),ROW(Source!$B$1:$B$250),FALSE),G$3)),"")</f>
        <v/>
      </c>
      <c r="H275" t="str">
        <f t="array" aca="1" ref="H275" ca="1">IFERROR(INDEX(Source!$A$1:$A$250,SMALL(IF(--(Source!$B$1:$B$250=$O275)*--(Source!$E$1:$E$250=$M$3)*--(Source!$D$1:$D$250=Pyramid!$M275),ROW(Source!$B$1:$B$250),FALSE),H$3)),"")</f>
        <v/>
      </c>
      <c r="I275" t="str">
        <f t="array" aca="1" ref="I275" ca="1">IFERROR(INDEX(Source!$A$1:$A$250,SMALL(IF(--(Source!$B$1:$B$250=$O275)*--(Source!$E$1:$E$250=$M$3)*--(Source!$D$1:$D$250=Pyramid!$M275),ROW(Source!$B$1:$B$250),FALSE),I$3)),"")</f>
        <v/>
      </c>
      <c r="J275" t="str">
        <f t="array" aca="1" ref="J275" ca="1">IFERROR(INDEX(Source!$A$1:$A$250,SMALL(IF(--(Source!$B$1:$B$250=$O275)*--(Source!$E$1:$E$250=$M$3)*--(Source!$D$1:$D$250=Pyramid!$M275),ROW(Source!$B$1:$B$250),FALSE),J$3)),"")</f>
        <v/>
      </c>
      <c r="K275" t="str">
        <f t="array" aca="1" ref="K275" ca="1">IFERROR(INDEX(Source!$A$1:$A$250,SMALL(IF(--(Source!$B$1:$B$250=$O275)*--(Source!$E$1:$E$250=$M$3)*--(Source!$D$1:$D$250=Pyramid!$M275),ROW(Source!$B$1:$B$250),FALSE),K$3)),"")</f>
        <v/>
      </c>
      <c r="L275" t="str">
        <f t="array" aca="1" ref="L275" ca="1">IFERROR(INDEX(Source!$A$1:$A$250,SMALL(IF(--(Source!$B$1:$B$250=$O275)*--(Source!$E$1:$E$250=$M$3)*--(Source!$D$1:$D$250=Pyramid!$M275),ROW(Source!$B$1:$B$250),FALSE),L$3)),"")</f>
        <v/>
      </c>
      <c r="M275" t="str">
        <f t="shared" si="14"/>
        <v>28/7/2016</v>
      </c>
      <c r="N275">
        <f ca="1">COUNTIFS(Source!B:B,Pyramid!$O275,Source!$D:$D,Pyramid!$M275,Source!$E:$E,Pyramid!$M$3)</f>
        <v>0</v>
      </c>
      <c r="O275">
        <f ca="1">OFFSET(Sheet2!$N$3,INT(C275/5),)</f>
        <v>21500</v>
      </c>
      <c r="P275">
        <f ca="1">COUNTIFS(Source!B:B,Pyramid!$O275,Source!D:D,Pyramid!$Q275,Source!$E:$E,Pyramid!$Q$3)</f>
        <v>3</v>
      </c>
      <c r="Q275" t="str">
        <f t="shared" si="14"/>
        <v>28/7/2016</v>
      </c>
      <c r="R275" t="str">
        <f t="array" aca="1" ref="R275" ca="1">IFERROR(INDEX(Source!$A$1:$A$250,SMALL(IF(--(Source!$B$1:$B$250=$O275)*--(Source!$E$1:$E$250=$Q$3)*--(Source!$D$1:$D$250=Pyramid!$Q275),ROW(Source!$B$1:$B$250),FALSE),R$3)),"")</f>
        <v>27594 HK Equity</v>
      </c>
      <c r="S275" t="str">
        <f t="array" aca="1" ref="S275" ca="1">IFERROR(INDEX(Source!$A$1:$A$250,SMALL(IF(--(Source!$B$1:$B$250=$O275)*--(Source!$E$1:$E$250=$Q$3)*--(Source!$D$1:$D$250=Pyramid!$Q275),ROW(Source!$B$1:$B$250),FALSE),S$3)),"")</f>
        <v>24427 HK Equity</v>
      </c>
      <c r="T275" t="str">
        <f t="array" aca="1" ref="T275" ca="1">IFERROR(INDEX(Source!$A$1:$A$250,SMALL(IF(--(Source!$B$1:$B$250=$O275)*--(Source!$E$1:$E$250=$Q$3)*--(Source!$D$1:$D$250=Pyramid!$Q275),ROW(Source!$B$1:$B$250),FALSE),T$3)),"")</f>
        <v>27188 HK Equity</v>
      </c>
      <c r="U275" t="str">
        <f t="array" aca="1" ref="U275" ca="1">IFERROR(INDEX(Source!$A$1:$A$250,SMALL(IF(--(Source!$B$1:$B$250=$O275)*--(Source!$E$1:$E$250=$Q$3)*--(Source!$D$1:$D$250=Pyramid!$Q275),ROW(Source!$B$1:$B$250),FALSE),U$3)),"")</f>
        <v/>
      </c>
      <c r="V275" t="str">
        <f t="array" aca="1" ref="V275" ca="1">IFERROR(INDEX(Source!$A$1:$A$250,SMALL(IF(--(Source!$B$1:$B$250=$O275)*--(Source!$E$1:$E$250=$Q$3)*--(Source!$D$1:$D$250=Pyramid!$Q275),ROW(Source!$B$1:$B$250),FALSE),V$3)),"")</f>
        <v/>
      </c>
      <c r="W275" t="str">
        <f t="array" aca="1" ref="W275" ca="1">IFERROR(INDEX(Source!$A$1:$A$250,SMALL(IF(--(Source!$B$1:$B$250=$O275)*--(Source!$E$1:$E$250=$Q$3)*--(Source!$D$1:$D$250=Pyramid!$Q275),ROW(Source!$B$1:$B$250),FALSE),W$3)),"")</f>
        <v/>
      </c>
      <c r="X275" t="str">
        <f t="array" aca="1" ref="X275" ca="1">IFERROR(INDEX(Source!$A$1:$A$250,SMALL(IF(--(Source!$B$1:$B$250=$O275)*--(Source!$E$1:$E$250=$Q$3)*--(Source!$D$1:$D$250=Pyramid!$Q275),ROW(Source!$B$1:$B$250),FALSE),X$3)),"")</f>
        <v/>
      </c>
      <c r="Y275" s="5">
        <f t="shared" ca="1" si="15"/>
        <v>0</v>
      </c>
    </row>
    <row r="276" spans="3:25">
      <c r="C276">
        <v>272</v>
      </c>
      <c r="D276" s="5">
        <f t="shared" ca="1" si="13"/>
        <v>0</v>
      </c>
      <c r="E276" t="str">
        <f t="array" aca="1" ref="E276" ca="1">IFERROR(INDEX(Source!$A$1:$A$250,SMALL(IF(--(Source!$B$1:$B$250=$O276)*--(Source!$E$1:$E$250=$M$3)*--(Source!$D$1:$D$250=Pyramid!$M276),ROW(Source!$B$1:$B$250),FALSE),E$3)),"")</f>
        <v/>
      </c>
      <c r="F276" t="str">
        <f t="array" aca="1" ref="F276" ca="1">IFERROR(INDEX(Source!$A$1:$A$250,SMALL(IF(--(Source!$B$1:$B$250=$O276)*--(Source!$E$1:$E$250=$M$3)*--(Source!$D$1:$D$250=Pyramid!$M276),ROW(Source!$B$1:$B$250),FALSE),F$3)),"")</f>
        <v/>
      </c>
      <c r="G276" t="str">
        <f t="array" aca="1" ref="G276" ca="1">IFERROR(INDEX(Source!$A$1:$A$250,SMALL(IF(--(Source!$B$1:$B$250=$O276)*--(Source!$E$1:$E$250=$M$3)*--(Source!$D$1:$D$250=Pyramid!$M276),ROW(Source!$B$1:$B$250),FALSE),G$3)),"")</f>
        <v/>
      </c>
      <c r="H276" t="str">
        <f t="array" aca="1" ref="H276" ca="1">IFERROR(INDEX(Source!$A$1:$A$250,SMALL(IF(--(Source!$B$1:$B$250=$O276)*--(Source!$E$1:$E$250=$M$3)*--(Source!$D$1:$D$250=Pyramid!$M276),ROW(Source!$B$1:$B$250),FALSE),H$3)),"")</f>
        <v/>
      </c>
      <c r="I276" t="str">
        <f t="array" aca="1" ref="I276" ca="1">IFERROR(INDEX(Source!$A$1:$A$250,SMALL(IF(--(Source!$B$1:$B$250=$O276)*--(Source!$E$1:$E$250=$M$3)*--(Source!$D$1:$D$250=Pyramid!$M276),ROW(Source!$B$1:$B$250),FALSE),I$3)),"")</f>
        <v/>
      </c>
      <c r="J276" t="str">
        <f t="array" aca="1" ref="J276" ca="1">IFERROR(INDEX(Source!$A$1:$A$250,SMALL(IF(--(Source!$B$1:$B$250=$O276)*--(Source!$E$1:$E$250=$M$3)*--(Source!$D$1:$D$250=Pyramid!$M276),ROW(Source!$B$1:$B$250),FALSE),J$3)),"")</f>
        <v/>
      </c>
      <c r="K276" t="str">
        <f t="array" aca="1" ref="K276" ca="1">IFERROR(INDEX(Source!$A$1:$A$250,SMALL(IF(--(Source!$B$1:$B$250=$O276)*--(Source!$E$1:$E$250=$M$3)*--(Source!$D$1:$D$250=Pyramid!$M276),ROW(Source!$B$1:$B$250),FALSE),K$3)),"")</f>
        <v/>
      </c>
      <c r="L276" t="str">
        <f t="array" aca="1" ref="L276" ca="1">IFERROR(INDEX(Source!$A$1:$A$250,SMALL(IF(--(Source!$B$1:$B$250=$O276)*--(Source!$E$1:$E$250=$M$3)*--(Source!$D$1:$D$250=Pyramid!$M276),ROW(Source!$B$1:$B$250),FALSE),L$3)),"")</f>
        <v>27760 HK Equity</v>
      </c>
      <c r="M276" t="str">
        <f t="shared" si="14"/>
        <v>30/8/2016</v>
      </c>
      <c r="N276">
        <f ca="1">COUNTIFS(Source!B:B,Pyramid!$O276,Source!$D:$D,Pyramid!$M276,Source!$E:$E,Pyramid!$M$3)</f>
        <v>1</v>
      </c>
      <c r="O276">
        <f ca="1">OFFSET(Sheet2!$N$3,INT(C276/5),)</f>
        <v>21500</v>
      </c>
      <c r="P276">
        <f ca="1">COUNTIFS(Source!B:B,Pyramid!$O276,Source!D:D,Pyramid!$Q276,Source!$E:$E,Pyramid!$Q$3)</f>
        <v>0</v>
      </c>
      <c r="Q276" t="str">
        <f t="shared" si="14"/>
        <v>30/8/2016</v>
      </c>
      <c r="R276" t="str">
        <f t="array" aca="1" ref="R276" ca="1">IFERROR(INDEX(Source!$A$1:$A$250,SMALL(IF(--(Source!$B$1:$B$250=$O276)*--(Source!$E$1:$E$250=$Q$3)*--(Source!$D$1:$D$250=Pyramid!$Q276),ROW(Source!$B$1:$B$250),FALSE),R$3)),"")</f>
        <v/>
      </c>
      <c r="S276" t="str">
        <f t="array" aca="1" ref="S276" ca="1">IFERROR(INDEX(Source!$A$1:$A$250,SMALL(IF(--(Source!$B$1:$B$250=$O276)*--(Source!$E$1:$E$250=$Q$3)*--(Source!$D$1:$D$250=Pyramid!$Q276),ROW(Source!$B$1:$B$250),FALSE),S$3)),"")</f>
        <v/>
      </c>
      <c r="T276" t="str">
        <f t="array" aca="1" ref="T276" ca="1">IFERROR(INDEX(Source!$A$1:$A$250,SMALL(IF(--(Source!$B$1:$B$250=$O276)*--(Source!$E$1:$E$250=$Q$3)*--(Source!$D$1:$D$250=Pyramid!$Q276),ROW(Source!$B$1:$B$250),FALSE),T$3)),"")</f>
        <v/>
      </c>
      <c r="U276" t="str">
        <f t="array" aca="1" ref="U276" ca="1">IFERROR(INDEX(Source!$A$1:$A$250,SMALL(IF(--(Source!$B$1:$B$250=$O276)*--(Source!$E$1:$E$250=$Q$3)*--(Source!$D$1:$D$250=Pyramid!$Q276),ROW(Source!$B$1:$B$250),FALSE),U$3)),"")</f>
        <v/>
      </c>
      <c r="V276" t="str">
        <f t="array" aca="1" ref="V276" ca="1">IFERROR(INDEX(Source!$A$1:$A$250,SMALL(IF(--(Source!$B$1:$B$250=$O276)*--(Source!$E$1:$E$250=$Q$3)*--(Source!$D$1:$D$250=Pyramid!$Q276),ROW(Source!$B$1:$B$250),FALSE),V$3)),"")</f>
        <v/>
      </c>
      <c r="W276" t="str">
        <f t="array" aca="1" ref="W276" ca="1">IFERROR(INDEX(Source!$A$1:$A$250,SMALL(IF(--(Source!$B$1:$B$250=$O276)*--(Source!$E$1:$E$250=$Q$3)*--(Source!$D$1:$D$250=Pyramid!$Q276),ROW(Source!$B$1:$B$250),FALSE),W$3)),"")</f>
        <v/>
      </c>
      <c r="X276" t="str">
        <f t="array" aca="1" ref="X276" ca="1">IFERROR(INDEX(Source!$A$1:$A$250,SMALL(IF(--(Source!$B$1:$B$250=$O276)*--(Source!$E$1:$E$250=$Q$3)*--(Source!$D$1:$D$250=Pyramid!$Q276),ROW(Source!$B$1:$B$250),FALSE),X$3)),"")</f>
        <v/>
      </c>
      <c r="Y276" s="5">
        <f t="shared" ca="1" si="15"/>
        <v>0</v>
      </c>
    </row>
    <row r="277" spans="3:25">
      <c r="C277">
        <v>273</v>
      </c>
      <c r="D277" s="5">
        <f t="shared" ca="1" si="13"/>
        <v>0</v>
      </c>
      <c r="E277" t="str">
        <f t="array" aca="1" ref="E277" ca="1">IFERROR(INDEX(Source!$A$1:$A$250,SMALL(IF(--(Source!$B$1:$B$250=$O277)*--(Source!$E$1:$E$250=$M$3)*--(Source!$D$1:$D$250=Pyramid!$M277),ROW(Source!$B$1:$B$250),FALSE),E$3)),"")</f>
        <v/>
      </c>
      <c r="F277" t="str">
        <f t="array" aca="1" ref="F277" ca="1">IFERROR(INDEX(Source!$A$1:$A$250,SMALL(IF(--(Source!$B$1:$B$250=$O277)*--(Source!$E$1:$E$250=$M$3)*--(Source!$D$1:$D$250=Pyramid!$M277),ROW(Source!$B$1:$B$250),FALSE),F$3)),"")</f>
        <v/>
      </c>
      <c r="G277" t="str">
        <f t="array" aca="1" ref="G277" ca="1">IFERROR(INDEX(Source!$A$1:$A$250,SMALL(IF(--(Source!$B$1:$B$250=$O277)*--(Source!$E$1:$E$250=$M$3)*--(Source!$D$1:$D$250=Pyramid!$M277),ROW(Source!$B$1:$B$250),FALSE),G$3)),"")</f>
        <v/>
      </c>
      <c r="H277" t="str">
        <f t="array" aca="1" ref="H277" ca="1">IFERROR(INDEX(Source!$A$1:$A$250,SMALL(IF(--(Source!$B$1:$B$250=$O277)*--(Source!$E$1:$E$250=$M$3)*--(Source!$D$1:$D$250=Pyramid!$M277),ROW(Source!$B$1:$B$250),FALSE),H$3)),"")</f>
        <v/>
      </c>
      <c r="I277" t="str">
        <f t="array" aca="1" ref="I277" ca="1">IFERROR(INDEX(Source!$A$1:$A$250,SMALL(IF(--(Source!$B$1:$B$250=$O277)*--(Source!$E$1:$E$250=$M$3)*--(Source!$D$1:$D$250=Pyramid!$M277),ROW(Source!$B$1:$B$250),FALSE),I$3)),"")</f>
        <v/>
      </c>
      <c r="J277" t="str">
        <f t="array" aca="1" ref="J277" ca="1">IFERROR(INDEX(Source!$A$1:$A$250,SMALL(IF(--(Source!$B$1:$B$250=$O277)*--(Source!$E$1:$E$250=$M$3)*--(Source!$D$1:$D$250=Pyramid!$M277),ROW(Source!$B$1:$B$250),FALSE),J$3)),"")</f>
        <v/>
      </c>
      <c r="K277" t="str">
        <f t="array" aca="1" ref="K277" ca="1">IFERROR(INDEX(Source!$A$1:$A$250,SMALL(IF(--(Source!$B$1:$B$250=$O277)*--(Source!$E$1:$E$250=$M$3)*--(Source!$D$1:$D$250=Pyramid!$M277),ROW(Source!$B$1:$B$250),FALSE),K$3)),"")</f>
        <v/>
      </c>
      <c r="L277" t="str">
        <f t="array" aca="1" ref="L277" ca="1">IFERROR(INDEX(Source!$A$1:$A$250,SMALL(IF(--(Source!$B$1:$B$250=$O277)*--(Source!$E$1:$E$250=$M$3)*--(Source!$D$1:$D$250=Pyramid!$M277),ROW(Source!$B$1:$B$250),FALSE),L$3)),"")</f>
        <v/>
      </c>
      <c r="M277" t="str">
        <f t="shared" si="14"/>
        <v>29/9/2016</v>
      </c>
      <c r="N277">
        <f ca="1">COUNTIFS(Source!B:B,Pyramid!$O277,Source!$D:$D,Pyramid!$M277,Source!$E:$E,Pyramid!$M$3)</f>
        <v>0</v>
      </c>
      <c r="O277">
        <f ca="1">OFFSET(Sheet2!$N$3,INT(C277/5),)</f>
        <v>21500</v>
      </c>
      <c r="P277">
        <f ca="1">COUNTIFS(Source!B:B,Pyramid!$O277,Source!D:D,Pyramid!$Q277,Source!$E:$E,Pyramid!$Q$3)</f>
        <v>0</v>
      </c>
      <c r="Q277" t="str">
        <f t="shared" si="14"/>
        <v>29/9/2016</v>
      </c>
      <c r="R277" t="str">
        <f t="array" aca="1" ref="R277" ca="1">IFERROR(INDEX(Source!$A$1:$A$250,SMALL(IF(--(Source!$B$1:$B$250=$O277)*--(Source!$E$1:$E$250=$Q$3)*--(Source!$D$1:$D$250=Pyramid!$Q277),ROW(Source!$B$1:$B$250),FALSE),R$3)),"")</f>
        <v/>
      </c>
      <c r="S277" t="str">
        <f t="array" aca="1" ref="S277" ca="1">IFERROR(INDEX(Source!$A$1:$A$250,SMALL(IF(--(Source!$B$1:$B$250=$O277)*--(Source!$E$1:$E$250=$Q$3)*--(Source!$D$1:$D$250=Pyramid!$Q277),ROW(Source!$B$1:$B$250),FALSE),S$3)),"")</f>
        <v/>
      </c>
      <c r="T277" t="str">
        <f t="array" aca="1" ref="T277" ca="1">IFERROR(INDEX(Source!$A$1:$A$250,SMALL(IF(--(Source!$B$1:$B$250=$O277)*--(Source!$E$1:$E$250=$Q$3)*--(Source!$D$1:$D$250=Pyramid!$Q277),ROW(Source!$B$1:$B$250),FALSE),T$3)),"")</f>
        <v/>
      </c>
      <c r="U277" t="str">
        <f t="array" aca="1" ref="U277" ca="1">IFERROR(INDEX(Source!$A$1:$A$250,SMALL(IF(--(Source!$B$1:$B$250=$O277)*--(Source!$E$1:$E$250=$Q$3)*--(Source!$D$1:$D$250=Pyramid!$Q277),ROW(Source!$B$1:$B$250),FALSE),U$3)),"")</f>
        <v/>
      </c>
      <c r="V277" t="str">
        <f t="array" aca="1" ref="V277" ca="1">IFERROR(INDEX(Source!$A$1:$A$250,SMALL(IF(--(Source!$B$1:$B$250=$O277)*--(Source!$E$1:$E$250=$Q$3)*--(Source!$D$1:$D$250=Pyramid!$Q277),ROW(Source!$B$1:$B$250),FALSE),V$3)),"")</f>
        <v/>
      </c>
      <c r="W277" t="str">
        <f t="array" aca="1" ref="W277" ca="1">IFERROR(INDEX(Source!$A$1:$A$250,SMALL(IF(--(Source!$B$1:$B$250=$O277)*--(Source!$E$1:$E$250=$Q$3)*--(Source!$D$1:$D$250=Pyramid!$Q277),ROW(Source!$B$1:$B$250),FALSE),W$3)),"")</f>
        <v/>
      </c>
      <c r="X277" t="str">
        <f t="array" aca="1" ref="X277" ca="1">IFERROR(INDEX(Source!$A$1:$A$250,SMALL(IF(--(Source!$B$1:$B$250=$O277)*--(Source!$E$1:$E$250=$Q$3)*--(Source!$D$1:$D$250=Pyramid!$Q277),ROW(Source!$B$1:$B$250),FALSE),X$3)),"")</f>
        <v/>
      </c>
      <c r="Y277" s="5">
        <f t="shared" ca="1" si="15"/>
        <v>0</v>
      </c>
    </row>
    <row r="278" spans="3:25">
      <c r="C278">
        <v>274</v>
      </c>
      <c r="D278" s="5">
        <f t="shared" ca="1" si="13"/>
        <v>0</v>
      </c>
      <c r="E278" t="str">
        <f t="array" aca="1" ref="E278" ca="1">IFERROR(INDEX(Source!$A$1:$A$250,SMALL(IF(--(Source!$B$1:$B$250=$O278)*--(Source!$E$1:$E$250=$M$3)*--(Source!$D$1:$D$250=Pyramid!$M278),ROW(Source!$B$1:$B$250),FALSE),E$3)),"")</f>
        <v/>
      </c>
      <c r="F278" t="str">
        <f t="array" aca="1" ref="F278" ca="1">IFERROR(INDEX(Source!$A$1:$A$250,SMALL(IF(--(Source!$B$1:$B$250=$O278)*--(Source!$E$1:$E$250=$M$3)*--(Source!$D$1:$D$250=Pyramid!$M278),ROW(Source!$B$1:$B$250),FALSE),F$3)),"")</f>
        <v/>
      </c>
      <c r="G278" t="str">
        <f t="array" aca="1" ref="G278" ca="1">IFERROR(INDEX(Source!$A$1:$A$250,SMALL(IF(--(Source!$B$1:$B$250=$O278)*--(Source!$E$1:$E$250=$M$3)*--(Source!$D$1:$D$250=Pyramid!$M278),ROW(Source!$B$1:$B$250),FALSE),G$3)),"")</f>
        <v/>
      </c>
      <c r="H278" t="str">
        <f t="array" aca="1" ref="H278" ca="1">IFERROR(INDEX(Source!$A$1:$A$250,SMALL(IF(--(Source!$B$1:$B$250=$O278)*--(Source!$E$1:$E$250=$M$3)*--(Source!$D$1:$D$250=Pyramid!$M278),ROW(Source!$B$1:$B$250),FALSE),H$3)),"")</f>
        <v/>
      </c>
      <c r="I278" t="str">
        <f t="array" aca="1" ref="I278" ca="1">IFERROR(INDEX(Source!$A$1:$A$250,SMALL(IF(--(Source!$B$1:$B$250=$O278)*--(Source!$E$1:$E$250=$M$3)*--(Source!$D$1:$D$250=Pyramid!$M278),ROW(Source!$B$1:$B$250),FALSE),I$3)),"")</f>
        <v/>
      </c>
      <c r="J278" t="str">
        <f t="array" aca="1" ref="J278" ca="1">IFERROR(INDEX(Source!$A$1:$A$250,SMALL(IF(--(Source!$B$1:$B$250=$O278)*--(Source!$E$1:$E$250=$M$3)*--(Source!$D$1:$D$250=Pyramid!$M278),ROW(Source!$B$1:$B$250),FALSE),J$3)),"")</f>
        <v/>
      </c>
      <c r="K278" t="str">
        <f t="array" aca="1" ref="K278" ca="1">IFERROR(INDEX(Source!$A$1:$A$250,SMALL(IF(--(Source!$B$1:$B$250=$O278)*--(Source!$E$1:$E$250=$M$3)*--(Source!$D$1:$D$250=Pyramid!$M278),ROW(Source!$B$1:$B$250),FALSE),K$3)),"")</f>
        <v/>
      </c>
      <c r="L278" t="str">
        <f t="array" aca="1" ref="L278" ca="1">IFERROR(INDEX(Source!$A$1:$A$250,SMALL(IF(--(Source!$B$1:$B$250=$O278)*--(Source!$E$1:$E$250=$M$3)*--(Source!$D$1:$D$250=Pyramid!$M278),ROW(Source!$B$1:$B$250),FALSE),L$3)),"")</f>
        <v/>
      </c>
      <c r="M278" t="str">
        <f t="shared" si="14"/>
        <v>28/10/2016</v>
      </c>
      <c r="N278">
        <f ca="1">COUNTIFS(Source!B:B,Pyramid!$O278,Source!$D:$D,Pyramid!$M278,Source!$E:$E,Pyramid!$M$3)</f>
        <v>0</v>
      </c>
      <c r="O278">
        <f ca="1">OFFSET(Sheet2!$N$3,INT(C278/5),)</f>
        <v>21500</v>
      </c>
      <c r="P278">
        <f ca="1">COUNTIFS(Source!B:B,Pyramid!$O278,Source!D:D,Pyramid!$Q278,Source!$E:$E,Pyramid!$Q$3)</f>
        <v>0</v>
      </c>
      <c r="Q278" t="str">
        <f t="shared" si="14"/>
        <v>28/10/2016</v>
      </c>
      <c r="R278" t="str">
        <f t="array" aca="1" ref="R278" ca="1">IFERROR(INDEX(Source!$A$1:$A$250,SMALL(IF(--(Source!$B$1:$B$250=$O278)*--(Source!$E$1:$E$250=$Q$3)*--(Source!$D$1:$D$250=Pyramid!$Q278),ROW(Source!$B$1:$B$250),FALSE),R$3)),"")</f>
        <v/>
      </c>
      <c r="S278" t="str">
        <f t="array" aca="1" ref="S278" ca="1">IFERROR(INDEX(Source!$A$1:$A$250,SMALL(IF(--(Source!$B$1:$B$250=$O278)*--(Source!$E$1:$E$250=$Q$3)*--(Source!$D$1:$D$250=Pyramid!$Q278),ROW(Source!$B$1:$B$250),FALSE),S$3)),"")</f>
        <v/>
      </c>
      <c r="T278" t="str">
        <f t="array" aca="1" ref="T278" ca="1">IFERROR(INDEX(Source!$A$1:$A$250,SMALL(IF(--(Source!$B$1:$B$250=$O278)*--(Source!$E$1:$E$250=$Q$3)*--(Source!$D$1:$D$250=Pyramid!$Q278),ROW(Source!$B$1:$B$250),FALSE),T$3)),"")</f>
        <v/>
      </c>
      <c r="U278" t="str">
        <f t="array" aca="1" ref="U278" ca="1">IFERROR(INDEX(Source!$A$1:$A$250,SMALL(IF(--(Source!$B$1:$B$250=$O278)*--(Source!$E$1:$E$250=$Q$3)*--(Source!$D$1:$D$250=Pyramid!$Q278),ROW(Source!$B$1:$B$250),FALSE),U$3)),"")</f>
        <v/>
      </c>
      <c r="V278" t="str">
        <f t="array" aca="1" ref="V278" ca="1">IFERROR(INDEX(Source!$A$1:$A$250,SMALL(IF(--(Source!$B$1:$B$250=$O278)*--(Source!$E$1:$E$250=$Q$3)*--(Source!$D$1:$D$250=Pyramid!$Q278),ROW(Source!$B$1:$B$250),FALSE),V$3)),"")</f>
        <v/>
      </c>
      <c r="W278" t="str">
        <f t="array" aca="1" ref="W278" ca="1">IFERROR(INDEX(Source!$A$1:$A$250,SMALL(IF(--(Source!$B$1:$B$250=$O278)*--(Source!$E$1:$E$250=$Q$3)*--(Source!$D$1:$D$250=Pyramid!$Q278),ROW(Source!$B$1:$B$250),FALSE),W$3)),"")</f>
        <v/>
      </c>
      <c r="X278" t="str">
        <f t="array" aca="1" ref="X278" ca="1">IFERROR(INDEX(Source!$A$1:$A$250,SMALL(IF(--(Source!$B$1:$B$250=$O278)*--(Source!$E$1:$E$250=$Q$3)*--(Source!$D$1:$D$250=Pyramid!$Q278),ROW(Source!$B$1:$B$250),FALSE),X$3)),"")</f>
        <v/>
      </c>
      <c r="Y278" s="5">
        <f t="shared" ca="1" si="15"/>
        <v>0</v>
      </c>
    </row>
    <row r="279" spans="3:25">
      <c r="C279">
        <v>275</v>
      </c>
      <c r="D279" s="5">
        <f t="shared" ca="1" si="13"/>
        <v>0</v>
      </c>
      <c r="E279" t="str">
        <f t="array" aca="1" ref="E279" ca="1">IFERROR(INDEX(Source!$A$1:$A$250,SMALL(IF(--(Source!$B$1:$B$250=$O279)*--(Source!$E$1:$E$250=$M$3)*--(Source!$D$1:$D$250=Pyramid!$M279),ROW(Source!$B$1:$B$250),FALSE),E$3)),"")</f>
        <v/>
      </c>
      <c r="F279" t="str">
        <f t="array" aca="1" ref="F279" ca="1">IFERROR(INDEX(Source!$A$1:$A$250,SMALL(IF(--(Source!$B$1:$B$250=$O279)*--(Source!$E$1:$E$250=$M$3)*--(Source!$D$1:$D$250=Pyramid!$M279),ROW(Source!$B$1:$B$250),FALSE),F$3)),"")</f>
        <v/>
      </c>
      <c r="G279" t="str">
        <f t="array" aca="1" ref="G279" ca="1">IFERROR(INDEX(Source!$A$1:$A$250,SMALL(IF(--(Source!$B$1:$B$250=$O279)*--(Source!$E$1:$E$250=$M$3)*--(Source!$D$1:$D$250=Pyramid!$M279),ROW(Source!$B$1:$B$250),FALSE),G$3)),"")</f>
        <v/>
      </c>
      <c r="H279" t="str">
        <f t="array" aca="1" ref="H279" ca="1">IFERROR(INDEX(Source!$A$1:$A$250,SMALL(IF(--(Source!$B$1:$B$250=$O279)*--(Source!$E$1:$E$250=$M$3)*--(Source!$D$1:$D$250=Pyramid!$M279),ROW(Source!$B$1:$B$250),FALSE),H$3)),"")</f>
        <v/>
      </c>
      <c r="I279" t="str">
        <f t="array" aca="1" ref="I279" ca="1">IFERROR(INDEX(Source!$A$1:$A$250,SMALL(IF(--(Source!$B$1:$B$250=$O279)*--(Source!$E$1:$E$250=$M$3)*--(Source!$D$1:$D$250=Pyramid!$M279),ROW(Source!$B$1:$B$250),FALSE),I$3)),"")</f>
        <v/>
      </c>
      <c r="J279" t="str">
        <f t="array" aca="1" ref="J279" ca="1">IFERROR(INDEX(Source!$A$1:$A$250,SMALL(IF(--(Source!$B$1:$B$250=$O279)*--(Source!$E$1:$E$250=$M$3)*--(Source!$D$1:$D$250=Pyramid!$M279),ROW(Source!$B$1:$B$250),FALSE),J$3)),"")</f>
        <v/>
      </c>
      <c r="K279" t="str">
        <f t="array" aca="1" ref="K279" ca="1">IFERROR(INDEX(Source!$A$1:$A$250,SMALL(IF(--(Source!$B$1:$B$250=$O279)*--(Source!$E$1:$E$250=$M$3)*--(Source!$D$1:$D$250=Pyramid!$M279),ROW(Source!$B$1:$B$250),FALSE),K$3)),"")</f>
        <v/>
      </c>
      <c r="L279" t="str">
        <f t="array" aca="1" ref="L279" ca="1">IFERROR(INDEX(Source!$A$1:$A$250,SMALL(IF(--(Source!$B$1:$B$250=$O279)*--(Source!$E$1:$E$250=$M$3)*--(Source!$D$1:$D$250=Pyramid!$M279),ROW(Source!$B$1:$B$250),FALSE),L$3)),"")</f>
        <v/>
      </c>
      <c r="M279" t="str">
        <f t="shared" si="14"/>
        <v>29/6/2016</v>
      </c>
      <c r="N279">
        <f ca="1">COUNTIFS(Source!B:B,Pyramid!$O279,Source!$D:$D,Pyramid!$M279,Source!$E:$E,Pyramid!$M$3)</f>
        <v>0</v>
      </c>
      <c r="O279">
        <f ca="1">OFFSET(Sheet2!$N$3,INT(C279/5),)</f>
        <v>21600</v>
      </c>
      <c r="P279">
        <f ca="1">COUNTIFS(Source!B:B,Pyramid!$O279,Source!D:D,Pyramid!$Q279,Source!$E:$E,Pyramid!$Q$3)</f>
        <v>2</v>
      </c>
      <c r="Q279" t="str">
        <f t="shared" si="14"/>
        <v>29/6/2016</v>
      </c>
      <c r="R279" t="str">
        <f t="array" aca="1" ref="R279" ca="1">IFERROR(INDEX(Source!$A$1:$A$250,SMALL(IF(--(Source!$B$1:$B$250=$O279)*--(Source!$E$1:$E$250=$Q$3)*--(Source!$D$1:$D$250=Pyramid!$Q279),ROW(Source!$B$1:$B$250),FALSE),R$3)),"")</f>
        <v>24831 HK Equity</v>
      </c>
      <c r="S279" t="str">
        <f t="array" aca="1" ref="S279" ca="1">IFERROR(INDEX(Source!$A$1:$A$250,SMALL(IF(--(Source!$B$1:$B$250=$O279)*--(Source!$E$1:$E$250=$Q$3)*--(Source!$D$1:$D$250=Pyramid!$Q279),ROW(Source!$B$1:$B$250),FALSE),S$3)),"")</f>
        <v>23524 HK Equity</v>
      </c>
      <c r="T279" t="str">
        <f t="array" aca="1" ref="T279" ca="1">IFERROR(INDEX(Source!$A$1:$A$250,SMALL(IF(--(Source!$B$1:$B$250=$O279)*--(Source!$E$1:$E$250=$Q$3)*--(Source!$D$1:$D$250=Pyramid!$Q279),ROW(Source!$B$1:$B$250),FALSE),T$3)),"")</f>
        <v/>
      </c>
      <c r="U279" t="str">
        <f t="array" aca="1" ref="U279" ca="1">IFERROR(INDEX(Source!$A$1:$A$250,SMALL(IF(--(Source!$B$1:$B$250=$O279)*--(Source!$E$1:$E$250=$Q$3)*--(Source!$D$1:$D$250=Pyramid!$Q279),ROW(Source!$B$1:$B$250),FALSE),U$3)),"")</f>
        <v/>
      </c>
      <c r="V279" t="str">
        <f t="array" aca="1" ref="V279" ca="1">IFERROR(INDEX(Source!$A$1:$A$250,SMALL(IF(--(Source!$B$1:$B$250=$O279)*--(Source!$E$1:$E$250=$Q$3)*--(Source!$D$1:$D$250=Pyramid!$Q279),ROW(Source!$B$1:$B$250),FALSE),V$3)),"")</f>
        <v/>
      </c>
      <c r="W279" t="str">
        <f t="array" aca="1" ref="W279" ca="1">IFERROR(INDEX(Source!$A$1:$A$250,SMALL(IF(--(Source!$B$1:$B$250=$O279)*--(Source!$E$1:$E$250=$Q$3)*--(Source!$D$1:$D$250=Pyramid!$Q279),ROW(Source!$B$1:$B$250),FALSE),W$3)),"")</f>
        <v/>
      </c>
      <c r="X279" t="str">
        <f t="array" aca="1" ref="X279" ca="1">IFERROR(INDEX(Source!$A$1:$A$250,SMALL(IF(--(Source!$B$1:$B$250=$O279)*--(Source!$E$1:$E$250=$Q$3)*--(Source!$D$1:$D$250=Pyramid!$Q279),ROW(Source!$B$1:$B$250),FALSE),X$3)),"")</f>
        <v/>
      </c>
      <c r="Y279" s="5">
        <f t="shared" ca="1" si="15"/>
        <v>0</v>
      </c>
    </row>
    <row r="280" spans="3:25">
      <c r="C280">
        <v>276</v>
      </c>
      <c r="D280" s="5">
        <f t="shared" ca="1" si="13"/>
        <v>0</v>
      </c>
      <c r="E280" t="str">
        <f t="array" aca="1" ref="E280" ca="1">IFERROR(INDEX(Source!$A$1:$A$250,SMALL(IF(--(Source!$B$1:$B$250=$O280)*--(Source!$E$1:$E$250=$M$3)*--(Source!$D$1:$D$250=Pyramid!$M280),ROW(Source!$B$1:$B$250),FALSE),E$3)),"")</f>
        <v/>
      </c>
      <c r="F280" t="str">
        <f t="array" aca="1" ref="F280" ca="1">IFERROR(INDEX(Source!$A$1:$A$250,SMALL(IF(--(Source!$B$1:$B$250=$O280)*--(Source!$E$1:$E$250=$M$3)*--(Source!$D$1:$D$250=Pyramid!$M280),ROW(Source!$B$1:$B$250),FALSE),F$3)),"")</f>
        <v/>
      </c>
      <c r="G280" t="str">
        <f t="array" aca="1" ref="G280" ca="1">IFERROR(INDEX(Source!$A$1:$A$250,SMALL(IF(--(Source!$B$1:$B$250=$O280)*--(Source!$E$1:$E$250=$M$3)*--(Source!$D$1:$D$250=Pyramid!$M280),ROW(Source!$B$1:$B$250),FALSE),G$3)),"")</f>
        <v/>
      </c>
      <c r="H280" t="str">
        <f t="array" aca="1" ref="H280" ca="1">IFERROR(INDEX(Source!$A$1:$A$250,SMALL(IF(--(Source!$B$1:$B$250=$O280)*--(Source!$E$1:$E$250=$M$3)*--(Source!$D$1:$D$250=Pyramid!$M280),ROW(Source!$B$1:$B$250),FALSE),H$3)),"")</f>
        <v/>
      </c>
      <c r="I280" t="str">
        <f t="array" aca="1" ref="I280" ca="1">IFERROR(INDEX(Source!$A$1:$A$250,SMALL(IF(--(Source!$B$1:$B$250=$O280)*--(Source!$E$1:$E$250=$M$3)*--(Source!$D$1:$D$250=Pyramid!$M280),ROW(Source!$B$1:$B$250),FALSE),I$3)),"")</f>
        <v/>
      </c>
      <c r="J280" t="str">
        <f t="array" aca="1" ref="J280" ca="1">IFERROR(INDEX(Source!$A$1:$A$250,SMALL(IF(--(Source!$B$1:$B$250=$O280)*--(Source!$E$1:$E$250=$M$3)*--(Source!$D$1:$D$250=Pyramid!$M280),ROW(Source!$B$1:$B$250),FALSE),J$3)),"")</f>
        <v/>
      </c>
      <c r="K280" t="str">
        <f t="array" aca="1" ref="K280" ca="1">IFERROR(INDEX(Source!$A$1:$A$250,SMALL(IF(--(Source!$B$1:$B$250=$O280)*--(Source!$E$1:$E$250=$M$3)*--(Source!$D$1:$D$250=Pyramid!$M280),ROW(Source!$B$1:$B$250),FALSE),K$3)),"")</f>
        <v>24984 HK Equity</v>
      </c>
      <c r="L280" t="str">
        <f t="array" aca="1" ref="L280" ca="1">IFERROR(INDEX(Source!$A$1:$A$250,SMALL(IF(--(Source!$B$1:$B$250=$O280)*--(Source!$E$1:$E$250=$M$3)*--(Source!$D$1:$D$250=Pyramid!$M280),ROW(Source!$B$1:$B$250),FALSE),L$3)),"")</f>
        <v>25447 HK Equity</v>
      </c>
      <c r="M280" t="str">
        <f t="shared" si="14"/>
        <v>28/7/2016</v>
      </c>
      <c r="N280">
        <f ca="1">COUNTIFS(Source!B:B,Pyramid!$O280,Source!$D:$D,Pyramid!$M280,Source!$E:$E,Pyramid!$M$3)</f>
        <v>2</v>
      </c>
      <c r="O280">
        <f ca="1">OFFSET(Sheet2!$N$3,INT(C280/5),)</f>
        <v>21600</v>
      </c>
      <c r="P280">
        <f ca="1">COUNTIFS(Source!B:B,Pyramid!$O280,Source!D:D,Pyramid!$Q280,Source!$E:$E,Pyramid!$Q$3)</f>
        <v>1</v>
      </c>
      <c r="Q280" t="str">
        <f t="shared" si="14"/>
        <v>28/7/2016</v>
      </c>
      <c r="R280" t="str">
        <f t="array" aca="1" ref="R280" ca="1">IFERROR(INDEX(Source!$A$1:$A$250,SMALL(IF(--(Source!$B$1:$B$250=$O280)*--(Source!$E$1:$E$250=$Q$3)*--(Source!$D$1:$D$250=Pyramid!$Q280),ROW(Source!$B$1:$B$250),FALSE),R$3)),"")</f>
        <v>27608 HK Equity</v>
      </c>
      <c r="S280" t="str">
        <f t="array" aca="1" ref="S280" ca="1">IFERROR(INDEX(Source!$A$1:$A$250,SMALL(IF(--(Source!$B$1:$B$250=$O280)*--(Source!$E$1:$E$250=$Q$3)*--(Source!$D$1:$D$250=Pyramid!$Q280),ROW(Source!$B$1:$B$250),FALSE),S$3)),"")</f>
        <v/>
      </c>
      <c r="T280" t="str">
        <f t="array" aca="1" ref="T280" ca="1">IFERROR(INDEX(Source!$A$1:$A$250,SMALL(IF(--(Source!$B$1:$B$250=$O280)*--(Source!$E$1:$E$250=$Q$3)*--(Source!$D$1:$D$250=Pyramid!$Q280),ROW(Source!$B$1:$B$250),FALSE),T$3)),"")</f>
        <v/>
      </c>
      <c r="U280" t="str">
        <f t="array" aca="1" ref="U280" ca="1">IFERROR(INDEX(Source!$A$1:$A$250,SMALL(IF(--(Source!$B$1:$B$250=$O280)*--(Source!$E$1:$E$250=$Q$3)*--(Source!$D$1:$D$250=Pyramid!$Q280),ROW(Source!$B$1:$B$250),FALSE),U$3)),"")</f>
        <v/>
      </c>
      <c r="V280" t="str">
        <f t="array" aca="1" ref="V280" ca="1">IFERROR(INDEX(Source!$A$1:$A$250,SMALL(IF(--(Source!$B$1:$B$250=$O280)*--(Source!$E$1:$E$250=$Q$3)*--(Source!$D$1:$D$250=Pyramid!$Q280),ROW(Source!$B$1:$B$250),FALSE),V$3)),"")</f>
        <v/>
      </c>
      <c r="W280" t="str">
        <f t="array" aca="1" ref="W280" ca="1">IFERROR(INDEX(Source!$A$1:$A$250,SMALL(IF(--(Source!$B$1:$B$250=$O280)*--(Source!$E$1:$E$250=$Q$3)*--(Source!$D$1:$D$250=Pyramid!$Q280),ROW(Source!$B$1:$B$250),FALSE),W$3)),"")</f>
        <v/>
      </c>
      <c r="X280" t="str">
        <f t="array" aca="1" ref="X280" ca="1">IFERROR(INDEX(Source!$A$1:$A$250,SMALL(IF(--(Source!$B$1:$B$250=$O280)*--(Source!$E$1:$E$250=$Q$3)*--(Source!$D$1:$D$250=Pyramid!$Q280),ROW(Source!$B$1:$B$250),FALSE),X$3)),"")</f>
        <v/>
      </c>
      <c r="Y280" s="5">
        <f t="shared" ca="1" si="15"/>
        <v>0</v>
      </c>
    </row>
    <row r="281" spans="3:25">
      <c r="C281">
        <v>277</v>
      </c>
      <c r="D281" s="5">
        <f t="shared" ca="1" si="13"/>
        <v>0</v>
      </c>
      <c r="E281" t="str">
        <f t="array" aca="1" ref="E281" ca="1">IFERROR(INDEX(Source!$A$1:$A$250,SMALL(IF(--(Source!$B$1:$B$250=$O281)*--(Source!$E$1:$E$250=$M$3)*--(Source!$D$1:$D$250=Pyramid!$M281),ROW(Source!$B$1:$B$250),FALSE),E$3)),"")</f>
        <v/>
      </c>
      <c r="F281" t="str">
        <f t="array" aca="1" ref="F281" ca="1">IFERROR(INDEX(Source!$A$1:$A$250,SMALL(IF(--(Source!$B$1:$B$250=$O281)*--(Source!$E$1:$E$250=$M$3)*--(Source!$D$1:$D$250=Pyramid!$M281),ROW(Source!$B$1:$B$250),FALSE),F$3)),"")</f>
        <v/>
      </c>
      <c r="G281" t="str">
        <f t="array" aca="1" ref="G281" ca="1">IFERROR(INDEX(Source!$A$1:$A$250,SMALL(IF(--(Source!$B$1:$B$250=$O281)*--(Source!$E$1:$E$250=$M$3)*--(Source!$D$1:$D$250=Pyramid!$M281),ROW(Source!$B$1:$B$250),FALSE),G$3)),"")</f>
        <v/>
      </c>
      <c r="H281" t="str">
        <f t="array" aca="1" ref="H281" ca="1">IFERROR(INDEX(Source!$A$1:$A$250,SMALL(IF(--(Source!$B$1:$B$250=$O281)*--(Source!$E$1:$E$250=$M$3)*--(Source!$D$1:$D$250=Pyramid!$M281),ROW(Source!$B$1:$B$250),FALSE),H$3)),"")</f>
        <v/>
      </c>
      <c r="I281" t="str">
        <f t="array" aca="1" ref="I281" ca="1">IFERROR(INDEX(Source!$A$1:$A$250,SMALL(IF(--(Source!$B$1:$B$250=$O281)*--(Source!$E$1:$E$250=$M$3)*--(Source!$D$1:$D$250=Pyramid!$M281),ROW(Source!$B$1:$B$250),FALSE),I$3)),"")</f>
        <v/>
      </c>
      <c r="J281" t="str">
        <f t="array" aca="1" ref="J281" ca="1">IFERROR(INDEX(Source!$A$1:$A$250,SMALL(IF(--(Source!$B$1:$B$250=$O281)*--(Source!$E$1:$E$250=$M$3)*--(Source!$D$1:$D$250=Pyramid!$M281),ROW(Source!$B$1:$B$250),FALSE),J$3)),"")</f>
        <v/>
      </c>
      <c r="K281" t="str">
        <f t="array" aca="1" ref="K281" ca="1">IFERROR(INDEX(Source!$A$1:$A$250,SMALL(IF(--(Source!$B$1:$B$250=$O281)*--(Source!$E$1:$E$250=$M$3)*--(Source!$D$1:$D$250=Pyramid!$M281),ROW(Source!$B$1:$B$250),FALSE),K$3)),"")</f>
        <v/>
      </c>
      <c r="L281" t="str">
        <f t="array" aca="1" ref="L281" ca="1">IFERROR(INDEX(Source!$A$1:$A$250,SMALL(IF(--(Source!$B$1:$B$250=$O281)*--(Source!$E$1:$E$250=$M$3)*--(Source!$D$1:$D$250=Pyramid!$M281),ROW(Source!$B$1:$B$250),FALSE),L$3)),"")</f>
        <v/>
      </c>
      <c r="M281" t="str">
        <f t="shared" si="14"/>
        <v>30/8/2016</v>
      </c>
      <c r="N281">
        <f ca="1">COUNTIFS(Source!B:B,Pyramid!$O281,Source!$D:$D,Pyramid!$M281,Source!$E:$E,Pyramid!$M$3)</f>
        <v>0</v>
      </c>
      <c r="O281">
        <f ca="1">OFFSET(Sheet2!$N$3,INT(C281/5),)</f>
        <v>21600</v>
      </c>
      <c r="P281">
        <f ca="1">COUNTIFS(Source!B:B,Pyramid!$O281,Source!D:D,Pyramid!$Q281,Source!$E:$E,Pyramid!$Q$3)</f>
        <v>0</v>
      </c>
      <c r="Q281" t="str">
        <f t="shared" si="14"/>
        <v>30/8/2016</v>
      </c>
      <c r="R281" t="str">
        <f t="array" aca="1" ref="R281" ca="1">IFERROR(INDEX(Source!$A$1:$A$250,SMALL(IF(--(Source!$B$1:$B$250=$O281)*--(Source!$E$1:$E$250=$Q$3)*--(Source!$D$1:$D$250=Pyramid!$Q281),ROW(Source!$B$1:$B$250),FALSE),R$3)),"")</f>
        <v/>
      </c>
      <c r="S281" t="str">
        <f t="array" aca="1" ref="S281" ca="1">IFERROR(INDEX(Source!$A$1:$A$250,SMALL(IF(--(Source!$B$1:$B$250=$O281)*--(Source!$E$1:$E$250=$Q$3)*--(Source!$D$1:$D$250=Pyramid!$Q281),ROW(Source!$B$1:$B$250),FALSE),S$3)),"")</f>
        <v/>
      </c>
      <c r="T281" t="str">
        <f t="array" aca="1" ref="T281" ca="1">IFERROR(INDEX(Source!$A$1:$A$250,SMALL(IF(--(Source!$B$1:$B$250=$O281)*--(Source!$E$1:$E$250=$Q$3)*--(Source!$D$1:$D$250=Pyramid!$Q281),ROW(Source!$B$1:$B$250),FALSE),T$3)),"")</f>
        <v/>
      </c>
      <c r="U281" t="str">
        <f t="array" aca="1" ref="U281" ca="1">IFERROR(INDEX(Source!$A$1:$A$250,SMALL(IF(--(Source!$B$1:$B$250=$O281)*--(Source!$E$1:$E$250=$Q$3)*--(Source!$D$1:$D$250=Pyramid!$Q281),ROW(Source!$B$1:$B$250),FALSE),U$3)),"")</f>
        <v/>
      </c>
      <c r="V281" t="str">
        <f t="array" aca="1" ref="V281" ca="1">IFERROR(INDEX(Source!$A$1:$A$250,SMALL(IF(--(Source!$B$1:$B$250=$O281)*--(Source!$E$1:$E$250=$Q$3)*--(Source!$D$1:$D$250=Pyramid!$Q281),ROW(Source!$B$1:$B$250),FALSE),V$3)),"")</f>
        <v/>
      </c>
      <c r="W281" t="str">
        <f t="array" aca="1" ref="W281" ca="1">IFERROR(INDEX(Source!$A$1:$A$250,SMALL(IF(--(Source!$B$1:$B$250=$O281)*--(Source!$E$1:$E$250=$Q$3)*--(Source!$D$1:$D$250=Pyramid!$Q281),ROW(Source!$B$1:$B$250),FALSE),W$3)),"")</f>
        <v/>
      </c>
      <c r="X281" t="str">
        <f t="array" aca="1" ref="X281" ca="1">IFERROR(INDEX(Source!$A$1:$A$250,SMALL(IF(--(Source!$B$1:$B$250=$O281)*--(Source!$E$1:$E$250=$Q$3)*--(Source!$D$1:$D$250=Pyramid!$Q281),ROW(Source!$B$1:$B$250),FALSE),X$3)),"")</f>
        <v/>
      </c>
      <c r="Y281" s="5">
        <f t="shared" ca="1" si="15"/>
        <v>0</v>
      </c>
    </row>
    <row r="282" spans="3:25">
      <c r="C282">
        <v>278</v>
      </c>
      <c r="D282" s="5">
        <f t="shared" ca="1" si="13"/>
        <v>0</v>
      </c>
      <c r="E282" t="str">
        <f t="array" aca="1" ref="E282" ca="1">IFERROR(INDEX(Source!$A$1:$A$250,SMALL(IF(--(Source!$B$1:$B$250=$O282)*--(Source!$E$1:$E$250=$M$3)*--(Source!$D$1:$D$250=Pyramid!$M282),ROW(Source!$B$1:$B$250),FALSE),E$3)),"")</f>
        <v/>
      </c>
      <c r="F282" t="str">
        <f t="array" aca="1" ref="F282" ca="1">IFERROR(INDEX(Source!$A$1:$A$250,SMALL(IF(--(Source!$B$1:$B$250=$O282)*--(Source!$E$1:$E$250=$M$3)*--(Source!$D$1:$D$250=Pyramid!$M282),ROW(Source!$B$1:$B$250),FALSE),F$3)),"")</f>
        <v/>
      </c>
      <c r="G282" t="str">
        <f t="array" aca="1" ref="G282" ca="1">IFERROR(INDEX(Source!$A$1:$A$250,SMALL(IF(--(Source!$B$1:$B$250=$O282)*--(Source!$E$1:$E$250=$M$3)*--(Source!$D$1:$D$250=Pyramid!$M282),ROW(Source!$B$1:$B$250),FALSE),G$3)),"")</f>
        <v/>
      </c>
      <c r="H282" t="str">
        <f t="array" aca="1" ref="H282" ca="1">IFERROR(INDEX(Source!$A$1:$A$250,SMALL(IF(--(Source!$B$1:$B$250=$O282)*--(Source!$E$1:$E$250=$M$3)*--(Source!$D$1:$D$250=Pyramid!$M282),ROW(Source!$B$1:$B$250),FALSE),H$3)),"")</f>
        <v/>
      </c>
      <c r="I282" t="str">
        <f t="array" aca="1" ref="I282" ca="1">IFERROR(INDEX(Source!$A$1:$A$250,SMALL(IF(--(Source!$B$1:$B$250=$O282)*--(Source!$E$1:$E$250=$M$3)*--(Source!$D$1:$D$250=Pyramid!$M282),ROW(Source!$B$1:$B$250),FALSE),I$3)),"")</f>
        <v/>
      </c>
      <c r="J282" t="str">
        <f t="array" aca="1" ref="J282" ca="1">IFERROR(INDEX(Source!$A$1:$A$250,SMALL(IF(--(Source!$B$1:$B$250=$O282)*--(Source!$E$1:$E$250=$M$3)*--(Source!$D$1:$D$250=Pyramid!$M282),ROW(Source!$B$1:$B$250),FALSE),J$3)),"")</f>
        <v/>
      </c>
      <c r="K282" t="str">
        <f t="array" aca="1" ref="K282" ca="1">IFERROR(INDEX(Source!$A$1:$A$250,SMALL(IF(--(Source!$B$1:$B$250=$O282)*--(Source!$E$1:$E$250=$M$3)*--(Source!$D$1:$D$250=Pyramid!$M282),ROW(Source!$B$1:$B$250),FALSE),K$3)),"")</f>
        <v/>
      </c>
      <c r="L282" t="str">
        <f t="array" aca="1" ref="L282" ca="1">IFERROR(INDEX(Source!$A$1:$A$250,SMALL(IF(--(Source!$B$1:$B$250=$O282)*--(Source!$E$1:$E$250=$M$3)*--(Source!$D$1:$D$250=Pyramid!$M282),ROW(Source!$B$1:$B$250),FALSE),L$3)),"")</f>
        <v/>
      </c>
      <c r="M282" t="str">
        <f t="shared" si="14"/>
        <v>29/9/2016</v>
      </c>
      <c r="N282">
        <f ca="1">COUNTIFS(Source!B:B,Pyramid!$O282,Source!$D:$D,Pyramid!$M282,Source!$E:$E,Pyramid!$M$3)</f>
        <v>0</v>
      </c>
      <c r="O282">
        <f ca="1">OFFSET(Sheet2!$N$3,INT(C282/5),)</f>
        <v>21600</v>
      </c>
      <c r="P282">
        <f ca="1">COUNTIFS(Source!B:B,Pyramid!$O282,Source!D:D,Pyramid!$Q282,Source!$E:$E,Pyramid!$Q$3)</f>
        <v>0</v>
      </c>
      <c r="Q282" t="str">
        <f t="shared" si="14"/>
        <v>29/9/2016</v>
      </c>
      <c r="R282" t="str">
        <f t="array" aca="1" ref="R282" ca="1">IFERROR(INDEX(Source!$A$1:$A$250,SMALL(IF(--(Source!$B$1:$B$250=$O282)*--(Source!$E$1:$E$250=$Q$3)*--(Source!$D$1:$D$250=Pyramid!$Q282),ROW(Source!$B$1:$B$250),FALSE),R$3)),"")</f>
        <v/>
      </c>
      <c r="S282" t="str">
        <f t="array" aca="1" ref="S282" ca="1">IFERROR(INDEX(Source!$A$1:$A$250,SMALL(IF(--(Source!$B$1:$B$250=$O282)*--(Source!$E$1:$E$250=$Q$3)*--(Source!$D$1:$D$250=Pyramid!$Q282),ROW(Source!$B$1:$B$250),FALSE),S$3)),"")</f>
        <v/>
      </c>
      <c r="T282" t="str">
        <f t="array" aca="1" ref="T282" ca="1">IFERROR(INDEX(Source!$A$1:$A$250,SMALL(IF(--(Source!$B$1:$B$250=$O282)*--(Source!$E$1:$E$250=$Q$3)*--(Source!$D$1:$D$250=Pyramid!$Q282),ROW(Source!$B$1:$B$250),FALSE),T$3)),"")</f>
        <v/>
      </c>
      <c r="U282" t="str">
        <f t="array" aca="1" ref="U282" ca="1">IFERROR(INDEX(Source!$A$1:$A$250,SMALL(IF(--(Source!$B$1:$B$250=$O282)*--(Source!$E$1:$E$250=$Q$3)*--(Source!$D$1:$D$250=Pyramid!$Q282),ROW(Source!$B$1:$B$250),FALSE),U$3)),"")</f>
        <v/>
      </c>
      <c r="V282" t="str">
        <f t="array" aca="1" ref="V282" ca="1">IFERROR(INDEX(Source!$A$1:$A$250,SMALL(IF(--(Source!$B$1:$B$250=$O282)*--(Source!$E$1:$E$250=$Q$3)*--(Source!$D$1:$D$250=Pyramid!$Q282),ROW(Source!$B$1:$B$250),FALSE),V$3)),"")</f>
        <v/>
      </c>
      <c r="W282" t="str">
        <f t="array" aca="1" ref="W282" ca="1">IFERROR(INDEX(Source!$A$1:$A$250,SMALL(IF(--(Source!$B$1:$B$250=$O282)*--(Source!$E$1:$E$250=$Q$3)*--(Source!$D$1:$D$250=Pyramid!$Q282),ROW(Source!$B$1:$B$250),FALSE),W$3)),"")</f>
        <v/>
      </c>
      <c r="X282" t="str">
        <f t="array" aca="1" ref="X282" ca="1">IFERROR(INDEX(Source!$A$1:$A$250,SMALL(IF(--(Source!$B$1:$B$250=$O282)*--(Source!$E$1:$E$250=$Q$3)*--(Source!$D$1:$D$250=Pyramid!$Q282),ROW(Source!$B$1:$B$250),FALSE),X$3)),"")</f>
        <v/>
      </c>
      <c r="Y282" s="5">
        <f t="shared" ca="1" si="15"/>
        <v>0</v>
      </c>
    </row>
    <row r="283" spans="3:25">
      <c r="C283">
        <v>279</v>
      </c>
      <c r="D283" s="5">
        <f t="shared" ca="1" si="13"/>
        <v>0</v>
      </c>
      <c r="E283" t="str">
        <f t="array" aca="1" ref="E283" ca="1">IFERROR(INDEX(Source!$A$1:$A$250,SMALL(IF(--(Source!$B$1:$B$250=$O283)*--(Source!$E$1:$E$250=$M$3)*--(Source!$D$1:$D$250=Pyramid!$M283),ROW(Source!$B$1:$B$250),FALSE),E$3)),"")</f>
        <v/>
      </c>
      <c r="F283" t="str">
        <f t="array" aca="1" ref="F283" ca="1">IFERROR(INDEX(Source!$A$1:$A$250,SMALL(IF(--(Source!$B$1:$B$250=$O283)*--(Source!$E$1:$E$250=$M$3)*--(Source!$D$1:$D$250=Pyramid!$M283),ROW(Source!$B$1:$B$250),FALSE),F$3)),"")</f>
        <v/>
      </c>
      <c r="G283" t="str">
        <f t="array" aca="1" ref="G283" ca="1">IFERROR(INDEX(Source!$A$1:$A$250,SMALL(IF(--(Source!$B$1:$B$250=$O283)*--(Source!$E$1:$E$250=$M$3)*--(Source!$D$1:$D$250=Pyramid!$M283),ROW(Source!$B$1:$B$250),FALSE),G$3)),"")</f>
        <v/>
      </c>
      <c r="H283" t="str">
        <f t="array" aca="1" ref="H283" ca="1">IFERROR(INDEX(Source!$A$1:$A$250,SMALL(IF(--(Source!$B$1:$B$250=$O283)*--(Source!$E$1:$E$250=$M$3)*--(Source!$D$1:$D$250=Pyramid!$M283),ROW(Source!$B$1:$B$250),FALSE),H$3)),"")</f>
        <v/>
      </c>
      <c r="I283" t="str">
        <f t="array" aca="1" ref="I283" ca="1">IFERROR(INDEX(Source!$A$1:$A$250,SMALL(IF(--(Source!$B$1:$B$250=$O283)*--(Source!$E$1:$E$250=$M$3)*--(Source!$D$1:$D$250=Pyramid!$M283),ROW(Source!$B$1:$B$250),FALSE),I$3)),"")</f>
        <v/>
      </c>
      <c r="J283" t="str">
        <f t="array" aca="1" ref="J283" ca="1">IFERROR(INDEX(Source!$A$1:$A$250,SMALL(IF(--(Source!$B$1:$B$250=$O283)*--(Source!$E$1:$E$250=$M$3)*--(Source!$D$1:$D$250=Pyramid!$M283),ROW(Source!$B$1:$B$250),FALSE),J$3)),"")</f>
        <v/>
      </c>
      <c r="K283" t="str">
        <f t="array" aca="1" ref="K283" ca="1">IFERROR(INDEX(Source!$A$1:$A$250,SMALL(IF(--(Source!$B$1:$B$250=$O283)*--(Source!$E$1:$E$250=$M$3)*--(Source!$D$1:$D$250=Pyramid!$M283),ROW(Source!$B$1:$B$250),FALSE),K$3)),"")</f>
        <v/>
      </c>
      <c r="L283" t="str">
        <f t="array" aca="1" ref="L283" ca="1">IFERROR(INDEX(Source!$A$1:$A$250,SMALL(IF(--(Source!$B$1:$B$250=$O283)*--(Source!$E$1:$E$250=$M$3)*--(Source!$D$1:$D$250=Pyramid!$M283),ROW(Source!$B$1:$B$250),FALSE),L$3)),"")</f>
        <v/>
      </c>
      <c r="M283" t="str">
        <f t="shared" si="14"/>
        <v>28/10/2016</v>
      </c>
      <c r="N283">
        <f ca="1">COUNTIFS(Source!B:B,Pyramid!$O283,Source!$D:$D,Pyramid!$M283,Source!$E:$E,Pyramid!$M$3)</f>
        <v>0</v>
      </c>
      <c r="O283">
        <f ca="1">OFFSET(Sheet2!$N$3,INT(C283/5),)</f>
        <v>21600</v>
      </c>
      <c r="P283">
        <f ca="1">COUNTIFS(Source!B:B,Pyramid!$O283,Source!D:D,Pyramid!$Q283,Source!$E:$E,Pyramid!$Q$3)</f>
        <v>0</v>
      </c>
      <c r="Q283" t="str">
        <f t="shared" si="14"/>
        <v>28/10/2016</v>
      </c>
      <c r="R283" t="str">
        <f t="array" aca="1" ref="R283" ca="1">IFERROR(INDEX(Source!$A$1:$A$250,SMALL(IF(--(Source!$B$1:$B$250=$O283)*--(Source!$E$1:$E$250=$Q$3)*--(Source!$D$1:$D$250=Pyramid!$Q283),ROW(Source!$B$1:$B$250),FALSE),R$3)),"")</f>
        <v/>
      </c>
      <c r="S283" t="str">
        <f t="array" aca="1" ref="S283" ca="1">IFERROR(INDEX(Source!$A$1:$A$250,SMALL(IF(--(Source!$B$1:$B$250=$O283)*--(Source!$E$1:$E$250=$Q$3)*--(Source!$D$1:$D$250=Pyramid!$Q283),ROW(Source!$B$1:$B$250),FALSE),S$3)),"")</f>
        <v/>
      </c>
      <c r="T283" t="str">
        <f t="array" aca="1" ref="T283" ca="1">IFERROR(INDEX(Source!$A$1:$A$250,SMALL(IF(--(Source!$B$1:$B$250=$O283)*--(Source!$E$1:$E$250=$Q$3)*--(Source!$D$1:$D$250=Pyramid!$Q283),ROW(Source!$B$1:$B$250),FALSE),T$3)),"")</f>
        <v/>
      </c>
      <c r="U283" t="str">
        <f t="array" aca="1" ref="U283" ca="1">IFERROR(INDEX(Source!$A$1:$A$250,SMALL(IF(--(Source!$B$1:$B$250=$O283)*--(Source!$E$1:$E$250=$Q$3)*--(Source!$D$1:$D$250=Pyramid!$Q283),ROW(Source!$B$1:$B$250),FALSE),U$3)),"")</f>
        <v/>
      </c>
      <c r="V283" t="str">
        <f t="array" aca="1" ref="V283" ca="1">IFERROR(INDEX(Source!$A$1:$A$250,SMALL(IF(--(Source!$B$1:$B$250=$O283)*--(Source!$E$1:$E$250=$Q$3)*--(Source!$D$1:$D$250=Pyramid!$Q283),ROW(Source!$B$1:$B$250),FALSE),V$3)),"")</f>
        <v/>
      </c>
      <c r="W283" t="str">
        <f t="array" aca="1" ref="W283" ca="1">IFERROR(INDEX(Source!$A$1:$A$250,SMALL(IF(--(Source!$B$1:$B$250=$O283)*--(Source!$E$1:$E$250=$Q$3)*--(Source!$D$1:$D$250=Pyramid!$Q283),ROW(Source!$B$1:$B$250),FALSE),W$3)),"")</f>
        <v/>
      </c>
      <c r="X283" t="str">
        <f t="array" aca="1" ref="X283" ca="1">IFERROR(INDEX(Source!$A$1:$A$250,SMALL(IF(--(Source!$B$1:$B$250=$O283)*--(Source!$E$1:$E$250=$Q$3)*--(Source!$D$1:$D$250=Pyramid!$Q283),ROW(Source!$B$1:$B$250),FALSE),X$3)),"")</f>
        <v/>
      </c>
      <c r="Y283" s="5">
        <f t="shared" ca="1" si="15"/>
        <v>0</v>
      </c>
    </row>
    <row r="284" spans="3:25">
      <c r="C284">
        <v>280</v>
      </c>
      <c r="D284" s="5">
        <f t="shared" ca="1" si="13"/>
        <v>0</v>
      </c>
      <c r="E284" t="str">
        <f t="array" aca="1" ref="E284" ca="1">IFERROR(INDEX(Source!$A$1:$A$250,SMALL(IF(--(Source!$B$1:$B$250=$O284)*--(Source!$E$1:$E$250=$M$3)*--(Source!$D$1:$D$250=Pyramid!$M284),ROW(Source!$B$1:$B$250),FALSE),E$3)),"")</f>
        <v/>
      </c>
      <c r="F284" t="str">
        <f t="array" aca="1" ref="F284" ca="1">IFERROR(INDEX(Source!$A$1:$A$250,SMALL(IF(--(Source!$B$1:$B$250=$O284)*--(Source!$E$1:$E$250=$M$3)*--(Source!$D$1:$D$250=Pyramid!$M284),ROW(Source!$B$1:$B$250),FALSE),F$3)),"")</f>
        <v/>
      </c>
      <c r="G284" t="str">
        <f t="array" aca="1" ref="G284" ca="1">IFERROR(INDEX(Source!$A$1:$A$250,SMALL(IF(--(Source!$B$1:$B$250=$O284)*--(Source!$E$1:$E$250=$M$3)*--(Source!$D$1:$D$250=Pyramid!$M284),ROW(Source!$B$1:$B$250),FALSE),G$3)),"")</f>
        <v/>
      </c>
      <c r="H284" t="str">
        <f t="array" aca="1" ref="H284" ca="1">IFERROR(INDEX(Source!$A$1:$A$250,SMALL(IF(--(Source!$B$1:$B$250=$O284)*--(Source!$E$1:$E$250=$M$3)*--(Source!$D$1:$D$250=Pyramid!$M284),ROW(Source!$B$1:$B$250),FALSE),H$3)),"")</f>
        <v/>
      </c>
      <c r="I284" t="str">
        <f t="array" aca="1" ref="I284" ca="1">IFERROR(INDEX(Source!$A$1:$A$250,SMALL(IF(--(Source!$B$1:$B$250=$O284)*--(Source!$E$1:$E$250=$M$3)*--(Source!$D$1:$D$250=Pyramid!$M284),ROW(Source!$B$1:$B$250),FALSE),I$3)),"")</f>
        <v/>
      </c>
      <c r="J284" t="str">
        <f t="array" aca="1" ref="J284" ca="1">IFERROR(INDEX(Source!$A$1:$A$250,SMALL(IF(--(Source!$B$1:$B$250=$O284)*--(Source!$E$1:$E$250=$M$3)*--(Source!$D$1:$D$250=Pyramid!$M284),ROW(Source!$B$1:$B$250),FALSE),J$3)),"")</f>
        <v/>
      </c>
      <c r="K284" t="str">
        <f t="array" aca="1" ref="K284" ca="1">IFERROR(INDEX(Source!$A$1:$A$250,SMALL(IF(--(Source!$B$1:$B$250=$O284)*--(Source!$E$1:$E$250=$M$3)*--(Source!$D$1:$D$250=Pyramid!$M284),ROW(Source!$B$1:$B$250),FALSE),K$3)),"")</f>
        <v/>
      </c>
      <c r="L284" t="str">
        <f t="array" aca="1" ref="L284" ca="1">IFERROR(INDEX(Source!$A$1:$A$250,SMALL(IF(--(Source!$B$1:$B$250=$O284)*--(Source!$E$1:$E$250=$M$3)*--(Source!$D$1:$D$250=Pyramid!$M284),ROW(Source!$B$1:$B$250),FALSE),L$3)),"")</f>
        <v/>
      </c>
      <c r="M284" t="str">
        <f t="shared" si="14"/>
        <v>29/6/2016</v>
      </c>
      <c r="N284">
        <f ca="1">COUNTIFS(Source!B:B,Pyramid!$O284,Source!$D:$D,Pyramid!$M284,Source!$E:$E,Pyramid!$M$3)</f>
        <v>0</v>
      </c>
      <c r="O284">
        <f ca="1">OFFSET(Sheet2!$N$3,INT(C284/5),)</f>
        <v>21800</v>
      </c>
      <c r="P284">
        <f ca="1">COUNTIFS(Source!B:B,Pyramid!$O284,Source!D:D,Pyramid!$Q284,Source!$E:$E,Pyramid!$Q$3)</f>
        <v>0</v>
      </c>
      <c r="Q284" t="str">
        <f t="shared" si="14"/>
        <v>29/6/2016</v>
      </c>
      <c r="R284" t="str">
        <f t="array" aca="1" ref="R284" ca="1">IFERROR(INDEX(Source!$A$1:$A$250,SMALL(IF(--(Source!$B$1:$B$250=$O284)*--(Source!$E$1:$E$250=$Q$3)*--(Source!$D$1:$D$250=Pyramid!$Q284),ROW(Source!$B$1:$B$250),FALSE),R$3)),"")</f>
        <v/>
      </c>
      <c r="S284" t="str">
        <f t="array" aca="1" ref="S284" ca="1">IFERROR(INDEX(Source!$A$1:$A$250,SMALL(IF(--(Source!$B$1:$B$250=$O284)*--(Source!$E$1:$E$250=$Q$3)*--(Source!$D$1:$D$250=Pyramid!$Q284),ROW(Source!$B$1:$B$250),FALSE),S$3)),"")</f>
        <v/>
      </c>
      <c r="T284" t="str">
        <f t="array" aca="1" ref="T284" ca="1">IFERROR(INDEX(Source!$A$1:$A$250,SMALL(IF(--(Source!$B$1:$B$250=$O284)*--(Source!$E$1:$E$250=$Q$3)*--(Source!$D$1:$D$250=Pyramid!$Q284),ROW(Source!$B$1:$B$250),FALSE),T$3)),"")</f>
        <v/>
      </c>
      <c r="U284" t="str">
        <f t="array" aca="1" ref="U284" ca="1">IFERROR(INDEX(Source!$A$1:$A$250,SMALL(IF(--(Source!$B$1:$B$250=$O284)*--(Source!$E$1:$E$250=$Q$3)*--(Source!$D$1:$D$250=Pyramid!$Q284),ROW(Source!$B$1:$B$250),FALSE),U$3)),"")</f>
        <v/>
      </c>
      <c r="V284" t="str">
        <f t="array" aca="1" ref="V284" ca="1">IFERROR(INDEX(Source!$A$1:$A$250,SMALL(IF(--(Source!$B$1:$B$250=$O284)*--(Source!$E$1:$E$250=$Q$3)*--(Source!$D$1:$D$250=Pyramid!$Q284),ROW(Source!$B$1:$B$250),FALSE),V$3)),"")</f>
        <v/>
      </c>
      <c r="W284" t="str">
        <f t="array" aca="1" ref="W284" ca="1">IFERROR(INDEX(Source!$A$1:$A$250,SMALL(IF(--(Source!$B$1:$B$250=$O284)*--(Source!$E$1:$E$250=$Q$3)*--(Source!$D$1:$D$250=Pyramid!$Q284),ROW(Source!$B$1:$B$250),FALSE),W$3)),"")</f>
        <v/>
      </c>
      <c r="X284" t="str">
        <f t="array" aca="1" ref="X284" ca="1">IFERROR(INDEX(Source!$A$1:$A$250,SMALL(IF(--(Source!$B$1:$B$250=$O284)*--(Source!$E$1:$E$250=$Q$3)*--(Source!$D$1:$D$250=Pyramid!$Q284),ROW(Source!$B$1:$B$250),FALSE),X$3)),"")</f>
        <v/>
      </c>
      <c r="Y284" s="5">
        <f t="shared" ca="1" si="15"/>
        <v>0</v>
      </c>
    </row>
    <row r="285" spans="3:25">
      <c r="C285">
        <v>281</v>
      </c>
      <c r="D285" s="5">
        <f t="shared" ca="1" si="13"/>
        <v>0</v>
      </c>
      <c r="E285" t="str">
        <f t="array" aca="1" ref="E285" ca="1">IFERROR(INDEX(Source!$A$1:$A$250,SMALL(IF(--(Source!$B$1:$B$250=$O285)*--(Source!$E$1:$E$250=$M$3)*--(Source!$D$1:$D$250=Pyramid!$M285),ROW(Source!$B$1:$B$250),FALSE),E$3)),"")</f>
        <v/>
      </c>
      <c r="F285" t="str">
        <f t="array" aca="1" ref="F285" ca="1">IFERROR(INDEX(Source!$A$1:$A$250,SMALL(IF(--(Source!$B$1:$B$250=$O285)*--(Source!$E$1:$E$250=$M$3)*--(Source!$D$1:$D$250=Pyramid!$M285),ROW(Source!$B$1:$B$250),FALSE),F$3)),"")</f>
        <v/>
      </c>
      <c r="G285" t="str">
        <f t="array" aca="1" ref="G285" ca="1">IFERROR(INDEX(Source!$A$1:$A$250,SMALL(IF(--(Source!$B$1:$B$250=$O285)*--(Source!$E$1:$E$250=$M$3)*--(Source!$D$1:$D$250=Pyramid!$M285),ROW(Source!$B$1:$B$250),FALSE),G$3)),"")</f>
        <v/>
      </c>
      <c r="H285" t="str">
        <f t="array" aca="1" ref="H285" ca="1">IFERROR(INDEX(Source!$A$1:$A$250,SMALL(IF(--(Source!$B$1:$B$250=$O285)*--(Source!$E$1:$E$250=$M$3)*--(Source!$D$1:$D$250=Pyramid!$M285),ROW(Source!$B$1:$B$250),FALSE),H$3)),"")</f>
        <v/>
      </c>
      <c r="I285" t="str">
        <f t="array" aca="1" ref="I285" ca="1">IFERROR(INDEX(Source!$A$1:$A$250,SMALL(IF(--(Source!$B$1:$B$250=$O285)*--(Source!$E$1:$E$250=$M$3)*--(Source!$D$1:$D$250=Pyramid!$M285),ROW(Source!$B$1:$B$250),FALSE),I$3)),"")</f>
        <v/>
      </c>
      <c r="J285" t="str">
        <f t="array" aca="1" ref="J285" ca="1">IFERROR(INDEX(Source!$A$1:$A$250,SMALL(IF(--(Source!$B$1:$B$250=$O285)*--(Source!$E$1:$E$250=$M$3)*--(Source!$D$1:$D$250=Pyramid!$M285),ROW(Source!$B$1:$B$250),FALSE),J$3)),"")</f>
        <v/>
      </c>
      <c r="K285" t="str">
        <f t="array" aca="1" ref="K285" ca="1">IFERROR(INDEX(Source!$A$1:$A$250,SMALL(IF(--(Source!$B$1:$B$250=$O285)*--(Source!$E$1:$E$250=$M$3)*--(Source!$D$1:$D$250=Pyramid!$M285),ROW(Source!$B$1:$B$250),FALSE),K$3)),"")</f>
        <v/>
      </c>
      <c r="L285" t="str">
        <f t="array" aca="1" ref="L285" ca="1">IFERROR(INDEX(Source!$A$1:$A$250,SMALL(IF(--(Source!$B$1:$B$250=$O285)*--(Source!$E$1:$E$250=$M$3)*--(Source!$D$1:$D$250=Pyramid!$M285),ROW(Source!$B$1:$B$250),FALSE),L$3)),"")</f>
        <v/>
      </c>
      <c r="M285" t="str">
        <f t="shared" si="14"/>
        <v>28/7/2016</v>
      </c>
      <c r="N285">
        <f ca="1">COUNTIFS(Source!B:B,Pyramid!$O285,Source!$D:$D,Pyramid!$M285,Source!$E:$E,Pyramid!$M$3)</f>
        <v>0</v>
      </c>
      <c r="O285">
        <f ca="1">OFFSET(Sheet2!$N$3,INT(C285/5),)</f>
        <v>21800</v>
      </c>
      <c r="P285">
        <f ca="1">COUNTIFS(Source!B:B,Pyramid!$O285,Source!D:D,Pyramid!$Q285,Source!$E:$E,Pyramid!$Q$3)</f>
        <v>0</v>
      </c>
      <c r="Q285" t="str">
        <f t="shared" si="14"/>
        <v>28/7/2016</v>
      </c>
      <c r="R285" t="str">
        <f t="array" aca="1" ref="R285" ca="1">IFERROR(INDEX(Source!$A$1:$A$250,SMALL(IF(--(Source!$B$1:$B$250=$O285)*--(Source!$E$1:$E$250=$Q$3)*--(Source!$D$1:$D$250=Pyramid!$Q285),ROW(Source!$B$1:$B$250),FALSE),R$3)),"")</f>
        <v/>
      </c>
      <c r="S285" t="str">
        <f t="array" aca="1" ref="S285" ca="1">IFERROR(INDEX(Source!$A$1:$A$250,SMALL(IF(--(Source!$B$1:$B$250=$O285)*--(Source!$E$1:$E$250=$Q$3)*--(Source!$D$1:$D$250=Pyramid!$Q285),ROW(Source!$B$1:$B$250),FALSE),S$3)),"")</f>
        <v/>
      </c>
      <c r="T285" t="str">
        <f t="array" aca="1" ref="T285" ca="1">IFERROR(INDEX(Source!$A$1:$A$250,SMALL(IF(--(Source!$B$1:$B$250=$O285)*--(Source!$E$1:$E$250=$Q$3)*--(Source!$D$1:$D$250=Pyramid!$Q285),ROW(Source!$B$1:$B$250),FALSE),T$3)),"")</f>
        <v/>
      </c>
      <c r="U285" t="str">
        <f t="array" aca="1" ref="U285" ca="1">IFERROR(INDEX(Source!$A$1:$A$250,SMALL(IF(--(Source!$B$1:$B$250=$O285)*--(Source!$E$1:$E$250=$Q$3)*--(Source!$D$1:$D$250=Pyramid!$Q285),ROW(Source!$B$1:$B$250),FALSE),U$3)),"")</f>
        <v/>
      </c>
      <c r="V285" t="str">
        <f t="array" aca="1" ref="V285" ca="1">IFERROR(INDEX(Source!$A$1:$A$250,SMALL(IF(--(Source!$B$1:$B$250=$O285)*--(Source!$E$1:$E$250=$Q$3)*--(Source!$D$1:$D$250=Pyramid!$Q285),ROW(Source!$B$1:$B$250),FALSE),V$3)),"")</f>
        <v/>
      </c>
      <c r="W285" t="str">
        <f t="array" aca="1" ref="W285" ca="1">IFERROR(INDEX(Source!$A$1:$A$250,SMALL(IF(--(Source!$B$1:$B$250=$O285)*--(Source!$E$1:$E$250=$Q$3)*--(Source!$D$1:$D$250=Pyramid!$Q285),ROW(Source!$B$1:$B$250),FALSE),W$3)),"")</f>
        <v/>
      </c>
      <c r="X285" t="str">
        <f t="array" aca="1" ref="X285" ca="1">IFERROR(INDEX(Source!$A$1:$A$250,SMALL(IF(--(Source!$B$1:$B$250=$O285)*--(Source!$E$1:$E$250=$Q$3)*--(Source!$D$1:$D$250=Pyramid!$Q285),ROW(Source!$B$1:$B$250),FALSE),X$3)),"")</f>
        <v/>
      </c>
      <c r="Y285" s="5">
        <f t="shared" ca="1" si="15"/>
        <v>0</v>
      </c>
    </row>
    <row r="286" spans="3:25">
      <c r="C286">
        <v>282</v>
      </c>
      <c r="D286" s="5">
        <f t="shared" ca="1" si="13"/>
        <v>0</v>
      </c>
      <c r="E286" t="str">
        <f t="array" aca="1" ref="E286" ca="1">IFERROR(INDEX(Source!$A$1:$A$250,SMALL(IF(--(Source!$B$1:$B$250=$O286)*--(Source!$E$1:$E$250=$M$3)*--(Source!$D$1:$D$250=Pyramid!$M286),ROW(Source!$B$1:$B$250),FALSE),E$3)),"")</f>
        <v/>
      </c>
      <c r="F286" t="str">
        <f t="array" aca="1" ref="F286" ca="1">IFERROR(INDEX(Source!$A$1:$A$250,SMALL(IF(--(Source!$B$1:$B$250=$O286)*--(Source!$E$1:$E$250=$M$3)*--(Source!$D$1:$D$250=Pyramid!$M286),ROW(Source!$B$1:$B$250),FALSE),F$3)),"")</f>
        <v/>
      </c>
      <c r="G286" t="str">
        <f t="array" aca="1" ref="G286" ca="1">IFERROR(INDEX(Source!$A$1:$A$250,SMALL(IF(--(Source!$B$1:$B$250=$O286)*--(Source!$E$1:$E$250=$M$3)*--(Source!$D$1:$D$250=Pyramid!$M286),ROW(Source!$B$1:$B$250),FALSE),G$3)),"")</f>
        <v/>
      </c>
      <c r="H286" t="str">
        <f t="array" aca="1" ref="H286" ca="1">IFERROR(INDEX(Source!$A$1:$A$250,SMALL(IF(--(Source!$B$1:$B$250=$O286)*--(Source!$E$1:$E$250=$M$3)*--(Source!$D$1:$D$250=Pyramid!$M286),ROW(Source!$B$1:$B$250),FALSE),H$3)),"")</f>
        <v/>
      </c>
      <c r="I286" t="str">
        <f t="array" aca="1" ref="I286" ca="1">IFERROR(INDEX(Source!$A$1:$A$250,SMALL(IF(--(Source!$B$1:$B$250=$O286)*--(Source!$E$1:$E$250=$M$3)*--(Source!$D$1:$D$250=Pyramid!$M286),ROW(Source!$B$1:$B$250),FALSE),I$3)),"")</f>
        <v/>
      </c>
      <c r="J286" t="str">
        <f t="array" aca="1" ref="J286" ca="1">IFERROR(INDEX(Source!$A$1:$A$250,SMALL(IF(--(Source!$B$1:$B$250=$O286)*--(Source!$E$1:$E$250=$M$3)*--(Source!$D$1:$D$250=Pyramid!$M286),ROW(Source!$B$1:$B$250),FALSE),J$3)),"")</f>
        <v/>
      </c>
      <c r="K286" t="str">
        <f t="array" aca="1" ref="K286" ca="1">IFERROR(INDEX(Source!$A$1:$A$250,SMALL(IF(--(Source!$B$1:$B$250=$O286)*--(Source!$E$1:$E$250=$M$3)*--(Source!$D$1:$D$250=Pyramid!$M286),ROW(Source!$B$1:$B$250),FALSE),K$3)),"")</f>
        <v/>
      </c>
      <c r="L286" t="str">
        <f t="array" aca="1" ref="L286" ca="1">IFERROR(INDEX(Source!$A$1:$A$250,SMALL(IF(--(Source!$B$1:$B$250=$O286)*--(Source!$E$1:$E$250=$M$3)*--(Source!$D$1:$D$250=Pyramid!$M286),ROW(Source!$B$1:$B$250),FALSE),L$3)),"")</f>
        <v/>
      </c>
      <c r="M286" t="str">
        <f t="shared" si="14"/>
        <v>30/8/2016</v>
      </c>
      <c r="N286">
        <f ca="1">COUNTIFS(Source!B:B,Pyramid!$O286,Source!$D:$D,Pyramid!$M286,Source!$E:$E,Pyramid!$M$3)</f>
        <v>0</v>
      </c>
      <c r="O286">
        <f ca="1">OFFSET(Sheet2!$N$3,INT(C286/5),)</f>
        <v>21800</v>
      </c>
      <c r="P286">
        <f ca="1">COUNTIFS(Source!B:B,Pyramid!$O286,Source!D:D,Pyramid!$Q286,Source!$E:$E,Pyramid!$Q$3)</f>
        <v>0</v>
      </c>
      <c r="Q286" t="str">
        <f t="shared" si="14"/>
        <v>30/8/2016</v>
      </c>
      <c r="R286" t="str">
        <f t="array" aca="1" ref="R286" ca="1">IFERROR(INDEX(Source!$A$1:$A$250,SMALL(IF(--(Source!$B$1:$B$250=$O286)*--(Source!$E$1:$E$250=$Q$3)*--(Source!$D$1:$D$250=Pyramid!$Q286),ROW(Source!$B$1:$B$250),FALSE),R$3)),"")</f>
        <v/>
      </c>
      <c r="S286" t="str">
        <f t="array" aca="1" ref="S286" ca="1">IFERROR(INDEX(Source!$A$1:$A$250,SMALL(IF(--(Source!$B$1:$B$250=$O286)*--(Source!$E$1:$E$250=$Q$3)*--(Source!$D$1:$D$250=Pyramid!$Q286),ROW(Source!$B$1:$B$250),FALSE),S$3)),"")</f>
        <v/>
      </c>
      <c r="T286" t="str">
        <f t="array" aca="1" ref="T286" ca="1">IFERROR(INDEX(Source!$A$1:$A$250,SMALL(IF(--(Source!$B$1:$B$250=$O286)*--(Source!$E$1:$E$250=$Q$3)*--(Source!$D$1:$D$250=Pyramid!$Q286),ROW(Source!$B$1:$B$250),FALSE),T$3)),"")</f>
        <v/>
      </c>
      <c r="U286" t="str">
        <f t="array" aca="1" ref="U286" ca="1">IFERROR(INDEX(Source!$A$1:$A$250,SMALL(IF(--(Source!$B$1:$B$250=$O286)*--(Source!$E$1:$E$250=$Q$3)*--(Source!$D$1:$D$250=Pyramid!$Q286),ROW(Source!$B$1:$B$250),FALSE),U$3)),"")</f>
        <v/>
      </c>
      <c r="V286" t="str">
        <f t="array" aca="1" ref="V286" ca="1">IFERROR(INDEX(Source!$A$1:$A$250,SMALL(IF(--(Source!$B$1:$B$250=$O286)*--(Source!$E$1:$E$250=$Q$3)*--(Source!$D$1:$D$250=Pyramid!$Q286),ROW(Source!$B$1:$B$250),FALSE),V$3)),"")</f>
        <v/>
      </c>
      <c r="W286" t="str">
        <f t="array" aca="1" ref="W286" ca="1">IFERROR(INDEX(Source!$A$1:$A$250,SMALL(IF(--(Source!$B$1:$B$250=$O286)*--(Source!$E$1:$E$250=$Q$3)*--(Source!$D$1:$D$250=Pyramid!$Q286),ROW(Source!$B$1:$B$250),FALSE),W$3)),"")</f>
        <v/>
      </c>
      <c r="X286" t="str">
        <f t="array" aca="1" ref="X286" ca="1">IFERROR(INDEX(Source!$A$1:$A$250,SMALL(IF(--(Source!$B$1:$B$250=$O286)*--(Source!$E$1:$E$250=$Q$3)*--(Source!$D$1:$D$250=Pyramid!$Q286),ROW(Source!$B$1:$B$250),FALSE),X$3)),"")</f>
        <v/>
      </c>
      <c r="Y286" s="5">
        <f t="shared" ca="1" si="15"/>
        <v>0</v>
      </c>
    </row>
    <row r="287" spans="3:25">
      <c r="C287">
        <v>283</v>
      </c>
      <c r="D287" s="5">
        <f t="shared" ca="1" si="13"/>
        <v>0</v>
      </c>
      <c r="E287" t="str">
        <f t="array" aca="1" ref="E287" ca="1">IFERROR(INDEX(Source!$A$1:$A$250,SMALL(IF(--(Source!$B$1:$B$250=$O287)*--(Source!$E$1:$E$250=$M$3)*--(Source!$D$1:$D$250=Pyramid!$M287),ROW(Source!$B$1:$B$250),FALSE),E$3)),"")</f>
        <v/>
      </c>
      <c r="F287" t="str">
        <f t="array" aca="1" ref="F287" ca="1">IFERROR(INDEX(Source!$A$1:$A$250,SMALL(IF(--(Source!$B$1:$B$250=$O287)*--(Source!$E$1:$E$250=$M$3)*--(Source!$D$1:$D$250=Pyramid!$M287),ROW(Source!$B$1:$B$250),FALSE),F$3)),"")</f>
        <v/>
      </c>
      <c r="G287" t="str">
        <f t="array" aca="1" ref="G287" ca="1">IFERROR(INDEX(Source!$A$1:$A$250,SMALL(IF(--(Source!$B$1:$B$250=$O287)*--(Source!$E$1:$E$250=$M$3)*--(Source!$D$1:$D$250=Pyramid!$M287),ROW(Source!$B$1:$B$250),FALSE),G$3)),"")</f>
        <v/>
      </c>
      <c r="H287" t="str">
        <f t="array" aca="1" ref="H287" ca="1">IFERROR(INDEX(Source!$A$1:$A$250,SMALL(IF(--(Source!$B$1:$B$250=$O287)*--(Source!$E$1:$E$250=$M$3)*--(Source!$D$1:$D$250=Pyramid!$M287),ROW(Source!$B$1:$B$250),FALSE),H$3)),"")</f>
        <v/>
      </c>
      <c r="I287" t="str">
        <f t="array" aca="1" ref="I287" ca="1">IFERROR(INDEX(Source!$A$1:$A$250,SMALL(IF(--(Source!$B$1:$B$250=$O287)*--(Source!$E$1:$E$250=$M$3)*--(Source!$D$1:$D$250=Pyramid!$M287),ROW(Source!$B$1:$B$250),FALSE),I$3)),"")</f>
        <v/>
      </c>
      <c r="J287" t="str">
        <f t="array" aca="1" ref="J287" ca="1">IFERROR(INDEX(Source!$A$1:$A$250,SMALL(IF(--(Source!$B$1:$B$250=$O287)*--(Source!$E$1:$E$250=$M$3)*--(Source!$D$1:$D$250=Pyramid!$M287),ROW(Source!$B$1:$B$250),FALSE),J$3)),"")</f>
        <v/>
      </c>
      <c r="K287" t="str">
        <f t="array" aca="1" ref="K287" ca="1">IFERROR(INDEX(Source!$A$1:$A$250,SMALL(IF(--(Source!$B$1:$B$250=$O287)*--(Source!$E$1:$E$250=$M$3)*--(Source!$D$1:$D$250=Pyramid!$M287),ROW(Source!$B$1:$B$250),FALSE),K$3)),"")</f>
        <v/>
      </c>
      <c r="L287" t="str">
        <f t="array" aca="1" ref="L287" ca="1">IFERROR(INDEX(Source!$A$1:$A$250,SMALL(IF(--(Source!$B$1:$B$250=$O287)*--(Source!$E$1:$E$250=$M$3)*--(Source!$D$1:$D$250=Pyramid!$M287),ROW(Source!$B$1:$B$250),FALSE),L$3)),"")</f>
        <v/>
      </c>
      <c r="M287" t="str">
        <f t="shared" si="14"/>
        <v>29/9/2016</v>
      </c>
      <c r="N287">
        <f ca="1">COUNTIFS(Source!B:B,Pyramid!$O287,Source!$D:$D,Pyramid!$M287,Source!$E:$E,Pyramid!$M$3)</f>
        <v>0</v>
      </c>
      <c r="O287">
        <f ca="1">OFFSET(Sheet2!$N$3,INT(C287/5),)</f>
        <v>21800</v>
      </c>
      <c r="P287">
        <f ca="1">COUNTIFS(Source!B:B,Pyramid!$O287,Source!D:D,Pyramid!$Q287,Source!$E:$E,Pyramid!$Q$3)</f>
        <v>0</v>
      </c>
      <c r="Q287" t="str">
        <f t="shared" si="14"/>
        <v>29/9/2016</v>
      </c>
      <c r="R287" t="str">
        <f t="array" aca="1" ref="R287" ca="1">IFERROR(INDEX(Source!$A$1:$A$250,SMALL(IF(--(Source!$B$1:$B$250=$O287)*--(Source!$E$1:$E$250=$Q$3)*--(Source!$D$1:$D$250=Pyramid!$Q287),ROW(Source!$B$1:$B$250),FALSE),R$3)),"")</f>
        <v/>
      </c>
      <c r="S287" t="str">
        <f t="array" aca="1" ref="S287" ca="1">IFERROR(INDEX(Source!$A$1:$A$250,SMALL(IF(--(Source!$B$1:$B$250=$O287)*--(Source!$E$1:$E$250=$Q$3)*--(Source!$D$1:$D$250=Pyramid!$Q287),ROW(Source!$B$1:$B$250),FALSE),S$3)),"")</f>
        <v/>
      </c>
      <c r="T287" t="str">
        <f t="array" aca="1" ref="T287" ca="1">IFERROR(INDEX(Source!$A$1:$A$250,SMALL(IF(--(Source!$B$1:$B$250=$O287)*--(Source!$E$1:$E$250=$Q$3)*--(Source!$D$1:$D$250=Pyramid!$Q287),ROW(Source!$B$1:$B$250),FALSE),T$3)),"")</f>
        <v/>
      </c>
      <c r="U287" t="str">
        <f t="array" aca="1" ref="U287" ca="1">IFERROR(INDEX(Source!$A$1:$A$250,SMALL(IF(--(Source!$B$1:$B$250=$O287)*--(Source!$E$1:$E$250=$Q$3)*--(Source!$D$1:$D$250=Pyramid!$Q287),ROW(Source!$B$1:$B$250),FALSE),U$3)),"")</f>
        <v/>
      </c>
      <c r="V287" t="str">
        <f t="array" aca="1" ref="V287" ca="1">IFERROR(INDEX(Source!$A$1:$A$250,SMALL(IF(--(Source!$B$1:$B$250=$O287)*--(Source!$E$1:$E$250=$Q$3)*--(Source!$D$1:$D$250=Pyramid!$Q287),ROW(Source!$B$1:$B$250),FALSE),V$3)),"")</f>
        <v/>
      </c>
      <c r="W287" t="str">
        <f t="array" aca="1" ref="W287" ca="1">IFERROR(INDEX(Source!$A$1:$A$250,SMALL(IF(--(Source!$B$1:$B$250=$O287)*--(Source!$E$1:$E$250=$Q$3)*--(Source!$D$1:$D$250=Pyramid!$Q287),ROW(Source!$B$1:$B$250),FALSE),W$3)),"")</f>
        <v/>
      </c>
      <c r="X287" t="str">
        <f t="array" aca="1" ref="X287" ca="1">IFERROR(INDEX(Source!$A$1:$A$250,SMALL(IF(--(Source!$B$1:$B$250=$O287)*--(Source!$E$1:$E$250=$Q$3)*--(Source!$D$1:$D$250=Pyramid!$Q287),ROW(Source!$B$1:$B$250),FALSE),X$3)),"")</f>
        <v/>
      </c>
      <c r="Y287" s="5">
        <f t="shared" ca="1" si="15"/>
        <v>0</v>
      </c>
    </row>
    <row r="288" spans="3:25">
      <c r="C288">
        <v>284</v>
      </c>
      <c r="D288" s="5">
        <f t="shared" ca="1" si="13"/>
        <v>0</v>
      </c>
      <c r="E288" t="str">
        <f t="array" aca="1" ref="E288" ca="1">IFERROR(INDEX(Source!$A$1:$A$250,SMALL(IF(--(Source!$B$1:$B$250=$O288)*--(Source!$E$1:$E$250=$M$3)*--(Source!$D$1:$D$250=Pyramid!$M288),ROW(Source!$B$1:$B$250),FALSE),E$3)),"")</f>
        <v/>
      </c>
      <c r="F288" t="str">
        <f t="array" aca="1" ref="F288" ca="1">IFERROR(INDEX(Source!$A$1:$A$250,SMALL(IF(--(Source!$B$1:$B$250=$O288)*--(Source!$E$1:$E$250=$M$3)*--(Source!$D$1:$D$250=Pyramid!$M288),ROW(Source!$B$1:$B$250),FALSE),F$3)),"")</f>
        <v/>
      </c>
      <c r="G288" t="str">
        <f t="array" aca="1" ref="G288" ca="1">IFERROR(INDEX(Source!$A$1:$A$250,SMALL(IF(--(Source!$B$1:$B$250=$O288)*--(Source!$E$1:$E$250=$M$3)*--(Source!$D$1:$D$250=Pyramid!$M288),ROW(Source!$B$1:$B$250),FALSE),G$3)),"")</f>
        <v>27351 HK Equity</v>
      </c>
      <c r="H288" t="str">
        <f t="array" aca="1" ref="H288" ca="1">IFERROR(INDEX(Source!$A$1:$A$250,SMALL(IF(--(Source!$B$1:$B$250=$O288)*--(Source!$E$1:$E$250=$M$3)*--(Source!$D$1:$D$250=Pyramid!$M288),ROW(Source!$B$1:$B$250),FALSE),H$3)),"")</f>
        <v>27280 HK Equity</v>
      </c>
      <c r="I288" t="str">
        <f t="array" aca="1" ref="I288" ca="1">IFERROR(INDEX(Source!$A$1:$A$250,SMALL(IF(--(Source!$B$1:$B$250=$O288)*--(Source!$E$1:$E$250=$M$3)*--(Source!$D$1:$D$250=Pyramid!$M288),ROW(Source!$B$1:$B$250),FALSE),I$3)),"")</f>
        <v>27321 HK Equity</v>
      </c>
      <c r="J288" t="str">
        <f t="array" aca="1" ref="J288" ca="1">IFERROR(INDEX(Source!$A$1:$A$250,SMALL(IF(--(Source!$B$1:$B$250=$O288)*--(Source!$E$1:$E$250=$M$3)*--(Source!$D$1:$D$250=Pyramid!$M288),ROW(Source!$B$1:$B$250),FALSE),J$3)),"")</f>
        <v>27077 HK Equity</v>
      </c>
      <c r="K288" t="str">
        <f t="array" aca="1" ref="K288" ca="1">IFERROR(INDEX(Source!$A$1:$A$250,SMALL(IF(--(Source!$B$1:$B$250=$O288)*--(Source!$E$1:$E$250=$M$3)*--(Source!$D$1:$D$250=Pyramid!$M288),ROW(Source!$B$1:$B$250),FALSE),K$3)),"")</f>
        <v>27438 HK Equity</v>
      </c>
      <c r="L288" t="str">
        <f t="array" aca="1" ref="L288" ca="1">IFERROR(INDEX(Source!$A$1:$A$250,SMALL(IF(--(Source!$B$1:$B$250=$O288)*--(Source!$E$1:$E$250=$M$3)*--(Source!$D$1:$D$250=Pyramid!$M288),ROW(Source!$B$1:$B$250),FALSE),L$3)),"")</f>
        <v>27177 HK Equity</v>
      </c>
      <c r="M288" t="str">
        <f t="shared" si="14"/>
        <v>28/10/2016</v>
      </c>
      <c r="N288">
        <f ca="1">COUNTIFS(Source!B:B,Pyramid!$O288,Source!$D:$D,Pyramid!$M288,Source!$E:$E,Pyramid!$M$3)</f>
        <v>6</v>
      </c>
      <c r="O288">
        <f ca="1">OFFSET(Sheet2!$N$3,INT(C288/5),)</f>
        <v>21800</v>
      </c>
      <c r="P288">
        <f ca="1">COUNTIFS(Source!B:B,Pyramid!$O288,Source!D:D,Pyramid!$Q288,Source!$E:$E,Pyramid!$Q$3)</f>
        <v>0</v>
      </c>
      <c r="Q288" t="str">
        <f t="shared" si="14"/>
        <v>28/10/2016</v>
      </c>
      <c r="R288" t="str">
        <f t="array" aca="1" ref="R288" ca="1">IFERROR(INDEX(Source!$A$1:$A$250,SMALL(IF(--(Source!$B$1:$B$250=$O288)*--(Source!$E$1:$E$250=$Q$3)*--(Source!$D$1:$D$250=Pyramid!$Q288),ROW(Source!$B$1:$B$250),FALSE),R$3)),"")</f>
        <v/>
      </c>
      <c r="S288" t="str">
        <f t="array" aca="1" ref="S288" ca="1">IFERROR(INDEX(Source!$A$1:$A$250,SMALL(IF(--(Source!$B$1:$B$250=$O288)*--(Source!$E$1:$E$250=$Q$3)*--(Source!$D$1:$D$250=Pyramid!$Q288),ROW(Source!$B$1:$B$250),FALSE),S$3)),"")</f>
        <v/>
      </c>
      <c r="T288" t="str">
        <f t="array" aca="1" ref="T288" ca="1">IFERROR(INDEX(Source!$A$1:$A$250,SMALL(IF(--(Source!$B$1:$B$250=$O288)*--(Source!$E$1:$E$250=$Q$3)*--(Source!$D$1:$D$250=Pyramid!$Q288),ROW(Source!$B$1:$B$250),FALSE),T$3)),"")</f>
        <v/>
      </c>
      <c r="U288" t="str">
        <f t="array" aca="1" ref="U288" ca="1">IFERROR(INDEX(Source!$A$1:$A$250,SMALL(IF(--(Source!$B$1:$B$250=$O288)*--(Source!$E$1:$E$250=$Q$3)*--(Source!$D$1:$D$250=Pyramid!$Q288),ROW(Source!$B$1:$B$250),FALSE),U$3)),"")</f>
        <v/>
      </c>
      <c r="V288" t="str">
        <f t="array" aca="1" ref="V288" ca="1">IFERROR(INDEX(Source!$A$1:$A$250,SMALL(IF(--(Source!$B$1:$B$250=$O288)*--(Source!$E$1:$E$250=$Q$3)*--(Source!$D$1:$D$250=Pyramid!$Q288),ROW(Source!$B$1:$B$250),FALSE),V$3)),"")</f>
        <v/>
      </c>
      <c r="W288" t="str">
        <f t="array" aca="1" ref="W288" ca="1">IFERROR(INDEX(Source!$A$1:$A$250,SMALL(IF(--(Source!$B$1:$B$250=$O288)*--(Source!$E$1:$E$250=$Q$3)*--(Source!$D$1:$D$250=Pyramid!$Q288),ROW(Source!$B$1:$B$250),FALSE),W$3)),"")</f>
        <v/>
      </c>
      <c r="X288" t="str">
        <f t="array" aca="1" ref="X288" ca="1">IFERROR(INDEX(Source!$A$1:$A$250,SMALL(IF(--(Source!$B$1:$B$250=$O288)*--(Source!$E$1:$E$250=$Q$3)*--(Source!$D$1:$D$250=Pyramid!$Q288),ROW(Source!$B$1:$B$250),FALSE),X$3)),"")</f>
        <v/>
      </c>
      <c r="Y288" s="5">
        <f t="shared" ca="1" si="15"/>
        <v>0</v>
      </c>
    </row>
    <row r="289" spans="3:25">
      <c r="C289">
        <v>285</v>
      </c>
      <c r="D289" s="5">
        <f t="shared" ca="1" si="13"/>
        <v>0</v>
      </c>
      <c r="E289" t="str">
        <f t="array" aca="1" ref="E289" ca="1">IFERROR(INDEX(Source!$A$1:$A$250,SMALL(IF(--(Source!$B$1:$B$250=$O289)*--(Source!$E$1:$E$250=$M$3)*--(Source!$D$1:$D$250=Pyramid!$M289),ROW(Source!$B$1:$B$250),FALSE),E$3)),"")</f>
        <v/>
      </c>
      <c r="F289" t="str">
        <f t="array" aca="1" ref="F289" ca="1">IFERROR(INDEX(Source!$A$1:$A$250,SMALL(IF(--(Source!$B$1:$B$250=$O289)*--(Source!$E$1:$E$250=$M$3)*--(Source!$D$1:$D$250=Pyramid!$M289),ROW(Source!$B$1:$B$250),FALSE),F$3)),"")</f>
        <v/>
      </c>
      <c r="G289" t="str">
        <f t="array" aca="1" ref="G289" ca="1">IFERROR(INDEX(Source!$A$1:$A$250,SMALL(IF(--(Source!$B$1:$B$250=$O289)*--(Source!$E$1:$E$250=$M$3)*--(Source!$D$1:$D$250=Pyramid!$M289),ROW(Source!$B$1:$B$250),FALSE),G$3)),"")</f>
        <v/>
      </c>
      <c r="H289" t="str">
        <f t="array" aca="1" ref="H289" ca="1">IFERROR(INDEX(Source!$A$1:$A$250,SMALL(IF(--(Source!$B$1:$B$250=$O289)*--(Source!$E$1:$E$250=$M$3)*--(Source!$D$1:$D$250=Pyramid!$M289),ROW(Source!$B$1:$B$250),FALSE),H$3)),"")</f>
        <v/>
      </c>
      <c r="I289" t="str">
        <f t="array" aca="1" ref="I289" ca="1">IFERROR(INDEX(Source!$A$1:$A$250,SMALL(IF(--(Source!$B$1:$B$250=$O289)*--(Source!$E$1:$E$250=$M$3)*--(Source!$D$1:$D$250=Pyramid!$M289),ROW(Source!$B$1:$B$250),FALSE),I$3)),"")</f>
        <v/>
      </c>
      <c r="J289" t="str">
        <f t="array" aca="1" ref="J289" ca="1">IFERROR(INDEX(Source!$A$1:$A$250,SMALL(IF(--(Source!$B$1:$B$250=$O289)*--(Source!$E$1:$E$250=$M$3)*--(Source!$D$1:$D$250=Pyramid!$M289),ROW(Source!$B$1:$B$250),FALSE),J$3)),"")</f>
        <v/>
      </c>
      <c r="K289" t="str">
        <f t="array" aca="1" ref="K289" ca="1">IFERROR(INDEX(Source!$A$1:$A$250,SMALL(IF(--(Source!$B$1:$B$250=$O289)*--(Source!$E$1:$E$250=$M$3)*--(Source!$D$1:$D$250=Pyramid!$M289),ROW(Source!$B$1:$B$250),FALSE),K$3)),"")</f>
        <v/>
      </c>
      <c r="L289" t="str">
        <f t="array" aca="1" ref="L289" ca="1">IFERROR(INDEX(Source!$A$1:$A$250,SMALL(IF(--(Source!$B$1:$B$250=$O289)*--(Source!$E$1:$E$250=$M$3)*--(Source!$D$1:$D$250=Pyramid!$M289),ROW(Source!$B$1:$B$250),FALSE),L$3)),"")</f>
        <v/>
      </c>
      <c r="M289" t="str">
        <f t="shared" si="14"/>
        <v>29/6/2016</v>
      </c>
      <c r="N289">
        <f ca="1">COUNTIFS(Source!B:B,Pyramid!$O289,Source!$D:$D,Pyramid!$M289,Source!$E:$E,Pyramid!$M$3)</f>
        <v>0</v>
      </c>
      <c r="O289">
        <f ca="1">OFFSET(Sheet2!$N$3,INT(C289/5),)</f>
        <v>21900</v>
      </c>
      <c r="P289">
        <f ca="1">COUNTIFS(Source!B:B,Pyramid!$O289,Source!D:D,Pyramid!$Q289,Source!$E:$E,Pyramid!$Q$3)</f>
        <v>0</v>
      </c>
      <c r="Q289" t="str">
        <f t="shared" si="14"/>
        <v>29/6/2016</v>
      </c>
      <c r="R289" t="str">
        <f t="array" aca="1" ref="R289" ca="1">IFERROR(INDEX(Source!$A$1:$A$250,SMALL(IF(--(Source!$B$1:$B$250=$O289)*--(Source!$E$1:$E$250=$Q$3)*--(Source!$D$1:$D$250=Pyramid!$Q289),ROW(Source!$B$1:$B$250),FALSE),R$3)),"")</f>
        <v/>
      </c>
      <c r="S289" t="str">
        <f t="array" aca="1" ref="S289" ca="1">IFERROR(INDEX(Source!$A$1:$A$250,SMALL(IF(--(Source!$B$1:$B$250=$O289)*--(Source!$E$1:$E$250=$Q$3)*--(Source!$D$1:$D$250=Pyramid!$Q289),ROW(Source!$B$1:$B$250),FALSE),S$3)),"")</f>
        <v/>
      </c>
      <c r="T289" t="str">
        <f t="array" aca="1" ref="T289" ca="1">IFERROR(INDEX(Source!$A$1:$A$250,SMALL(IF(--(Source!$B$1:$B$250=$O289)*--(Source!$E$1:$E$250=$Q$3)*--(Source!$D$1:$D$250=Pyramid!$Q289),ROW(Source!$B$1:$B$250),FALSE),T$3)),"")</f>
        <v/>
      </c>
      <c r="U289" t="str">
        <f t="array" aca="1" ref="U289" ca="1">IFERROR(INDEX(Source!$A$1:$A$250,SMALL(IF(--(Source!$B$1:$B$250=$O289)*--(Source!$E$1:$E$250=$Q$3)*--(Source!$D$1:$D$250=Pyramid!$Q289),ROW(Source!$B$1:$B$250),FALSE),U$3)),"")</f>
        <v/>
      </c>
      <c r="V289" t="str">
        <f t="array" aca="1" ref="V289" ca="1">IFERROR(INDEX(Source!$A$1:$A$250,SMALL(IF(--(Source!$B$1:$B$250=$O289)*--(Source!$E$1:$E$250=$Q$3)*--(Source!$D$1:$D$250=Pyramid!$Q289),ROW(Source!$B$1:$B$250),FALSE),V$3)),"")</f>
        <v/>
      </c>
      <c r="W289" t="str">
        <f t="array" aca="1" ref="W289" ca="1">IFERROR(INDEX(Source!$A$1:$A$250,SMALL(IF(--(Source!$B$1:$B$250=$O289)*--(Source!$E$1:$E$250=$Q$3)*--(Source!$D$1:$D$250=Pyramid!$Q289),ROW(Source!$B$1:$B$250),FALSE),W$3)),"")</f>
        <v/>
      </c>
      <c r="X289" t="str">
        <f t="array" aca="1" ref="X289" ca="1">IFERROR(INDEX(Source!$A$1:$A$250,SMALL(IF(--(Source!$B$1:$B$250=$O289)*--(Source!$E$1:$E$250=$Q$3)*--(Source!$D$1:$D$250=Pyramid!$Q289),ROW(Source!$B$1:$B$250),FALSE),X$3)),"")</f>
        <v/>
      </c>
      <c r="Y289" s="5">
        <f t="shared" ca="1" si="15"/>
        <v>0</v>
      </c>
    </row>
    <row r="290" spans="3:25">
      <c r="C290">
        <v>286</v>
      </c>
      <c r="D290" s="5">
        <f t="shared" ca="1" si="13"/>
        <v>0</v>
      </c>
      <c r="E290" t="str">
        <f t="array" aca="1" ref="E290" ca="1">IFERROR(INDEX(Source!$A$1:$A$250,SMALL(IF(--(Source!$B$1:$B$250=$O290)*--(Source!$E$1:$E$250=$M$3)*--(Source!$D$1:$D$250=Pyramid!$M290),ROW(Source!$B$1:$B$250),FALSE),E$3)),"")</f>
        <v/>
      </c>
      <c r="F290" t="str">
        <f t="array" aca="1" ref="F290" ca="1">IFERROR(INDEX(Source!$A$1:$A$250,SMALL(IF(--(Source!$B$1:$B$250=$O290)*--(Source!$E$1:$E$250=$M$3)*--(Source!$D$1:$D$250=Pyramid!$M290),ROW(Source!$B$1:$B$250),FALSE),F$3)),"")</f>
        <v/>
      </c>
      <c r="G290" t="str">
        <f t="array" aca="1" ref="G290" ca="1">IFERROR(INDEX(Source!$A$1:$A$250,SMALL(IF(--(Source!$B$1:$B$250=$O290)*--(Source!$E$1:$E$250=$M$3)*--(Source!$D$1:$D$250=Pyramid!$M290),ROW(Source!$B$1:$B$250),FALSE),G$3)),"")</f>
        <v/>
      </c>
      <c r="H290" t="str">
        <f t="array" aca="1" ref="H290" ca="1">IFERROR(INDEX(Source!$A$1:$A$250,SMALL(IF(--(Source!$B$1:$B$250=$O290)*--(Source!$E$1:$E$250=$M$3)*--(Source!$D$1:$D$250=Pyramid!$M290),ROW(Source!$B$1:$B$250),FALSE),H$3)),"")</f>
        <v/>
      </c>
      <c r="I290" t="str">
        <f t="array" aca="1" ref="I290" ca="1">IFERROR(INDEX(Source!$A$1:$A$250,SMALL(IF(--(Source!$B$1:$B$250=$O290)*--(Source!$E$1:$E$250=$M$3)*--(Source!$D$1:$D$250=Pyramid!$M290),ROW(Source!$B$1:$B$250),FALSE),I$3)),"")</f>
        <v/>
      </c>
      <c r="J290" t="str">
        <f t="array" aca="1" ref="J290" ca="1">IFERROR(INDEX(Source!$A$1:$A$250,SMALL(IF(--(Source!$B$1:$B$250=$O290)*--(Source!$E$1:$E$250=$M$3)*--(Source!$D$1:$D$250=Pyramid!$M290),ROW(Source!$B$1:$B$250),FALSE),J$3)),"")</f>
        <v/>
      </c>
      <c r="K290" t="str">
        <f t="array" aca="1" ref="K290" ca="1">IFERROR(INDEX(Source!$A$1:$A$250,SMALL(IF(--(Source!$B$1:$B$250=$O290)*--(Source!$E$1:$E$250=$M$3)*--(Source!$D$1:$D$250=Pyramid!$M290),ROW(Source!$B$1:$B$250),FALSE),K$3)),"")</f>
        <v/>
      </c>
      <c r="L290" t="str">
        <f t="array" aca="1" ref="L290" ca="1">IFERROR(INDEX(Source!$A$1:$A$250,SMALL(IF(--(Source!$B$1:$B$250=$O290)*--(Source!$E$1:$E$250=$M$3)*--(Source!$D$1:$D$250=Pyramid!$M290),ROW(Source!$B$1:$B$250),FALSE),L$3)),"")</f>
        <v/>
      </c>
      <c r="M290" t="str">
        <f t="shared" si="14"/>
        <v>28/7/2016</v>
      </c>
      <c r="N290">
        <f ca="1">COUNTIFS(Source!B:B,Pyramid!$O290,Source!$D:$D,Pyramid!$M290,Source!$E:$E,Pyramid!$M$3)</f>
        <v>0</v>
      </c>
      <c r="O290">
        <f ca="1">OFFSET(Sheet2!$N$3,INT(C290/5),)</f>
        <v>21900</v>
      </c>
      <c r="P290">
        <f ca="1">COUNTIFS(Source!B:B,Pyramid!$O290,Source!D:D,Pyramid!$Q290,Source!$E:$E,Pyramid!$Q$3)</f>
        <v>0</v>
      </c>
      <c r="Q290" t="str">
        <f t="shared" si="14"/>
        <v>28/7/2016</v>
      </c>
      <c r="R290" t="str">
        <f t="array" aca="1" ref="R290" ca="1">IFERROR(INDEX(Source!$A$1:$A$250,SMALL(IF(--(Source!$B$1:$B$250=$O290)*--(Source!$E$1:$E$250=$Q$3)*--(Source!$D$1:$D$250=Pyramid!$Q290),ROW(Source!$B$1:$B$250),FALSE),R$3)),"")</f>
        <v/>
      </c>
      <c r="S290" t="str">
        <f t="array" aca="1" ref="S290" ca="1">IFERROR(INDEX(Source!$A$1:$A$250,SMALL(IF(--(Source!$B$1:$B$250=$O290)*--(Source!$E$1:$E$250=$Q$3)*--(Source!$D$1:$D$250=Pyramid!$Q290),ROW(Source!$B$1:$B$250),FALSE),S$3)),"")</f>
        <v/>
      </c>
      <c r="T290" t="str">
        <f t="array" aca="1" ref="T290" ca="1">IFERROR(INDEX(Source!$A$1:$A$250,SMALL(IF(--(Source!$B$1:$B$250=$O290)*--(Source!$E$1:$E$250=$Q$3)*--(Source!$D$1:$D$250=Pyramid!$Q290),ROW(Source!$B$1:$B$250),FALSE),T$3)),"")</f>
        <v/>
      </c>
      <c r="U290" t="str">
        <f t="array" aca="1" ref="U290" ca="1">IFERROR(INDEX(Source!$A$1:$A$250,SMALL(IF(--(Source!$B$1:$B$250=$O290)*--(Source!$E$1:$E$250=$Q$3)*--(Source!$D$1:$D$250=Pyramid!$Q290),ROW(Source!$B$1:$B$250),FALSE),U$3)),"")</f>
        <v/>
      </c>
      <c r="V290" t="str">
        <f t="array" aca="1" ref="V290" ca="1">IFERROR(INDEX(Source!$A$1:$A$250,SMALL(IF(--(Source!$B$1:$B$250=$O290)*--(Source!$E$1:$E$250=$Q$3)*--(Source!$D$1:$D$250=Pyramid!$Q290),ROW(Source!$B$1:$B$250),FALSE),V$3)),"")</f>
        <v/>
      </c>
      <c r="W290" t="str">
        <f t="array" aca="1" ref="W290" ca="1">IFERROR(INDEX(Source!$A$1:$A$250,SMALL(IF(--(Source!$B$1:$B$250=$O290)*--(Source!$E$1:$E$250=$Q$3)*--(Source!$D$1:$D$250=Pyramid!$Q290),ROW(Source!$B$1:$B$250),FALSE),W$3)),"")</f>
        <v/>
      </c>
      <c r="X290" t="str">
        <f t="array" aca="1" ref="X290" ca="1">IFERROR(INDEX(Source!$A$1:$A$250,SMALL(IF(--(Source!$B$1:$B$250=$O290)*--(Source!$E$1:$E$250=$Q$3)*--(Source!$D$1:$D$250=Pyramid!$Q290),ROW(Source!$B$1:$B$250),FALSE),X$3)),"")</f>
        <v/>
      </c>
      <c r="Y290" s="5">
        <f t="shared" ca="1" si="15"/>
        <v>0</v>
      </c>
    </row>
    <row r="291" spans="3:25">
      <c r="C291">
        <v>287</v>
      </c>
      <c r="D291" s="5">
        <f t="shared" ca="1" si="13"/>
        <v>0</v>
      </c>
      <c r="E291" t="str">
        <f t="array" aca="1" ref="E291" ca="1">IFERROR(INDEX(Source!$A$1:$A$250,SMALL(IF(--(Source!$B$1:$B$250=$O291)*--(Source!$E$1:$E$250=$M$3)*--(Source!$D$1:$D$250=Pyramid!$M291),ROW(Source!$B$1:$B$250),FALSE),E$3)),"")</f>
        <v/>
      </c>
      <c r="F291" t="str">
        <f t="array" aca="1" ref="F291" ca="1">IFERROR(INDEX(Source!$A$1:$A$250,SMALL(IF(--(Source!$B$1:$B$250=$O291)*--(Source!$E$1:$E$250=$M$3)*--(Source!$D$1:$D$250=Pyramid!$M291),ROW(Source!$B$1:$B$250),FALSE),F$3)),"")</f>
        <v/>
      </c>
      <c r="G291" t="str">
        <f t="array" aca="1" ref="G291" ca="1">IFERROR(INDEX(Source!$A$1:$A$250,SMALL(IF(--(Source!$B$1:$B$250=$O291)*--(Source!$E$1:$E$250=$M$3)*--(Source!$D$1:$D$250=Pyramid!$M291),ROW(Source!$B$1:$B$250),FALSE),G$3)),"")</f>
        <v/>
      </c>
      <c r="H291" t="str">
        <f t="array" aca="1" ref="H291" ca="1">IFERROR(INDEX(Source!$A$1:$A$250,SMALL(IF(--(Source!$B$1:$B$250=$O291)*--(Source!$E$1:$E$250=$M$3)*--(Source!$D$1:$D$250=Pyramid!$M291),ROW(Source!$B$1:$B$250),FALSE),H$3)),"")</f>
        <v/>
      </c>
      <c r="I291" t="str">
        <f t="array" aca="1" ref="I291" ca="1">IFERROR(INDEX(Source!$A$1:$A$250,SMALL(IF(--(Source!$B$1:$B$250=$O291)*--(Source!$E$1:$E$250=$M$3)*--(Source!$D$1:$D$250=Pyramid!$M291),ROW(Source!$B$1:$B$250),FALSE),I$3)),"")</f>
        <v/>
      </c>
      <c r="J291" t="str">
        <f t="array" aca="1" ref="J291" ca="1">IFERROR(INDEX(Source!$A$1:$A$250,SMALL(IF(--(Source!$B$1:$B$250=$O291)*--(Source!$E$1:$E$250=$M$3)*--(Source!$D$1:$D$250=Pyramid!$M291),ROW(Source!$B$1:$B$250),FALSE),J$3)),"")</f>
        <v/>
      </c>
      <c r="K291" t="str">
        <f t="array" aca="1" ref="K291" ca="1">IFERROR(INDEX(Source!$A$1:$A$250,SMALL(IF(--(Source!$B$1:$B$250=$O291)*--(Source!$E$1:$E$250=$M$3)*--(Source!$D$1:$D$250=Pyramid!$M291),ROW(Source!$B$1:$B$250),FALSE),K$3)),"")</f>
        <v/>
      </c>
      <c r="L291" t="str">
        <f t="array" aca="1" ref="L291" ca="1">IFERROR(INDEX(Source!$A$1:$A$250,SMALL(IF(--(Source!$B$1:$B$250=$O291)*--(Source!$E$1:$E$250=$M$3)*--(Source!$D$1:$D$250=Pyramid!$M291),ROW(Source!$B$1:$B$250),FALSE),L$3)),"")</f>
        <v/>
      </c>
      <c r="M291" t="str">
        <f t="shared" si="14"/>
        <v>30/8/2016</v>
      </c>
      <c r="N291">
        <f ca="1">COUNTIFS(Source!B:B,Pyramid!$O291,Source!$D:$D,Pyramid!$M291,Source!$E:$E,Pyramid!$M$3)</f>
        <v>0</v>
      </c>
      <c r="O291">
        <f ca="1">OFFSET(Sheet2!$N$3,INT(C291/5),)</f>
        <v>21900</v>
      </c>
      <c r="P291">
        <f ca="1">COUNTIFS(Source!B:B,Pyramid!$O291,Source!D:D,Pyramid!$Q291,Source!$E:$E,Pyramid!$Q$3)</f>
        <v>0</v>
      </c>
      <c r="Q291" t="str">
        <f t="shared" si="14"/>
        <v>30/8/2016</v>
      </c>
      <c r="R291" t="str">
        <f t="array" aca="1" ref="R291" ca="1">IFERROR(INDEX(Source!$A$1:$A$250,SMALL(IF(--(Source!$B$1:$B$250=$O291)*--(Source!$E$1:$E$250=$Q$3)*--(Source!$D$1:$D$250=Pyramid!$Q291),ROW(Source!$B$1:$B$250),FALSE),R$3)),"")</f>
        <v/>
      </c>
      <c r="S291" t="str">
        <f t="array" aca="1" ref="S291" ca="1">IFERROR(INDEX(Source!$A$1:$A$250,SMALL(IF(--(Source!$B$1:$B$250=$O291)*--(Source!$E$1:$E$250=$Q$3)*--(Source!$D$1:$D$250=Pyramid!$Q291),ROW(Source!$B$1:$B$250),FALSE),S$3)),"")</f>
        <v/>
      </c>
      <c r="T291" t="str">
        <f t="array" aca="1" ref="T291" ca="1">IFERROR(INDEX(Source!$A$1:$A$250,SMALL(IF(--(Source!$B$1:$B$250=$O291)*--(Source!$E$1:$E$250=$Q$3)*--(Source!$D$1:$D$250=Pyramid!$Q291),ROW(Source!$B$1:$B$250),FALSE),T$3)),"")</f>
        <v/>
      </c>
      <c r="U291" t="str">
        <f t="array" aca="1" ref="U291" ca="1">IFERROR(INDEX(Source!$A$1:$A$250,SMALL(IF(--(Source!$B$1:$B$250=$O291)*--(Source!$E$1:$E$250=$Q$3)*--(Source!$D$1:$D$250=Pyramid!$Q291),ROW(Source!$B$1:$B$250),FALSE),U$3)),"")</f>
        <v/>
      </c>
      <c r="V291" t="str">
        <f t="array" aca="1" ref="V291" ca="1">IFERROR(INDEX(Source!$A$1:$A$250,SMALL(IF(--(Source!$B$1:$B$250=$O291)*--(Source!$E$1:$E$250=$Q$3)*--(Source!$D$1:$D$250=Pyramid!$Q291),ROW(Source!$B$1:$B$250),FALSE),V$3)),"")</f>
        <v/>
      </c>
      <c r="W291" t="str">
        <f t="array" aca="1" ref="W291" ca="1">IFERROR(INDEX(Source!$A$1:$A$250,SMALL(IF(--(Source!$B$1:$B$250=$O291)*--(Source!$E$1:$E$250=$Q$3)*--(Source!$D$1:$D$250=Pyramid!$Q291),ROW(Source!$B$1:$B$250),FALSE),W$3)),"")</f>
        <v/>
      </c>
      <c r="X291" t="str">
        <f t="array" aca="1" ref="X291" ca="1">IFERROR(INDEX(Source!$A$1:$A$250,SMALL(IF(--(Source!$B$1:$B$250=$O291)*--(Source!$E$1:$E$250=$Q$3)*--(Source!$D$1:$D$250=Pyramid!$Q291),ROW(Source!$B$1:$B$250),FALSE),X$3)),"")</f>
        <v/>
      </c>
      <c r="Y291" s="5">
        <f t="shared" ca="1" si="15"/>
        <v>0</v>
      </c>
    </row>
    <row r="292" spans="3:25">
      <c r="C292">
        <v>288</v>
      </c>
      <c r="D292" s="5">
        <f t="shared" ca="1" si="13"/>
        <v>0</v>
      </c>
      <c r="E292" t="str">
        <f t="array" aca="1" ref="E292" ca="1">IFERROR(INDEX(Source!$A$1:$A$250,SMALL(IF(--(Source!$B$1:$B$250=$O292)*--(Source!$E$1:$E$250=$M$3)*--(Source!$D$1:$D$250=Pyramid!$M292),ROW(Source!$B$1:$B$250),FALSE),E$3)),"")</f>
        <v/>
      </c>
      <c r="F292" t="str">
        <f t="array" aca="1" ref="F292" ca="1">IFERROR(INDEX(Source!$A$1:$A$250,SMALL(IF(--(Source!$B$1:$B$250=$O292)*--(Source!$E$1:$E$250=$M$3)*--(Source!$D$1:$D$250=Pyramid!$M292),ROW(Source!$B$1:$B$250),FALSE),F$3)),"")</f>
        <v/>
      </c>
      <c r="G292" t="str">
        <f t="array" aca="1" ref="G292" ca="1">IFERROR(INDEX(Source!$A$1:$A$250,SMALL(IF(--(Source!$B$1:$B$250=$O292)*--(Source!$E$1:$E$250=$M$3)*--(Source!$D$1:$D$250=Pyramid!$M292),ROW(Source!$B$1:$B$250),FALSE),G$3)),"")</f>
        <v/>
      </c>
      <c r="H292" t="str">
        <f t="array" aca="1" ref="H292" ca="1">IFERROR(INDEX(Source!$A$1:$A$250,SMALL(IF(--(Source!$B$1:$B$250=$O292)*--(Source!$E$1:$E$250=$M$3)*--(Source!$D$1:$D$250=Pyramid!$M292),ROW(Source!$B$1:$B$250),FALSE),H$3)),"")</f>
        <v/>
      </c>
      <c r="I292" t="str">
        <f t="array" aca="1" ref="I292" ca="1">IFERROR(INDEX(Source!$A$1:$A$250,SMALL(IF(--(Source!$B$1:$B$250=$O292)*--(Source!$E$1:$E$250=$M$3)*--(Source!$D$1:$D$250=Pyramid!$M292),ROW(Source!$B$1:$B$250),FALSE),I$3)),"")</f>
        <v/>
      </c>
      <c r="J292" t="str">
        <f t="array" aca="1" ref="J292" ca="1">IFERROR(INDEX(Source!$A$1:$A$250,SMALL(IF(--(Source!$B$1:$B$250=$O292)*--(Source!$E$1:$E$250=$M$3)*--(Source!$D$1:$D$250=Pyramid!$M292),ROW(Source!$B$1:$B$250),FALSE),J$3)),"")</f>
        <v/>
      </c>
      <c r="K292" t="str">
        <f t="array" aca="1" ref="K292" ca="1">IFERROR(INDEX(Source!$A$1:$A$250,SMALL(IF(--(Source!$B$1:$B$250=$O292)*--(Source!$E$1:$E$250=$M$3)*--(Source!$D$1:$D$250=Pyramid!$M292),ROW(Source!$B$1:$B$250),FALSE),K$3)),"")</f>
        <v/>
      </c>
      <c r="L292" t="str">
        <f t="array" aca="1" ref="L292" ca="1">IFERROR(INDEX(Source!$A$1:$A$250,SMALL(IF(--(Source!$B$1:$B$250=$O292)*--(Source!$E$1:$E$250=$M$3)*--(Source!$D$1:$D$250=Pyramid!$M292),ROW(Source!$B$1:$B$250),FALSE),L$3)),"")</f>
        <v/>
      </c>
      <c r="M292" t="str">
        <f t="shared" si="14"/>
        <v>29/9/2016</v>
      </c>
      <c r="N292">
        <f ca="1">COUNTIFS(Source!B:B,Pyramid!$O292,Source!$D:$D,Pyramid!$M292,Source!$E:$E,Pyramid!$M$3)</f>
        <v>0</v>
      </c>
      <c r="O292">
        <f ca="1">OFFSET(Sheet2!$N$3,INT(C292/5),)</f>
        <v>21900</v>
      </c>
      <c r="P292">
        <f ca="1">COUNTIFS(Source!B:B,Pyramid!$O292,Source!D:D,Pyramid!$Q292,Source!$E:$E,Pyramid!$Q$3)</f>
        <v>0</v>
      </c>
      <c r="Q292" t="str">
        <f t="shared" si="14"/>
        <v>29/9/2016</v>
      </c>
      <c r="R292" t="str">
        <f t="array" aca="1" ref="R292" ca="1">IFERROR(INDEX(Source!$A$1:$A$250,SMALL(IF(--(Source!$B$1:$B$250=$O292)*--(Source!$E$1:$E$250=$Q$3)*--(Source!$D$1:$D$250=Pyramid!$Q292),ROW(Source!$B$1:$B$250),FALSE),R$3)),"")</f>
        <v/>
      </c>
      <c r="S292" t="str">
        <f t="array" aca="1" ref="S292" ca="1">IFERROR(INDEX(Source!$A$1:$A$250,SMALL(IF(--(Source!$B$1:$B$250=$O292)*--(Source!$E$1:$E$250=$Q$3)*--(Source!$D$1:$D$250=Pyramid!$Q292),ROW(Source!$B$1:$B$250),FALSE),S$3)),"")</f>
        <v/>
      </c>
      <c r="T292" t="str">
        <f t="array" aca="1" ref="T292" ca="1">IFERROR(INDEX(Source!$A$1:$A$250,SMALL(IF(--(Source!$B$1:$B$250=$O292)*--(Source!$E$1:$E$250=$Q$3)*--(Source!$D$1:$D$250=Pyramid!$Q292),ROW(Source!$B$1:$B$250),FALSE),T$3)),"")</f>
        <v/>
      </c>
      <c r="U292" t="str">
        <f t="array" aca="1" ref="U292" ca="1">IFERROR(INDEX(Source!$A$1:$A$250,SMALL(IF(--(Source!$B$1:$B$250=$O292)*--(Source!$E$1:$E$250=$Q$3)*--(Source!$D$1:$D$250=Pyramid!$Q292),ROW(Source!$B$1:$B$250),FALSE),U$3)),"")</f>
        <v/>
      </c>
      <c r="V292" t="str">
        <f t="array" aca="1" ref="V292" ca="1">IFERROR(INDEX(Source!$A$1:$A$250,SMALL(IF(--(Source!$B$1:$B$250=$O292)*--(Source!$E$1:$E$250=$Q$3)*--(Source!$D$1:$D$250=Pyramid!$Q292),ROW(Source!$B$1:$B$250),FALSE),V$3)),"")</f>
        <v/>
      </c>
      <c r="W292" t="str">
        <f t="array" aca="1" ref="W292" ca="1">IFERROR(INDEX(Source!$A$1:$A$250,SMALL(IF(--(Source!$B$1:$B$250=$O292)*--(Source!$E$1:$E$250=$Q$3)*--(Source!$D$1:$D$250=Pyramid!$Q292),ROW(Source!$B$1:$B$250),FALSE),W$3)),"")</f>
        <v/>
      </c>
      <c r="X292" t="str">
        <f t="array" aca="1" ref="X292" ca="1">IFERROR(INDEX(Source!$A$1:$A$250,SMALL(IF(--(Source!$B$1:$B$250=$O292)*--(Source!$E$1:$E$250=$Q$3)*--(Source!$D$1:$D$250=Pyramid!$Q292),ROW(Source!$B$1:$B$250),FALSE),X$3)),"")</f>
        <v/>
      </c>
      <c r="Y292" s="5">
        <f t="shared" ca="1" si="15"/>
        <v>0</v>
      </c>
    </row>
    <row r="293" spans="3:25">
      <c r="C293">
        <v>289</v>
      </c>
      <c r="D293" s="5">
        <f t="shared" ca="1" si="13"/>
        <v>0</v>
      </c>
      <c r="E293" t="str">
        <f t="array" aca="1" ref="E293" ca="1">IFERROR(INDEX(Source!$A$1:$A$250,SMALL(IF(--(Source!$B$1:$B$250=$O293)*--(Source!$E$1:$E$250=$M$3)*--(Source!$D$1:$D$250=Pyramid!$M293),ROW(Source!$B$1:$B$250),FALSE),E$3)),"")</f>
        <v/>
      </c>
      <c r="F293" t="str">
        <f t="array" aca="1" ref="F293" ca="1">IFERROR(INDEX(Source!$A$1:$A$250,SMALL(IF(--(Source!$B$1:$B$250=$O293)*--(Source!$E$1:$E$250=$M$3)*--(Source!$D$1:$D$250=Pyramid!$M293),ROW(Source!$B$1:$B$250),FALSE),F$3)),"")</f>
        <v/>
      </c>
      <c r="G293" t="str">
        <f t="array" aca="1" ref="G293" ca="1">IFERROR(INDEX(Source!$A$1:$A$250,SMALL(IF(--(Source!$B$1:$B$250=$O293)*--(Source!$E$1:$E$250=$M$3)*--(Source!$D$1:$D$250=Pyramid!$M293),ROW(Source!$B$1:$B$250),FALSE),G$3)),"")</f>
        <v/>
      </c>
      <c r="H293" t="str">
        <f t="array" aca="1" ref="H293" ca="1">IFERROR(INDEX(Source!$A$1:$A$250,SMALL(IF(--(Source!$B$1:$B$250=$O293)*--(Source!$E$1:$E$250=$M$3)*--(Source!$D$1:$D$250=Pyramid!$M293),ROW(Source!$B$1:$B$250),FALSE),H$3)),"")</f>
        <v/>
      </c>
      <c r="I293" t="str">
        <f t="array" aca="1" ref="I293" ca="1">IFERROR(INDEX(Source!$A$1:$A$250,SMALL(IF(--(Source!$B$1:$B$250=$O293)*--(Source!$E$1:$E$250=$M$3)*--(Source!$D$1:$D$250=Pyramid!$M293),ROW(Source!$B$1:$B$250),FALSE),I$3)),"")</f>
        <v/>
      </c>
      <c r="J293" t="str">
        <f t="array" aca="1" ref="J293" ca="1">IFERROR(INDEX(Source!$A$1:$A$250,SMALL(IF(--(Source!$B$1:$B$250=$O293)*--(Source!$E$1:$E$250=$M$3)*--(Source!$D$1:$D$250=Pyramid!$M293),ROW(Source!$B$1:$B$250),FALSE),J$3)),"")</f>
        <v/>
      </c>
      <c r="K293" t="str">
        <f t="array" aca="1" ref="K293" ca="1">IFERROR(INDEX(Source!$A$1:$A$250,SMALL(IF(--(Source!$B$1:$B$250=$O293)*--(Source!$E$1:$E$250=$M$3)*--(Source!$D$1:$D$250=Pyramid!$M293),ROW(Source!$B$1:$B$250),FALSE),K$3)),"")</f>
        <v/>
      </c>
      <c r="L293" t="str">
        <f t="array" aca="1" ref="L293" ca="1">IFERROR(INDEX(Source!$A$1:$A$250,SMALL(IF(--(Source!$B$1:$B$250=$O293)*--(Source!$E$1:$E$250=$M$3)*--(Source!$D$1:$D$250=Pyramid!$M293),ROW(Source!$B$1:$B$250),FALSE),L$3)),"")</f>
        <v>27894 HK Equity</v>
      </c>
      <c r="M293" t="str">
        <f t="shared" si="14"/>
        <v>28/10/2016</v>
      </c>
      <c r="N293">
        <f ca="1">COUNTIFS(Source!B:B,Pyramid!$O293,Source!$D:$D,Pyramid!$M293,Source!$E:$E,Pyramid!$M$3)</f>
        <v>1</v>
      </c>
      <c r="O293">
        <f ca="1">OFFSET(Sheet2!$N$3,INT(C293/5),)</f>
        <v>21900</v>
      </c>
      <c r="P293">
        <f ca="1">COUNTIFS(Source!B:B,Pyramid!$O293,Source!D:D,Pyramid!$Q293,Source!$E:$E,Pyramid!$Q$3)</f>
        <v>0</v>
      </c>
      <c r="Q293" t="str">
        <f t="shared" si="14"/>
        <v>28/10/2016</v>
      </c>
      <c r="R293" t="str">
        <f t="array" aca="1" ref="R293" ca="1">IFERROR(INDEX(Source!$A$1:$A$250,SMALL(IF(--(Source!$B$1:$B$250=$O293)*--(Source!$E$1:$E$250=$Q$3)*--(Source!$D$1:$D$250=Pyramid!$Q293),ROW(Source!$B$1:$B$250),FALSE),R$3)),"")</f>
        <v/>
      </c>
      <c r="S293" t="str">
        <f t="array" aca="1" ref="S293" ca="1">IFERROR(INDEX(Source!$A$1:$A$250,SMALL(IF(--(Source!$B$1:$B$250=$O293)*--(Source!$E$1:$E$250=$Q$3)*--(Source!$D$1:$D$250=Pyramid!$Q293),ROW(Source!$B$1:$B$250),FALSE),S$3)),"")</f>
        <v/>
      </c>
      <c r="T293" t="str">
        <f t="array" aca="1" ref="T293" ca="1">IFERROR(INDEX(Source!$A$1:$A$250,SMALL(IF(--(Source!$B$1:$B$250=$O293)*--(Source!$E$1:$E$250=$Q$3)*--(Source!$D$1:$D$250=Pyramid!$Q293),ROW(Source!$B$1:$B$250),FALSE),T$3)),"")</f>
        <v/>
      </c>
      <c r="U293" t="str">
        <f t="array" aca="1" ref="U293" ca="1">IFERROR(INDEX(Source!$A$1:$A$250,SMALL(IF(--(Source!$B$1:$B$250=$O293)*--(Source!$E$1:$E$250=$Q$3)*--(Source!$D$1:$D$250=Pyramid!$Q293),ROW(Source!$B$1:$B$250),FALSE),U$3)),"")</f>
        <v/>
      </c>
      <c r="V293" t="str">
        <f t="array" aca="1" ref="V293" ca="1">IFERROR(INDEX(Source!$A$1:$A$250,SMALL(IF(--(Source!$B$1:$B$250=$O293)*--(Source!$E$1:$E$250=$Q$3)*--(Source!$D$1:$D$250=Pyramid!$Q293),ROW(Source!$B$1:$B$250),FALSE),V$3)),"")</f>
        <v/>
      </c>
      <c r="W293" t="str">
        <f t="array" aca="1" ref="W293" ca="1">IFERROR(INDEX(Source!$A$1:$A$250,SMALL(IF(--(Source!$B$1:$B$250=$O293)*--(Source!$E$1:$E$250=$Q$3)*--(Source!$D$1:$D$250=Pyramid!$Q293),ROW(Source!$B$1:$B$250),FALSE),W$3)),"")</f>
        <v/>
      </c>
      <c r="X293" t="str">
        <f t="array" aca="1" ref="X293" ca="1">IFERROR(INDEX(Source!$A$1:$A$250,SMALL(IF(--(Source!$B$1:$B$250=$O293)*--(Source!$E$1:$E$250=$Q$3)*--(Source!$D$1:$D$250=Pyramid!$Q293),ROW(Source!$B$1:$B$250),FALSE),X$3)),"")</f>
        <v/>
      </c>
      <c r="Y293" s="5">
        <f t="shared" ca="1" si="15"/>
        <v>0</v>
      </c>
    </row>
    <row r="294" spans="3:25">
      <c r="C294">
        <v>290</v>
      </c>
      <c r="D294" s="5">
        <f t="shared" ca="1" si="13"/>
        <v>0</v>
      </c>
      <c r="E294" t="str">
        <f t="array" aca="1" ref="E294" ca="1">IFERROR(INDEX(Source!$A$1:$A$250,SMALL(IF(--(Source!$B$1:$B$250=$O294)*--(Source!$E$1:$E$250=$M$3)*--(Source!$D$1:$D$250=Pyramid!$M294),ROW(Source!$B$1:$B$250),FALSE),E$3)),"")</f>
        <v/>
      </c>
      <c r="F294" t="str">
        <f t="array" aca="1" ref="F294" ca="1">IFERROR(INDEX(Source!$A$1:$A$250,SMALL(IF(--(Source!$B$1:$B$250=$O294)*--(Source!$E$1:$E$250=$M$3)*--(Source!$D$1:$D$250=Pyramid!$M294),ROW(Source!$B$1:$B$250),FALSE),F$3)),"")</f>
        <v/>
      </c>
      <c r="G294" t="str">
        <f t="array" aca="1" ref="G294" ca="1">IFERROR(INDEX(Source!$A$1:$A$250,SMALL(IF(--(Source!$B$1:$B$250=$O294)*--(Source!$E$1:$E$250=$M$3)*--(Source!$D$1:$D$250=Pyramid!$M294),ROW(Source!$B$1:$B$250),FALSE),G$3)),"")</f>
        <v/>
      </c>
      <c r="H294" t="str">
        <f t="array" aca="1" ref="H294" ca="1">IFERROR(INDEX(Source!$A$1:$A$250,SMALL(IF(--(Source!$B$1:$B$250=$O294)*--(Source!$E$1:$E$250=$M$3)*--(Source!$D$1:$D$250=Pyramid!$M294),ROW(Source!$B$1:$B$250),FALSE),H$3)),"")</f>
        <v/>
      </c>
      <c r="I294" t="str">
        <f t="array" aca="1" ref="I294" ca="1">IFERROR(INDEX(Source!$A$1:$A$250,SMALL(IF(--(Source!$B$1:$B$250=$O294)*--(Source!$E$1:$E$250=$M$3)*--(Source!$D$1:$D$250=Pyramid!$M294),ROW(Source!$B$1:$B$250),FALSE),I$3)),"")</f>
        <v/>
      </c>
      <c r="J294" t="str">
        <f t="array" aca="1" ref="J294" ca="1">IFERROR(INDEX(Source!$A$1:$A$250,SMALL(IF(--(Source!$B$1:$B$250=$O294)*--(Source!$E$1:$E$250=$M$3)*--(Source!$D$1:$D$250=Pyramid!$M294),ROW(Source!$B$1:$B$250),FALSE),J$3)),"")</f>
        <v>24106 HK Equity</v>
      </c>
      <c r="K294" t="str">
        <f t="array" aca="1" ref="K294" ca="1">IFERROR(INDEX(Source!$A$1:$A$250,SMALL(IF(--(Source!$B$1:$B$250=$O294)*--(Source!$E$1:$E$250=$M$3)*--(Source!$D$1:$D$250=Pyramid!$M294),ROW(Source!$B$1:$B$250),FALSE),K$3)),"")</f>
        <v>24166 HK Equity</v>
      </c>
      <c r="L294" t="str">
        <f t="array" aca="1" ref="L294" ca="1">IFERROR(INDEX(Source!$A$1:$A$250,SMALL(IF(--(Source!$B$1:$B$250=$O294)*--(Source!$E$1:$E$250=$M$3)*--(Source!$D$1:$D$250=Pyramid!$M294),ROW(Source!$B$1:$B$250),FALSE),L$3)),"")</f>
        <v>23517 HK Equity</v>
      </c>
      <c r="M294" t="str">
        <f t="shared" si="14"/>
        <v>29/6/2016</v>
      </c>
      <c r="N294">
        <f ca="1">COUNTIFS(Source!B:B,Pyramid!$O294,Source!$D:$D,Pyramid!$M294,Source!$E:$E,Pyramid!$M$3)</f>
        <v>3</v>
      </c>
      <c r="O294">
        <f ca="1">OFFSET(Sheet2!$N$3,INT(C294/5),)</f>
        <v>22000</v>
      </c>
      <c r="P294">
        <f ca="1">COUNTIFS(Source!B:B,Pyramid!$O294,Source!D:D,Pyramid!$Q294,Source!$E:$E,Pyramid!$Q$3)</f>
        <v>0</v>
      </c>
      <c r="Q294" t="str">
        <f t="shared" si="14"/>
        <v>29/6/2016</v>
      </c>
      <c r="R294" t="str">
        <f t="array" aca="1" ref="R294" ca="1">IFERROR(INDEX(Source!$A$1:$A$250,SMALL(IF(--(Source!$B$1:$B$250=$O294)*--(Source!$E$1:$E$250=$Q$3)*--(Source!$D$1:$D$250=Pyramid!$Q294),ROW(Source!$B$1:$B$250),FALSE),R$3)),"")</f>
        <v/>
      </c>
      <c r="S294" t="str">
        <f t="array" aca="1" ref="S294" ca="1">IFERROR(INDEX(Source!$A$1:$A$250,SMALL(IF(--(Source!$B$1:$B$250=$O294)*--(Source!$E$1:$E$250=$Q$3)*--(Source!$D$1:$D$250=Pyramid!$Q294),ROW(Source!$B$1:$B$250),FALSE),S$3)),"")</f>
        <v/>
      </c>
      <c r="T294" t="str">
        <f t="array" aca="1" ref="T294" ca="1">IFERROR(INDEX(Source!$A$1:$A$250,SMALL(IF(--(Source!$B$1:$B$250=$O294)*--(Source!$E$1:$E$250=$Q$3)*--(Source!$D$1:$D$250=Pyramid!$Q294),ROW(Source!$B$1:$B$250),FALSE),T$3)),"")</f>
        <v/>
      </c>
      <c r="U294" t="str">
        <f t="array" aca="1" ref="U294" ca="1">IFERROR(INDEX(Source!$A$1:$A$250,SMALL(IF(--(Source!$B$1:$B$250=$O294)*--(Source!$E$1:$E$250=$Q$3)*--(Source!$D$1:$D$250=Pyramid!$Q294),ROW(Source!$B$1:$B$250),FALSE),U$3)),"")</f>
        <v/>
      </c>
      <c r="V294" t="str">
        <f t="array" aca="1" ref="V294" ca="1">IFERROR(INDEX(Source!$A$1:$A$250,SMALL(IF(--(Source!$B$1:$B$250=$O294)*--(Source!$E$1:$E$250=$Q$3)*--(Source!$D$1:$D$250=Pyramid!$Q294),ROW(Source!$B$1:$B$250),FALSE),V$3)),"")</f>
        <v/>
      </c>
      <c r="W294" t="str">
        <f t="array" aca="1" ref="W294" ca="1">IFERROR(INDEX(Source!$A$1:$A$250,SMALL(IF(--(Source!$B$1:$B$250=$O294)*--(Source!$E$1:$E$250=$Q$3)*--(Source!$D$1:$D$250=Pyramid!$Q294),ROW(Source!$B$1:$B$250),FALSE),W$3)),"")</f>
        <v/>
      </c>
      <c r="X294" t="str">
        <f t="array" aca="1" ref="X294" ca="1">IFERROR(INDEX(Source!$A$1:$A$250,SMALL(IF(--(Source!$B$1:$B$250=$O294)*--(Source!$E$1:$E$250=$Q$3)*--(Source!$D$1:$D$250=Pyramid!$Q294),ROW(Source!$B$1:$B$250),FALSE),X$3)),"")</f>
        <v/>
      </c>
      <c r="Y294" s="5">
        <f t="shared" ca="1" si="15"/>
        <v>0</v>
      </c>
    </row>
    <row r="295" spans="3:25">
      <c r="C295">
        <v>291</v>
      </c>
      <c r="D295" s="5">
        <f t="shared" ca="1" si="13"/>
        <v>0</v>
      </c>
      <c r="E295" t="str">
        <f t="array" aca="1" ref="E295" ca="1">IFERROR(INDEX(Source!$A$1:$A$250,SMALL(IF(--(Source!$B$1:$B$250=$O295)*--(Source!$E$1:$E$250=$M$3)*--(Source!$D$1:$D$250=Pyramid!$M295),ROW(Source!$B$1:$B$250),FALSE),E$3)),"")</f>
        <v/>
      </c>
      <c r="F295" t="str">
        <f t="array" aca="1" ref="F295" ca="1">IFERROR(INDEX(Source!$A$1:$A$250,SMALL(IF(--(Source!$B$1:$B$250=$O295)*--(Source!$E$1:$E$250=$M$3)*--(Source!$D$1:$D$250=Pyramid!$M295),ROW(Source!$B$1:$B$250),FALSE),F$3)),"")</f>
        <v/>
      </c>
      <c r="G295" t="str">
        <f t="array" aca="1" ref="G295" ca="1">IFERROR(INDEX(Source!$A$1:$A$250,SMALL(IF(--(Source!$B$1:$B$250=$O295)*--(Source!$E$1:$E$250=$M$3)*--(Source!$D$1:$D$250=Pyramid!$M295),ROW(Source!$B$1:$B$250),FALSE),G$3)),"")</f>
        <v/>
      </c>
      <c r="H295" t="str">
        <f t="array" aca="1" ref="H295" ca="1">IFERROR(INDEX(Source!$A$1:$A$250,SMALL(IF(--(Source!$B$1:$B$250=$O295)*--(Source!$E$1:$E$250=$M$3)*--(Source!$D$1:$D$250=Pyramid!$M295),ROW(Source!$B$1:$B$250),FALSE),H$3)),"")</f>
        <v/>
      </c>
      <c r="I295" t="str">
        <f t="array" aca="1" ref="I295" ca="1">IFERROR(INDEX(Source!$A$1:$A$250,SMALL(IF(--(Source!$B$1:$B$250=$O295)*--(Source!$E$1:$E$250=$M$3)*--(Source!$D$1:$D$250=Pyramid!$M295),ROW(Source!$B$1:$B$250),FALSE),I$3)),"")</f>
        <v/>
      </c>
      <c r="J295" t="str">
        <f t="array" aca="1" ref="J295" ca="1">IFERROR(INDEX(Source!$A$1:$A$250,SMALL(IF(--(Source!$B$1:$B$250=$O295)*--(Source!$E$1:$E$250=$M$3)*--(Source!$D$1:$D$250=Pyramid!$M295),ROW(Source!$B$1:$B$250),FALSE),J$3)),"")</f>
        <v/>
      </c>
      <c r="K295" t="str">
        <f t="array" aca="1" ref="K295" ca="1">IFERROR(INDEX(Source!$A$1:$A$250,SMALL(IF(--(Source!$B$1:$B$250=$O295)*--(Source!$E$1:$E$250=$M$3)*--(Source!$D$1:$D$250=Pyramid!$M295),ROW(Source!$B$1:$B$250),FALSE),K$3)),"")</f>
        <v/>
      </c>
      <c r="L295" t="str">
        <f t="array" aca="1" ref="L295" ca="1">IFERROR(INDEX(Source!$A$1:$A$250,SMALL(IF(--(Source!$B$1:$B$250=$O295)*--(Source!$E$1:$E$250=$M$3)*--(Source!$D$1:$D$250=Pyramid!$M295),ROW(Source!$B$1:$B$250),FALSE),L$3)),"")</f>
        <v/>
      </c>
      <c r="M295" t="str">
        <f t="shared" si="14"/>
        <v>28/7/2016</v>
      </c>
      <c r="N295">
        <f ca="1">COUNTIFS(Source!B:B,Pyramid!$O295,Source!$D:$D,Pyramid!$M295,Source!$E:$E,Pyramid!$M$3)</f>
        <v>0</v>
      </c>
      <c r="O295">
        <f ca="1">OFFSET(Sheet2!$N$3,INT(C295/5),)</f>
        <v>22000</v>
      </c>
      <c r="P295">
        <f ca="1">COUNTIFS(Source!B:B,Pyramid!$O295,Source!D:D,Pyramid!$Q295,Source!$E:$E,Pyramid!$Q$3)</f>
        <v>0</v>
      </c>
      <c r="Q295" t="str">
        <f t="shared" si="14"/>
        <v>28/7/2016</v>
      </c>
      <c r="R295" t="str">
        <f t="array" aca="1" ref="R295" ca="1">IFERROR(INDEX(Source!$A$1:$A$250,SMALL(IF(--(Source!$B$1:$B$250=$O295)*--(Source!$E$1:$E$250=$Q$3)*--(Source!$D$1:$D$250=Pyramid!$Q295),ROW(Source!$B$1:$B$250),FALSE),R$3)),"")</f>
        <v/>
      </c>
      <c r="S295" t="str">
        <f t="array" aca="1" ref="S295" ca="1">IFERROR(INDEX(Source!$A$1:$A$250,SMALL(IF(--(Source!$B$1:$B$250=$O295)*--(Source!$E$1:$E$250=$Q$3)*--(Source!$D$1:$D$250=Pyramid!$Q295),ROW(Source!$B$1:$B$250),FALSE),S$3)),"")</f>
        <v/>
      </c>
      <c r="T295" t="str">
        <f t="array" aca="1" ref="T295" ca="1">IFERROR(INDEX(Source!$A$1:$A$250,SMALL(IF(--(Source!$B$1:$B$250=$O295)*--(Source!$E$1:$E$250=$Q$3)*--(Source!$D$1:$D$250=Pyramid!$Q295),ROW(Source!$B$1:$B$250),FALSE),T$3)),"")</f>
        <v/>
      </c>
      <c r="U295" t="str">
        <f t="array" aca="1" ref="U295" ca="1">IFERROR(INDEX(Source!$A$1:$A$250,SMALL(IF(--(Source!$B$1:$B$250=$O295)*--(Source!$E$1:$E$250=$Q$3)*--(Source!$D$1:$D$250=Pyramid!$Q295),ROW(Source!$B$1:$B$250),FALSE),U$3)),"")</f>
        <v/>
      </c>
      <c r="V295" t="str">
        <f t="array" aca="1" ref="V295" ca="1">IFERROR(INDEX(Source!$A$1:$A$250,SMALL(IF(--(Source!$B$1:$B$250=$O295)*--(Source!$E$1:$E$250=$Q$3)*--(Source!$D$1:$D$250=Pyramid!$Q295),ROW(Source!$B$1:$B$250),FALSE),V$3)),"")</f>
        <v/>
      </c>
      <c r="W295" t="str">
        <f t="array" aca="1" ref="W295" ca="1">IFERROR(INDEX(Source!$A$1:$A$250,SMALL(IF(--(Source!$B$1:$B$250=$O295)*--(Source!$E$1:$E$250=$Q$3)*--(Source!$D$1:$D$250=Pyramid!$Q295),ROW(Source!$B$1:$B$250),FALSE),W$3)),"")</f>
        <v/>
      </c>
      <c r="X295" t="str">
        <f t="array" aca="1" ref="X295" ca="1">IFERROR(INDEX(Source!$A$1:$A$250,SMALL(IF(--(Source!$B$1:$B$250=$O295)*--(Source!$E$1:$E$250=$Q$3)*--(Source!$D$1:$D$250=Pyramid!$Q295),ROW(Source!$B$1:$B$250),FALSE),X$3)),"")</f>
        <v/>
      </c>
      <c r="Y295" s="5">
        <f t="shared" ca="1" si="15"/>
        <v>0</v>
      </c>
    </row>
    <row r="296" spans="3:25">
      <c r="C296">
        <v>292</v>
      </c>
      <c r="D296" s="5">
        <f t="shared" ca="1" si="13"/>
        <v>0</v>
      </c>
      <c r="E296" t="str">
        <f t="array" aca="1" ref="E296" ca="1">IFERROR(INDEX(Source!$A$1:$A$250,SMALL(IF(--(Source!$B$1:$B$250=$O296)*--(Source!$E$1:$E$250=$M$3)*--(Source!$D$1:$D$250=Pyramid!$M296),ROW(Source!$B$1:$B$250),FALSE),E$3)),"")</f>
        <v/>
      </c>
      <c r="F296" t="str">
        <f t="array" aca="1" ref="F296" ca="1">IFERROR(INDEX(Source!$A$1:$A$250,SMALL(IF(--(Source!$B$1:$B$250=$O296)*--(Source!$E$1:$E$250=$M$3)*--(Source!$D$1:$D$250=Pyramid!$M296),ROW(Source!$B$1:$B$250),FALSE),F$3)),"")</f>
        <v/>
      </c>
      <c r="G296" t="str">
        <f t="array" aca="1" ref="G296" ca="1">IFERROR(INDEX(Source!$A$1:$A$250,SMALL(IF(--(Source!$B$1:$B$250=$O296)*--(Source!$E$1:$E$250=$M$3)*--(Source!$D$1:$D$250=Pyramid!$M296),ROW(Source!$B$1:$B$250),FALSE),G$3)),"")</f>
        <v/>
      </c>
      <c r="H296" t="str">
        <f t="array" aca="1" ref="H296" ca="1">IFERROR(INDEX(Source!$A$1:$A$250,SMALL(IF(--(Source!$B$1:$B$250=$O296)*--(Source!$E$1:$E$250=$M$3)*--(Source!$D$1:$D$250=Pyramid!$M296),ROW(Source!$B$1:$B$250),FALSE),H$3)),"")</f>
        <v/>
      </c>
      <c r="I296" t="str">
        <f t="array" aca="1" ref="I296" ca="1">IFERROR(INDEX(Source!$A$1:$A$250,SMALL(IF(--(Source!$B$1:$B$250=$O296)*--(Source!$E$1:$E$250=$M$3)*--(Source!$D$1:$D$250=Pyramid!$M296),ROW(Source!$B$1:$B$250),FALSE),I$3)),"")</f>
        <v/>
      </c>
      <c r="J296" t="str">
        <f t="array" aca="1" ref="J296" ca="1">IFERROR(INDEX(Source!$A$1:$A$250,SMALL(IF(--(Source!$B$1:$B$250=$O296)*--(Source!$E$1:$E$250=$M$3)*--(Source!$D$1:$D$250=Pyramid!$M296),ROW(Source!$B$1:$B$250),FALSE),J$3)),"")</f>
        <v/>
      </c>
      <c r="K296" t="str">
        <f t="array" aca="1" ref="K296" ca="1">IFERROR(INDEX(Source!$A$1:$A$250,SMALL(IF(--(Source!$B$1:$B$250=$O296)*--(Source!$E$1:$E$250=$M$3)*--(Source!$D$1:$D$250=Pyramid!$M296),ROW(Source!$B$1:$B$250),FALSE),K$3)),"")</f>
        <v/>
      </c>
      <c r="L296" t="str">
        <f t="array" aca="1" ref="L296" ca="1">IFERROR(INDEX(Source!$A$1:$A$250,SMALL(IF(--(Source!$B$1:$B$250=$O296)*--(Source!$E$1:$E$250=$M$3)*--(Source!$D$1:$D$250=Pyramid!$M296),ROW(Source!$B$1:$B$250),FALSE),L$3)),"")</f>
        <v/>
      </c>
      <c r="M296" t="str">
        <f t="shared" si="14"/>
        <v>30/8/2016</v>
      </c>
      <c r="N296">
        <f ca="1">COUNTIFS(Source!B:B,Pyramid!$O296,Source!$D:$D,Pyramid!$M296,Source!$E:$E,Pyramid!$M$3)</f>
        <v>0</v>
      </c>
      <c r="O296">
        <f ca="1">OFFSET(Sheet2!$N$3,INT(C296/5),)</f>
        <v>22000</v>
      </c>
      <c r="P296">
        <f ca="1">COUNTIFS(Source!B:B,Pyramid!$O296,Source!D:D,Pyramid!$Q296,Source!$E:$E,Pyramid!$Q$3)</f>
        <v>0</v>
      </c>
      <c r="Q296" t="str">
        <f t="shared" si="14"/>
        <v>30/8/2016</v>
      </c>
      <c r="R296" t="str">
        <f t="array" aca="1" ref="R296" ca="1">IFERROR(INDEX(Source!$A$1:$A$250,SMALL(IF(--(Source!$B$1:$B$250=$O296)*--(Source!$E$1:$E$250=$Q$3)*--(Source!$D$1:$D$250=Pyramid!$Q296),ROW(Source!$B$1:$B$250),FALSE),R$3)),"")</f>
        <v/>
      </c>
      <c r="S296" t="str">
        <f t="array" aca="1" ref="S296" ca="1">IFERROR(INDEX(Source!$A$1:$A$250,SMALL(IF(--(Source!$B$1:$B$250=$O296)*--(Source!$E$1:$E$250=$Q$3)*--(Source!$D$1:$D$250=Pyramid!$Q296),ROW(Source!$B$1:$B$250),FALSE),S$3)),"")</f>
        <v/>
      </c>
      <c r="T296" t="str">
        <f t="array" aca="1" ref="T296" ca="1">IFERROR(INDEX(Source!$A$1:$A$250,SMALL(IF(--(Source!$B$1:$B$250=$O296)*--(Source!$E$1:$E$250=$Q$3)*--(Source!$D$1:$D$250=Pyramid!$Q296),ROW(Source!$B$1:$B$250),FALSE),T$3)),"")</f>
        <v/>
      </c>
      <c r="U296" t="str">
        <f t="array" aca="1" ref="U296" ca="1">IFERROR(INDEX(Source!$A$1:$A$250,SMALL(IF(--(Source!$B$1:$B$250=$O296)*--(Source!$E$1:$E$250=$Q$3)*--(Source!$D$1:$D$250=Pyramid!$Q296),ROW(Source!$B$1:$B$250),FALSE),U$3)),"")</f>
        <v/>
      </c>
      <c r="V296" t="str">
        <f t="array" aca="1" ref="V296" ca="1">IFERROR(INDEX(Source!$A$1:$A$250,SMALL(IF(--(Source!$B$1:$B$250=$O296)*--(Source!$E$1:$E$250=$Q$3)*--(Source!$D$1:$D$250=Pyramid!$Q296),ROW(Source!$B$1:$B$250),FALSE),V$3)),"")</f>
        <v/>
      </c>
      <c r="W296" t="str">
        <f t="array" aca="1" ref="W296" ca="1">IFERROR(INDEX(Source!$A$1:$A$250,SMALL(IF(--(Source!$B$1:$B$250=$O296)*--(Source!$E$1:$E$250=$Q$3)*--(Source!$D$1:$D$250=Pyramid!$Q296),ROW(Source!$B$1:$B$250),FALSE),W$3)),"")</f>
        <v/>
      </c>
      <c r="X296" t="str">
        <f t="array" aca="1" ref="X296" ca="1">IFERROR(INDEX(Source!$A$1:$A$250,SMALL(IF(--(Source!$B$1:$B$250=$O296)*--(Source!$E$1:$E$250=$Q$3)*--(Source!$D$1:$D$250=Pyramid!$Q296),ROW(Source!$B$1:$B$250),FALSE),X$3)),"")</f>
        <v/>
      </c>
      <c r="Y296" s="5">
        <f t="shared" ca="1" si="15"/>
        <v>0</v>
      </c>
    </row>
    <row r="297" spans="3:25">
      <c r="C297">
        <v>293</v>
      </c>
      <c r="D297" s="5">
        <f t="shared" ca="1" si="13"/>
        <v>0</v>
      </c>
      <c r="E297" t="str">
        <f t="array" aca="1" ref="E297" ca="1">IFERROR(INDEX(Source!$A$1:$A$250,SMALL(IF(--(Source!$B$1:$B$250=$O297)*--(Source!$E$1:$E$250=$M$3)*--(Source!$D$1:$D$250=Pyramid!$M297),ROW(Source!$B$1:$B$250),FALSE),E$3)),"")</f>
        <v/>
      </c>
      <c r="F297" t="str">
        <f t="array" aca="1" ref="F297" ca="1">IFERROR(INDEX(Source!$A$1:$A$250,SMALL(IF(--(Source!$B$1:$B$250=$O297)*--(Source!$E$1:$E$250=$M$3)*--(Source!$D$1:$D$250=Pyramid!$M297),ROW(Source!$B$1:$B$250),FALSE),F$3)),"")</f>
        <v/>
      </c>
      <c r="G297" t="str">
        <f t="array" aca="1" ref="G297" ca="1">IFERROR(INDEX(Source!$A$1:$A$250,SMALL(IF(--(Source!$B$1:$B$250=$O297)*--(Source!$E$1:$E$250=$M$3)*--(Source!$D$1:$D$250=Pyramid!$M297),ROW(Source!$B$1:$B$250),FALSE),G$3)),"")</f>
        <v/>
      </c>
      <c r="H297" t="str">
        <f t="array" aca="1" ref="H297" ca="1">IFERROR(INDEX(Source!$A$1:$A$250,SMALL(IF(--(Source!$B$1:$B$250=$O297)*--(Source!$E$1:$E$250=$M$3)*--(Source!$D$1:$D$250=Pyramid!$M297),ROW(Source!$B$1:$B$250),FALSE),H$3)),"")</f>
        <v/>
      </c>
      <c r="I297" t="str">
        <f t="array" aca="1" ref="I297" ca="1">IFERROR(INDEX(Source!$A$1:$A$250,SMALL(IF(--(Source!$B$1:$B$250=$O297)*--(Source!$E$1:$E$250=$M$3)*--(Source!$D$1:$D$250=Pyramid!$M297),ROW(Source!$B$1:$B$250),FALSE),I$3)),"")</f>
        <v/>
      </c>
      <c r="J297" t="str">
        <f t="array" aca="1" ref="J297" ca="1">IFERROR(INDEX(Source!$A$1:$A$250,SMALL(IF(--(Source!$B$1:$B$250=$O297)*--(Source!$E$1:$E$250=$M$3)*--(Source!$D$1:$D$250=Pyramid!$M297),ROW(Source!$B$1:$B$250),FALSE),J$3)),"")</f>
        <v/>
      </c>
      <c r="K297" t="str">
        <f t="array" aca="1" ref="K297" ca="1">IFERROR(INDEX(Source!$A$1:$A$250,SMALL(IF(--(Source!$B$1:$B$250=$O297)*--(Source!$E$1:$E$250=$M$3)*--(Source!$D$1:$D$250=Pyramid!$M297),ROW(Source!$B$1:$B$250),FALSE),K$3)),"")</f>
        <v/>
      </c>
      <c r="L297" t="str">
        <f t="array" aca="1" ref="L297" ca="1">IFERROR(INDEX(Source!$A$1:$A$250,SMALL(IF(--(Source!$B$1:$B$250=$O297)*--(Source!$E$1:$E$250=$M$3)*--(Source!$D$1:$D$250=Pyramid!$M297),ROW(Source!$B$1:$B$250),FALSE),L$3)),"")</f>
        <v/>
      </c>
      <c r="M297" t="str">
        <f t="shared" si="14"/>
        <v>29/9/2016</v>
      </c>
      <c r="N297">
        <f ca="1">COUNTIFS(Source!B:B,Pyramid!$O297,Source!$D:$D,Pyramid!$M297,Source!$E:$E,Pyramid!$M$3)</f>
        <v>0</v>
      </c>
      <c r="O297">
        <f ca="1">OFFSET(Sheet2!$N$3,INT(C297/5),)</f>
        <v>22000</v>
      </c>
      <c r="P297">
        <f ca="1">COUNTIFS(Source!B:B,Pyramid!$O297,Source!D:D,Pyramid!$Q297,Source!$E:$E,Pyramid!$Q$3)</f>
        <v>0</v>
      </c>
      <c r="Q297" t="str">
        <f t="shared" si="14"/>
        <v>29/9/2016</v>
      </c>
      <c r="R297" t="str">
        <f t="array" aca="1" ref="R297" ca="1">IFERROR(INDEX(Source!$A$1:$A$250,SMALL(IF(--(Source!$B$1:$B$250=$O297)*--(Source!$E$1:$E$250=$Q$3)*--(Source!$D$1:$D$250=Pyramid!$Q297),ROW(Source!$B$1:$B$250),FALSE),R$3)),"")</f>
        <v/>
      </c>
      <c r="S297" t="str">
        <f t="array" aca="1" ref="S297" ca="1">IFERROR(INDEX(Source!$A$1:$A$250,SMALL(IF(--(Source!$B$1:$B$250=$O297)*--(Source!$E$1:$E$250=$Q$3)*--(Source!$D$1:$D$250=Pyramid!$Q297),ROW(Source!$B$1:$B$250),FALSE),S$3)),"")</f>
        <v/>
      </c>
      <c r="T297" t="str">
        <f t="array" aca="1" ref="T297" ca="1">IFERROR(INDEX(Source!$A$1:$A$250,SMALL(IF(--(Source!$B$1:$B$250=$O297)*--(Source!$E$1:$E$250=$Q$3)*--(Source!$D$1:$D$250=Pyramid!$Q297),ROW(Source!$B$1:$B$250),FALSE),T$3)),"")</f>
        <v/>
      </c>
      <c r="U297" t="str">
        <f t="array" aca="1" ref="U297" ca="1">IFERROR(INDEX(Source!$A$1:$A$250,SMALL(IF(--(Source!$B$1:$B$250=$O297)*--(Source!$E$1:$E$250=$Q$3)*--(Source!$D$1:$D$250=Pyramid!$Q297),ROW(Source!$B$1:$B$250),FALSE),U$3)),"")</f>
        <v/>
      </c>
      <c r="V297" t="str">
        <f t="array" aca="1" ref="V297" ca="1">IFERROR(INDEX(Source!$A$1:$A$250,SMALL(IF(--(Source!$B$1:$B$250=$O297)*--(Source!$E$1:$E$250=$Q$3)*--(Source!$D$1:$D$250=Pyramid!$Q297),ROW(Source!$B$1:$B$250),FALSE),V$3)),"")</f>
        <v/>
      </c>
      <c r="W297" t="str">
        <f t="array" aca="1" ref="W297" ca="1">IFERROR(INDEX(Source!$A$1:$A$250,SMALL(IF(--(Source!$B$1:$B$250=$O297)*--(Source!$E$1:$E$250=$Q$3)*--(Source!$D$1:$D$250=Pyramid!$Q297),ROW(Source!$B$1:$B$250),FALSE),W$3)),"")</f>
        <v/>
      </c>
      <c r="X297" t="str">
        <f t="array" aca="1" ref="X297" ca="1">IFERROR(INDEX(Source!$A$1:$A$250,SMALL(IF(--(Source!$B$1:$B$250=$O297)*--(Source!$E$1:$E$250=$Q$3)*--(Source!$D$1:$D$250=Pyramid!$Q297),ROW(Source!$B$1:$B$250),FALSE),X$3)),"")</f>
        <v/>
      </c>
      <c r="Y297" s="5">
        <f t="shared" ca="1" si="15"/>
        <v>0</v>
      </c>
    </row>
    <row r="298" spans="3:25">
      <c r="C298">
        <v>294</v>
      </c>
      <c r="D298" s="5">
        <f t="shared" ca="1" si="13"/>
        <v>0</v>
      </c>
      <c r="E298" t="str">
        <f t="array" aca="1" ref="E298" ca="1">IFERROR(INDEX(Source!$A$1:$A$250,SMALL(IF(--(Source!$B$1:$B$250=$O298)*--(Source!$E$1:$E$250=$M$3)*--(Source!$D$1:$D$250=Pyramid!$M298),ROW(Source!$B$1:$B$250),FALSE),E$3)),"")</f>
        <v/>
      </c>
      <c r="F298" t="str">
        <f t="array" aca="1" ref="F298" ca="1">IFERROR(INDEX(Source!$A$1:$A$250,SMALL(IF(--(Source!$B$1:$B$250=$O298)*--(Source!$E$1:$E$250=$M$3)*--(Source!$D$1:$D$250=Pyramid!$M298),ROW(Source!$B$1:$B$250),FALSE),F$3)),"")</f>
        <v/>
      </c>
      <c r="G298" t="str">
        <f t="array" aca="1" ref="G298" ca="1">IFERROR(INDEX(Source!$A$1:$A$250,SMALL(IF(--(Source!$B$1:$B$250=$O298)*--(Source!$E$1:$E$250=$M$3)*--(Source!$D$1:$D$250=Pyramid!$M298),ROW(Source!$B$1:$B$250),FALSE),G$3)),"")</f>
        <v/>
      </c>
      <c r="H298" t="str">
        <f t="array" aca="1" ref="H298" ca="1">IFERROR(INDEX(Source!$A$1:$A$250,SMALL(IF(--(Source!$B$1:$B$250=$O298)*--(Source!$E$1:$E$250=$M$3)*--(Source!$D$1:$D$250=Pyramid!$M298),ROW(Source!$B$1:$B$250),FALSE),H$3)),"")</f>
        <v/>
      </c>
      <c r="I298" t="str">
        <f t="array" aca="1" ref="I298" ca="1">IFERROR(INDEX(Source!$A$1:$A$250,SMALL(IF(--(Source!$B$1:$B$250=$O298)*--(Source!$E$1:$E$250=$M$3)*--(Source!$D$1:$D$250=Pyramid!$M298),ROW(Source!$B$1:$B$250),FALSE),I$3)),"")</f>
        <v/>
      </c>
      <c r="J298" t="str">
        <f t="array" aca="1" ref="J298" ca="1">IFERROR(INDEX(Source!$A$1:$A$250,SMALL(IF(--(Source!$B$1:$B$250=$O298)*--(Source!$E$1:$E$250=$M$3)*--(Source!$D$1:$D$250=Pyramid!$M298),ROW(Source!$B$1:$B$250),FALSE),J$3)),"")</f>
        <v/>
      </c>
      <c r="K298" t="str">
        <f t="array" aca="1" ref="K298" ca="1">IFERROR(INDEX(Source!$A$1:$A$250,SMALL(IF(--(Source!$B$1:$B$250=$O298)*--(Source!$E$1:$E$250=$M$3)*--(Source!$D$1:$D$250=Pyramid!$M298),ROW(Source!$B$1:$B$250),FALSE),K$3)),"")</f>
        <v/>
      </c>
      <c r="L298" t="str">
        <f t="array" aca="1" ref="L298" ca="1">IFERROR(INDEX(Source!$A$1:$A$250,SMALL(IF(--(Source!$B$1:$B$250=$O298)*--(Source!$E$1:$E$250=$M$3)*--(Source!$D$1:$D$250=Pyramid!$M298),ROW(Source!$B$1:$B$250),FALSE),L$3)),"")</f>
        <v>27157 HK Equity</v>
      </c>
      <c r="M298" t="str">
        <f t="shared" si="14"/>
        <v>28/10/2016</v>
      </c>
      <c r="N298">
        <f ca="1">COUNTIFS(Source!B:B,Pyramid!$O298,Source!$D:$D,Pyramid!$M298,Source!$E:$E,Pyramid!$M$3)</f>
        <v>1</v>
      </c>
      <c r="O298">
        <f ca="1">OFFSET(Sheet2!$N$3,INT(C298/5),)</f>
        <v>22000</v>
      </c>
      <c r="P298">
        <f ca="1">COUNTIFS(Source!B:B,Pyramid!$O298,Source!D:D,Pyramid!$Q298,Source!$E:$E,Pyramid!$Q$3)</f>
        <v>0</v>
      </c>
      <c r="Q298" t="str">
        <f t="shared" si="14"/>
        <v>28/10/2016</v>
      </c>
      <c r="R298" t="str">
        <f t="array" aca="1" ref="R298" ca="1">IFERROR(INDEX(Source!$A$1:$A$250,SMALL(IF(--(Source!$B$1:$B$250=$O298)*--(Source!$E$1:$E$250=$Q$3)*--(Source!$D$1:$D$250=Pyramid!$Q298),ROW(Source!$B$1:$B$250),FALSE),R$3)),"")</f>
        <v/>
      </c>
      <c r="S298" t="str">
        <f t="array" aca="1" ref="S298" ca="1">IFERROR(INDEX(Source!$A$1:$A$250,SMALL(IF(--(Source!$B$1:$B$250=$O298)*--(Source!$E$1:$E$250=$Q$3)*--(Source!$D$1:$D$250=Pyramid!$Q298),ROW(Source!$B$1:$B$250),FALSE),S$3)),"")</f>
        <v/>
      </c>
      <c r="T298" t="str">
        <f t="array" aca="1" ref="T298" ca="1">IFERROR(INDEX(Source!$A$1:$A$250,SMALL(IF(--(Source!$B$1:$B$250=$O298)*--(Source!$E$1:$E$250=$Q$3)*--(Source!$D$1:$D$250=Pyramid!$Q298),ROW(Source!$B$1:$B$250),FALSE),T$3)),"")</f>
        <v/>
      </c>
      <c r="U298" t="str">
        <f t="array" aca="1" ref="U298" ca="1">IFERROR(INDEX(Source!$A$1:$A$250,SMALL(IF(--(Source!$B$1:$B$250=$O298)*--(Source!$E$1:$E$250=$Q$3)*--(Source!$D$1:$D$250=Pyramid!$Q298),ROW(Source!$B$1:$B$250),FALSE),U$3)),"")</f>
        <v/>
      </c>
      <c r="V298" t="str">
        <f t="array" aca="1" ref="V298" ca="1">IFERROR(INDEX(Source!$A$1:$A$250,SMALL(IF(--(Source!$B$1:$B$250=$O298)*--(Source!$E$1:$E$250=$Q$3)*--(Source!$D$1:$D$250=Pyramid!$Q298),ROW(Source!$B$1:$B$250),FALSE),V$3)),"")</f>
        <v/>
      </c>
      <c r="W298" t="str">
        <f t="array" aca="1" ref="W298" ca="1">IFERROR(INDEX(Source!$A$1:$A$250,SMALL(IF(--(Source!$B$1:$B$250=$O298)*--(Source!$E$1:$E$250=$Q$3)*--(Source!$D$1:$D$250=Pyramid!$Q298),ROW(Source!$B$1:$B$250),FALSE),W$3)),"")</f>
        <v/>
      </c>
      <c r="X298" t="str">
        <f t="array" aca="1" ref="X298" ca="1">IFERROR(INDEX(Source!$A$1:$A$250,SMALL(IF(--(Source!$B$1:$B$250=$O298)*--(Source!$E$1:$E$250=$Q$3)*--(Source!$D$1:$D$250=Pyramid!$Q298),ROW(Source!$B$1:$B$250),FALSE),X$3)),"")</f>
        <v/>
      </c>
      <c r="Y298" s="5">
        <f t="shared" ca="1" si="15"/>
        <v>0</v>
      </c>
    </row>
    <row r="299" spans="3:25">
      <c r="C299">
        <v>295</v>
      </c>
      <c r="D299" s="5">
        <f t="shared" ca="1" si="13"/>
        <v>0</v>
      </c>
      <c r="E299" t="str">
        <f t="array" aca="1" ref="E299" ca="1">IFERROR(INDEX(Source!$A$1:$A$250,SMALL(IF(--(Source!$B$1:$B$250=$O299)*--(Source!$E$1:$E$250=$M$3)*--(Source!$D$1:$D$250=Pyramid!$M299),ROW(Source!$B$1:$B$250),FALSE),E$3)),"")</f>
        <v/>
      </c>
      <c r="F299" t="str">
        <f t="array" aca="1" ref="F299" ca="1">IFERROR(INDEX(Source!$A$1:$A$250,SMALL(IF(--(Source!$B$1:$B$250=$O299)*--(Source!$E$1:$E$250=$M$3)*--(Source!$D$1:$D$250=Pyramid!$M299),ROW(Source!$B$1:$B$250),FALSE),F$3)),"")</f>
        <v/>
      </c>
      <c r="G299" t="str">
        <f t="array" aca="1" ref="G299" ca="1">IFERROR(INDEX(Source!$A$1:$A$250,SMALL(IF(--(Source!$B$1:$B$250=$O299)*--(Source!$E$1:$E$250=$M$3)*--(Source!$D$1:$D$250=Pyramid!$M299),ROW(Source!$B$1:$B$250),FALSE),G$3)),"")</f>
        <v/>
      </c>
      <c r="H299" t="str">
        <f t="array" aca="1" ref="H299" ca="1">IFERROR(INDEX(Source!$A$1:$A$250,SMALL(IF(--(Source!$B$1:$B$250=$O299)*--(Source!$E$1:$E$250=$M$3)*--(Source!$D$1:$D$250=Pyramid!$M299),ROW(Source!$B$1:$B$250),FALSE),H$3)),"")</f>
        <v/>
      </c>
      <c r="I299" t="str">
        <f t="array" aca="1" ref="I299" ca="1">IFERROR(INDEX(Source!$A$1:$A$250,SMALL(IF(--(Source!$B$1:$B$250=$O299)*--(Source!$E$1:$E$250=$M$3)*--(Source!$D$1:$D$250=Pyramid!$M299),ROW(Source!$B$1:$B$250),FALSE),I$3)),"")</f>
        <v/>
      </c>
      <c r="J299" t="str">
        <f t="array" aca="1" ref="J299" ca="1">IFERROR(INDEX(Source!$A$1:$A$250,SMALL(IF(--(Source!$B$1:$B$250=$O299)*--(Source!$E$1:$E$250=$M$3)*--(Source!$D$1:$D$250=Pyramid!$M299),ROW(Source!$B$1:$B$250),FALSE),J$3)),"")</f>
        <v/>
      </c>
      <c r="K299" t="str">
        <f t="array" aca="1" ref="K299" ca="1">IFERROR(INDEX(Source!$A$1:$A$250,SMALL(IF(--(Source!$B$1:$B$250=$O299)*--(Source!$E$1:$E$250=$M$3)*--(Source!$D$1:$D$250=Pyramid!$M299),ROW(Source!$B$1:$B$250),FALSE),K$3)),"")</f>
        <v/>
      </c>
      <c r="L299" t="str">
        <f t="array" aca="1" ref="L299" ca="1">IFERROR(INDEX(Source!$A$1:$A$250,SMALL(IF(--(Source!$B$1:$B$250=$O299)*--(Source!$E$1:$E$250=$M$3)*--(Source!$D$1:$D$250=Pyramid!$M299),ROW(Source!$B$1:$B$250),FALSE),L$3)),"")</f>
        <v/>
      </c>
      <c r="M299" t="str">
        <f t="shared" si="14"/>
        <v>29/6/2016</v>
      </c>
      <c r="N299">
        <f ca="1">COUNTIFS(Source!B:B,Pyramid!$O299,Source!$D:$D,Pyramid!$M299,Source!$E:$E,Pyramid!$M$3)</f>
        <v>0</v>
      </c>
      <c r="O299">
        <f ca="1">OFFSET(Sheet2!$N$3,INT(C299/5),)</f>
        <v>22088</v>
      </c>
      <c r="P299">
        <f ca="1">COUNTIFS(Source!B:B,Pyramid!$O299,Source!D:D,Pyramid!$Q299,Source!$E:$E,Pyramid!$Q$3)</f>
        <v>0</v>
      </c>
      <c r="Q299" t="str">
        <f t="shared" si="14"/>
        <v>29/6/2016</v>
      </c>
      <c r="R299" t="str">
        <f t="array" aca="1" ref="R299" ca="1">IFERROR(INDEX(Source!$A$1:$A$250,SMALL(IF(--(Source!$B$1:$B$250=$O299)*--(Source!$E$1:$E$250=$Q$3)*--(Source!$D$1:$D$250=Pyramid!$Q299),ROW(Source!$B$1:$B$250),FALSE),R$3)),"")</f>
        <v/>
      </c>
      <c r="S299" t="str">
        <f t="array" aca="1" ref="S299" ca="1">IFERROR(INDEX(Source!$A$1:$A$250,SMALL(IF(--(Source!$B$1:$B$250=$O299)*--(Source!$E$1:$E$250=$Q$3)*--(Source!$D$1:$D$250=Pyramid!$Q299),ROW(Source!$B$1:$B$250),FALSE),S$3)),"")</f>
        <v/>
      </c>
      <c r="T299" t="str">
        <f t="array" aca="1" ref="T299" ca="1">IFERROR(INDEX(Source!$A$1:$A$250,SMALL(IF(--(Source!$B$1:$B$250=$O299)*--(Source!$E$1:$E$250=$Q$3)*--(Source!$D$1:$D$250=Pyramid!$Q299),ROW(Source!$B$1:$B$250),FALSE),T$3)),"")</f>
        <v/>
      </c>
      <c r="U299" t="str">
        <f t="array" aca="1" ref="U299" ca="1">IFERROR(INDEX(Source!$A$1:$A$250,SMALL(IF(--(Source!$B$1:$B$250=$O299)*--(Source!$E$1:$E$250=$Q$3)*--(Source!$D$1:$D$250=Pyramid!$Q299),ROW(Source!$B$1:$B$250),FALSE),U$3)),"")</f>
        <v/>
      </c>
      <c r="V299" t="str">
        <f t="array" aca="1" ref="V299" ca="1">IFERROR(INDEX(Source!$A$1:$A$250,SMALL(IF(--(Source!$B$1:$B$250=$O299)*--(Source!$E$1:$E$250=$Q$3)*--(Source!$D$1:$D$250=Pyramid!$Q299),ROW(Source!$B$1:$B$250),FALSE),V$3)),"")</f>
        <v/>
      </c>
      <c r="W299" t="str">
        <f t="array" aca="1" ref="W299" ca="1">IFERROR(INDEX(Source!$A$1:$A$250,SMALL(IF(--(Source!$B$1:$B$250=$O299)*--(Source!$E$1:$E$250=$Q$3)*--(Source!$D$1:$D$250=Pyramid!$Q299),ROW(Source!$B$1:$B$250),FALSE),W$3)),"")</f>
        <v/>
      </c>
      <c r="X299" t="str">
        <f t="array" aca="1" ref="X299" ca="1">IFERROR(INDEX(Source!$A$1:$A$250,SMALL(IF(--(Source!$B$1:$B$250=$O299)*--(Source!$E$1:$E$250=$Q$3)*--(Source!$D$1:$D$250=Pyramid!$Q299),ROW(Source!$B$1:$B$250),FALSE),X$3)),"")</f>
        <v/>
      </c>
      <c r="Y299" s="5">
        <f t="shared" ca="1" si="15"/>
        <v>0</v>
      </c>
    </row>
    <row r="300" spans="3:25">
      <c r="C300">
        <v>296</v>
      </c>
      <c r="D300" s="5">
        <f t="shared" ca="1" si="13"/>
        <v>0</v>
      </c>
      <c r="E300" t="str">
        <f t="array" aca="1" ref="E300" ca="1">IFERROR(INDEX(Source!$A$1:$A$250,SMALL(IF(--(Source!$B$1:$B$250=$O300)*--(Source!$E$1:$E$250=$M$3)*--(Source!$D$1:$D$250=Pyramid!$M300),ROW(Source!$B$1:$B$250),FALSE),E$3)),"")</f>
        <v/>
      </c>
      <c r="F300" t="str">
        <f t="array" aca="1" ref="F300" ca="1">IFERROR(INDEX(Source!$A$1:$A$250,SMALL(IF(--(Source!$B$1:$B$250=$O300)*--(Source!$E$1:$E$250=$M$3)*--(Source!$D$1:$D$250=Pyramid!$M300),ROW(Source!$B$1:$B$250),FALSE),F$3)),"")</f>
        <v/>
      </c>
      <c r="G300" t="str">
        <f t="array" aca="1" ref="G300" ca="1">IFERROR(INDEX(Source!$A$1:$A$250,SMALL(IF(--(Source!$B$1:$B$250=$O300)*--(Source!$E$1:$E$250=$M$3)*--(Source!$D$1:$D$250=Pyramid!$M300),ROW(Source!$B$1:$B$250),FALSE),G$3)),"")</f>
        <v/>
      </c>
      <c r="H300" t="str">
        <f t="array" aca="1" ref="H300" ca="1">IFERROR(INDEX(Source!$A$1:$A$250,SMALL(IF(--(Source!$B$1:$B$250=$O300)*--(Source!$E$1:$E$250=$M$3)*--(Source!$D$1:$D$250=Pyramid!$M300),ROW(Source!$B$1:$B$250),FALSE),H$3)),"")</f>
        <v/>
      </c>
      <c r="I300" t="str">
        <f t="array" aca="1" ref="I300" ca="1">IFERROR(INDEX(Source!$A$1:$A$250,SMALL(IF(--(Source!$B$1:$B$250=$O300)*--(Source!$E$1:$E$250=$M$3)*--(Source!$D$1:$D$250=Pyramid!$M300),ROW(Source!$B$1:$B$250),FALSE),I$3)),"")</f>
        <v/>
      </c>
      <c r="J300" t="str">
        <f t="array" aca="1" ref="J300" ca="1">IFERROR(INDEX(Source!$A$1:$A$250,SMALL(IF(--(Source!$B$1:$B$250=$O300)*--(Source!$E$1:$E$250=$M$3)*--(Source!$D$1:$D$250=Pyramid!$M300),ROW(Source!$B$1:$B$250),FALSE),J$3)),"")</f>
        <v/>
      </c>
      <c r="K300" t="str">
        <f t="array" aca="1" ref="K300" ca="1">IFERROR(INDEX(Source!$A$1:$A$250,SMALL(IF(--(Source!$B$1:$B$250=$O300)*--(Source!$E$1:$E$250=$M$3)*--(Source!$D$1:$D$250=Pyramid!$M300),ROW(Source!$B$1:$B$250),FALSE),K$3)),"")</f>
        <v/>
      </c>
      <c r="L300" t="str">
        <f t="array" aca="1" ref="L300" ca="1">IFERROR(INDEX(Source!$A$1:$A$250,SMALL(IF(--(Source!$B$1:$B$250=$O300)*--(Source!$E$1:$E$250=$M$3)*--(Source!$D$1:$D$250=Pyramid!$M300),ROW(Source!$B$1:$B$250),FALSE),L$3)),"")</f>
        <v/>
      </c>
      <c r="M300" t="str">
        <f t="shared" si="14"/>
        <v>28/7/2016</v>
      </c>
      <c r="N300">
        <f ca="1">COUNTIFS(Source!B:B,Pyramid!$O300,Source!$D:$D,Pyramid!$M300,Source!$E:$E,Pyramid!$M$3)</f>
        <v>0</v>
      </c>
      <c r="O300">
        <f ca="1">OFFSET(Sheet2!$N$3,INT(C300/5),)</f>
        <v>22088</v>
      </c>
      <c r="P300">
        <f ca="1">COUNTIFS(Source!B:B,Pyramid!$O300,Source!D:D,Pyramid!$Q300,Source!$E:$E,Pyramid!$Q$3)</f>
        <v>0</v>
      </c>
      <c r="Q300" t="str">
        <f t="shared" si="14"/>
        <v>28/7/2016</v>
      </c>
      <c r="R300" t="str">
        <f t="array" aca="1" ref="R300" ca="1">IFERROR(INDEX(Source!$A$1:$A$250,SMALL(IF(--(Source!$B$1:$B$250=$O300)*--(Source!$E$1:$E$250=$Q$3)*--(Source!$D$1:$D$250=Pyramid!$Q300),ROW(Source!$B$1:$B$250),FALSE),R$3)),"")</f>
        <v/>
      </c>
      <c r="S300" t="str">
        <f t="array" aca="1" ref="S300" ca="1">IFERROR(INDEX(Source!$A$1:$A$250,SMALL(IF(--(Source!$B$1:$B$250=$O300)*--(Source!$E$1:$E$250=$Q$3)*--(Source!$D$1:$D$250=Pyramid!$Q300),ROW(Source!$B$1:$B$250),FALSE),S$3)),"")</f>
        <v/>
      </c>
      <c r="T300" t="str">
        <f t="array" aca="1" ref="T300" ca="1">IFERROR(INDEX(Source!$A$1:$A$250,SMALL(IF(--(Source!$B$1:$B$250=$O300)*--(Source!$E$1:$E$250=$Q$3)*--(Source!$D$1:$D$250=Pyramid!$Q300),ROW(Source!$B$1:$B$250),FALSE),T$3)),"")</f>
        <v/>
      </c>
      <c r="U300" t="str">
        <f t="array" aca="1" ref="U300" ca="1">IFERROR(INDEX(Source!$A$1:$A$250,SMALL(IF(--(Source!$B$1:$B$250=$O300)*--(Source!$E$1:$E$250=$Q$3)*--(Source!$D$1:$D$250=Pyramid!$Q300),ROW(Source!$B$1:$B$250),FALSE),U$3)),"")</f>
        <v/>
      </c>
      <c r="V300" t="str">
        <f t="array" aca="1" ref="V300" ca="1">IFERROR(INDEX(Source!$A$1:$A$250,SMALL(IF(--(Source!$B$1:$B$250=$O300)*--(Source!$E$1:$E$250=$Q$3)*--(Source!$D$1:$D$250=Pyramid!$Q300),ROW(Source!$B$1:$B$250),FALSE),V$3)),"")</f>
        <v/>
      </c>
      <c r="W300" t="str">
        <f t="array" aca="1" ref="W300" ca="1">IFERROR(INDEX(Source!$A$1:$A$250,SMALL(IF(--(Source!$B$1:$B$250=$O300)*--(Source!$E$1:$E$250=$Q$3)*--(Source!$D$1:$D$250=Pyramid!$Q300),ROW(Source!$B$1:$B$250),FALSE),W$3)),"")</f>
        <v/>
      </c>
      <c r="X300" t="str">
        <f t="array" aca="1" ref="X300" ca="1">IFERROR(INDEX(Source!$A$1:$A$250,SMALL(IF(--(Source!$B$1:$B$250=$O300)*--(Source!$E$1:$E$250=$Q$3)*--(Source!$D$1:$D$250=Pyramid!$Q300),ROW(Source!$B$1:$B$250),FALSE),X$3)),"")</f>
        <v/>
      </c>
      <c r="Y300" s="5">
        <f t="shared" ca="1" si="15"/>
        <v>0</v>
      </c>
    </row>
    <row r="301" spans="3:25">
      <c r="C301">
        <v>297</v>
      </c>
      <c r="D301" s="5">
        <f t="shared" ca="1" si="13"/>
        <v>0</v>
      </c>
      <c r="E301" t="str">
        <f t="array" aca="1" ref="E301" ca="1">IFERROR(INDEX(Source!$A$1:$A$250,SMALL(IF(--(Source!$B$1:$B$250=$O301)*--(Source!$E$1:$E$250=$M$3)*--(Source!$D$1:$D$250=Pyramid!$M301),ROW(Source!$B$1:$B$250),FALSE),E$3)),"")</f>
        <v/>
      </c>
      <c r="F301" t="str">
        <f t="array" aca="1" ref="F301" ca="1">IFERROR(INDEX(Source!$A$1:$A$250,SMALL(IF(--(Source!$B$1:$B$250=$O301)*--(Source!$E$1:$E$250=$M$3)*--(Source!$D$1:$D$250=Pyramid!$M301),ROW(Source!$B$1:$B$250),FALSE),F$3)),"")</f>
        <v/>
      </c>
      <c r="G301" t="str">
        <f t="array" aca="1" ref="G301" ca="1">IFERROR(INDEX(Source!$A$1:$A$250,SMALL(IF(--(Source!$B$1:$B$250=$O301)*--(Source!$E$1:$E$250=$M$3)*--(Source!$D$1:$D$250=Pyramid!$M301),ROW(Source!$B$1:$B$250),FALSE),G$3)),"")</f>
        <v/>
      </c>
      <c r="H301" t="str">
        <f t="array" aca="1" ref="H301" ca="1">IFERROR(INDEX(Source!$A$1:$A$250,SMALL(IF(--(Source!$B$1:$B$250=$O301)*--(Source!$E$1:$E$250=$M$3)*--(Source!$D$1:$D$250=Pyramid!$M301),ROW(Source!$B$1:$B$250),FALSE),H$3)),"")</f>
        <v/>
      </c>
      <c r="I301" t="str">
        <f t="array" aca="1" ref="I301" ca="1">IFERROR(INDEX(Source!$A$1:$A$250,SMALL(IF(--(Source!$B$1:$B$250=$O301)*--(Source!$E$1:$E$250=$M$3)*--(Source!$D$1:$D$250=Pyramid!$M301),ROW(Source!$B$1:$B$250),FALSE),I$3)),"")</f>
        <v/>
      </c>
      <c r="J301" t="str">
        <f t="array" aca="1" ref="J301" ca="1">IFERROR(INDEX(Source!$A$1:$A$250,SMALL(IF(--(Source!$B$1:$B$250=$O301)*--(Source!$E$1:$E$250=$M$3)*--(Source!$D$1:$D$250=Pyramid!$M301),ROW(Source!$B$1:$B$250),FALSE),J$3)),"")</f>
        <v/>
      </c>
      <c r="K301" t="str">
        <f t="array" aca="1" ref="K301" ca="1">IFERROR(INDEX(Source!$A$1:$A$250,SMALL(IF(--(Source!$B$1:$B$250=$O301)*--(Source!$E$1:$E$250=$M$3)*--(Source!$D$1:$D$250=Pyramid!$M301),ROW(Source!$B$1:$B$250),FALSE),K$3)),"")</f>
        <v/>
      </c>
      <c r="L301" t="str">
        <f t="array" aca="1" ref="L301" ca="1">IFERROR(INDEX(Source!$A$1:$A$250,SMALL(IF(--(Source!$B$1:$B$250=$O301)*--(Source!$E$1:$E$250=$M$3)*--(Source!$D$1:$D$250=Pyramid!$M301),ROW(Source!$B$1:$B$250),FALSE),L$3)),"")</f>
        <v/>
      </c>
      <c r="M301" t="str">
        <f t="shared" si="14"/>
        <v>30/8/2016</v>
      </c>
      <c r="N301">
        <f ca="1">COUNTIFS(Source!B:B,Pyramid!$O301,Source!$D:$D,Pyramid!$M301,Source!$E:$E,Pyramid!$M$3)</f>
        <v>0</v>
      </c>
      <c r="O301">
        <f ca="1">OFFSET(Sheet2!$N$3,INT(C301/5),)</f>
        <v>22088</v>
      </c>
      <c r="P301">
        <f ca="1">COUNTIFS(Source!B:B,Pyramid!$O301,Source!D:D,Pyramid!$Q301,Source!$E:$E,Pyramid!$Q$3)</f>
        <v>0</v>
      </c>
      <c r="Q301" t="str">
        <f t="shared" si="14"/>
        <v>30/8/2016</v>
      </c>
      <c r="R301" t="str">
        <f t="array" aca="1" ref="R301" ca="1">IFERROR(INDEX(Source!$A$1:$A$250,SMALL(IF(--(Source!$B$1:$B$250=$O301)*--(Source!$E$1:$E$250=$Q$3)*--(Source!$D$1:$D$250=Pyramid!$Q301),ROW(Source!$B$1:$B$250),FALSE),R$3)),"")</f>
        <v/>
      </c>
      <c r="S301" t="str">
        <f t="array" aca="1" ref="S301" ca="1">IFERROR(INDEX(Source!$A$1:$A$250,SMALL(IF(--(Source!$B$1:$B$250=$O301)*--(Source!$E$1:$E$250=$Q$3)*--(Source!$D$1:$D$250=Pyramid!$Q301),ROW(Source!$B$1:$B$250),FALSE),S$3)),"")</f>
        <v/>
      </c>
      <c r="T301" t="str">
        <f t="array" aca="1" ref="T301" ca="1">IFERROR(INDEX(Source!$A$1:$A$250,SMALL(IF(--(Source!$B$1:$B$250=$O301)*--(Source!$E$1:$E$250=$Q$3)*--(Source!$D$1:$D$250=Pyramid!$Q301),ROW(Source!$B$1:$B$250),FALSE),T$3)),"")</f>
        <v/>
      </c>
      <c r="U301" t="str">
        <f t="array" aca="1" ref="U301" ca="1">IFERROR(INDEX(Source!$A$1:$A$250,SMALL(IF(--(Source!$B$1:$B$250=$O301)*--(Source!$E$1:$E$250=$Q$3)*--(Source!$D$1:$D$250=Pyramid!$Q301),ROW(Source!$B$1:$B$250),FALSE),U$3)),"")</f>
        <v/>
      </c>
      <c r="V301" t="str">
        <f t="array" aca="1" ref="V301" ca="1">IFERROR(INDEX(Source!$A$1:$A$250,SMALL(IF(--(Source!$B$1:$B$250=$O301)*--(Source!$E$1:$E$250=$Q$3)*--(Source!$D$1:$D$250=Pyramid!$Q301),ROW(Source!$B$1:$B$250),FALSE),V$3)),"")</f>
        <v/>
      </c>
      <c r="W301" t="str">
        <f t="array" aca="1" ref="W301" ca="1">IFERROR(INDEX(Source!$A$1:$A$250,SMALL(IF(--(Source!$B$1:$B$250=$O301)*--(Source!$E$1:$E$250=$Q$3)*--(Source!$D$1:$D$250=Pyramid!$Q301),ROW(Source!$B$1:$B$250),FALSE),W$3)),"")</f>
        <v/>
      </c>
      <c r="X301" t="str">
        <f t="array" aca="1" ref="X301" ca="1">IFERROR(INDEX(Source!$A$1:$A$250,SMALL(IF(--(Source!$B$1:$B$250=$O301)*--(Source!$E$1:$E$250=$Q$3)*--(Source!$D$1:$D$250=Pyramid!$Q301),ROW(Source!$B$1:$B$250),FALSE),X$3)),"")</f>
        <v/>
      </c>
      <c r="Y301" s="5">
        <f t="shared" ca="1" si="15"/>
        <v>0</v>
      </c>
    </row>
    <row r="302" spans="3:25">
      <c r="C302">
        <v>298</v>
      </c>
      <c r="D302" s="5">
        <f t="shared" ca="1" si="13"/>
        <v>0</v>
      </c>
      <c r="E302" t="str">
        <f t="array" aca="1" ref="E302" ca="1">IFERROR(INDEX(Source!$A$1:$A$250,SMALL(IF(--(Source!$B$1:$B$250=$O302)*--(Source!$E$1:$E$250=$M$3)*--(Source!$D$1:$D$250=Pyramid!$M302),ROW(Source!$B$1:$B$250),FALSE),E$3)),"")</f>
        <v/>
      </c>
      <c r="F302" t="str">
        <f t="array" aca="1" ref="F302" ca="1">IFERROR(INDEX(Source!$A$1:$A$250,SMALL(IF(--(Source!$B$1:$B$250=$O302)*--(Source!$E$1:$E$250=$M$3)*--(Source!$D$1:$D$250=Pyramid!$M302),ROW(Source!$B$1:$B$250),FALSE),F$3)),"")</f>
        <v/>
      </c>
      <c r="G302" t="str">
        <f t="array" aca="1" ref="G302" ca="1">IFERROR(INDEX(Source!$A$1:$A$250,SMALL(IF(--(Source!$B$1:$B$250=$O302)*--(Source!$E$1:$E$250=$M$3)*--(Source!$D$1:$D$250=Pyramid!$M302),ROW(Source!$B$1:$B$250),FALSE),G$3)),"")</f>
        <v/>
      </c>
      <c r="H302" t="str">
        <f t="array" aca="1" ref="H302" ca="1">IFERROR(INDEX(Source!$A$1:$A$250,SMALL(IF(--(Source!$B$1:$B$250=$O302)*--(Source!$E$1:$E$250=$M$3)*--(Source!$D$1:$D$250=Pyramid!$M302),ROW(Source!$B$1:$B$250),FALSE),H$3)),"")</f>
        <v/>
      </c>
      <c r="I302" t="str">
        <f t="array" aca="1" ref="I302" ca="1">IFERROR(INDEX(Source!$A$1:$A$250,SMALL(IF(--(Source!$B$1:$B$250=$O302)*--(Source!$E$1:$E$250=$M$3)*--(Source!$D$1:$D$250=Pyramid!$M302),ROW(Source!$B$1:$B$250),FALSE),I$3)),"")</f>
        <v/>
      </c>
      <c r="J302" t="str">
        <f t="array" aca="1" ref="J302" ca="1">IFERROR(INDEX(Source!$A$1:$A$250,SMALL(IF(--(Source!$B$1:$B$250=$O302)*--(Source!$E$1:$E$250=$M$3)*--(Source!$D$1:$D$250=Pyramid!$M302),ROW(Source!$B$1:$B$250),FALSE),J$3)),"")</f>
        <v/>
      </c>
      <c r="K302" t="str">
        <f t="array" aca="1" ref="K302" ca="1">IFERROR(INDEX(Source!$A$1:$A$250,SMALL(IF(--(Source!$B$1:$B$250=$O302)*--(Source!$E$1:$E$250=$M$3)*--(Source!$D$1:$D$250=Pyramid!$M302),ROW(Source!$B$1:$B$250),FALSE),K$3)),"")</f>
        <v/>
      </c>
      <c r="L302" t="str">
        <f t="array" aca="1" ref="L302" ca="1">IFERROR(INDEX(Source!$A$1:$A$250,SMALL(IF(--(Source!$B$1:$B$250=$O302)*--(Source!$E$1:$E$250=$M$3)*--(Source!$D$1:$D$250=Pyramid!$M302),ROW(Source!$B$1:$B$250),FALSE),L$3)),"")</f>
        <v/>
      </c>
      <c r="M302" t="str">
        <f t="shared" si="14"/>
        <v>29/9/2016</v>
      </c>
      <c r="N302">
        <f ca="1">COUNTIFS(Source!B:B,Pyramid!$O302,Source!$D:$D,Pyramid!$M302,Source!$E:$E,Pyramid!$M$3)</f>
        <v>0</v>
      </c>
      <c r="O302">
        <f ca="1">OFFSET(Sheet2!$N$3,INT(C302/5),)</f>
        <v>22088</v>
      </c>
      <c r="P302">
        <f ca="1">COUNTIFS(Source!B:B,Pyramid!$O302,Source!D:D,Pyramid!$Q302,Source!$E:$E,Pyramid!$Q$3)</f>
        <v>0</v>
      </c>
      <c r="Q302" t="str">
        <f t="shared" si="14"/>
        <v>29/9/2016</v>
      </c>
      <c r="R302" t="str">
        <f t="array" aca="1" ref="R302" ca="1">IFERROR(INDEX(Source!$A$1:$A$250,SMALL(IF(--(Source!$B$1:$B$250=$O302)*--(Source!$E$1:$E$250=$Q$3)*--(Source!$D$1:$D$250=Pyramid!$Q302),ROW(Source!$B$1:$B$250),FALSE),R$3)),"")</f>
        <v/>
      </c>
      <c r="S302" t="str">
        <f t="array" aca="1" ref="S302" ca="1">IFERROR(INDEX(Source!$A$1:$A$250,SMALL(IF(--(Source!$B$1:$B$250=$O302)*--(Source!$E$1:$E$250=$Q$3)*--(Source!$D$1:$D$250=Pyramid!$Q302),ROW(Source!$B$1:$B$250),FALSE),S$3)),"")</f>
        <v/>
      </c>
      <c r="T302" t="str">
        <f t="array" aca="1" ref="T302" ca="1">IFERROR(INDEX(Source!$A$1:$A$250,SMALL(IF(--(Source!$B$1:$B$250=$O302)*--(Source!$E$1:$E$250=$Q$3)*--(Source!$D$1:$D$250=Pyramid!$Q302),ROW(Source!$B$1:$B$250),FALSE),T$3)),"")</f>
        <v/>
      </c>
      <c r="U302" t="str">
        <f t="array" aca="1" ref="U302" ca="1">IFERROR(INDEX(Source!$A$1:$A$250,SMALL(IF(--(Source!$B$1:$B$250=$O302)*--(Source!$E$1:$E$250=$Q$3)*--(Source!$D$1:$D$250=Pyramid!$Q302),ROW(Source!$B$1:$B$250),FALSE),U$3)),"")</f>
        <v/>
      </c>
      <c r="V302" t="str">
        <f t="array" aca="1" ref="V302" ca="1">IFERROR(INDEX(Source!$A$1:$A$250,SMALL(IF(--(Source!$B$1:$B$250=$O302)*--(Source!$E$1:$E$250=$Q$3)*--(Source!$D$1:$D$250=Pyramid!$Q302),ROW(Source!$B$1:$B$250),FALSE),V$3)),"")</f>
        <v/>
      </c>
      <c r="W302" t="str">
        <f t="array" aca="1" ref="W302" ca="1">IFERROR(INDEX(Source!$A$1:$A$250,SMALL(IF(--(Source!$B$1:$B$250=$O302)*--(Source!$E$1:$E$250=$Q$3)*--(Source!$D$1:$D$250=Pyramid!$Q302),ROW(Source!$B$1:$B$250),FALSE),W$3)),"")</f>
        <v/>
      </c>
      <c r="X302" t="str">
        <f t="array" aca="1" ref="X302" ca="1">IFERROR(INDEX(Source!$A$1:$A$250,SMALL(IF(--(Source!$B$1:$B$250=$O302)*--(Source!$E$1:$E$250=$Q$3)*--(Source!$D$1:$D$250=Pyramid!$Q302),ROW(Source!$B$1:$B$250),FALSE),X$3)),"")</f>
        <v/>
      </c>
      <c r="Y302" s="5">
        <f t="shared" ca="1" si="15"/>
        <v>0</v>
      </c>
    </row>
    <row r="303" spans="3:25">
      <c r="C303">
        <v>299</v>
      </c>
      <c r="D303" s="5">
        <f t="shared" ca="1" si="13"/>
        <v>0</v>
      </c>
      <c r="E303" t="str">
        <f t="array" aca="1" ref="E303" ca="1">IFERROR(INDEX(Source!$A$1:$A$250,SMALL(IF(--(Source!$B$1:$B$250=$O303)*--(Source!$E$1:$E$250=$M$3)*--(Source!$D$1:$D$250=Pyramid!$M303),ROW(Source!$B$1:$B$250),FALSE),E$3)),"")</f>
        <v/>
      </c>
      <c r="F303" t="str">
        <f t="array" aca="1" ref="F303" ca="1">IFERROR(INDEX(Source!$A$1:$A$250,SMALL(IF(--(Source!$B$1:$B$250=$O303)*--(Source!$E$1:$E$250=$M$3)*--(Source!$D$1:$D$250=Pyramid!$M303),ROW(Source!$B$1:$B$250),FALSE),F$3)),"")</f>
        <v/>
      </c>
      <c r="G303" t="str">
        <f t="array" aca="1" ref="G303" ca="1">IFERROR(INDEX(Source!$A$1:$A$250,SMALL(IF(--(Source!$B$1:$B$250=$O303)*--(Source!$E$1:$E$250=$M$3)*--(Source!$D$1:$D$250=Pyramid!$M303),ROW(Source!$B$1:$B$250),FALSE),G$3)),"")</f>
        <v/>
      </c>
      <c r="H303" t="str">
        <f t="array" aca="1" ref="H303" ca="1">IFERROR(INDEX(Source!$A$1:$A$250,SMALL(IF(--(Source!$B$1:$B$250=$O303)*--(Source!$E$1:$E$250=$M$3)*--(Source!$D$1:$D$250=Pyramid!$M303),ROW(Source!$B$1:$B$250),FALSE),H$3)),"")</f>
        <v/>
      </c>
      <c r="I303" t="str">
        <f t="array" aca="1" ref="I303" ca="1">IFERROR(INDEX(Source!$A$1:$A$250,SMALL(IF(--(Source!$B$1:$B$250=$O303)*--(Source!$E$1:$E$250=$M$3)*--(Source!$D$1:$D$250=Pyramid!$M303),ROW(Source!$B$1:$B$250),FALSE),I$3)),"")</f>
        <v/>
      </c>
      <c r="J303" t="str">
        <f t="array" aca="1" ref="J303" ca="1">IFERROR(INDEX(Source!$A$1:$A$250,SMALL(IF(--(Source!$B$1:$B$250=$O303)*--(Source!$E$1:$E$250=$M$3)*--(Source!$D$1:$D$250=Pyramid!$M303),ROW(Source!$B$1:$B$250),FALSE),J$3)),"")</f>
        <v/>
      </c>
      <c r="K303" t="str">
        <f t="array" aca="1" ref="K303" ca="1">IFERROR(INDEX(Source!$A$1:$A$250,SMALL(IF(--(Source!$B$1:$B$250=$O303)*--(Source!$E$1:$E$250=$M$3)*--(Source!$D$1:$D$250=Pyramid!$M303),ROW(Source!$B$1:$B$250),FALSE),K$3)),"")</f>
        <v/>
      </c>
      <c r="L303" t="str">
        <f t="array" aca="1" ref="L303" ca="1">IFERROR(INDEX(Source!$A$1:$A$250,SMALL(IF(--(Source!$B$1:$B$250=$O303)*--(Source!$E$1:$E$250=$M$3)*--(Source!$D$1:$D$250=Pyramid!$M303),ROW(Source!$B$1:$B$250),FALSE),L$3)),"")</f>
        <v/>
      </c>
      <c r="M303" t="str">
        <f t="shared" si="14"/>
        <v>28/10/2016</v>
      </c>
      <c r="N303">
        <f ca="1">COUNTIFS(Source!B:B,Pyramid!$O303,Source!$D:$D,Pyramid!$M303,Source!$E:$E,Pyramid!$M$3)</f>
        <v>0</v>
      </c>
      <c r="O303">
        <f ca="1">OFFSET(Sheet2!$N$3,INT(C303/5),)</f>
        <v>22088</v>
      </c>
      <c r="P303">
        <f ca="1">COUNTIFS(Source!B:B,Pyramid!$O303,Source!D:D,Pyramid!$Q303,Source!$E:$E,Pyramid!$Q$3)</f>
        <v>0</v>
      </c>
      <c r="Q303" t="str">
        <f t="shared" si="14"/>
        <v>28/10/2016</v>
      </c>
      <c r="R303" t="str">
        <f t="array" aca="1" ref="R303" ca="1">IFERROR(INDEX(Source!$A$1:$A$250,SMALL(IF(--(Source!$B$1:$B$250=$O303)*--(Source!$E$1:$E$250=$Q$3)*--(Source!$D$1:$D$250=Pyramid!$Q303),ROW(Source!$B$1:$B$250),FALSE),R$3)),"")</f>
        <v/>
      </c>
      <c r="S303" t="str">
        <f t="array" aca="1" ref="S303" ca="1">IFERROR(INDEX(Source!$A$1:$A$250,SMALL(IF(--(Source!$B$1:$B$250=$O303)*--(Source!$E$1:$E$250=$Q$3)*--(Source!$D$1:$D$250=Pyramid!$Q303),ROW(Source!$B$1:$B$250),FALSE),S$3)),"")</f>
        <v/>
      </c>
      <c r="T303" t="str">
        <f t="array" aca="1" ref="T303" ca="1">IFERROR(INDEX(Source!$A$1:$A$250,SMALL(IF(--(Source!$B$1:$B$250=$O303)*--(Source!$E$1:$E$250=$Q$3)*--(Source!$D$1:$D$250=Pyramid!$Q303),ROW(Source!$B$1:$B$250),FALSE),T$3)),"")</f>
        <v/>
      </c>
      <c r="U303" t="str">
        <f t="array" aca="1" ref="U303" ca="1">IFERROR(INDEX(Source!$A$1:$A$250,SMALL(IF(--(Source!$B$1:$B$250=$O303)*--(Source!$E$1:$E$250=$Q$3)*--(Source!$D$1:$D$250=Pyramid!$Q303),ROW(Source!$B$1:$B$250),FALSE),U$3)),"")</f>
        <v/>
      </c>
      <c r="V303" t="str">
        <f t="array" aca="1" ref="V303" ca="1">IFERROR(INDEX(Source!$A$1:$A$250,SMALL(IF(--(Source!$B$1:$B$250=$O303)*--(Source!$E$1:$E$250=$Q$3)*--(Source!$D$1:$D$250=Pyramid!$Q303),ROW(Source!$B$1:$B$250),FALSE),V$3)),"")</f>
        <v/>
      </c>
      <c r="W303" t="str">
        <f t="array" aca="1" ref="W303" ca="1">IFERROR(INDEX(Source!$A$1:$A$250,SMALL(IF(--(Source!$B$1:$B$250=$O303)*--(Source!$E$1:$E$250=$Q$3)*--(Source!$D$1:$D$250=Pyramid!$Q303),ROW(Source!$B$1:$B$250),FALSE),W$3)),"")</f>
        <v/>
      </c>
      <c r="X303" t="str">
        <f t="array" aca="1" ref="X303" ca="1">IFERROR(INDEX(Source!$A$1:$A$250,SMALL(IF(--(Source!$B$1:$B$250=$O303)*--(Source!$E$1:$E$250=$Q$3)*--(Source!$D$1:$D$250=Pyramid!$Q303),ROW(Source!$B$1:$B$250),FALSE),X$3)),"")</f>
        <v/>
      </c>
      <c r="Y303" s="5">
        <f t="shared" ca="1" si="15"/>
        <v>0</v>
      </c>
    </row>
    <row r="304" spans="3:25">
      <c r="C304">
        <v>300</v>
      </c>
      <c r="D304" s="5">
        <f t="shared" ca="1" si="13"/>
        <v>0</v>
      </c>
      <c r="E304" t="str">
        <f t="array" aca="1" ref="E304" ca="1">IFERROR(INDEX(Source!$A$1:$A$250,SMALL(IF(--(Source!$B$1:$B$250=$O304)*--(Source!$E$1:$E$250=$M$3)*--(Source!$D$1:$D$250=Pyramid!$M304),ROW(Source!$B$1:$B$250),FALSE),E$3)),"")</f>
        <v/>
      </c>
      <c r="F304" t="str">
        <f t="array" aca="1" ref="F304" ca="1">IFERROR(INDEX(Source!$A$1:$A$250,SMALL(IF(--(Source!$B$1:$B$250=$O304)*--(Source!$E$1:$E$250=$M$3)*--(Source!$D$1:$D$250=Pyramid!$M304),ROW(Source!$B$1:$B$250),FALSE),F$3)),"")</f>
        <v/>
      </c>
      <c r="G304" t="str">
        <f t="array" aca="1" ref="G304" ca="1">IFERROR(INDEX(Source!$A$1:$A$250,SMALL(IF(--(Source!$B$1:$B$250=$O304)*--(Source!$E$1:$E$250=$M$3)*--(Source!$D$1:$D$250=Pyramid!$M304),ROW(Source!$B$1:$B$250),FALSE),G$3)),"")</f>
        <v/>
      </c>
      <c r="H304" t="str">
        <f t="array" aca="1" ref="H304" ca="1">IFERROR(INDEX(Source!$A$1:$A$250,SMALL(IF(--(Source!$B$1:$B$250=$O304)*--(Source!$E$1:$E$250=$M$3)*--(Source!$D$1:$D$250=Pyramid!$M304),ROW(Source!$B$1:$B$250),FALSE),H$3)),"")</f>
        <v/>
      </c>
      <c r="I304" t="str">
        <f t="array" aca="1" ref="I304" ca="1">IFERROR(INDEX(Source!$A$1:$A$250,SMALL(IF(--(Source!$B$1:$B$250=$O304)*--(Source!$E$1:$E$250=$M$3)*--(Source!$D$1:$D$250=Pyramid!$M304),ROW(Source!$B$1:$B$250),FALSE),I$3)),"")</f>
        <v/>
      </c>
      <c r="J304" t="str">
        <f t="array" aca="1" ref="J304" ca="1">IFERROR(INDEX(Source!$A$1:$A$250,SMALL(IF(--(Source!$B$1:$B$250=$O304)*--(Source!$E$1:$E$250=$M$3)*--(Source!$D$1:$D$250=Pyramid!$M304),ROW(Source!$B$1:$B$250),FALSE),J$3)),"")</f>
        <v/>
      </c>
      <c r="K304" t="str">
        <f t="array" aca="1" ref="K304" ca="1">IFERROR(INDEX(Source!$A$1:$A$250,SMALL(IF(--(Source!$B$1:$B$250=$O304)*--(Source!$E$1:$E$250=$M$3)*--(Source!$D$1:$D$250=Pyramid!$M304),ROW(Source!$B$1:$B$250),FALSE),K$3)),"")</f>
        <v/>
      </c>
      <c r="L304" t="str">
        <f t="array" aca="1" ref="L304" ca="1">IFERROR(INDEX(Source!$A$1:$A$250,SMALL(IF(--(Source!$B$1:$B$250=$O304)*--(Source!$E$1:$E$250=$M$3)*--(Source!$D$1:$D$250=Pyramid!$M304),ROW(Source!$B$1:$B$250),FALSE),L$3)),"")</f>
        <v>25146 HK Equity</v>
      </c>
      <c r="M304" t="str">
        <f t="shared" si="14"/>
        <v>29/6/2016</v>
      </c>
      <c r="N304">
        <f ca="1">COUNTIFS(Source!B:B,Pyramid!$O304,Source!$D:$D,Pyramid!$M304,Source!$E:$E,Pyramid!$M$3)</f>
        <v>1</v>
      </c>
      <c r="O304">
        <f ca="1">OFFSET(Sheet2!$N$3,INT(C304/5),)</f>
        <v>22100</v>
      </c>
      <c r="P304">
        <f ca="1">COUNTIFS(Source!B:B,Pyramid!$O304,Source!D:D,Pyramid!$Q304,Source!$E:$E,Pyramid!$Q$3)</f>
        <v>1</v>
      </c>
      <c r="Q304" t="str">
        <f t="shared" si="14"/>
        <v>29/6/2016</v>
      </c>
      <c r="R304" t="str">
        <f t="array" aca="1" ref="R304" ca="1">IFERROR(INDEX(Source!$A$1:$A$250,SMALL(IF(--(Source!$B$1:$B$250=$O304)*--(Source!$E$1:$E$250=$Q$3)*--(Source!$D$1:$D$250=Pyramid!$Q304),ROW(Source!$B$1:$B$250),FALSE),R$3)),"")</f>
        <v>21729 HK Equity</v>
      </c>
      <c r="S304" t="str">
        <f t="array" aca="1" ref="S304" ca="1">IFERROR(INDEX(Source!$A$1:$A$250,SMALL(IF(--(Source!$B$1:$B$250=$O304)*--(Source!$E$1:$E$250=$Q$3)*--(Source!$D$1:$D$250=Pyramid!$Q304),ROW(Source!$B$1:$B$250),FALSE),S$3)),"")</f>
        <v/>
      </c>
      <c r="T304" t="str">
        <f t="array" aca="1" ref="T304" ca="1">IFERROR(INDEX(Source!$A$1:$A$250,SMALL(IF(--(Source!$B$1:$B$250=$O304)*--(Source!$E$1:$E$250=$Q$3)*--(Source!$D$1:$D$250=Pyramid!$Q304),ROW(Source!$B$1:$B$250),FALSE),T$3)),"")</f>
        <v/>
      </c>
      <c r="U304" t="str">
        <f t="array" aca="1" ref="U304" ca="1">IFERROR(INDEX(Source!$A$1:$A$250,SMALL(IF(--(Source!$B$1:$B$250=$O304)*--(Source!$E$1:$E$250=$Q$3)*--(Source!$D$1:$D$250=Pyramid!$Q304),ROW(Source!$B$1:$B$250),FALSE),U$3)),"")</f>
        <v/>
      </c>
      <c r="V304" t="str">
        <f t="array" aca="1" ref="V304" ca="1">IFERROR(INDEX(Source!$A$1:$A$250,SMALL(IF(--(Source!$B$1:$B$250=$O304)*--(Source!$E$1:$E$250=$Q$3)*--(Source!$D$1:$D$250=Pyramid!$Q304),ROW(Source!$B$1:$B$250),FALSE),V$3)),"")</f>
        <v/>
      </c>
      <c r="W304" t="str">
        <f t="array" aca="1" ref="W304" ca="1">IFERROR(INDEX(Source!$A$1:$A$250,SMALL(IF(--(Source!$B$1:$B$250=$O304)*--(Source!$E$1:$E$250=$Q$3)*--(Source!$D$1:$D$250=Pyramid!$Q304),ROW(Source!$B$1:$B$250),FALSE),W$3)),"")</f>
        <v/>
      </c>
      <c r="X304" t="str">
        <f t="array" aca="1" ref="X304" ca="1">IFERROR(INDEX(Source!$A$1:$A$250,SMALL(IF(--(Source!$B$1:$B$250=$O304)*--(Source!$E$1:$E$250=$Q$3)*--(Source!$D$1:$D$250=Pyramid!$Q304),ROW(Source!$B$1:$B$250),FALSE),X$3)),"")</f>
        <v/>
      </c>
      <c r="Y304" s="5">
        <f t="shared" ca="1" si="15"/>
        <v>0</v>
      </c>
    </row>
    <row r="305" spans="3:25">
      <c r="C305">
        <v>301</v>
      </c>
      <c r="D305" s="5">
        <f t="shared" ca="1" si="13"/>
        <v>0</v>
      </c>
      <c r="E305" t="str">
        <f t="array" aca="1" ref="E305" ca="1">IFERROR(INDEX(Source!$A$1:$A$250,SMALL(IF(--(Source!$B$1:$B$250=$O305)*--(Source!$E$1:$E$250=$M$3)*--(Source!$D$1:$D$250=Pyramid!$M305),ROW(Source!$B$1:$B$250),FALSE),E$3)),"")</f>
        <v/>
      </c>
      <c r="F305" t="str">
        <f t="array" aca="1" ref="F305" ca="1">IFERROR(INDEX(Source!$A$1:$A$250,SMALL(IF(--(Source!$B$1:$B$250=$O305)*--(Source!$E$1:$E$250=$M$3)*--(Source!$D$1:$D$250=Pyramid!$M305),ROW(Source!$B$1:$B$250),FALSE),F$3)),"")</f>
        <v/>
      </c>
      <c r="G305" t="str">
        <f t="array" aca="1" ref="G305" ca="1">IFERROR(INDEX(Source!$A$1:$A$250,SMALL(IF(--(Source!$B$1:$B$250=$O305)*--(Source!$E$1:$E$250=$M$3)*--(Source!$D$1:$D$250=Pyramid!$M305),ROW(Source!$B$1:$B$250),FALSE),G$3)),"")</f>
        <v/>
      </c>
      <c r="H305" t="str">
        <f t="array" aca="1" ref="H305" ca="1">IFERROR(INDEX(Source!$A$1:$A$250,SMALL(IF(--(Source!$B$1:$B$250=$O305)*--(Source!$E$1:$E$250=$M$3)*--(Source!$D$1:$D$250=Pyramid!$M305),ROW(Source!$B$1:$B$250),FALSE),H$3)),"")</f>
        <v/>
      </c>
      <c r="I305" t="str">
        <f t="array" aca="1" ref="I305" ca="1">IFERROR(INDEX(Source!$A$1:$A$250,SMALL(IF(--(Source!$B$1:$B$250=$O305)*--(Source!$E$1:$E$250=$M$3)*--(Source!$D$1:$D$250=Pyramid!$M305),ROW(Source!$B$1:$B$250),FALSE),I$3)),"")</f>
        <v/>
      </c>
      <c r="J305" t="str">
        <f t="array" aca="1" ref="J305" ca="1">IFERROR(INDEX(Source!$A$1:$A$250,SMALL(IF(--(Source!$B$1:$B$250=$O305)*--(Source!$E$1:$E$250=$M$3)*--(Source!$D$1:$D$250=Pyramid!$M305),ROW(Source!$B$1:$B$250),FALSE),J$3)),"")</f>
        <v/>
      </c>
      <c r="K305" t="str">
        <f t="array" aca="1" ref="K305" ca="1">IFERROR(INDEX(Source!$A$1:$A$250,SMALL(IF(--(Source!$B$1:$B$250=$O305)*--(Source!$E$1:$E$250=$M$3)*--(Source!$D$1:$D$250=Pyramid!$M305),ROW(Source!$B$1:$B$250),FALSE),K$3)),"")</f>
        <v/>
      </c>
      <c r="L305" t="str">
        <f t="array" aca="1" ref="L305" ca="1">IFERROR(INDEX(Source!$A$1:$A$250,SMALL(IF(--(Source!$B$1:$B$250=$O305)*--(Source!$E$1:$E$250=$M$3)*--(Source!$D$1:$D$250=Pyramid!$M305),ROW(Source!$B$1:$B$250),FALSE),L$3)),"")</f>
        <v/>
      </c>
      <c r="M305" t="str">
        <f t="shared" si="14"/>
        <v>28/7/2016</v>
      </c>
      <c r="N305">
        <f ca="1">COUNTIFS(Source!B:B,Pyramid!$O305,Source!$D:$D,Pyramid!$M305,Source!$E:$E,Pyramid!$M$3)</f>
        <v>0</v>
      </c>
      <c r="O305">
        <f ca="1">OFFSET(Sheet2!$N$3,INT(C305/5),)</f>
        <v>22100</v>
      </c>
      <c r="P305">
        <f ca="1">COUNTIFS(Source!B:B,Pyramid!$O305,Source!D:D,Pyramid!$Q305,Source!$E:$E,Pyramid!$Q$3)</f>
        <v>0</v>
      </c>
      <c r="Q305" t="str">
        <f t="shared" si="14"/>
        <v>28/7/2016</v>
      </c>
      <c r="R305" t="str">
        <f t="array" aca="1" ref="R305" ca="1">IFERROR(INDEX(Source!$A$1:$A$250,SMALL(IF(--(Source!$B$1:$B$250=$O305)*--(Source!$E$1:$E$250=$Q$3)*--(Source!$D$1:$D$250=Pyramid!$Q305),ROW(Source!$B$1:$B$250),FALSE),R$3)),"")</f>
        <v/>
      </c>
      <c r="S305" t="str">
        <f t="array" aca="1" ref="S305" ca="1">IFERROR(INDEX(Source!$A$1:$A$250,SMALL(IF(--(Source!$B$1:$B$250=$O305)*--(Source!$E$1:$E$250=$Q$3)*--(Source!$D$1:$D$250=Pyramid!$Q305),ROW(Source!$B$1:$B$250),FALSE),S$3)),"")</f>
        <v/>
      </c>
      <c r="T305" t="str">
        <f t="array" aca="1" ref="T305" ca="1">IFERROR(INDEX(Source!$A$1:$A$250,SMALL(IF(--(Source!$B$1:$B$250=$O305)*--(Source!$E$1:$E$250=$Q$3)*--(Source!$D$1:$D$250=Pyramid!$Q305),ROW(Source!$B$1:$B$250),FALSE),T$3)),"")</f>
        <v/>
      </c>
      <c r="U305" t="str">
        <f t="array" aca="1" ref="U305" ca="1">IFERROR(INDEX(Source!$A$1:$A$250,SMALL(IF(--(Source!$B$1:$B$250=$O305)*--(Source!$E$1:$E$250=$Q$3)*--(Source!$D$1:$D$250=Pyramid!$Q305),ROW(Source!$B$1:$B$250),FALSE),U$3)),"")</f>
        <v/>
      </c>
      <c r="V305" t="str">
        <f t="array" aca="1" ref="V305" ca="1">IFERROR(INDEX(Source!$A$1:$A$250,SMALL(IF(--(Source!$B$1:$B$250=$O305)*--(Source!$E$1:$E$250=$Q$3)*--(Source!$D$1:$D$250=Pyramid!$Q305),ROW(Source!$B$1:$B$250),FALSE),V$3)),"")</f>
        <v/>
      </c>
      <c r="W305" t="str">
        <f t="array" aca="1" ref="W305" ca="1">IFERROR(INDEX(Source!$A$1:$A$250,SMALL(IF(--(Source!$B$1:$B$250=$O305)*--(Source!$E$1:$E$250=$Q$3)*--(Source!$D$1:$D$250=Pyramid!$Q305),ROW(Source!$B$1:$B$250),FALSE),W$3)),"")</f>
        <v/>
      </c>
      <c r="X305" t="str">
        <f t="array" aca="1" ref="X305" ca="1">IFERROR(INDEX(Source!$A$1:$A$250,SMALL(IF(--(Source!$B$1:$B$250=$O305)*--(Source!$E$1:$E$250=$Q$3)*--(Source!$D$1:$D$250=Pyramid!$Q305),ROW(Source!$B$1:$B$250),FALSE),X$3)),"")</f>
        <v/>
      </c>
      <c r="Y305" s="5">
        <f t="shared" ca="1" si="15"/>
        <v>0</v>
      </c>
    </row>
    <row r="306" spans="3:25">
      <c r="C306">
        <v>302</v>
      </c>
      <c r="D306" s="5">
        <f t="shared" ca="1" si="13"/>
        <v>0</v>
      </c>
      <c r="E306" t="str">
        <f t="array" aca="1" ref="E306" ca="1">IFERROR(INDEX(Source!$A$1:$A$250,SMALL(IF(--(Source!$B$1:$B$250=$O306)*--(Source!$E$1:$E$250=$M$3)*--(Source!$D$1:$D$250=Pyramid!$M306),ROW(Source!$B$1:$B$250),FALSE),E$3)),"")</f>
        <v/>
      </c>
      <c r="F306" t="str">
        <f t="array" aca="1" ref="F306" ca="1">IFERROR(INDEX(Source!$A$1:$A$250,SMALL(IF(--(Source!$B$1:$B$250=$O306)*--(Source!$E$1:$E$250=$M$3)*--(Source!$D$1:$D$250=Pyramid!$M306),ROW(Source!$B$1:$B$250),FALSE),F$3)),"")</f>
        <v/>
      </c>
      <c r="G306" t="str">
        <f t="array" aca="1" ref="G306" ca="1">IFERROR(INDEX(Source!$A$1:$A$250,SMALL(IF(--(Source!$B$1:$B$250=$O306)*--(Source!$E$1:$E$250=$M$3)*--(Source!$D$1:$D$250=Pyramid!$M306),ROW(Source!$B$1:$B$250),FALSE),G$3)),"")</f>
        <v/>
      </c>
      <c r="H306" t="str">
        <f t="array" aca="1" ref="H306" ca="1">IFERROR(INDEX(Source!$A$1:$A$250,SMALL(IF(--(Source!$B$1:$B$250=$O306)*--(Source!$E$1:$E$250=$M$3)*--(Source!$D$1:$D$250=Pyramid!$M306),ROW(Source!$B$1:$B$250),FALSE),H$3)),"")</f>
        <v/>
      </c>
      <c r="I306" t="str">
        <f t="array" aca="1" ref="I306" ca="1">IFERROR(INDEX(Source!$A$1:$A$250,SMALL(IF(--(Source!$B$1:$B$250=$O306)*--(Source!$E$1:$E$250=$M$3)*--(Source!$D$1:$D$250=Pyramid!$M306),ROW(Source!$B$1:$B$250),FALSE),I$3)),"")</f>
        <v/>
      </c>
      <c r="J306" t="str">
        <f t="array" aca="1" ref="J306" ca="1">IFERROR(INDEX(Source!$A$1:$A$250,SMALL(IF(--(Source!$B$1:$B$250=$O306)*--(Source!$E$1:$E$250=$M$3)*--(Source!$D$1:$D$250=Pyramid!$M306),ROW(Source!$B$1:$B$250),FALSE),J$3)),"")</f>
        <v/>
      </c>
      <c r="K306" t="str">
        <f t="array" aca="1" ref="K306" ca="1">IFERROR(INDEX(Source!$A$1:$A$250,SMALL(IF(--(Source!$B$1:$B$250=$O306)*--(Source!$E$1:$E$250=$M$3)*--(Source!$D$1:$D$250=Pyramid!$M306),ROW(Source!$B$1:$B$250),FALSE),K$3)),"")</f>
        <v/>
      </c>
      <c r="L306" t="str">
        <f t="array" aca="1" ref="L306" ca="1">IFERROR(INDEX(Source!$A$1:$A$250,SMALL(IF(--(Source!$B$1:$B$250=$O306)*--(Source!$E$1:$E$250=$M$3)*--(Source!$D$1:$D$250=Pyramid!$M306),ROW(Source!$B$1:$B$250),FALSE),L$3)),"")</f>
        <v/>
      </c>
      <c r="M306" t="str">
        <f t="shared" si="14"/>
        <v>30/8/2016</v>
      </c>
      <c r="N306">
        <f ca="1">COUNTIFS(Source!B:B,Pyramid!$O306,Source!$D:$D,Pyramid!$M306,Source!$E:$E,Pyramid!$M$3)</f>
        <v>0</v>
      </c>
      <c r="O306">
        <f ca="1">OFFSET(Sheet2!$N$3,INT(C306/5),)</f>
        <v>22100</v>
      </c>
      <c r="P306">
        <f ca="1">COUNTIFS(Source!B:B,Pyramid!$O306,Source!D:D,Pyramid!$Q306,Source!$E:$E,Pyramid!$Q$3)</f>
        <v>0</v>
      </c>
      <c r="Q306" t="str">
        <f t="shared" si="14"/>
        <v>30/8/2016</v>
      </c>
      <c r="R306" t="str">
        <f t="array" aca="1" ref="R306" ca="1">IFERROR(INDEX(Source!$A$1:$A$250,SMALL(IF(--(Source!$B$1:$B$250=$O306)*--(Source!$E$1:$E$250=$Q$3)*--(Source!$D$1:$D$250=Pyramid!$Q306),ROW(Source!$B$1:$B$250),FALSE),R$3)),"")</f>
        <v/>
      </c>
      <c r="S306" t="str">
        <f t="array" aca="1" ref="S306" ca="1">IFERROR(INDEX(Source!$A$1:$A$250,SMALL(IF(--(Source!$B$1:$B$250=$O306)*--(Source!$E$1:$E$250=$Q$3)*--(Source!$D$1:$D$250=Pyramid!$Q306),ROW(Source!$B$1:$B$250),FALSE),S$3)),"")</f>
        <v/>
      </c>
      <c r="T306" t="str">
        <f t="array" aca="1" ref="T306" ca="1">IFERROR(INDEX(Source!$A$1:$A$250,SMALL(IF(--(Source!$B$1:$B$250=$O306)*--(Source!$E$1:$E$250=$Q$3)*--(Source!$D$1:$D$250=Pyramid!$Q306),ROW(Source!$B$1:$B$250),FALSE),T$3)),"")</f>
        <v/>
      </c>
      <c r="U306" t="str">
        <f t="array" aca="1" ref="U306" ca="1">IFERROR(INDEX(Source!$A$1:$A$250,SMALL(IF(--(Source!$B$1:$B$250=$O306)*--(Source!$E$1:$E$250=$Q$3)*--(Source!$D$1:$D$250=Pyramid!$Q306),ROW(Source!$B$1:$B$250),FALSE),U$3)),"")</f>
        <v/>
      </c>
      <c r="V306" t="str">
        <f t="array" aca="1" ref="V306" ca="1">IFERROR(INDEX(Source!$A$1:$A$250,SMALL(IF(--(Source!$B$1:$B$250=$O306)*--(Source!$E$1:$E$250=$Q$3)*--(Source!$D$1:$D$250=Pyramid!$Q306),ROW(Source!$B$1:$B$250),FALSE),V$3)),"")</f>
        <v/>
      </c>
      <c r="W306" t="str">
        <f t="array" aca="1" ref="W306" ca="1">IFERROR(INDEX(Source!$A$1:$A$250,SMALL(IF(--(Source!$B$1:$B$250=$O306)*--(Source!$E$1:$E$250=$Q$3)*--(Source!$D$1:$D$250=Pyramid!$Q306),ROW(Source!$B$1:$B$250),FALSE),W$3)),"")</f>
        <v/>
      </c>
      <c r="X306" t="str">
        <f t="array" aca="1" ref="X306" ca="1">IFERROR(INDEX(Source!$A$1:$A$250,SMALL(IF(--(Source!$B$1:$B$250=$O306)*--(Source!$E$1:$E$250=$Q$3)*--(Source!$D$1:$D$250=Pyramid!$Q306),ROW(Source!$B$1:$B$250),FALSE),X$3)),"")</f>
        <v/>
      </c>
      <c r="Y306" s="5">
        <f t="shared" ca="1" si="15"/>
        <v>0</v>
      </c>
    </row>
    <row r="307" spans="3:25">
      <c r="C307">
        <v>303</v>
      </c>
      <c r="D307" s="5">
        <f t="shared" ca="1" si="13"/>
        <v>0</v>
      </c>
      <c r="E307" t="str">
        <f t="array" aca="1" ref="E307" ca="1">IFERROR(INDEX(Source!$A$1:$A$250,SMALL(IF(--(Source!$B$1:$B$250=$O307)*--(Source!$E$1:$E$250=$M$3)*--(Source!$D$1:$D$250=Pyramid!$M307),ROW(Source!$B$1:$B$250),FALSE),E$3)),"")</f>
        <v/>
      </c>
      <c r="F307" t="str">
        <f t="array" aca="1" ref="F307" ca="1">IFERROR(INDEX(Source!$A$1:$A$250,SMALL(IF(--(Source!$B$1:$B$250=$O307)*--(Source!$E$1:$E$250=$M$3)*--(Source!$D$1:$D$250=Pyramid!$M307),ROW(Source!$B$1:$B$250),FALSE),F$3)),"")</f>
        <v/>
      </c>
      <c r="G307" t="str">
        <f t="array" aca="1" ref="G307" ca="1">IFERROR(INDEX(Source!$A$1:$A$250,SMALL(IF(--(Source!$B$1:$B$250=$O307)*--(Source!$E$1:$E$250=$M$3)*--(Source!$D$1:$D$250=Pyramid!$M307),ROW(Source!$B$1:$B$250),FALSE),G$3)),"")</f>
        <v/>
      </c>
      <c r="H307" t="str">
        <f t="array" aca="1" ref="H307" ca="1">IFERROR(INDEX(Source!$A$1:$A$250,SMALL(IF(--(Source!$B$1:$B$250=$O307)*--(Source!$E$1:$E$250=$M$3)*--(Source!$D$1:$D$250=Pyramid!$M307),ROW(Source!$B$1:$B$250),FALSE),H$3)),"")</f>
        <v/>
      </c>
      <c r="I307" t="str">
        <f t="array" aca="1" ref="I307" ca="1">IFERROR(INDEX(Source!$A$1:$A$250,SMALL(IF(--(Source!$B$1:$B$250=$O307)*--(Source!$E$1:$E$250=$M$3)*--(Source!$D$1:$D$250=Pyramid!$M307),ROW(Source!$B$1:$B$250),FALSE),I$3)),"")</f>
        <v/>
      </c>
      <c r="J307" t="str">
        <f t="array" aca="1" ref="J307" ca="1">IFERROR(INDEX(Source!$A$1:$A$250,SMALL(IF(--(Source!$B$1:$B$250=$O307)*--(Source!$E$1:$E$250=$M$3)*--(Source!$D$1:$D$250=Pyramid!$M307),ROW(Source!$B$1:$B$250),FALSE),J$3)),"")</f>
        <v/>
      </c>
      <c r="K307" t="str">
        <f t="array" aca="1" ref="K307" ca="1">IFERROR(INDEX(Source!$A$1:$A$250,SMALL(IF(--(Source!$B$1:$B$250=$O307)*--(Source!$E$1:$E$250=$M$3)*--(Source!$D$1:$D$250=Pyramid!$M307),ROW(Source!$B$1:$B$250),FALSE),K$3)),"")</f>
        <v/>
      </c>
      <c r="L307" t="str">
        <f t="array" aca="1" ref="L307" ca="1">IFERROR(INDEX(Source!$A$1:$A$250,SMALL(IF(--(Source!$B$1:$B$250=$O307)*--(Source!$E$1:$E$250=$M$3)*--(Source!$D$1:$D$250=Pyramid!$M307),ROW(Source!$B$1:$B$250),FALSE),L$3)),"")</f>
        <v/>
      </c>
      <c r="M307" t="str">
        <f t="shared" si="14"/>
        <v>29/9/2016</v>
      </c>
      <c r="N307">
        <f ca="1">COUNTIFS(Source!B:B,Pyramid!$O307,Source!$D:$D,Pyramid!$M307,Source!$E:$E,Pyramid!$M$3)</f>
        <v>0</v>
      </c>
      <c r="O307">
        <f ca="1">OFFSET(Sheet2!$N$3,INT(C307/5),)</f>
        <v>22100</v>
      </c>
      <c r="P307">
        <f ca="1">COUNTIFS(Source!B:B,Pyramid!$O307,Source!D:D,Pyramid!$Q307,Source!$E:$E,Pyramid!$Q$3)</f>
        <v>0</v>
      </c>
      <c r="Q307" t="str">
        <f t="shared" si="14"/>
        <v>29/9/2016</v>
      </c>
      <c r="R307" t="str">
        <f t="array" aca="1" ref="R307" ca="1">IFERROR(INDEX(Source!$A$1:$A$250,SMALL(IF(--(Source!$B$1:$B$250=$O307)*--(Source!$E$1:$E$250=$Q$3)*--(Source!$D$1:$D$250=Pyramid!$Q307),ROW(Source!$B$1:$B$250),FALSE),R$3)),"")</f>
        <v/>
      </c>
      <c r="S307" t="str">
        <f t="array" aca="1" ref="S307" ca="1">IFERROR(INDEX(Source!$A$1:$A$250,SMALL(IF(--(Source!$B$1:$B$250=$O307)*--(Source!$E$1:$E$250=$Q$3)*--(Source!$D$1:$D$250=Pyramid!$Q307),ROW(Source!$B$1:$B$250),FALSE),S$3)),"")</f>
        <v/>
      </c>
      <c r="T307" t="str">
        <f t="array" aca="1" ref="T307" ca="1">IFERROR(INDEX(Source!$A$1:$A$250,SMALL(IF(--(Source!$B$1:$B$250=$O307)*--(Source!$E$1:$E$250=$Q$3)*--(Source!$D$1:$D$250=Pyramid!$Q307),ROW(Source!$B$1:$B$250),FALSE),T$3)),"")</f>
        <v/>
      </c>
      <c r="U307" t="str">
        <f t="array" aca="1" ref="U307" ca="1">IFERROR(INDEX(Source!$A$1:$A$250,SMALL(IF(--(Source!$B$1:$B$250=$O307)*--(Source!$E$1:$E$250=$Q$3)*--(Source!$D$1:$D$250=Pyramid!$Q307),ROW(Source!$B$1:$B$250),FALSE),U$3)),"")</f>
        <v/>
      </c>
      <c r="V307" t="str">
        <f t="array" aca="1" ref="V307" ca="1">IFERROR(INDEX(Source!$A$1:$A$250,SMALL(IF(--(Source!$B$1:$B$250=$O307)*--(Source!$E$1:$E$250=$Q$3)*--(Source!$D$1:$D$250=Pyramid!$Q307),ROW(Source!$B$1:$B$250),FALSE),V$3)),"")</f>
        <v/>
      </c>
      <c r="W307" t="str">
        <f t="array" aca="1" ref="W307" ca="1">IFERROR(INDEX(Source!$A$1:$A$250,SMALL(IF(--(Source!$B$1:$B$250=$O307)*--(Source!$E$1:$E$250=$Q$3)*--(Source!$D$1:$D$250=Pyramid!$Q307),ROW(Source!$B$1:$B$250),FALSE),W$3)),"")</f>
        <v/>
      </c>
      <c r="X307" t="str">
        <f t="array" aca="1" ref="X307" ca="1">IFERROR(INDEX(Source!$A$1:$A$250,SMALL(IF(--(Source!$B$1:$B$250=$O307)*--(Source!$E$1:$E$250=$Q$3)*--(Source!$D$1:$D$250=Pyramid!$Q307),ROW(Source!$B$1:$B$250),FALSE),X$3)),"")</f>
        <v/>
      </c>
      <c r="Y307" s="5">
        <f t="shared" ca="1" si="15"/>
        <v>0</v>
      </c>
    </row>
    <row r="308" spans="3:25">
      <c r="C308">
        <v>304</v>
      </c>
      <c r="D308" s="5">
        <f t="shared" ca="1" si="13"/>
        <v>0</v>
      </c>
      <c r="E308" t="str">
        <f t="array" aca="1" ref="E308" ca="1">IFERROR(INDEX(Source!$A$1:$A$250,SMALL(IF(--(Source!$B$1:$B$250=$O308)*--(Source!$E$1:$E$250=$M$3)*--(Source!$D$1:$D$250=Pyramid!$M308),ROW(Source!$B$1:$B$250),FALSE),E$3)),"")</f>
        <v/>
      </c>
      <c r="F308" t="str">
        <f t="array" aca="1" ref="F308" ca="1">IFERROR(INDEX(Source!$A$1:$A$250,SMALL(IF(--(Source!$B$1:$B$250=$O308)*--(Source!$E$1:$E$250=$M$3)*--(Source!$D$1:$D$250=Pyramid!$M308),ROW(Source!$B$1:$B$250),FALSE),F$3)),"")</f>
        <v/>
      </c>
      <c r="G308" t="str">
        <f t="array" aca="1" ref="G308" ca="1">IFERROR(INDEX(Source!$A$1:$A$250,SMALL(IF(--(Source!$B$1:$B$250=$O308)*--(Source!$E$1:$E$250=$M$3)*--(Source!$D$1:$D$250=Pyramid!$M308),ROW(Source!$B$1:$B$250),FALSE),G$3)),"")</f>
        <v/>
      </c>
      <c r="H308" t="str">
        <f t="array" aca="1" ref="H308" ca="1">IFERROR(INDEX(Source!$A$1:$A$250,SMALL(IF(--(Source!$B$1:$B$250=$O308)*--(Source!$E$1:$E$250=$M$3)*--(Source!$D$1:$D$250=Pyramid!$M308),ROW(Source!$B$1:$B$250),FALSE),H$3)),"")</f>
        <v/>
      </c>
      <c r="I308" t="str">
        <f t="array" aca="1" ref="I308" ca="1">IFERROR(INDEX(Source!$A$1:$A$250,SMALL(IF(--(Source!$B$1:$B$250=$O308)*--(Source!$E$1:$E$250=$M$3)*--(Source!$D$1:$D$250=Pyramid!$M308),ROW(Source!$B$1:$B$250),FALSE),I$3)),"")</f>
        <v/>
      </c>
      <c r="J308" t="str">
        <f t="array" aca="1" ref="J308" ca="1">IFERROR(INDEX(Source!$A$1:$A$250,SMALL(IF(--(Source!$B$1:$B$250=$O308)*--(Source!$E$1:$E$250=$M$3)*--(Source!$D$1:$D$250=Pyramid!$M308),ROW(Source!$B$1:$B$250),FALSE),J$3)),"")</f>
        <v/>
      </c>
      <c r="K308" t="str">
        <f t="array" aca="1" ref="K308" ca="1">IFERROR(INDEX(Source!$A$1:$A$250,SMALL(IF(--(Source!$B$1:$B$250=$O308)*--(Source!$E$1:$E$250=$M$3)*--(Source!$D$1:$D$250=Pyramid!$M308),ROW(Source!$B$1:$B$250),FALSE),K$3)),"")</f>
        <v/>
      </c>
      <c r="L308" t="str">
        <f t="array" aca="1" ref="L308" ca="1">IFERROR(INDEX(Source!$A$1:$A$250,SMALL(IF(--(Source!$B$1:$B$250=$O308)*--(Source!$E$1:$E$250=$M$3)*--(Source!$D$1:$D$250=Pyramid!$M308),ROW(Source!$B$1:$B$250),FALSE),L$3)),"")</f>
        <v/>
      </c>
      <c r="M308" t="str">
        <f t="shared" si="14"/>
        <v>28/10/2016</v>
      </c>
      <c r="N308">
        <f ca="1">COUNTIFS(Source!B:B,Pyramid!$O308,Source!$D:$D,Pyramid!$M308,Source!$E:$E,Pyramid!$M$3)</f>
        <v>0</v>
      </c>
      <c r="O308">
        <f ca="1">OFFSET(Sheet2!$N$3,INT(C308/5),)</f>
        <v>22100</v>
      </c>
      <c r="P308">
        <f ca="1">COUNTIFS(Source!B:B,Pyramid!$O308,Source!D:D,Pyramid!$Q308,Source!$E:$E,Pyramid!$Q$3)</f>
        <v>0</v>
      </c>
      <c r="Q308" t="str">
        <f t="shared" si="14"/>
        <v>28/10/2016</v>
      </c>
      <c r="R308" t="str">
        <f t="array" aca="1" ref="R308" ca="1">IFERROR(INDEX(Source!$A$1:$A$250,SMALL(IF(--(Source!$B$1:$B$250=$O308)*--(Source!$E$1:$E$250=$Q$3)*--(Source!$D$1:$D$250=Pyramid!$Q308),ROW(Source!$B$1:$B$250),FALSE),R$3)),"")</f>
        <v/>
      </c>
      <c r="S308" t="str">
        <f t="array" aca="1" ref="S308" ca="1">IFERROR(INDEX(Source!$A$1:$A$250,SMALL(IF(--(Source!$B$1:$B$250=$O308)*--(Source!$E$1:$E$250=$Q$3)*--(Source!$D$1:$D$250=Pyramid!$Q308),ROW(Source!$B$1:$B$250),FALSE),S$3)),"")</f>
        <v/>
      </c>
      <c r="T308" t="str">
        <f t="array" aca="1" ref="T308" ca="1">IFERROR(INDEX(Source!$A$1:$A$250,SMALL(IF(--(Source!$B$1:$B$250=$O308)*--(Source!$E$1:$E$250=$Q$3)*--(Source!$D$1:$D$250=Pyramid!$Q308),ROW(Source!$B$1:$B$250),FALSE),T$3)),"")</f>
        <v/>
      </c>
      <c r="U308" t="str">
        <f t="array" aca="1" ref="U308" ca="1">IFERROR(INDEX(Source!$A$1:$A$250,SMALL(IF(--(Source!$B$1:$B$250=$O308)*--(Source!$E$1:$E$250=$Q$3)*--(Source!$D$1:$D$250=Pyramid!$Q308),ROW(Source!$B$1:$B$250),FALSE),U$3)),"")</f>
        <v/>
      </c>
      <c r="V308" t="str">
        <f t="array" aca="1" ref="V308" ca="1">IFERROR(INDEX(Source!$A$1:$A$250,SMALL(IF(--(Source!$B$1:$B$250=$O308)*--(Source!$E$1:$E$250=$Q$3)*--(Source!$D$1:$D$250=Pyramid!$Q308),ROW(Source!$B$1:$B$250),FALSE),V$3)),"")</f>
        <v/>
      </c>
      <c r="W308" t="str">
        <f t="array" aca="1" ref="W308" ca="1">IFERROR(INDEX(Source!$A$1:$A$250,SMALL(IF(--(Source!$B$1:$B$250=$O308)*--(Source!$E$1:$E$250=$Q$3)*--(Source!$D$1:$D$250=Pyramid!$Q308),ROW(Source!$B$1:$B$250),FALSE),W$3)),"")</f>
        <v/>
      </c>
      <c r="X308" t="str">
        <f t="array" aca="1" ref="X308" ca="1">IFERROR(INDEX(Source!$A$1:$A$250,SMALL(IF(--(Source!$B$1:$B$250=$O308)*--(Source!$E$1:$E$250=$Q$3)*--(Source!$D$1:$D$250=Pyramid!$Q308),ROW(Source!$B$1:$B$250),FALSE),X$3)),"")</f>
        <v/>
      </c>
      <c r="Y308" s="5">
        <f t="shared" ca="1" si="15"/>
        <v>0</v>
      </c>
    </row>
    <row r="309" spans="3:25">
      <c r="C309">
        <v>305</v>
      </c>
      <c r="D309" s="5">
        <f t="shared" ca="1" si="13"/>
        <v>0</v>
      </c>
      <c r="E309" t="str">
        <f t="array" aca="1" ref="E309" ca="1">IFERROR(INDEX(Source!$A$1:$A$250,SMALL(IF(--(Source!$B$1:$B$250=$O309)*--(Source!$E$1:$E$250=$M$3)*--(Source!$D$1:$D$250=Pyramid!$M309),ROW(Source!$B$1:$B$250),FALSE),E$3)),"")</f>
        <v/>
      </c>
      <c r="F309" t="str">
        <f t="array" aca="1" ref="F309" ca="1">IFERROR(INDEX(Source!$A$1:$A$250,SMALL(IF(--(Source!$B$1:$B$250=$O309)*--(Source!$E$1:$E$250=$M$3)*--(Source!$D$1:$D$250=Pyramid!$M309),ROW(Source!$B$1:$B$250),FALSE),F$3)),"")</f>
        <v/>
      </c>
      <c r="G309" t="str">
        <f t="array" aca="1" ref="G309" ca="1">IFERROR(INDEX(Source!$A$1:$A$250,SMALL(IF(--(Source!$B$1:$B$250=$O309)*--(Source!$E$1:$E$250=$M$3)*--(Source!$D$1:$D$250=Pyramid!$M309),ROW(Source!$B$1:$B$250),FALSE),G$3)),"")</f>
        <v/>
      </c>
      <c r="H309" t="str">
        <f t="array" aca="1" ref="H309" ca="1">IFERROR(INDEX(Source!$A$1:$A$250,SMALL(IF(--(Source!$B$1:$B$250=$O309)*--(Source!$E$1:$E$250=$M$3)*--(Source!$D$1:$D$250=Pyramid!$M309),ROW(Source!$B$1:$B$250),FALSE),H$3)),"")</f>
        <v/>
      </c>
      <c r="I309" t="str">
        <f t="array" aca="1" ref="I309" ca="1">IFERROR(INDEX(Source!$A$1:$A$250,SMALL(IF(--(Source!$B$1:$B$250=$O309)*--(Source!$E$1:$E$250=$M$3)*--(Source!$D$1:$D$250=Pyramid!$M309),ROW(Source!$B$1:$B$250),FALSE),I$3)),"")</f>
        <v/>
      </c>
      <c r="J309" t="str">
        <f t="array" aca="1" ref="J309" ca="1">IFERROR(INDEX(Source!$A$1:$A$250,SMALL(IF(--(Source!$B$1:$B$250=$O309)*--(Source!$E$1:$E$250=$M$3)*--(Source!$D$1:$D$250=Pyramid!$M309),ROW(Source!$B$1:$B$250),FALSE),J$3)),"")</f>
        <v/>
      </c>
      <c r="K309" t="str">
        <f t="array" aca="1" ref="K309" ca="1">IFERROR(INDEX(Source!$A$1:$A$250,SMALL(IF(--(Source!$B$1:$B$250=$O309)*--(Source!$E$1:$E$250=$M$3)*--(Source!$D$1:$D$250=Pyramid!$M309),ROW(Source!$B$1:$B$250),FALSE),K$3)),"")</f>
        <v/>
      </c>
      <c r="L309" t="str">
        <f t="array" aca="1" ref="L309" ca="1">IFERROR(INDEX(Source!$A$1:$A$250,SMALL(IF(--(Source!$B$1:$B$250=$O309)*--(Source!$E$1:$E$250=$M$3)*--(Source!$D$1:$D$250=Pyramid!$M309),ROW(Source!$B$1:$B$250),FALSE),L$3)),"")</f>
        <v/>
      </c>
      <c r="M309" t="str">
        <f t="shared" si="14"/>
        <v>29/6/2016</v>
      </c>
      <c r="N309">
        <f ca="1">COUNTIFS(Source!B:B,Pyramid!$O309,Source!$D:$D,Pyramid!$M309,Source!$E:$E,Pyramid!$M$3)</f>
        <v>0</v>
      </c>
      <c r="O309">
        <f ca="1">OFFSET(Sheet2!$N$3,INT(C309/5),)</f>
        <v>22108</v>
      </c>
      <c r="P309">
        <f ca="1">COUNTIFS(Source!B:B,Pyramid!$O309,Source!D:D,Pyramid!$Q309,Source!$E:$E,Pyramid!$Q$3)</f>
        <v>0</v>
      </c>
      <c r="Q309" t="str">
        <f t="shared" si="14"/>
        <v>29/6/2016</v>
      </c>
      <c r="R309" t="str">
        <f t="array" aca="1" ref="R309" ca="1">IFERROR(INDEX(Source!$A$1:$A$250,SMALL(IF(--(Source!$B$1:$B$250=$O309)*--(Source!$E$1:$E$250=$Q$3)*--(Source!$D$1:$D$250=Pyramid!$Q309),ROW(Source!$B$1:$B$250),FALSE),R$3)),"")</f>
        <v/>
      </c>
      <c r="S309" t="str">
        <f t="array" aca="1" ref="S309" ca="1">IFERROR(INDEX(Source!$A$1:$A$250,SMALL(IF(--(Source!$B$1:$B$250=$O309)*--(Source!$E$1:$E$250=$Q$3)*--(Source!$D$1:$D$250=Pyramid!$Q309),ROW(Source!$B$1:$B$250),FALSE),S$3)),"")</f>
        <v/>
      </c>
      <c r="T309" t="str">
        <f t="array" aca="1" ref="T309" ca="1">IFERROR(INDEX(Source!$A$1:$A$250,SMALL(IF(--(Source!$B$1:$B$250=$O309)*--(Source!$E$1:$E$250=$Q$3)*--(Source!$D$1:$D$250=Pyramid!$Q309),ROW(Source!$B$1:$B$250),FALSE),T$3)),"")</f>
        <v/>
      </c>
      <c r="U309" t="str">
        <f t="array" aca="1" ref="U309" ca="1">IFERROR(INDEX(Source!$A$1:$A$250,SMALL(IF(--(Source!$B$1:$B$250=$O309)*--(Source!$E$1:$E$250=$Q$3)*--(Source!$D$1:$D$250=Pyramid!$Q309),ROW(Source!$B$1:$B$250),FALSE),U$3)),"")</f>
        <v/>
      </c>
      <c r="V309" t="str">
        <f t="array" aca="1" ref="V309" ca="1">IFERROR(INDEX(Source!$A$1:$A$250,SMALL(IF(--(Source!$B$1:$B$250=$O309)*--(Source!$E$1:$E$250=$Q$3)*--(Source!$D$1:$D$250=Pyramid!$Q309),ROW(Source!$B$1:$B$250),FALSE),V$3)),"")</f>
        <v/>
      </c>
      <c r="W309" t="str">
        <f t="array" aca="1" ref="W309" ca="1">IFERROR(INDEX(Source!$A$1:$A$250,SMALL(IF(--(Source!$B$1:$B$250=$O309)*--(Source!$E$1:$E$250=$Q$3)*--(Source!$D$1:$D$250=Pyramid!$Q309),ROW(Source!$B$1:$B$250),FALSE),W$3)),"")</f>
        <v/>
      </c>
      <c r="X309" t="str">
        <f t="array" aca="1" ref="X309" ca="1">IFERROR(INDEX(Source!$A$1:$A$250,SMALL(IF(--(Source!$B$1:$B$250=$O309)*--(Source!$E$1:$E$250=$Q$3)*--(Source!$D$1:$D$250=Pyramid!$Q309),ROW(Source!$B$1:$B$250),FALSE),X$3)),"")</f>
        <v/>
      </c>
      <c r="Y309" s="5">
        <f t="shared" ca="1" si="15"/>
        <v>0</v>
      </c>
    </row>
    <row r="310" spans="3:25">
      <c r="C310">
        <v>306</v>
      </c>
      <c r="D310" s="5">
        <f t="shared" ca="1" si="13"/>
        <v>0</v>
      </c>
      <c r="E310" t="str">
        <f t="array" aca="1" ref="E310" ca="1">IFERROR(INDEX(Source!$A$1:$A$250,SMALL(IF(--(Source!$B$1:$B$250=$O310)*--(Source!$E$1:$E$250=$M$3)*--(Source!$D$1:$D$250=Pyramid!$M310),ROW(Source!$B$1:$B$250),FALSE),E$3)),"")</f>
        <v/>
      </c>
      <c r="F310" t="str">
        <f t="array" aca="1" ref="F310" ca="1">IFERROR(INDEX(Source!$A$1:$A$250,SMALL(IF(--(Source!$B$1:$B$250=$O310)*--(Source!$E$1:$E$250=$M$3)*--(Source!$D$1:$D$250=Pyramid!$M310),ROW(Source!$B$1:$B$250),FALSE),F$3)),"")</f>
        <v/>
      </c>
      <c r="G310" t="str">
        <f t="array" aca="1" ref="G310" ca="1">IFERROR(INDEX(Source!$A$1:$A$250,SMALL(IF(--(Source!$B$1:$B$250=$O310)*--(Source!$E$1:$E$250=$M$3)*--(Source!$D$1:$D$250=Pyramid!$M310),ROW(Source!$B$1:$B$250),FALSE),G$3)),"")</f>
        <v/>
      </c>
      <c r="H310" t="str">
        <f t="array" aca="1" ref="H310" ca="1">IFERROR(INDEX(Source!$A$1:$A$250,SMALL(IF(--(Source!$B$1:$B$250=$O310)*--(Source!$E$1:$E$250=$M$3)*--(Source!$D$1:$D$250=Pyramid!$M310),ROW(Source!$B$1:$B$250),FALSE),H$3)),"")</f>
        <v/>
      </c>
      <c r="I310" t="str">
        <f t="array" aca="1" ref="I310" ca="1">IFERROR(INDEX(Source!$A$1:$A$250,SMALL(IF(--(Source!$B$1:$B$250=$O310)*--(Source!$E$1:$E$250=$M$3)*--(Source!$D$1:$D$250=Pyramid!$M310),ROW(Source!$B$1:$B$250),FALSE),I$3)),"")</f>
        <v/>
      </c>
      <c r="J310" t="str">
        <f t="array" aca="1" ref="J310" ca="1">IFERROR(INDEX(Source!$A$1:$A$250,SMALL(IF(--(Source!$B$1:$B$250=$O310)*--(Source!$E$1:$E$250=$M$3)*--(Source!$D$1:$D$250=Pyramid!$M310),ROW(Source!$B$1:$B$250),FALSE),J$3)),"")</f>
        <v/>
      </c>
      <c r="K310" t="str">
        <f t="array" aca="1" ref="K310" ca="1">IFERROR(INDEX(Source!$A$1:$A$250,SMALL(IF(--(Source!$B$1:$B$250=$O310)*--(Source!$E$1:$E$250=$M$3)*--(Source!$D$1:$D$250=Pyramid!$M310),ROW(Source!$B$1:$B$250),FALSE),K$3)),"")</f>
        <v/>
      </c>
      <c r="L310" t="str">
        <f t="array" aca="1" ref="L310" ca="1">IFERROR(INDEX(Source!$A$1:$A$250,SMALL(IF(--(Source!$B$1:$B$250=$O310)*--(Source!$E$1:$E$250=$M$3)*--(Source!$D$1:$D$250=Pyramid!$M310),ROW(Source!$B$1:$B$250),FALSE),L$3)),"")</f>
        <v/>
      </c>
      <c r="M310" t="str">
        <f t="shared" si="14"/>
        <v>28/7/2016</v>
      </c>
      <c r="N310">
        <f ca="1">COUNTIFS(Source!B:B,Pyramid!$O310,Source!$D:$D,Pyramid!$M310,Source!$E:$E,Pyramid!$M$3)</f>
        <v>0</v>
      </c>
      <c r="O310">
        <f ca="1">OFFSET(Sheet2!$N$3,INT(C310/5),)</f>
        <v>22108</v>
      </c>
      <c r="P310">
        <f ca="1">COUNTIFS(Source!B:B,Pyramid!$O310,Source!D:D,Pyramid!$Q310,Source!$E:$E,Pyramid!$Q$3)</f>
        <v>0</v>
      </c>
      <c r="Q310" t="str">
        <f t="shared" si="14"/>
        <v>28/7/2016</v>
      </c>
      <c r="R310" t="str">
        <f t="array" aca="1" ref="R310" ca="1">IFERROR(INDEX(Source!$A$1:$A$250,SMALL(IF(--(Source!$B$1:$B$250=$O310)*--(Source!$E$1:$E$250=$Q$3)*--(Source!$D$1:$D$250=Pyramid!$Q310),ROW(Source!$B$1:$B$250),FALSE),R$3)),"")</f>
        <v/>
      </c>
      <c r="S310" t="str">
        <f t="array" aca="1" ref="S310" ca="1">IFERROR(INDEX(Source!$A$1:$A$250,SMALL(IF(--(Source!$B$1:$B$250=$O310)*--(Source!$E$1:$E$250=$Q$3)*--(Source!$D$1:$D$250=Pyramid!$Q310),ROW(Source!$B$1:$B$250),FALSE),S$3)),"")</f>
        <v/>
      </c>
      <c r="T310" t="str">
        <f t="array" aca="1" ref="T310" ca="1">IFERROR(INDEX(Source!$A$1:$A$250,SMALL(IF(--(Source!$B$1:$B$250=$O310)*--(Source!$E$1:$E$250=$Q$3)*--(Source!$D$1:$D$250=Pyramid!$Q310),ROW(Source!$B$1:$B$250),FALSE),T$3)),"")</f>
        <v/>
      </c>
      <c r="U310" t="str">
        <f t="array" aca="1" ref="U310" ca="1">IFERROR(INDEX(Source!$A$1:$A$250,SMALL(IF(--(Source!$B$1:$B$250=$O310)*--(Source!$E$1:$E$250=$Q$3)*--(Source!$D$1:$D$250=Pyramid!$Q310),ROW(Source!$B$1:$B$250),FALSE),U$3)),"")</f>
        <v/>
      </c>
      <c r="V310" t="str">
        <f t="array" aca="1" ref="V310" ca="1">IFERROR(INDEX(Source!$A$1:$A$250,SMALL(IF(--(Source!$B$1:$B$250=$O310)*--(Source!$E$1:$E$250=$Q$3)*--(Source!$D$1:$D$250=Pyramid!$Q310),ROW(Source!$B$1:$B$250),FALSE),V$3)),"")</f>
        <v/>
      </c>
      <c r="W310" t="str">
        <f t="array" aca="1" ref="W310" ca="1">IFERROR(INDEX(Source!$A$1:$A$250,SMALL(IF(--(Source!$B$1:$B$250=$O310)*--(Source!$E$1:$E$250=$Q$3)*--(Source!$D$1:$D$250=Pyramid!$Q310),ROW(Source!$B$1:$B$250),FALSE),W$3)),"")</f>
        <v/>
      </c>
      <c r="X310" t="str">
        <f t="array" aca="1" ref="X310" ca="1">IFERROR(INDEX(Source!$A$1:$A$250,SMALL(IF(--(Source!$B$1:$B$250=$O310)*--(Source!$E$1:$E$250=$Q$3)*--(Source!$D$1:$D$250=Pyramid!$Q310),ROW(Source!$B$1:$B$250),FALSE),X$3)),"")</f>
        <v/>
      </c>
      <c r="Y310" s="5">
        <f t="shared" ca="1" si="15"/>
        <v>0</v>
      </c>
    </row>
    <row r="311" spans="3:25">
      <c r="C311">
        <v>307</v>
      </c>
      <c r="D311" s="5">
        <f t="shared" ca="1" si="13"/>
        <v>0</v>
      </c>
      <c r="E311" t="str">
        <f t="array" aca="1" ref="E311" ca="1">IFERROR(INDEX(Source!$A$1:$A$250,SMALL(IF(--(Source!$B$1:$B$250=$O311)*--(Source!$E$1:$E$250=$M$3)*--(Source!$D$1:$D$250=Pyramid!$M311),ROW(Source!$B$1:$B$250),FALSE),E$3)),"")</f>
        <v/>
      </c>
      <c r="F311" t="str">
        <f t="array" aca="1" ref="F311" ca="1">IFERROR(INDEX(Source!$A$1:$A$250,SMALL(IF(--(Source!$B$1:$B$250=$O311)*--(Source!$E$1:$E$250=$M$3)*--(Source!$D$1:$D$250=Pyramid!$M311),ROW(Source!$B$1:$B$250),FALSE),F$3)),"")</f>
        <v/>
      </c>
      <c r="G311" t="str">
        <f t="array" aca="1" ref="G311" ca="1">IFERROR(INDEX(Source!$A$1:$A$250,SMALL(IF(--(Source!$B$1:$B$250=$O311)*--(Source!$E$1:$E$250=$M$3)*--(Source!$D$1:$D$250=Pyramid!$M311),ROW(Source!$B$1:$B$250),FALSE),G$3)),"")</f>
        <v/>
      </c>
      <c r="H311" t="str">
        <f t="array" aca="1" ref="H311" ca="1">IFERROR(INDEX(Source!$A$1:$A$250,SMALL(IF(--(Source!$B$1:$B$250=$O311)*--(Source!$E$1:$E$250=$M$3)*--(Source!$D$1:$D$250=Pyramid!$M311),ROW(Source!$B$1:$B$250),FALSE),H$3)),"")</f>
        <v/>
      </c>
      <c r="I311" t="str">
        <f t="array" aca="1" ref="I311" ca="1">IFERROR(INDEX(Source!$A$1:$A$250,SMALL(IF(--(Source!$B$1:$B$250=$O311)*--(Source!$E$1:$E$250=$M$3)*--(Source!$D$1:$D$250=Pyramid!$M311),ROW(Source!$B$1:$B$250),FALSE),I$3)),"")</f>
        <v/>
      </c>
      <c r="J311" t="str">
        <f t="array" aca="1" ref="J311" ca="1">IFERROR(INDEX(Source!$A$1:$A$250,SMALL(IF(--(Source!$B$1:$B$250=$O311)*--(Source!$E$1:$E$250=$M$3)*--(Source!$D$1:$D$250=Pyramid!$M311),ROW(Source!$B$1:$B$250),FALSE),J$3)),"")</f>
        <v/>
      </c>
      <c r="K311" t="str">
        <f t="array" aca="1" ref="K311" ca="1">IFERROR(INDEX(Source!$A$1:$A$250,SMALL(IF(--(Source!$B$1:$B$250=$O311)*--(Source!$E$1:$E$250=$M$3)*--(Source!$D$1:$D$250=Pyramid!$M311),ROW(Source!$B$1:$B$250),FALSE),K$3)),"")</f>
        <v/>
      </c>
      <c r="L311" t="str">
        <f t="array" aca="1" ref="L311" ca="1">IFERROR(INDEX(Source!$A$1:$A$250,SMALL(IF(--(Source!$B$1:$B$250=$O311)*--(Source!$E$1:$E$250=$M$3)*--(Source!$D$1:$D$250=Pyramid!$M311),ROW(Source!$B$1:$B$250),FALSE),L$3)),"")</f>
        <v/>
      </c>
      <c r="M311" t="str">
        <f t="shared" si="14"/>
        <v>30/8/2016</v>
      </c>
      <c r="N311">
        <f ca="1">COUNTIFS(Source!B:B,Pyramid!$O311,Source!$D:$D,Pyramid!$M311,Source!$E:$E,Pyramid!$M$3)</f>
        <v>0</v>
      </c>
      <c r="O311">
        <f ca="1">OFFSET(Sheet2!$N$3,INT(C311/5),)</f>
        <v>22108</v>
      </c>
      <c r="P311">
        <f ca="1">COUNTIFS(Source!B:B,Pyramid!$O311,Source!D:D,Pyramid!$Q311,Source!$E:$E,Pyramid!$Q$3)</f>
        <v>0</v>
      </c>
      <c r="Q311" t="str">
        <f t="shared" si="14"/>
        <v>30/8/2016</v>
      </c>
      <c r="R311" t="str">
        <f t="array" aca="1" ref="R311" ca="1">IFERROR(INDEX(Source!$A$1:$A$250,SMALL(IF(--(Source!$B$1:$B$250=$O311)*--(Source!$E$1:$E$250=$Q$3)*--(Source!$D$1:$D$250=Pyramid!$Q311),ROW(Source!$B$1:$B$250),FALSE),R$3)),"")</f>
        <v/>
      </c>
      <c r="S311" t="str">
        <f t="array" aca="1" ref="S311" ca="1">IFERROR(INDEX(Source!$A$1:$A$250,SMALL(IF(--(Source!$B$1:$B$250=$O311)*--(Source!$E$1:$E$250=$Q$3)*--(Source!$D$1:$D$250=Pyramid!$Q311),ROW(Source!$B$1:$B$250),FALSE),S$3)),"")</f>
        <v/>
      </c>
      <c r="T311" t="str">
        <f t="array" aca="1" ref="T311" ca="1">IFERROR(INDEX(Source!$A$1:$A$250,SMALL(IF(--(Source!$B$1:$B$250=$O311)*--(Source!$E$1:$E$250=$Q$3)*--(Source!$D$1:$D$250=Pyramid!$Q311),ROW(Source!$B$1:$B$250),FALSE),T$3)),"")</f>
        <v/>
      </c>
      <c r="U311" t="str">
        <f t="array" aca="1" ref="U311" ca="1">IFERROR(INDEX(Source!$A$1:$A$250,SMALL(IF(--(Source!$B$1:$B$250=$O311)*--(Source!$E$1:$E$250=$Q$3)*--(Source!$D$1:$D$250=Pyramid!$Q311),ROW(Source!$B$1:$B$250),FALSE),U$3)),"")</f>
        <v/>
      </c>
      <c r="V311" t="str">
        <f t="array" aca="1" ref="V311" ca="1">IFERROR(INDEX(Source!$A$1:$A$250,SMALL(IF(--(Source!$B$1:$B$250=$O311)*--(Source!$E$1:$E$250=$Q$3)*--(Source!$D$1:$D$250=Pyramid!$Q311),ROW(Source!$B$1:$B$250),FALSE),V$3)),"")</f>
        <v/>
      </c>
      <c r="W311" t="str">
        <f t="array" aca="1" ref="W311" ca="1">IFERROR(INDEX(Source!$A$1:$A$250,SMALL(IF(--(Source!$B$1:$B$250=$O311)*--(Source!$E$1:$E$250=$Q$3)*--(Source!$D$1:$D$250=Pyramid!$Q311),ROW(Source!$B$1:$B$250),FALSE),W$3)),"")</f>
        <v/>
      </c>
      <c r="X311" t="str">
        <f t="array" aca="1" ref="X311" ca="1">IFERROR(INDEX(Source!$A$1:$A$250,SMALL(IF(--(Source!$B$1:$B$250=$O311)*--(Source!$E$1:$E$250=$Q$3)*--(Source!$D$1:$D$250=Pyramid!$Q311),ROW(Source!$B$1:$B$250),FALSE),X$3)),"")</f>
        <v/>
      </c>
      <c r="Y311" s="5">
        <f t="shared" ca="1" si="15"/>
        <v>0</v>
      </c>
    </row>
    <row r="312" spans="3:25">
      <c r="C312">
        <v>308</v>
      </c>
      <c r="D312" s="5">
        <f t="shared" ca="1" si="13"/>
        <v>0</v>
      </c>
      <c r="E312" t="str">
        <f t="array" aca="1" ref="E312" ca="1">IFERROR(INDEX(Source!$A$1:$A$250,SMALL(IF(--(Source!$B$1:$B$250=$O312)*--(Source!$E$1:$E$250=$M$3)*--(Source!$D$1:$D$250=Pyramid!$M312),ROW(Source!$B$1:$B$250),FALSE),E$3)),"")</f>
        <v/>
      </c>
      <c r="F312" t="str">
        <f t="array" aca="1" ref="F312" ca="1">IFERROR(INDEX(Source!$A$1:$A$250,SMALL(IF(--(Source!$B$1:$B$250=$O312)*--(Source!$E$1:$E$250=$M$3)*--(Source!$D$1:$D$250=Pyramid!$M312),ROW(Source!$B$1:$B$250),FALSE),F$3)),"")</f>
        <v/>
      </c>
      <c r="G312" t="str">
        <f t="array" aca="1" ref="G312" ca="1">IFERROR(INDEX(Source!$A$1:$A$250,SMALL(IF(--(Source!$B$1:$B$250=$O312)*--(Source!$E$1:$E$250=$M$3)*--(Source!$D$1:$D$250=Pyramid!$M312),ROW(Source!$B$1:$B$250),FALSE),G$3)),"")</f>
        <v/>
      </c>
      <c r="H312" t="str">
        <f t="array" aca="1" ref="H312" ca="1">IFERROR(INDEX(Source!$A$1:$A$250,SMALL(IF(--(Source!$B$1:$B$250=$O312)*--(Source!$E$1:$E$250=$M$3)*--(Source!$D$1:$D$250=Pyramid!$M312),ROW(Source!$B$1:$B$250),FALSE),H$3)),"")</f>
        <v/>
      </c>
      <c r="I312" t="str">
        <f t="array" aca="1" ref="I312" ca="1">IFERROR(INDEX(Source!$A$1:$A$250,SMALL(IF(--(Source!$B$1:$B$250=$O312)*--(Source!$E$1:$E$250=$M$3)*--(Source!$D$1:$D$250=Pyramid!$M312),ROW(Source!$B$1:$B$250),FALSE),I$3)),"")</f>
        <v/>
      </c>
      <c r="J312" t="str">
        <f t="array" aca="1" ref="J312" ca="1">IFERROR(INDEX(Source!$A$1:$A$250,SMALL(IF(--(Source!$B$1:$B$250=$O312)*--(Source!$E$1:$E$250=$M$3)*--(Source!$D$1:$D$250=Pyramid!$M312),ROW(Source!$B$1:$B$250),FALSE),J$3)),"")</f>
        <v/>
      </c>
      <c r="K312" t="str">
        <f t="array" aca="1" ref="K312" ca="1">IFERROR(INDEX(Source!$A$1:$A$250,SMALL(IF(--(Source!$B$1:$B$250=$O312)*--(Source!$E$1:$E$250=$M$3)*--(Source!$D$1:$D$250=Pyramid!$M312),ROW(Source!$B$1:$B$250),FALSE),K$3)),"")</f>
        <v/>
      </c>
      <c r="L312" t="str">
        <f t="array" aca="1" ref="L312" ca="1">IFERROR(INDEX(Source!$A$1:$A$250,SMALL(IF(--(Source!$B$1:$B$250=$O312)*--(Source!$E$1:$E$250=$M$3)*--(Source!$D$1:$D$250=Pyramid!$M312),ROW(Source!$B$1:$B$250),FALSE),L$3)),"")</f>
        <v/>
      </c>
      <c r="M312" t="str">
        <f t="shared" si="14"/>
        <v>29/9/2016</v>
      </c>
      <c r="N312">
        <f ca="1">COUNTIFS(Source!B:B,Pyramid!$O312,Source!$D:$D,Pyramid!$M312,Source!$E:$E,Pyramid!$M$3)</f>
        <v>0</v>
      </c>
      <c r="O312">
        <f ca="1">OFFSET(Sheet2!$N$3,INT(C312/5),)</f>
        <v>22108</v>
      </c>
      <c r="P312">
        <f ca="1">COUNTIFS(Source!B:B,Pyramid!$O312,Source!D:D,Pyramid!$Q312,Source!$E:$E,Pyramid!$Q$3)</f>
        <v>0</v>
      </c>
      <c r="Q312" t="str">
        <f t="shared" si="14"/>
        <v>29/9/2016</v>
      </c>
      <c r="R312" t="str">
        <f t="array" aca="1" ref="R312" ca="1">IFERROR(INDEX(Source!$A$1:$A$250,SMALL(IF(--(Source!$B$1:$B$250=$O312)*--(Source!$E$1:$E$250=$Q$3)*--(Source!$D$1:$D$250=Pyramid!$Q312),ROW(Source!$B$1:$B$250),FALSE),R$3)),"")</f>
        <v/>
      </c>
      <c r="S312" t="str">
        <f t="array" aca="1" ref="S312" ca="1">IFERROR(INDEX(Source!$A$1:$A$250,SMALL(IF(--(Source!$B$1:$B$250=$O312)*--(Source!$E$1:$E$250=$Q$3)*--(Source!$D$1:$D$250=Pyramid!$Q312),ROW(Source!$B$1:$B$250),FALSE),S$3)),"")</f>
        <v/>
      </c>
      <c r="T312" t="str">
        <f t="array" aca="1" ref="T312" ca="1">IFERROR(INDEX(Source!$A$1:$A$250,SMALL(IF(--(Source!$B$1:$B$250=$O312)*--(Source!$E$1:$E$250=$Q$3)*--(Source!$D$1:$D$250=Pyramid!$Q312),ROW(Source!$B$1:$B$250),FALSE),T$3)),"")</f>
        <v/>
      </c>
      <c r="U312" t="str">
        <f t="array" aca="1" ref="U312" ca="1">IFERROR(INDEX(Source!$A$1:$A$250,SMALL(IF(--(Source!$B$1:$B$250=$O312)*--(Source!$E$1:$E$250=$Q$3)*--(Source!$D$1:$D$250=Pyramid!$Q312),ROW(Source!$B$1:$B$250),FALSE),U$3)),"")</f>
        <v/>
      </c>
      <c r="V312" t="str">
        <f t="array" aca="1" ref="V312" ca="1">IFERROR(INDEX(Source!$A$1:$A$250,SMALL(IF(--(Source!$B$1:$B$250=$O312)*--(Source!$E$1:$E$250=$Q$3)*--(Source!$D$1:$D$250=Pyramid!$Q312),ROW(Source!$B$1:$B$250),FALSE),V$3)),"")</f>
        <v/>
      </c>
      <c r="W312" t="str">
        <f t="array" aca="1" ref="W312" ca="1">IFERROR(INDEX(Source!$A$1:$A$250,SMALL(IF(--(Source!$B$1:$B$250=$O312)*--(Source!$E$1:$E$250=$Q$3)*--(Source!$D$1:$D$250=Pyramid!$Q312),ROW(Source!$B$1:$B$250),FALSE),W$3)),"")</f>
        <v/>
      </c>
      <c r="X312" t="str">
        <f t="array" aca="1" ref="X312" ca="1">IFERROR(INDEX(Source!$A$1:$A$250,SMALL(IF(--(Source!$B$1:$B$250=$O312)*--(Source!$E$1:$E$250=$Q$3)*--(Source!$D$1:$D$250=Pyramid!$Q312),ROW(Source!$B$1:$B$250),FALSE),X$3)),"")</f>
        <v/>
      </c>
      <c r="Y312" s="5">
        <f t="shared" ca="1" si="15"/>
        <v>0</v>
      </c>
    </row>
    <row r="313" spans="3:25">
      <c r="C313">
        <v>309</v>
      </c>
      <c r="D313" s="5">
        <f t="shared" ca="1" si="13"/>
        <v>0</v>
      </c>
      <c r="E313" t="str">
        <f t="array" aca="1" ref="E313" ca="1">IFERROR(INDEX(Source!$A$1:$A$250,SMALL(IF(--(Source!$B$1:$B$250=$O313)*--(Source!$E$1:$E$250=$M$3)*--(Source!$D$1:$D$250=Pyramid!$M313),ROW(Source!$B$1:$B$250),FALSE),E$3)),"")</f>
        <v/>
      </c>
      <c r="F313" t="str">
        <f t="array" aca="1" ref="F313" ca="1">IFERROR(INDEX(Source!$A$1:$A$250,SMALL(IF(--(Source!$B$1:$B$250=$O313)*--(Source!$E$1:$E$250=$M$3)*--(Source!$D$1:$D$250=Pyramid!$M313),ROW(Source!$B$1:$B$250),FALSE),F$3)),"")</f>
        <v/>
      </c>
      <c r="G313" t="str">
        <f t="array" aca="1" ref="G313" ca="1">IFERROR(INDEX(Source!$A$1:$A$250,SMALL(IF(--(Source!$B$1:$B$250=$O313)*--(Source!$E$1:$E$250=$M$3)*--(Source!$D$1:$D$250=Pyramid!$M313),ROW(Source!$B$1:$B$250),FALSE),G$3)),"")</f>
        <v/>
      </c>
      <c r="H313" t="str">
        <f t="array" aca="1" ref="H313" ca="1">IFERROR(INDEX(Source!$A$1:$A$250,SMALL(IF(--(Source!$B$1:$B$250=$O313)*--(Source!$E$1:$E$250=$M$3)*--(Source!$D$1:$D$250=Pyramid!$M313),ROW(Source!$B$1:$B$250),FALSE),H$3)),"")</f>
        <v/>
      </c>
      <c r="I313" t="str">
        <f t="array" aca="1" ref="I313" ca="1">IFERROR(INDEX(Source!$A$1:$A$250,SMALL(IF(--(Source!$B$1:$B$250=$O313)*--(Source!$E$1:$E$250=$M$3)*--(Source!$D$1:$D$250=Pyramid!$M313),ROW(Source!$B$1:$B$250),FALSE),I$3)),"")</f>
        <v/>
      </c>
      <c r="J313" t="str">
        <f t="array" aca="1" ref="J313" ca="1">IFERROR(INDEX(Source!$A$1:$A$250,SMALL(IF(--(Source!$B$1:$B$250=$O313)*--(Source!$E$1:$E$250=$M$3)*--(Source!$D$1:$D$250=Pyramid!$M313),ROW(Source!$B$1:$B$250),FALSE),J$3)),"")</f>
        <v/>
      </c>
      <c r="K313" t="str">
        <f t="array" aca="1" ref="K313" ca="1">IFERROR(INDEX(Source!$A$1:$A$250,SMALL(IF(--(Source!$B$1:$B$250=$O313)*--(Source!$E$1:$E$250=$M$3)*--(Source!$D$1:$D$250=Pyramid!$M313),ROW(Source!$B$1:$B$250),FALSE),K$3)),"")</f>
        <v/>
      </c>
      <c r="L313" t="str">
        <f t="array" aca="1" ref="L313" ca="1">IFERROR(INDEX(Source!$A$1:$A$250,SMALL(IF(--(Source!$B$1:$B$250=$O313)*--(Source!$E$1:$E$250=$M$3)*--(Source!$D$1:$D$250=Pyramid!$M313),ROW(Source!$B$1:$B$250),FALSE),L$3)),"")</f>
        <v>27559 HK Equity</v>
      </c>
      <c r="M313" t="str">
        <f t="shared" si="14"/>
        <v>28/10/2016</v>
      </c>
      <c r="N313">
        <f ca="1">COUNTIFS(Source!B:B,Pyramid!$O313,Source!$D:$D,Pyramid!$M313,Source!$E:$E,Pyramid!$M$3)</f>
        <v>1</v>
      </c>
      <c r="O313">
        <f ca="1">OFFSET(Sheet2!$N$3,INT(C313/5),)</f>
        <v>22108</v>
      </c>
      <c r="P313">
        <f ca="1">COUNTIFS(Source!B:B,Pyramid!$O313,Source!D:D,Pyramid!$Q313,Source!$E:$E,Pyramid!$Q$3)</f>
        <v>0</v>
      </c>
      <c r="Q313" t="str">
        <f t="shared" si="14"/>
        <v>28/10/2016</v>
      </c>
      <c r="R313" t="str">
        <f t="array" aca="1" ref="R313" ca="1">IFERROR(INDEX(Source!$A$1:$A$250,SMALL(IF(--(Source!$B$1:$B$250=$O313)*--(Source!$E$1:$E$250=$Q$3)*--(Source!$D$1:$D$250=Pyramid!$Q313),ROW(Source!$B$1:$B$250),FALSE),R$3)),"")</f>
        <v/>
      </c>
      <c r="S313" t="str">
        <f t="array" aca="1" ref="S313" ca="1">IFERROR(INDEX(Source!$A$1:$A$250,SMALL(IF(--(Source!$B$1:$B$250=$O313)*--(Source!$E$1:$E$250=$Q$3)*--(Source!$D$1:$D$250=Pyramid!$Q313),ROW(Source!$B$1:$B$250),FALSE),S$3)),"")</f>
        <v/>
      </c>
      <c r="T313" t="str">
        <f t="array" aca="1" ref="T313" ca="1">IFERROR(INDEX(Source!$A$1:$A$250,SMALL(IF(--(Source!$B$1:$B$250=$O313)*--(Source!$E$1:$E$250=$Q$3)*--(Source!$D$1:$D$250=Pyramid!$Q313),ROW(Source!$B$1:$B$250),FALSE),T$3)),"")</f>
        <v/>
      </c>
      <c r="U313" t="str">
        <f t="array" aca="1" ref="U313" ca="1">IFERROR(INDEX(Source!$A$1:$A$250,SMALL(IF(--(Source!$B$1:$B$250=$O313)*--(Source!$E$1:$E$250=$Q$3)*--(Source!$D$1:$D$250=Pyramid!$Q313),ROW(Source!$B$1:$B$250),FALSE),U$3)),"")</f>
        <v/>
      </c>
      <c r="V313" t="str">
        <f t="array" aca="1" ref="V313" ca="1">IFERROR(INDEX(Source!$A$1:$A$250,SMALL(IF(--(Source!$B$1:$B$250=$O313)*--(Source!$E$1:$E$250=$Q$3)*--(Source!$D$1:$D$250=Pyramid!$Q313),ROW(Source!$B$1:$B$250),FALSE),V$3)),"")</f>
        <v/>
      </c>
      <c r="W313" t="str">
        <f t="array" aca="1" ref="W313" ca="1">IFERROR(INDEX(Source!$A$1:$A$250,SMALL(IF(--(Source!$B$1:$B$250=$O313)*--(Source!$E$1:$E$250=$Q$3)*--(Source!$D$1:$D$250=Pyramid!$Q313),ROW(Source!$B$1:$B$250),FALSE),W$3)),"")</f>
        <v/>
      </c>
      <c r="X313" t="str">
        <f t="array" aca="1" ref="X313" ca="1">IFERROR(INDEX(Source!$A$1:$A$250,SMALL(IF(--(Source!$B$1:$B$250=$O313)*--(Source!$E$1:$E$250=$Q$3)*--(Source!$D$1:$D$250=Pyramid!$Q313),ROW(Source!$B$1:$B$250),FALSE),X$3)),"")</f>
        <v/>
      </c>
      <c r="Y313" s="5">
        <f t="shared" ca="1" si="15"/>
        <v>0</v>
      </c>
    </row>
    <row r="314" spans="3:25">
      <c r="C314">
        <v>310</v>
      </c>
      <c r="D314" s="5">
        <f t="shared" ca="1" si="13"/>
        <v>0</v>
      </c>
      <c r="E314" t="str">
        <f t="array" aca="1" ref="E314" ca="1">IFERROR(INDEX(Source!$A$1:$A$250,SMALL(IF(--(Source!$B$1:$B$250=$O314)*--(Source!$E$1:$E$250=$M$3)*--(Source!$D$1:$D$250=Pyramid!$M314),ROW(Source!$B$1:$B$250),FALSE),E$3)),"")</f>
        <v/>
      </c>
      <c r="F314" t="str">
        <f t="array" aca="1" ref="F314" ca="1">IFERROR(INDEX(Source!$A$1:$A$250,SMALL(IF(--(Source!$B$1:$B$250=$O314)*--(Source!$E$1:$E$250=$M$3)*--(Source!$D$1:$D$250=Pyramid!$M314),ROW(Source!$B$1:$B$250),FALSE),F$3)),"")</f>
        <v/>
      </c>
      <c r="G314" t="str">
        <f t="array" aca="1" ref="G314" ca="1">IFERROR(INDEX(Source!$A$1:$A$250,SMALL(IF(--(Source!$B$1:$B$250=$O314)*--(Source!$E$1:$E$250=$M$3)*--(Source!$D$1:$D$250=Pyramid!$M314),ROW(Source!$B$1:$B$250),FALSE),G$3)),"")</f>
        <v/>
      </c>
      <c r="H314" t="str">
        <f t="array" aca="1" ref="H314" ca="1">IFERROR(INDEX(Source!$A$1:$A$250,SMALL(IF(--(Source!$B$1:$B$250=$O314)*--(Source!$E$1:$E$250=$M$3)*--(Source!$D$1:$D$250=Pyramid!$M314),ROW(Source!$B$1:$B$250),FALSE),H$3)),"")</f>
        <v/>
      </c>
      <c r="I314" t="str">
        <f t="array" aca="1" ref="I314" ca="1">IFERROR(INDEX(Source!$A$1:$A$250,SMALL(IF(--(Source!$B$1:$B$250=$O314)*--(Source!$E$1:$E$250=$M$3)*--(Source!$D$1:$D$250=Pyramid!$M314),ROW(Source!$B$1:$B$250),FALSE),I$3)),"")</f>
        <v/>
      </c>
      <c r="J314" t="str">
        <f t="array" aca="1" ref="J314" ca="1">IFERROR(INDEX(Source!$A$1:$A$250,SMALL(IF(--(Source!$B$1:$B$250=$O314)*--(Source!$E$1:$E$250=$M$3)*--(Source!$D$1:$D$250=Pyramid!$M314),ROW(Source!$B$1:$B$250),FALSE),J$3)),"")</f>
        <v/>
      </c>
      <c r="K314" t="str">
        <f t="array" aca="1" ref="K314" ca="1">IFERROR(INDEX(Source!$A$1:$A$250,SMALL(IF(--(Source!$B$1:$B$250=$O314)*--(Source!$E$1:$E$250=$M$3)*--(Source!$D$1:$D$250=Pyramid!$M314),ROW(Source!$B$1:$B$250),FALSE),K$3)),"")</f>
        <v>24374 HK Equity</v>
      </c>
      <c r="L314" t="str">
        <f t="array" aca="1" ref="L314" ca="1">IFERROR(INDEX(Source!$A$1:$A$250,SMALL(IF(--(Source!$B$1:$B$250=$O314)*--(Source!$E$1:$E$250=$M$3)*--(Source!$D$1:$D$250=Pyramid!$M314),ROW(Source!$B$1:$B$250),FALSE),L$3)),"")</f>
        <v>24688 HK Equity</v>
      </c>
      <c r="M314" t="str">
        <f t="shared" si="14"/>
        <v>29/6/2016</v>
      </c>
      <c r="N314">
        <f ca="1">COUNTIFS(Source!B:B,Pyramid!$O314,Source!$D:$D,Pyramid!$M314,Source!$E:$E,Pyramid!$M$3)</f>
        <v>2</v>
      </c>
      <c r="O314">
        <f ca="1">OFFSET(Sheet2!$N$3,INT(C314/5),)</f>
        <v>22200</v>
      </c>
      <c r="P314">
        <f ca="1">COUNTIFS(Source!B:B,Pyramid!$O314,Source!D:D,Pyramid!$Q314,Source!$E:$E,Pyramid!$Q$3)</f>
        <v>1</v>
      </c>
      <c r="Q314" t="str">
        <f t="shared" si="14"/>
        <v>29/6/2016</v>
      </c>
      <c r="R314" t="str">
        <f t="array" aca="1" ref="R314" ca="1">IFERROR(INDEX(Source!$A$1:$A$250,SMALL(IF(--(Source!$B$1:$B$250=$O314)*--(Source!$E$1:$E$250=$Q$3)*--(Source!$D$1:$D$250=Pyramid!$Q314),ROW(Source!$B$1:$B$250),FALSE),R$3)),"")</f>
        <v>20546 HK Equity</v>
      </c>
      <c r="S314" t="str">
        <f t="array" aca="1" ref="S314" ca="1">IFERROR(INDEX(Source!$A$1:$A$250,SMALL(IF(--(Source!$B$1:$B$250=$O314)*--(Source!$E$1:$E$250=$Q$3)*--(Source!$D$1:$D$250=Pyramid!$Q314),ROW(Source!$B$1:$B$250),FALSE),S$3)),"")</f>
        <v/>
      </c>
      <c r="T314" t="str">
        <f t="array" aca="1" ref="T314" ca="1">IFERROR(INDEX(Source!$A$1:$A$250,SMALL(IF(--(Source!$B$1:$B$250=$O314)*--(Source!$E$1:$E$250=$Q$3)*--(Source!$D$1:$D$250=Pyramid!$Q314),ROW(Source!$B$1:$B$250),FALSE),T$3)),"")</f>
        <v/>
      </c>
      <c r="U314" t="str">
        <f t="array" aca="1" ref="U314" ca="1">IFERROR(INDEX(Source!$A$1:$A$250,SMALL(IF(--(Source!$B$1:$B$250=$O314)*--(Source!$E$1:$E$250=$Q$3)*--(Source!$D$1:$D$250=Pyramid!$Q314),ROW(Source!$B$1:$B$250),FALSE),U$3)),"")</f>
        <v/>
      </c>
      <c r="V314" t="str">
        <f t="array" aca="1" ref="V314" ca="1">IFERROR(INDEX(Source!$A$1:$A$250,SMALL(IF(--(Source!$B$1:$B$250=$O314)*--(Source!$E$1:$E$250=$Q$3)*--(Source!$D$1:$D$250=Pyramid!$Q314),ROW(Source!$B$1:$B$250),FALSE),V$3)),"")</f>
        <v/>
      </c>
      <c r="W314" t="str">
        <f t="array" aca="1" ref="W314" ca="1">IFERROR(INDEX(Source!$A$1:$A$250,SMALL(IF(--(Source!$B$1:$B$250=$O314)*--(Source!$E$1:$E$250=$Q$3)*--(Source!$D$1:$D$250=Pyramid!$Q314),ROW(Source!$B$1:$B$250),FALSE),W$3)),"")</f>
        <v/>
      </c>
      <c r="X314" t="str">
        <f t="array" aca="1" ref="X314" ca="1">IFERROR(INDEX(Source!$A$1:$A$250,SMALL(IF(--(Source!$B$1:$B$250=$O314)*--(Source!$E$1:$E$250=$Q$3)*--(Source!$D$1:$D$250=Pyramid!$Q314),ROW(Source!$B$1:$B$250),FALSE),X$3)),"")</f>
        <v/>
      </c>
      <c r="Y314" s="5">
        <f t="shared" ca="1" si="15"/>
        <v>0</v>
      </c>
    </row>
    <row r="315" spans="3:25">
      <c r="C315">
        <v>311</v>
      </c>
      <c r="D315" s="5">
        <f t="shared" ca="1" si="13"/>
        <v>0</v>
      </c>
      <c r="E315" t="str">
        <f t="array" aca="1" ref="E315" ca="1">IFERROR(INDEX(Source!$A$1:$A$250,SMALL(IF(--(Source!$B$1:$B$250=$O315)*--(Source!$E$1:$E$250=$M$3)*--(Source!$D$1:$D$250=Pyramid!$M315),ROW(Source!$B$1:$B$250),FALSE),E$3)),"")</f>
        <v/>
      </c>
      <c r="F315" t="str">
        <f t="array" aca="1" ref="F315" ca="1">IFERROR(INDEX(Source!$A$1:$A$250,SMALL(IF(--(Source!$B$1:$B$250=$O315)*--(Source!$E$1:$E$250=$M$3)*--(Source!$D$1:$D$250=Pyramid!$M315),ROW(Source!$B$1:$B$250),FALSE),F$3)),"")</f>
        <v/>
      </c>
      <c r="G315" t="str">
        <f t="array" aca="1" ref="G315" ca="1">IFERROR(INDEX(Source!$A$1:$A$250,SMALL(IF(--(Source!$B$1:$B$250=$O315)*--(Source!$E$1:$E$250=$M$3)*--(Source!$D$1:$D$250=Pyramid!$M315),ROW(Source!$B$1:$B$250),FALSE),G$3)),"")</f>
        <v/>
      </c>
      <c r="H315" t="str">
        <f t="array" aca="1" ref="H315" ca="1">IFERROR(INDEX(Source!$A$1:$A$250,SMALL(IF(--(Source!$B$1:$B$250=$O315)*--(Source!$E$1:$E$250=$M$3)*--(Source!$D$1:$D$250=Pyramid!$M315),ROW(Source!$B$1:$B$250),FALSE),H$3)),"")</f>
        <v/>
      </c>
      <c r="I315" t="str">
        <f t="array" aca="1" ref="I315" ca="1">IFERROR(INDEX(Source!$A$1:$A$250,SMALL(IF(--(Source!$B$1:$B$250=$O315)*--(Source!$E$1:$E$250=$M$3)*--(Source!$D$1:$D$250=Pyramid!$M315),ROW(Source!$B$1:$B$250),FALSE),I$3)),"")</f>
        <v/>
      </c>
      <c r="J315" t="str">
        <f t="array" aca="1" ref="J315" ca="1">IFERROR(INDEX(Source!$A$1:$A$250,SMALL(IF(--(Source!$B$1:$B$250=$O315)*--(Source!$E$1:$E$250=$M$3)*--(Source!$D$1:$D$250=Pyramid!$M315),ROW(Source!$B$1:$B$250),FALSE),J$3)),"")</f>
        <v/>
      </c>
      <c r="K315" t="str">
        <f t="array" aca="1" ref="K315" ca="1">IFERROR(INDEX(Source!$A$1:$A$250,SMALL(IF(--(Source!$B$1:$B$250=$O315)*--(Source!$E$1:$E$250=$M$3)*--(Source!$D$1:$D$250=Pyramid!$M315),ROW(Source!$B$1:$B$250),FALSE),K$3)),"")</f>
        <v/>
      </c>
      <c r="L315" t="str">
        <f t="array" aca="1" ref="L315" ca="1">IFERROR(INDEX(Source!$A$1:$A$250,SMALL(IF(--(Source!$B$1:$B$250=$O315)*--(Source!$E$1:$E$250=$M$3)*--(Source!$D$1:$D$250=Pyramid!$M315),ROW(Source!$B$1:$B$250),FALSE),L$3)),"")</f>
        <v/>
      </c>
      <c r="M315" t="str">
        <f t="shared" si="14"/>
        <v>28/7/2016</v>
      </c>
      <c r="N315">
        <f ca="1">COUNTIFS(Source!B:B,Pyramid!$O315,Source!$D:$D,Pyramid!$M315,Source!$E:$E,Pyramid!$M$3)</f>
        <v>0</v>
      </c>
      <c r="O315">
        <f ca="1">OFFSET(Sheet2!$N$3,INT(C315/5),)</f>
        <v>22200</v>
      </c>
      <c r="P315">
        <f ca="1">COUNTIFS(Source!B:B,Pyramid!$O315,Source!D:D,Pyramid!$Q315,Source!$E:$E,Pyramid!$Q$3)</f>
        <v>0</v>
      </c>
      <c r="Q315" t="str">
        <f t="shared" si="14"/>
        <v>28/7/2016</v>
      </c>
      <c r="R315" t="str">
        <f t="array" aca="1" ref="R315" ca="1">IFERROR(INDEX(Source!$A$1:$A$250,SMALL(IF(--(Source!$B$1:$B$250=$O315)*--(Source!$E$1:$E$250=$Q$3)*--(Source!$D$1:$D$250=Pyramid!$Q315),ROW(Source!$B$1:$B$250),FALSE),R$3)),"")</f>
        <v/>
      </c>
      <c r="S315" t="str">
        <f t="array" aca="1" ref="S315" ca="1">IFERROR(INDEX(Source!$A$1:$A$250,SMALL(IF(--(Source!$B$1:$B$250=$O315)*--(Source!$E$1:$E$250=$Q$3)*--(Source!$D$1:$D$250=Pyramid!$Q315),ROW(Source!$B$1:$B$250),FALSE),S$3)),"")</f>
        <v/>
      </c>
      <c r="T315" t="str">
        <f t="array" aca="1" ref="T315" ca="1">IFERROR(INDEX(Source!$A$1:$A$250,SMALL(IF(--(Source!$B$1:$B$250=$O315)*--(Source!$E$1:$E$250=$Q$3)*--(Source!$D$1:$D$250=Pyramid!$Q315),ROW(Source!$B$1:$B$250),FALSE),T$3)),"")</f>
        <v/>
      </c>
      <c r="U315" t="str">
        <f t="array" aca="1" ref="U315" ca="1">IFERROR(INDEX(Source!$A$1:$A$250,SMALL(IF(--(Source!$B$1:$B$250=$O315)*--(Source!$E$1:$E$250=$Q$3)*--(Source!$D$1:$D$250=Pyramid!$Q315),ROW(Source!$B$1:$B$250),FALSE),U$3)),"")</f>
        <v/>
      </c>
      <c r="V315" t="str">
        <f t="array" aca="1" ref="V315" ca="1">IFERROR(INDEX(Source!$A$1:$A$250,SMALL(IF(--(Source!$B$1:$B$250=$O315)*--(Source!$E$1:$E$250=$Q$3)*--(Source!$D$1:$D$250=Pyramid!$Q315),ROW(Source!$B$1:$B$250),FALSE),V$3)),"")</f>
        <v/>
      </c>
      <c r="W315" t="str">
        <f t="array" aca="1" ref="W315" ca="1">IFERROR(INDEX(Source!$A$1:$A$250,SMALL(IF(--(Source!$B$1:$B$250=$O315)*--(Source!$E$1:$E$250=$Q$3)*--(Source!$D$1:$D$250=Pyramid!$Q315),ROW(Source!$B$1:$B$250),FALSE),W$3)),"")</f>
        <v/>
      </c>
      <c r="X315" t="str">
        <f t="array" aca="1" ref="X315" ca="1">IFERROR(INDEX(Source!$A$1:$A$250,SMALL(IF(--(Source!$B$1:$B$250=$O315)*--(Source!$E$1:$E$250=$Q$3)*--(Source!$D$1:$D$250=Pyramid!$Q315),ROW(Source!$B$1:$B$250),FALSE),X$3)),"")</f>
        <v/>
      </c>
      <c r="Y315" s="5">
        <f t="shared" ca="1" si="15"/>
        <v>0</v>
      </c>
    </row>
    <row r="316" spans="3:25">
      <c r="C316">
        <v>312</v>
      </c>
      <c r="D316" s="5">
        <f t="shared" ca="1" si="13"/>
        <v>0</v>
      </c>
      <c r="E316" t="str">
        <f t="array" aca="1" ref="E316" ca="1">IFERROR(INDEX(Source!$A$1:$A$250,SMALL(IF(--(Source!$B$1:$B$250=$O316)*--(Source!$E$1:$E$250=$M$3)*--(Source!$D$1:$D$250=Pyramid!$M316),ROW(Source!$B$1:$B$250),FALSE),E$3)),"")</f>
        <v/>
      </c>
      <c r="F316" t="str">
        <f t="array" aca="1" ref="F316" ca="1">IFERROR(INDEX(Source!$A$1:$A$250,SMALL(IF(--(Source!$B$1:$B$250=$O316)*--(Source!$E$1:$E$250=$M$3)*--(Source!$D$1:$D$250=Pyramid!$M316),ROW(Source!$B$1:$B$250),FALSE),F$3)),"")</f>
        <v/>
      </c>
      <c r="G316" t="str">
        <f t="array" aca="1" ref="G316" ca="1">IFERROR(INDEX(Source!$A$1:$A$250,SMALL(IF(--(Source!$B$1:$B$250=$O316)*--(Source!$E$1:$E$250=$M$3)*--(Source!$D$1:$D$250=Pyramid!$M316),ROW(Source!$B$1:$B$250),FALSE),G$3)),"")</f>
        <v/>
      </c>
      <c r="H316" t="str">
        <f t="array" aca="1" ref="H316" ca="1">IFERROR(INDEX(Source!$A$1:$A$250,SMALL(IF(--(Source!$B$1:$B$250=$O316)*--(Source!$E$1:$E$250=$M$3)*--(Source!$D$1:$D$250=Pyramid!$M316),ROW(Source!$B$1:$B$250),FALSE),H$3)),"")</f>
        <v/>
      </c>
      <c r="I316" t="str">
        <f t="array" aca="1" ref="I316" ca="1">IFERROR(INDEX(Source!$A$1:$A$250,SMALL(IF(--(Source!$B$1:$B$250=$O316)*--(Source!$E$1:$E$250=$M$3)*--(Source!$D$1:$D$250=Pyramid!$M316),ROW(Source!$B$1:$B$250),FALSE),I$3)),"")</f>
        <v/>
      </c>
      <c r="J316" t="str">
        <f t="array" aca="1" ref="J316" ca="1">IFERROR(INDEX(Source!$A$1:$A$250,SMALL(IF(--(Source!$B$1:$B$250=$O316)*--(Source!$E$1:$E$250=$M$3)*--(Source!$D$1:$D$250=Pyramid!$M316),ROW(Source!$B$1:$B$250),FALSE),J$3)),"")</f>
        <v/>
      </c>
      <c r="K316" t="str">
        <f t="array" aca="1" ref="K316" ca="1">IFERROR(INDEX(Source!$A$1:$A$250,SMALL(IF(--(Source!$B$1:$B$250=$O316)*--(Source!$E$1:$E$250=$M$3)*--(Source!$D$1:$D$250=Pyramid!$M316),ROW(Source!$B$1:$B$250),FALSE),K$3)),"")</f>
        <v/>
      </c>
      <c r="L316" t="str">
        <f t="array" aca="1" ref="L316" ca="1">IFERROR(INDEX(Source!$A$1:$A$250,SMALL(IF(--(Source!$B$1:$B$250=$O316)*--(Source!$E$1:$E$250=$M$3)*--(Source!$D$1:$D$250=Pyramid!$M316),ROW(Source!$B$1:$B$250),FALSE),L$3)),"")</f>
        <v/>
      </c>
      <c r="M316" t="str">
        <f t="shared" si="14"/>
        <v>30/8/2016</v>
      </c>
      <c r="N316">
        <f ca="1">COUNTIFS(Source!B:B,Pyramid!$O316,Source!$D:$D,Pyramid!$M316,Source!$E:$E,Pyramid!$M$3)</f>
        <v>0</v>
      </c>
      <c r="O316">
        <f ca="1">OFFSET(Sheet2!$N$3,INT(C316/5),)</f>
        <v>22200</v>
      </c>
      <c r="P316">
        <f ca="1">COUNTIFS(Source!B:B,Pyramid!$O316,Source!D:D,Pyramid!$Q316,Source!$E:$E,Pyramid!$Q$3)</f>
        <v>0</v>
      </c>
      <c r="Q316" t="str">
        <f t="shared" si="14"/>
        <v>30/8/2016</v>
      </c>
      <c r="R316" t="str">
        <f t="array" aca="1" ref="R316" ca="1">IFERROR(INDEX(Source!$A$1:$A$250,SMALL(IF(--(Source!$B$1:$B$250=$O316)*--(Source!$E$1:$E$250=$Q$3)*--(Source!$D$1:$D$250=Pyramid!$Q316),ROW(Source!$B$1:$B$250),FALSE),R$3)),"")</f>
        <v/>
      </c>
      <c r="S316" t="str">
        <f t="array" aca="1" ref="S316" ca="1">IFERROR(INDEX(Source!$A$1:$A$250,SMALL(IF(--(Source!$B$1:$B$250=$O316)*--(Source!$E$1:$E$250=$Q$3)*--(Source!$D$1:$D$250=Pyramid!$Q316),ROW(Source!$B$1:$B$250),FALSE),S$3)),"")</f>
        <v/>
      </c>
      <c r="T316" t="str">
        <f t="array" aca="1" ref="T316" ca="1">IFERROR(INDEX(Source!$A$1:$A$250,SMALL(IF(--(Source!$B$1:$B$250=$O316)*--(Source!$E$1:$E$250=$Q$3)*--(Source!$D$1:$D$250=Pyramid!$Q316),ROW(Source!$B$1:$B$250),FALSE),T$3)),"")</f>
        <v/>
      </c>
      <c r="U316" t="str">
        <f t="array" aca="1" ref="U316" ca="1">IFERROR(INDEX(Source!$A$1:$A$250,SMALL(IF(--(Source!$B$1:$B$250=$O316)*--(Source!$E$1:$E$250=$Q$3)*--(Source!$D$1:$D$250=Pyramid!$Q316),ROW(Source!$B$1:$B$250),FALSE),U$3)),"")</f>
        <v/>
      </c>
      <c r="V316" t="str">
        <f t="array" aca="1" ref="V316" ca="1">IFERROR(INDEX(Source!$A$1:$A$250,SMALL(IF(--(Source!$B$1:$B$250=$O316)*--(Source!$E$1:$E$250=$Q$3)*--(Source!$D$1:$D$250=Pyramid!$Q316),ROW(Source!$B$1:$B$250),FALSE),V$3)),"")</f>
        <v/>
      </c>
      <c r="W316" t="str">
        <f t="array" aca="1" ref="W316" ca="1">IFERROR(INDEX(Source!$A$1:$A$250,SMALL(IF(--(Source!$B$1:$B$250=$O316)*--(Source!$E$1:$E$250=$Q$3)*--(Source!$D$1:$D$250=Pyramid!$Q316),ROW(Source!$B$1:$B$250),FALSE),W$3)),"")</f>
        <v/>
      </c>
      <c r="X316" t="str">
        <f t="array" aca="1" ref="X316" ca="1">IFERROR(INDEX(Source!$A$1:$A$250,SMALL(IF(--(Source!$B$1:$B$250=$O316)*--(Source!$E$1:$E$250=$Q$3)*--(Source!$D$1:$D$250=Pyramid!$Q316),ROW(Source!$B$1:$B$250),FALSE),X$3)),"")</f>
        <v/>
      </c>
      <c r="Y316" s="5">
        <f t="shared" ca="1" si="15"/>
        <v>0</v>
      </c>
    </row>
    <row r="317" spans="3:25">
      <c r="C317">
        <v>313</v>
      </c>
      <c r="D317" s="5">
        <f t="shared" ca="1" si="13"/>
        <v>0</v>
      </c>
      <c r="E317" t="str">
        <f t="array" aca="1" ref="E317" ca="1">IFERROR(INDEX(Source!$A$1:$A$250,SMALL(IF(--(Source!$B$1:$B$250=$O317)*--(Source!$E$1:$E$250=$M$3)*--(Source!$D$1:$D$250=Pyramid!$M317),ROW(Source!$B$1:$B$250),FALSE),E$3)),"")</f>
        <v/>
      </c>
      <c r="F317" t="str">
        <f t="array" aca="1" ref="F317" ca="1">IFERROR(INDEX(Source!$A$1:$A$250,SMALL(IF(--(Source!$B$1:$B$250=$O317)*--(Source!$E$1:$E$250=$M$3)*--(Source!$D$1:$D$250=Pyramid!$M317),ROW(Source!$B$1:$B$250),FALSE),F$3)),"")</f>
        <v/>
      </c>
      <c r="G317" t="str">
        <f t="array" aca="1" ref="G317" ca="1">IFERROR(INDEX(Source!$A$1:$A$250,SMALL(IF(--(Source!$B$1:$B$250=$O317)*--(Source!$E$1:$E$250=$M$3)*--(Source!$D$1:$D$250=Pyramid!$M317),ROW(Source!$B$1:$B$250),FALSE),G$3)),"")</f>
        <v/>
      </c>
      <c r="H317" t="str">
        <f t="array" aca="1" ref="H317" ca="1">IFERROR(INDEX(Source!$A$1:$A$250,SMALL(IF(--(Source!$B$1:$B$250=$O317)*--(Source!$E$1:$E$250=$M$3)*--(Source!$D$1:$D$250=Pyramid!$M317),ROW(Source!$B$1:$B$250),FALSE),H$3)),"")</f>
        <v/>
      </c>
      <c r="I317" t="str">
        <f t="array" aca="1" ref="I317" ca="1">IFERROR(INDEX(Source!$A$1:$A$250,SMALL(IF(--(Source!$B$1:$B$250=$O317)*--(Source!$E$1:$E$250=$M$3)*--(Source!$D$1:$D$250=Pyramid!$M317),ROW(Source!$B$1:$B$250),FALSE),I$3)),"")</f>
        <v/>
      </c>
      <c r="J317" t="str">
        <f t="array" aca="1" ref="J317" ca="1">IFERROR(INDEX(Source!$A$1:$A$250,SMALL(IF(--(Source!$B$1:$B$250=$O317)*--(Source!$E$1:$E$250=$M$3)*--(Source!$D$1:$D$250=Pyramid!$M317),ROW(Source!$B$1:$B$250),FALSE),J$3)),"")</f>
        <v/>
      </c>
      <c r="K317" t="str">
        <f t="array" aca="1" ref="K317" ca="1">IFERROR(INDEX(Source!$A$1:$A$250,SMALL(IF(--(Source!$B$1:$B$250=$O317)*--(Source!$E$1:$E$250=$M$3)*--(Source!$D$1:$D$250=Pyramid!$M317),ROW(Source!$B$1:$B$250),FALSE),K$3)),"")</f>
        <v/>
      </c>
      <c r="L317" t="str">
        <f t="array" aca="1" ref="L317" ca="1">IFERROR(INDEX(Source!$A$1:$A$250,SMALL(IF(--(Source!$B$1:$B$250=$O317)*--(Source!$E$1:$E$250=$M$3)*--(Source!$D$1:$D$250=Pyramid!$M317),ROW(Source!$B$1:$B$250),FALSE),L$3)),"")</f>
        <v/>
      </c>
      <c r="M317" t="str">
        <f t="shared" si="14"/>
        <v>29/9/2016</v>
      </c>
      <c r="N317">
        <f ca="1">COUNTIFS(Source!B:B,Pyramid!$O317,Source!$D:$D,Pyramid!$M317,Source!$E:$E,Pyramid!$M$3)</f>
        <v>0</v>
      </c>
      <c r="O317">
        <f ca="1">OFFSET(Sheet2!$N$3,INT(C317/5),)</f>
        <v>22200</v>
      </c>
      <c r="P317">
        <f ca="1">COUNTIFS(Source!B:B,Pyramid!$O317,Source!D:D,Pyramid!$Q317,Source!$E:$E,Pyramid!$Q$3)</f>
        <v>0</v>
      </c>
      <c r="Q317" t="str">
        <f t="shared" si="14"/>
        <v>29/9/2016</v>
      </c>
      <c r="R317" t="str">
        <f t="array" aca="1" ref="R317" ca="1">IFERROR(INDEX(Source!$A$1:$A$250,SMALL(IF(--(Source!$B$1:$B$250=$O317)*--(Source!$E$1:$E$250=$Q$3)*--(Source!$D$1:$D$250=Pyramid!$Q317),ROW(Source!$B$1:$B$250),FALSE),R$3)),"")</f>
        <v/>
      </c>
      <c r="S317" t="str">
        <f t="array" aca="1" ref="S317" ca="1">IFERROR(INDEX(Source!$A$1:$A$250,SMALL(IF(--(Source!$B$1:$B$250=$O317)*--(Source!$E$1:$E$250=$Q$3)*--(Source!$D$1:$D$250=Pyramid!$Q317),ROW(Source!$B$1:$B$250),FALSE),S$3)),"")</f>
        <v/>
      </c>
      <c r="T317" t="str">
        <f t="array" aca="1" ref="T317" ca="1">IFERROR(INDEX(Source!$A$1:$A$250,SMALL(IF(--(Source!$B$1:$B$250=$O317)*--(Source!$E$1:$E$250=$Q$3)*--(Source!$D$1:$D$250=Pyramid!$Q317),ROW(Source!$B$1:$B$250),FALSE),T$3)),"")</f>
        <v/>
      </c>
      <c r="U317" t="str">
        <f t="array" aca="1" ref="U317" ca="1">IFERROR(INDEX(Source!$A$1:$A$250,SMALL(IF(--(Source!$B$1:$B$250=$O317)*--(Source!$E$1:$E$250=$Q$3)*--(Source!$D$1:$D$250=Pyramid!$Q317),ROW(Source!$B$1:$B$250),FALSE),U$3)),"")</f>
        <v/>
      </c>
      <c r="V317" t="str">
        <f t="array" aca="1" ref="V317" ca="1">IFERROR(INDEX(Source!$A$1:$A$250,SMALL(IF(--(Source!$B$1:$B$250=$O317)*--(Source!$E$1:$E$250=$Q$3)*--(Source!$D$1:$D$250=Pyramid!$Q317),ROW(Source!$B$1:$B$250),FALSE),V$3)),"")</f>
        <v/>
      </c>
      <c r="W317" t="str">
        <f t="array" aca="1" ref="W317" ca="1">IFERROR(INDEX(Source!$A$1:$A$250,SMALL(IF(--(Source!$B$1:$B$250=$O317)*--(Source!$E$1:$E$250=$Q$3)*--(Source!$D$1:$D$250=Pyramid!$Q317),ROW(Source!$B$1:$B$250),FALSE),W$3)),"")</f>
        <v/>
      </c>
      <c r="X317" t="str">
        <f t="array" aca="1" ref="X317" ca="1">IFERROR(INDEX(Source!$A$1:$A$250,SMALL(IF(--(Source!$B$1:$B$250=$O317)*--(Source!$E$1:$E$250=$Q$3)*--(Source!$D$1:$D$250=Pyramid!$Q317),ROW(Source!$B$1:$B$250),FALSE),X$3)),"")</f>
        <v/>
      </c>
      <c r="Y317" s="5">
        <f t="shared" ca="1" si="15"/>
        <v>0</v>
      </c>
    </row>
    <row r="318" spans="3:25">
      <c r="C318">
        <v>314</v>
      </c>
      <c r="D318" s="5">
        <f t="shared" ca="1" si="13"/>
        <v>0</v>
      </c>
      <c r="E318" t="str">
        <f t="array" aca="1" ref="E318" ca="1">IFERROR(INDEX(Source!$A$1:$A$250,SMALL(IF(--(Source!$B$1:$B$250=$O318)*--(Source!$E$1:$E$250=$M$3)*--(Source!$D$1:$D$250=Pyramid!$M318),ROW(Source!$B$1:$B$250),FALSE),E$3)),"")</f>
        <v/>
      </c>
      <c r="F318" t="str">
        <f t="array" aca="1" ref="F318" ca="1">IFERROR(INDEX(Source!$A$1:$A$250,SMALL(IF(--(Source!$B$1:$B$250=$O318)*--(Source!$E$1:$E$250=$M$3)*--(Source!$D$1:$D$250=Pyramid!$M318),ROW(Source!$B$1:$B$250),FALSE),F$3)),"")</f>
        <v/>
      </c>
      <c r="G318" t="str">
        <f t="array" aca="1" ref="G318" ca="1">IFERROR(INDEX(Source!$A$1:$A$250,SMALL(IF(--(Source!$B$1:$B$250=$O318)*--(Source!$E$1:$E$250=$M$3)*--(Source!$D$1:$D$250=Pyramid!$M318),ROW(Source!$B$1:$B$250),FALSE),G$3)),"")</f>
        <v/>
      </c>
      <c r="H318" t="str">
        <f t="array" aca="1" ref="H318" ca="1">IFERROR(INDEX(Source!$A$1:$A$250,SMALL(IF(--(Source!$B$1:$B$250=$O318)*--(Source!$E$1:$E$250=$M$3)*--(Source!$D$1:$D$250=Pyramid!$M318),ROW(Source!$B$1:$B$250),FALSE),H$3)),"")</f>
        <v/>
      </c>
      <c r="I318" t="str">
        <f t="array" aca="1" ref="I318" ca="1">IFERROR(INDEX(Source!$A$1:$A$250,SMALL(IF(--(Source!$B$1:$B$250=$O318)*--(Source!$E$1:$E$250=$M$3)*--(Source!$D$1:$D$250=Pyramid!$M318),ROW(Source!$B$1:$B$250),FALSE),I$3)),"")</f>
        <v/>
      </c>
      <c r="J318" t="str">
        <f t="array" aca="1" ref="J318" ca="1">IFERROR(INDEX(Source!$A$1:$A$250,SMALL(IF(--(Source!$B$1:$B$250=$O318)*--(Source!$E$1:$E$250=$M$3)*--(Source!$D$1:$D$250=Pyramid!$M318),ROW(Source!$B$1:$B$250),FALSE),J$3)),"")</f>
        <v/>
      </c>
      <c r="K318" t="str">
        <f t="array" aca="1" ref="K318" ca="1">IFERROR(INDEX(Source!$A$1:$A$250,SMALL(IF(--(Source!$B$1:$B$250=$O318)*--(Source!$E$1:$E$250=$M$3)*--(Source!$D$1:$D$250=Pyramid!$M318),ROW(Source!$B$1:$B$250),FALSE),K$3)),"")</f>
        <v/>
      </c>
      <c r="L318" t="str">
        <f t="array" aca="1" ref="L318" ca="1">IFERROR(INDEX(Source!$A$1:$A$250,SMALL(IF(--(Source!$B$1:$B$250=$O318)*--(Source!$E$1:$E$250=$M$3)*--(Source!$D$1:$D$250=Pyramid!$M318),ROW(Source!$B$1:$B$250),FALSE),L$3)),"")</f>
        <v/>
      </c>
      <c r="M318" t="str">
        <f t="shared" si="14"/>
        <v>28/10/2016</v>
      </c>
      <c r="N318">
        <f ca="1">COUNTIFS(Source!B:B,Pyramid!$O318,Source!$D:$D,Pyramid!$M318,Source!$E:$E,Pyramid!$M$3)</f>
        <v>0</v>
      </c>
      <c r="O318">
        <f ca="1">OFFSET(Sheet2!$N$3,INT(C318/5),)</f>
        <v>22200</v>
      </c>
      <c r="P318">
        <f ca="1">COUNTIFS(Source!B:B,Pyramid!$O318,Source!D:D,Pyramid!$Q318,Source!$E:$E,Pyramid!$Q$3)</f>
        <v>0</v>
      </c>
      <c r="Q318" t="str">
        <f t="shared" si="14"/>
        <v>28/10/2016</v>
      </c>
      <c r="R318" t="str">
        <f t="array" aca="1" ref="R318" ca="1">IFERROR(INDEX(Source!$A$1:$A$250,SMALL(IF(--(Source!$B$1:$B$250=$O318)*--(Source!$E$1:$E$250=$Q$3)*--(Source!$D$1:$D$250=Pyramid!$Q318),ROW(Source!$B$1:$B$250),FALSE),R$3)),"")</f>
        <v/>
      </c>
      <c r="S318" t="str">
        <f t="array" aca="1" ref="S318" ca="1">IFERROR(INDEX(Source!$A$1:$A$250,SMALL(IF(--(Source!$B$1:$B$250=$O318)*--(Source!$E$1:$E$250=$Q$3)*--(Source!$D$1:$D$250=Pyramid!$Q318),ROW(Source!$B$1:$B$250),FALSE),S$3)),"")</f>
        <v/>
      </c>
      <c r="T318" t="str">
        <f t="array" aca="1" ref="T318" ca="1">IFERROR(INDEX(Source!$A$1:$A$250,SMALL(IF(--(Source!$B$1:$B$250=$O318)*--(Source!$E$1:$E$250=$Q$3)*--(Source!$D$1:$D$250=Pyramid!$Q318),ROW(Source!$B$1:$B$250),FALSE),T$3)),"")</f>
        <v/>
      </c>
      <c r="U318" t="str">
        <f t="array" aca="1" ref="U318" ca="1">IFERROR(INDEX(Source!$A$1:$A$250,SMALL(IF(--(Source!$B$1:$B$250=$O318)*--(Source!$E$1:$E$250=$Q$3)*--(Source!$D$1:$D$250=Pyramid!$Q318),ROW(Source!$B$1:$B$250),FALSE),U$3)),"")</f>
        <v/>
      </c>
      <c r="V318" t="str">
        <f t="array" aca="1" ref="V318" ca="1">IFERROR(INDEX(Source!$A$1:$A$250,SMALL(IF(--(Source!$B$1:$B$250=$O318)*--(Source!$E$1:$E$250=$Q$3)*--(Source!$D$1:$D$250=Pyramid!$Q318),ROW(Source!$B$1:$B$250),FALSE),V$3)),"")</f>
        <v/>
      </c>
      <c r="W318" t="str">
        <f t="array" aca="1" ref="W318" ca="1">IFERROR(INDEX(Source!$A$1:$A$250,SMALL(IF(--(Source!$B$1:$B$250=$O318)*--(Source!$E$1:$E$250=$Q$3)*--(Source!$D$1:$D$250=Pyramid!$Q318),ROW(Source!$B$1:$B$250),FALSE),W$3)),"")</f>
        <v/>
      </c>
      <c r="X318" t="str">
        <f t="array" aca="1" ref="X318" ca="1">IFERROR(INDEX(Source!$A$1:$A$250,SMALL(IF(--(Source!$B$1:$B$250=$O318)*--(Source!$E$1:$E$250=$Q$3)*--(Source!$D$1:$D$250=Pyramid!$Q318),ROW(Source!$B$1:$B$250),FALSE),X$3)),"")</f>
        <v/>
      </c>
      <c r="Y318" s="5">
        <f t="shared" ca="1" si="15"/>
        <v>0</v>
      </c>
    </row>
    <row r="319" spans="3:25">
      <c r="C319">
        <v>315</v>
      </c>
      <c r="D319" s="5">
        <f t="shared" ca="1" si="13"/>
        <v>0</v>
      </c>
      <c r="E319" t="str">
        <f t="array" aca="1" ref="E319" ca="1">IFERROR(INDEX(Source!$A$1:$A$250,SMALL(IF(--(Source!$B$1:$B$250=$O319)*--(Source!$E$1:$E$250=$M$3)*--(Source!$D$1:$D$250=Pyramid!$M319),ROW(Source!$B$1:$B$250),FALSE),E$3)),"")</f>
        <v/>
      </c>
      <c r="F319" t="str">
        <f t="array" aca="1" ref="F319" ca="1">IFERROR(INDEX(Source!$A$1:$A$250,SMALL(IF(--(Source!$B$1:$B$250=$O319)*--(Source!$E$1:$E$250=$M$3)*--(Source!$D$1:$D$250=Pyramid!$M319),ROW(Source!$B$1:$B$250),FALSE),F$3)),"")</f>
        <v/>
      </c>
      <c r="G319" t="str">
        <f t="array" aca="1" ref="G319" ca="1">IFERROR(INDEX(Source!$A$1:$A$250,SMALL(IF(--(Source!$B$1:$B$250=$O319)*--(Source!$E$1:$E$250=$M$3)*--(Source!$D$1:$D$250=Pyramid!$M319),ROW(Source!$B$1:$B$250),FALSE),G$3)),"")</f>
        <v/>
      </c>
      <c r="H319" t="str">
        <f t="array" aca="1" ref="H319" ca="1">IFERROR(INDEX(Source!$A$1:$A$250,SMALL(IF(--(Source!$B$1:$B$250=$O319)*--(Source!$E$1:$E$250=$M$3)*--(Source!$D$1:$D$250=Pyramid!$M319),ROW(Source!$B$1:$B$250),FALSE),H$3)),"")</f>
        <v/>
      </c>
      <c r="I319" t="str">
        <f t="array" aca="1" ref="I319" ca="1">IFERROR(INDEX(Source!$A$1:$A$250,SMALL(IF(--(Source!$B$1:$B$250=$O319)*--(Source!$E$1:$E$250=$M$3)*--(Source!$D$1:$D$250=Pyramid!$M319),ROW(Source!$B$1:$B$250),FALSE),I$3)),"")</f>
        <v/>
      </c>
      <c r="J319" t="str">
        <f t="array" aca="1" ref="J319" ca="1">IFERROR(INDEX(Source!$A$1:$A$250,SMALL(IF(--(Source!$B$1:$B$250=$O319)*--(Source!$E$1:$E$250=$M$3)*--(Source!$D$1:$D$250=Pyramid!$M319),ROW(Source!$B$1:$B$250),FALSE),J$3)),"")</f>
        <v/>
      </c>
      <c r="K319" t="str">
        <f t="array" aca="1" ref="K319" ca="1">IFERROR(INDEX(Source!$A$1:$A$250,SMALL(IF(--(Source!$B$1:$B$250=$O319)*--(Source!$E$1:$E$250=$M$3)*--(Source!$D$1:$D$250=Pyramid!$M319),ROW(Source!$B$1:$B$250),FALSE),K$3)),"")</f>
        <v/>
      </c>
      <c r="L319" t="str">
        <f t="array" aca="1" ref="L319" ca="1">IFERROR(INDEX(Source!$A$1:$A$250,SMALL(IF(--(Source!$B$1:$B$250=$O319)*--(Source!$E$1:$E$250=$M$3)*--(Source!$D$1:$D$250=Pyramid!$M319),ROW(Source!$B$1:$B$250),FALSE),L$3)),"")</f>
        <v>25090 HK Equity</v>
      </c>
      <c r="M319" t="str">
        <f t="shared" si="14"/>
        <v>29/6/2016</v>
      </c>
      <c r="N319">
        <f ca="1">COUNTIFS(Source!B:B,Pyramid!$O319,Source!$D:$D,Pyramid!$M319,Source!$E:$E,Pyramid!$M$3)</f>
        <v>1</v>
      </c>
      <c r="O319">
        <f ca="1">OFFSET(Sheet2!$N$3,INT(C319/5),)</f>
        <v>22308</v>
      </c>
      <c r="P319">
        <f ca="1">COUNTIFS(Source!B:B,Pyramid!$O319,Source!D:D,Pyramid!$Q319,Source!$E:$E,Pyramid!$Q$3)</f>
        <v>0</v>
      </c>
      <c r="Q319" t="str">
        <f t="shared" si="14"/>
        <v>29/6/2016</v>
      </c>
      <c r="R319" t="str">
        <f t="array" aca="1" ref="R319" ca="1">IFERROR(INDEX(Source!$A$1:$A$250,SMALL(IF(--(Source!$B$1:$B$250=$O319)*--(Source!$E$1:$E$250=$Q$3)*--(Source!$D$1:$D$250=Pyramid!$Q319),ROW(Source!$B$1:$B$250),FALSE),R$3)),"")</f>
        <v/>
      </c>
      <c r="S319" t="str">
        <f t="array" aca="1" ref="S319" ca="1">IFERROR(INDEX(Source!$A$1:$A$250,SMALL(IF(--(Source!$B$1:$B$250=$O319)*--(Source!$E$1:$E$250=$Q$3)*--(Source!$D$1:$D$250=Pyramid!$Q319),ROW(Source!$B$1:$B$250),FALSE),S$3)),"")</f>
        <v/>
      </c>
      <c r="T319" t="str">
        <f t="array" aca="1" ref="T319" ca="1">IFERROR(INDEX(Source!$A$1:$A$250,SMALL(IF(--(Source!$B$1:$B$250=$O319)*--(Source!$E$1:$E$250=$Q$3)*--(Source!$D$1:$D$250=Pyramid!$Q319),ROW(Source!$B$1:$B$250),FALSE),T$3)),"")</f>
        <v/>
      </c>
      <c r="U319" t="str">
        <f t="array" aca="1" ref="U319" ca="1">IFERROR(INDEX(Source!$A$1:$A$250,SMALL(IF(--(Source!$B$1:$B$250=$O319)*--(Source!$E$1:$E$250=$Q$3)*--(Source!$D$1:$D$250=Pyramid!$Q319),ROW(Source!$B$1:$B$250),FALSE),U$3)),"")</f>
        <v/>
      </c>
      <c r="V319" t="str">
        <f t="array" aca="1" ref="V319" ca="1">IFERROR(INDEX(Source!$A$1:$A$250,SMALL(IF(--(Source!$B$1:$B$250=$O319)*--(Source!$E$1:$E$250=$Q$3)*--(Source!$D$1:$D$250=Pyramid!$Q319),ROW(Source!$B$1:$B$250),FALSE),V$3)),"")</f>
        <v/>
      </c>
      <c r="W319" t="str">
        <f t="array" aca="1" ref="W319" ca="1">IFERROR(INDEX(Source!$A$1:$A$250,SMALL(IF(--(Source!$B$1:$B$250=$O319)*--(Source!$E$1:$E$250=$Q$3)*--(Source!$D$1:$D$250=Pyramid!$Q319),ROW(Source!$B$1:$B$250),FALSE),W$3)),"")</f>
        <v/>
      </c>
      <c r="X319" t="str">
        <f t="array" aca="1" ref="X319" ca="1">IFERROR(INDEX(Source!$A$1:$A$250,SMALL(IF(--(Source!$B$1:$B$250=$O319)*--(Source!$E$1:$E$250=$Q$3)*--(Source!$D$1:$D$250=Pyramid!$Q319),ROW(Source!$B$1:$B$250),FALSE),X$3)),"")</f>
        <v/>
      </c>
      <c r="Y319" s="5">
        <f t="shared" ca="1" si="15"/>
        <v>0</v>
      </c>
    </row>
    <row r="320" spans="3:25">
      <c r="C320">
        <v>316</v>
      </c>
      <c r="D320" s="5">
        <f t="shared" ca="1" si="13"/>
        <v>0</v>
      </c>
      <c r="E320" t="str">
        <f t="array" aca="1" ref="E320" ca="1">IFERROR(INDEX(Source!$A$1:$A$250,SMALL(IF(--(Source!$B$1:$B$250=$O320)*--(Source!$E$1:$E$250=$M$3)*--(Source!$D$1:$D$250=Pyramid!$M320),ROW(Source!$B$1:$B$250),FALSE),E$3)),"")</f>
        <v/>
      </c>
      <c r="F320" t="str">
        <f t="array" aca="1" ref="F320" ca="1">IFERROR(INDEX(Source!$A$1:$A$250,SMALL(IF(--(Source!$B$1:$B$250=$O320)*--(Source!$E$1:$E$250=$M$3)*--(Source!$D$1:$D$250=Pyramid!$M320),ROW(Source!$B$1:$B$250),FALSE),F$3)),"")</f>
        <v/>
      </c>
      <c r="G320" t="str">
        <f t="array" aca="1" ref="G320" ca="1">IFERROR(INDEX(Source!$A$1:$A$250,SMALL(IF(--(Source!$B$1:$B$250=$O320)*--(Source!$E$1:$E$250=$M$3)*--(Source!$D$1:$D$250=Pyramid!$M320),ROW(Source!$B$1:$B$250),FALSE),G$3)),"")</f>
        <v/>
      </c>
      <c r="H320" t="str">
        <f t="array" aca="1" ref="H320" ca="1">IFERROR(INDEX(Source!$A$1:$A$250,SMALL(IF(--(Source!$B$1:$B$250=$O320)*--(Source!$E$1:$E$250=$M$3)*--(Source!$D$1:$D$250=Pyramid!$M320),ROW(Source!$B$1:$B$250),FALSE),H$3)),"")</f>
        <v/>
      </c>
      <c r="I320" t="str">
        <f t="array" aca="1" ref="I320" ca="1">IFERROR(INDEX(Source!$A$1:$A$250,SMALL(IF(--(Source!$B$1:$B$250=$O320)*--(Source!$E$1:$E$250=$M$3)*--(Source!$D$1:$D$250=Pyramid!$M320),ROW(Source!$B$1:$B$250),FALSE),I$3)),"")</f>
        <v/>
      </c>
      <c r="J320" t="str">
        <f t="array" aca="1" ref="J320" ca="1">IFERROR(INDEX(Source!$A$1:$A$250,SMALL(IF(--(Source!$B$1:$B$250=$O320)*--(Source!$E$1:$E$250=$M$3)*--(Source!$D$1:$D$250=Pyramid!$M320),ROW(Source!$B$1:$B$250),FALSE),J$3)),"")</f>
        <v/>
      </c>
      <c r="K320" t="str">
        <f t="array" aca="1" ref="K320" ca="1">IFERROR(INDEX(Source!$A$1:$A$250,SMALL(IF(--(Source!$B$1:$B$250=$O320)*--(Source!$E$1:$E$250=$M$3)*--(Source!$D$1:$D$250=Pyramid!$M320),ROW(Source!$B$1:$B$250),FALSE),K$3)),"")</f>
        <v/>
      </c>
      <c r="L320" t="str">
        <f t="array" aca="1" ref="L320" ca="1">IFERROR(INDEX(Source!$A$1:$A$250,SMALL(IF(--(Source!$B$1:$B$250=$O320)*--(Source!$E$1:$E$250=$M$3)*--(Source!$D$1:$D$250=Pyramid!$M320),ROW(Source!$B$1:$B$250),FALSE),L$3)),"")</f>
        <v/>
      </c>
      <c r="M320" t="str">
        <f t="shared" si="14"/>
        <v>28/7/2016</v>
      </c>
      <c r="N320">
        <f ca="1">COUNTIFS(Source!B:B,Pyramid!$O320,Source!$D:$D,Pyramid!$M320,Source!$E:$E,Pyramid!$M$3)</f>
        <v>0</v>
      </c>
      <c r="O320">
        <f ca="1">OFFSET(Sheet2!$N$3,INT(C320/5),)</f>
        <v>22308</v>
      </c>
      <c r="P320">
        <f ca="1">COUNTIFS(Source!B:B,Pyramid!$O320,Source!D:D,Pyramid!$Q320,Source!$E:$E,Pyramid!$Q$3)</f>
        <v>0</v>
      </c>
      <c r="Q320" t="str">
        <f t="shared" si="14"/>
        <v>28/7/2016</v>
      </c>
      <c r="R320" t="str">
        <f t="array" aca="1" ref="R320" ca="1">IFERROR(INDEX(Source!$A$1:$A$250,SMALL(IF(--(Source!$B$1:$B$250=$O320)*--(Source!$E$1:$E$250=$Q$3)*--(Source!$D$1:$D$250=Pyramid!$Q320),ROW(Source!$B$1:$B$250),FALSE),R$3)),"")</f>
        <v/>
      </c>
      <c r="S320" t="str">
        <f t="array" aca="1" ref="S320" ca="1">IFERROR(INDEX(Source!$A$1:$A$250,SMALL(IF(--(Source!$B$1:$B$250=$O320)*--(Source!$E$1:$E$250=$Q$3)*--(Source!$D$1:$D$250=Pyramid!$Q320),ROW(Source!$B$1:$B$250),FALSE),S$3)),"")</f>
        <v/>
      </c>
      <c r="T320" t="str">
        <f t="array" aca="1" ref="T320" ca="1">IFERROR(INDEX(Source!$A$1:$A$250,SMALL(IF(--(Source!$B$1:$B$250=$O320)*--(Source!$E$1:$E$250=$Q$3)*--(Source!$D$1:$D$250=Pyramid!$Q320),ROW(Source!$B$1:$B$250),FALSE),T$3)),"")</f>
        <v/>
      </c>
      <c r="U320" t="str">
        <f t="array" aca="1" ref="U320" ca="1">IFERROR(INDEX(Source!$A$1:$A$250,SMALL(IF(--(Source!$B$1:$B$250=$O320)*--(Source!$E$1:$E$250=$Q$3)*--(Source!$D$1:$D$250=Pyramid!$Q320),ROW(Source!$B$1:$B$250),FALSE),U$3)),"")</f>
        <v/>
      </c>
      <c r="V320" t="str">
        <f t="array" aca="1" ref="V320" ca="1">IFERROR(INDEX(Source!$A$1:$A$250,SMALL(IF(--(Source!$B$1:$B$250=$O320)*--(Source!$E$1:$E$250=$Q$3)*--(Source!$D$1:$D$250=Pyramid!$Q320),ROW(Source!$B$1:$B$250),FALSE),V$3)),"")</f>
        <v/>
      </c>
      <c r="W320" t="str">
        <f t="array" aca="1" ref="W320" ca="1">IFERROR(INDEX(Source!$A$1:$A$250,SMALL(IF(--(Source!$B$1:$B$250=$O320)*--(Source!$E$1:$E$250=$Q$3)*--(Source!$D$1:$D$250=Pyramid!$Q320),ROW(Source!$B$1:$B$250),FALSE),W$3)),"")</f>
        <v/>
      </c>
      <c r="X320" t="str">
        <f t="array" aca="1" ref="X320" ca="1">IFERROR(INDEX(Source!$A$1:$A$250,SMALL(IF(--(Source!$B$1:$B$250=$O320)*--(Source!$E$1:$E$250=$Q$3)*--(Source!$D$1:$D$250=Pyramid!$Q320),ROW(Source!$B$1:$B$250),FALSE),X$3)),"")</f>
        <v/>
      </c>
      <c r="Y320" s="5">
        <f t="shared" ca="1" si="15"/>
        <v>0</v>
      </c>
    </row>
    <row r="321" spans="3:25">
      <c r="C321">
        <v>317</v>
      </c>
      <c r="D321" s="5">
        <f t="shared" ca="1" si="13"/>
        <v>0</v>
      </c>
      <c r="E321" t="str">
        <f t="array" aca="1" ref="E321" ca="1">IFERROR(INDEX(Source!$A$1:$A$250,SMALL(IF(--(Source!$B$1:$B$250=$O321)*--(Source!$E$1:$E$250=$M$3)*--(Source!$D$1:$D$250=Pyramid!$M321),ROW(Source!$B$1:$B$250),FALSE),E$3)),"")</f>
        <v/>
      </c>
      <c r="F321" t="str">
        <f t="array" aca="1" ref="F321" ca="1">IFERROR(INDEX(Source!$A$1:$A$250,SMALL(IF(--(Source!$B$1:$B$250=$O321)*--(Source!$E$1:$E$250=$M$3)*--(Source!$D$1:$D$250=Pyramid!$M321),ROW(Source!$B$1:$B$250),FALSE),F$3)),"")</f>
        <v/>
      </c>
      <c r="G321" t="str">
        <f t="array" aca="1" ref="G321" ca="1">IFERROR(INDEX(Source!$A$1:$A$250,SMALL(IF(--(Source!$B$1:$B$250=$O321)*--(Source!$E$1:$E$250=$M$3)*--(Source!$D$1:$D$250=Pyramid!$M321),ROW(Source!$B$1:$B$250),FALSE),G$3)),"")</f>
        <v/>
      </c>
      <c r="H321" t="str">
        <f t="array" aca="1" ref="H321" ca="1">IFERROR(INDEX(Source!$A$1:$A$250,SMALL(IF(--(Source!$B$1:$B$250=$O321)*--(Source!$E$1:$E$250=$M$3)*--(Source!$D$1:$D$250=Pyramid!$M321),ROW(Source!$B$1:$B$250),FALSE),H$3)),"")</f>
        <v/>
      </c>
      <c r="I321" t="str">
        <f t="array" aca="1" ref="I321" ca="1">IFERROR(INDEX(Source!$A$1:$A$250,SMALL(IF(--(Source!$B$1:$B$250=$O321)*--(Source!$E$1:$E$250=$M$3)*--(Source!$D$1:$D$250=Pyramid!$M321),ROW(Source!$B$1:$B$250),FALSE),I$3)),"")</f>
        <v/>
      </c>
      <c r="J321" t="str">
        <f t="array" aca="1" ref="J321" ca="1">IFERROR(INDEX(Source!$A$1:$A$250,SMALL(IF(--(Source!$B$1:$B$250=$O321)*--(Source!$E$1:$E$250=$M$3)*--(Source!$D$1:$D$250=Pyramid!$M321),ROW(Source!$B$1:$B$250),FALSE),J$3)),"")</f>
        <v/>
      </c>
      <c r="K321" t="str">
        <f t="array" aca="1" ref="K321" ca="1">IFERROR(INDEX(Source!$A$1:$A$250,SMALL(IF(--(Source!$B$1:$B$250=$O321)*--(Source!$E$1:$E$250=$M$3)*--(Source!$D$1:$D$250=Pyramid!$M321),ROW(Source!$B$1:$B$250),FALSE),K$3)),"")</f>
        <v/>
      </c>
      <c r="L321" t="str">
        <f t="array" aca="1" ref="L321" ca="1">IFERROR(INDEX(Source!$A$1:$A$250,SMALL(IF(--(Source!$B$1:$B$250=$O321)*--(Source!$E$1:$E$250=$M$3)*--(Source!$D$1:$D$250=Pyramid!$M321),ROW(Source!$B$1:$B$250),FALSE),L$3)),"")</f>
        <v/>
      </c>
      <c r="M321" t="str">
        <f t="shared" si="14"/>
        <v>30/8/2016</v>
      </c>
      <c r="N321">
        <f ca="1">COUNTIFS(Source!B:B,Pyramid!$O321,Source!$D:$D,Pyramid!$M321,Source!$E:$E,Pyramid!$M$3)</f>
        <v>0</v>
      </c>
      <c r="O321">
        <f ca="1">OFFSET(Sheet2!$N$3,INT(C321/5),)</f>
        <v>22308</v>
      </c>
      <c r="P321">
        <f ca="1">COUNTIFS(Source!B:B,Pyramid!$O321,Source!D:D,Pyramid!$Q321,Source!$E:$E,Pyramid!$Q$3)</f>
        <v>0</v>
      </c>
      <c r="Q321" t="str">
        <f t="shared" si="14"/>
        <v>30/8/2016</v>
      </c>
      <c r="R321" t="str">
        <f t="array" aca="1" ref="R321" ca="1">IFERROR(INDEX(Source!$A$1:$A$250,SMALL(IF(--(Source!$B$1:$B$250=$O321)*--(Source!$E$1:$E$250=$Q$3)*--(Source!$D$1:$D$250=Pyramid!$Q321),ROW(Source!$B$1:$B$250),FALSE),R$3)),"")</f>
        <v/>
      </c>
      <c r="S321" t="str">
        <f t="array" aca="1" ref="S321" ca="1">IFERROR(INDEX(Source!$A$1:$A$250,SMALL(IF(--(Source!$B$1:$B$250=$O321)*--(Source!$E$1:$E$250=$Q$3)*--(Source!$D$1:$D$250=Pyramid!$Q321),ROW(Source!$B$1:$B$250),FALSE),S$3)),"")</f>
        <v/>
      </c>
      <c r="T321" t="str">
        <f t="array" aca="1" ref="T321" ca="1">IFERROR(INDEX(Source!$A$1:$A$250,SMALL(IF(--(Source!$B$1:$B$250=$O321)*--(Source!$E$1:$E$250=$Q$3)*--(Source!$D$1:$D$250=Pyramid!$Q321),ROW(Source!$B$1:$B$250),FALSE),T$3)),"")</f>
        <v/>
      </c>
      <c r="U321" t="str">
        <f t="array" aca="1" ref="U321" ca="1">IFERROR(INDEX(Source!$A$1:$A$250,SMALL(IF(--(Source!$B$1:$B$250=$O321)*--(Source!$E$1:$E$250=$Q$3)*--(Source!$D$1:$D$250=Pyramid!$Q321),ROW(Source!$B$1:$B$250),FALSE),U$3)),"")</f>
        <v/>
      </c>
      <c r="V321" t="str">
        <f t="array" aca="1" ref="V321" ca="1">IFERROR(INDEX(Source!$A$1:$A$250,SMALL(IF(--(Source!$B$1:$B$250=$O321)*--(Source!$E$1:$E$250=$Q$3)*--(Source!$D$1:$D$250=Pyramid!$Q321),ROW(Source!$B$1:$B$250),FALSE),V$3)),"")</f>
        <v/>
      </c>
      <c r="W321" t="str">
        <f t="array" aca="1" ref="W321" ca="1">IFERROR(INDEX(Source!$A$1:$A$250,SMALL(IF(--(Source!$B$1:$B$250=$O321)*--(Source!$E$1:$E$250=$Q$3)*--(Source!$D$1:$D$250=Pyramid!$Q321),ROW(Source!$B$1:$B$250),FALSE),W$3)),"")</f>
        <v/>
      </c>
      <c r="X321" t="str">
        <f t="array" aca="1" ref="X321" ca="1">IFERROR(INDEX(Source!$A$1:$A$250,SMALL(IF(--(Source!$B$1:$B$250=$O321)*--(Source!$E$1:$E$250=$Q$3)*--(Source!$D$1:$D$250=Pyramid!$Q321),ROW(Source!$B$1:$B$250),FALSE),X$3)),"")</f>
        <v/>
      </c>
      <c r="Y321" s="5">
        <f t="shared" ca="1" si="15"/>
        <v>0</v>
      </c>
    </row>
    <row r="322" spans="3:25">
      <c r="C322">
        <v>318</v>
      </c>
      <c r="D322" s="5">
        <f t="shared" ca="1" si="13"/>
        <v>0</v>
      </c>
      <c r="E322" t="str">
        <f t="array" aca="1" ref="E322" ca="1">IFERROR(INDEX(Source!$A$1:$A$250,SMALL(IF(--(Source!$B$1:$B$250=$O322)*--(Source!$E$1:$E$250=$M$3)*--(Source!$D$1:$D$250=Pyramid!$M322),ROW(Source!$B$1:$B$250),FALSE),E$3)),"")</f>
        <v/>
      </c>
      <c r="F322" t="str">
        <f t="array" aca="1" ref="F322" ca="1">IFERROR(INDEX(Source!$A$1:$A$250,SMALL(IF(--(Source!$B$1:$B$250=$O322)*--(Source!$E$1:$E$250=$M$3)*--(Source!$D$1:$D$250=Pyramid!$M322),ROW(Source!$B$1:$B$250),FALSE),F$3)),"")</f>
        <v/>
      </c>
      <c r="G322" t="str">
        <f t="array" aca="1" ref="G322" ca="1">IFERROR(INDEX(Source!$A$1:$A$250,SMALL(IF(--(Source!$B$1:$B$250=$O322)*--(Source!$E$1:$E$250=$M$3)*--(Source!$D$1:$D$250=Pyramid!$M322),ROW(Source!$B$1:$B$250),FALSE),G$3)),"")</f>
        <v/>
      </c>
      <c r="H322" t="str">
        <f t="array" aca="1" ref="H322" ca="1">IFERROR(INDEX(Source!$A$1:$A$250,SMALL(IF(--(Source!$B$1:$B$250=$O322)*--(Source!$E$1:$E$250=$M$3)*--(Source!$D$1:$D$250=Pyramid!$M322),ROW(Source!$B$1:$B$250),FALSE),H$3)),"")</f>
        <v/>
      </c>
      <c r="I322" t="str">
        <f t="array" aca="1" ref="I322" ca="1">IFERROR(INDEX(Source!$A$1:$A$250,SMALL(IF(--(Source!$B$1:$B$250=$O322)*--(Source!$E$1:$E$250=$M$3)*--(Source!$D$1:$D$250=Pyramid!$M322),ROW(Source!$B$1:$B$250),FALSE),I$3)),"")</f>
        <v/>
      </c>
      <c r="J322" t="str">
        <f t="array" aca="1" ref="J322" ca="1">IFERROR(INDEX(Source!$A$1:$A$250,SMALL(IF(--(Source!$B$1:$B$250=$O322)*--(Source!$E$1:$E$250=$M$3)*--(Source!$D$1:$D$250=Pyramid!$M322),ROW(Source!$B$1:$B$250),FALSE),J$3)),"")</f>
        <v/>
      </c>
      <c r="K322" t="str">
        <f t="array" aca="1" ref="K322" ca="1">IFERROR(INDEX(Source!$A$1:$A$250,SMALL(IF(--(Source!$B$1:$B$250=$O322)*--(Source!$E$1:$E$250=$M$3)*--(Source!$D$1:$D$250=Pyramid!$M322),ROW(Source!$B$1:$B$250),FALSE),K$3)),"")</f>
        <v/>
      </c>
      <c r="L322" t="str">
        <f t="array" aca="1" ref="L322" ca="1">IFERROR(INDEX(Source!$A$1:$A$250,SMALL(IF(--(Source!$B$1:$B$250=$O322)*--(Source!$E$1:$E$250=$M$3)*--(Source!$D$1:$D$250=Pyramid!$M322),ROW(Source!$B$1:$B$250),FALSE),L$3)),"")</f>
        <v/>
      </c>
      <c r="M322" t="str">
        <f t="shared" si="14"/>
        <v>29/9/2016</v>
      </c>
      <c r="N322">
        <f ca="1">COUNTIFS(Source!B:B,Pyramid!$O322,Source!$D:$D,Pyramid!$M322,Source!$E:$E,Pyramid!$M$3)</f>
        <v>0</v>
      </c>
      <c r="O322">
        <f ca="1">OFFSET(Sheet2!$N$3,INT(C322/5),)</f>
        <v>22308</v>
      </c>
      <c r="P322">
        <f ca="1">COUNTIFS(Source!B:B,Pyramid!$O322,Source!D:D,Pyramid!$Q322,Source!$E:$E,Pyramid!$Q$3)</f>
        <v>0</v>
      </c>
      <c r="Q322" t="str">
        <f t="shared" si="14"/>
        <v>29/9/2016</v>
      </c>
      <c r="R322" t="str">
        <f t="array" aca="1" ref="R322" ca="1">IFERROR(INDEX(Source!$A$1:$A$250,SMALL(IF(--(Source!$B$1:$B$250=$O322)*--(Source!$E$1:$E$250=$Q$3)*--(Source!$D$1:$D$250=Pyramid!$Q322),ROW(Source!$B$1:$B$250),FALSE),R$3)),"")</f>
        <v/>
      </c>
      <c r="S322" t="str">
        <f t="array" aca="1" ref="S322" ca="1">IFERROR(INDEX(Source!$A$1:$A$250,SMALL(IF(--(Source!$B$1:$B$250=$O322)*--(Source!$E$1:$E$250=$Q$3)*--(Source!$D$1:$D$250=Pyramid!$Q322),ROW(Source!$B$1:$B$250),FALSE),S$3)),"")</f>
        <v/>
      </c>
      <c r="T322" t="str">
        <f t="array" aca="1" ref="T322" ca="1">IFERROR(INDEX(Source!$A$1:$A$250,SMALL(IF(--(Source!$B$1:$B$250=$O322)*--(Source!$E$1:$E$250=$Q$3)*--(Source!$D$1:$D$250=Pyramid!$Q322),ROW(Source!$B$1:$B$250),FALSE),T$3)),"")</f>
        <v/>
      </c>
      <c r="U322" t="str">
        <f t="array" aca="1" ref="U322" ca="1">IFERROR(INDEX(Source!$A$1:$A$250,SMALL(IF(--(Source!$B$1:$B$250=$O322)*--(Source!$E$1:$E$250=$Q$3)*--(Source!$D$1:$D$250=Pyramid!$Q322),ROW(Source!$B$1:$B$250),FALSE),U$3)),"")</f>
        <v/>
      </c>
      <c r="V322" t="str">
        <f t="array" aca="1" ref="V322" ca="1">IFERROR(INDEX(Source!$A$1:$A$250,SMALL(IF(--(Source!$B$1:$B$250=$O322)*--(Source!$E$1:$E$250=$Q$3)*--(Source!$D$1:$D$250=Pyramid!$Q322),ROW(Source!$B$1:$B$250),FALSE),V$3)),"")</f>
        <v/>
      </c>
      <c r="W322" t="str">
        <f t="array" aca="1" ref="W322" ca="1">IFERROR(INDEX(Source!$A$1:$A$250,SMALL(IF(--(Source!$B$1:$B$250=$O322)*--(Source!$E$1:$E$250=$Q$3)*--(Source!$D$1:$D$250=Pyramid!$Q322),ROW(Source!$B$1:$B$250),FALSE),W$3)),"")</f>
        <v/>
      </c>
      <c r="X322" t="str">
        <f t="array" aca="1" ref="X322" ca="1">IFERROR(INDEX(Source!$A$1:$A$250,SMALL(IF(--(Source!$B$1:$B$250=$O322)*--(Source!$E$1:$E$250=$Q$3)*--(Source!$D$1:$D$250=Pyramid!$Q322),ROW(Source!$B$1:$B$250),FALSE),X$3)),"")</f>
        <v/>
      </c>
      <c r="Y322" s="5">
        <f t="shared" ca="1" si="15"/>
        <v>0</v>
      </c>
    </row>
    <row r="323" spans="3:25">
      <c r="C323">
        <v>319</v>
      </c>
      <c r="D323" s="5">
        <f t="shared" ca="1" si="13"/>
        <v>0</v>
      </c>
      <c r="E323" t="str">
        <f t="array" aca="1" ref="E323" ca="1">IFERROR(INDEX(Source!$A$1:$A$250,SMALL(IF(--(Source!$B$1:$B$250=$O323)*--(Source!$E$1:$E$250=$M$3)*--(Source!$D$1:$D$250=Pyramid!$M323),ROW(Source!$B$1:$B$250),FALSE),E$3)),"")</f>
        <v/>
      </c>
      <c r="F323" t="str">
        <f t="array" aca="1" ref="F323" ca="1">IFERROR(INDEX(Source!$A$1:$A$250,SMALL(IF(--(Source!$B$1:$B$250=$O323)*--(Source!$E$1:$E$250=$M$3)*--(Source!$D$1:$D$250=Pyramid!$M323),ROW(Source!$B$1:$B$250),FALSE),F$3)),"")</f>
        <v/>
      </c>
      <c r="G323" t="str">
        <f t="array" aca="1" ref="G323" ca="1">IFERROR(INDEX(Source!$A$1:$A$250,SMALL(IF(--(Source!$B$1:$B$250=$O323)*--(Source!$E$1:$E$250=$M$3)*--(Source!$D$1:$D$250=Pyramid!$M323),ROW(Source!$B$1:$B$250),FALSE),G$3)),"")</f>
        <v/>
      </c>
      <c r="H323" t="str">
        <f t="array" aca="1" ref="H323" ca="1">IFERROR(INDEX(Source!$A$1:$A$250,SMALL(IF(--(Source!$B$1:$B$250=$O323)*--(Source!$E$1:$E$250=$M$3)*--(Source!$D$1:$D$250=Pyramid!$M323),ROW(Source!$B$1:$B$250),FALSE),H$3)),"")</f>
        <v/>
      </c>
      <c r="I323" t="str">
        <f t="array" aca="1" ref="I323" ca="1">IFERROR(INDEX(Source!$A$1:$A$250,SMALL(IF(--(Source!$B$1:$B$250=$O323)*--(Source!$E$1:$E$250=$M$3)*--(Source!$D$1:$D$250=Pyramid!$M323),ROW(Source!$B$1:$B$250),FALSE),I$3)),"")</f>
        <v/>
      </c>
      <c r="J323" t="str">
        <f t="array" aca="1" ref="J323" ca="1">IFERROR(INDEX(Source!$A$1:$A$250,SMALL(IF(--(Source!$B$1:$B$250=$O323)*--(Source!$E$1:$E$250=$M$3)*--(Source!$D$1:$D$250=Pyramid!$M323),ROW(Source!$B$1:$B$250),FALSE),J$3)),"")</f>
        <v/>
      </c>
      <c r="K323" t="str">
        <f t="array" aca="1" ref="K323" ca="1">IFERROR(INDEX(Source!$A$1:$A$250,SMALL(IF(--(Source!$B$1:$B$250=$O323)*--(Source!$E$1:$E$250=$M$3)*--(Source!$D$1:$D$250=Pyramid!$M323),ROW(Source!$B$1:$B$250),FALSE),K$3)),"")</f>
        <v/>
      </c>
      <c r="L323" t="str">
        <f t="array" aca="1" ref="L323" ca="1">IFERROR(INDEX(Source!$A$1:$A$250,SMALL(IF(--(Source!$B$1:$B$250=$O323)*--(Source!$E$1:$E$250=$M$3)*--(Source!$D$1:$D$250=Pyramid!$M323),ROW(Source!$B$1:$B$250),FALSE),L$3)),"")</f>
        <v/>
      </c>
      <c r="M323" t="str">
        <f t="shared" si="14"/>
        <v>28/10/2016</v>
      </c>
      <c r="N323">
        <f ca="1">COUNTIFS(Source!B:B,Pyramid!$O323,Source!$D:$D,Pyramid!$M323,Source!$E:$E,Pyramid!$M$3)</f>
        <v>0</v>
      </c>
      <c r="O323">
        <f ca="1">OFFSET(Sheet2!$N$3,INT(C323/5),)</f>
        <v>22308</v>
      </c>
      <c r="P323">
        <f ca="1">COUNTIFS(Source!B:B,Pyramid!$O323,Source!D:D,Pyramid!$Q323,Source!$E:$E,Pyramid!$Q$3)</f>
        <v>0</v>
      </c>
      <c r="Q323" t="str">
        <f t="shared" si="14"/>
        <v>28/10/2016</v>
      </c>
      <c r="R323" t="str">
        <f t="array" aca="1" ref="R323" ca="1">IFERROR(INDEX(Source!$A$1:$A$250,SMALL(IF(--(Source!$B$1:$B$250=$O323)*--(Source!$E$1:$E$250=$Q$3)*--(Source!$D$1:$D$250=Pyramid!$Q323),ROW(Source!$B$1:$B$250),FALSE),R$3)),"")</f>
        <v/>
      </c>
      <c r="S323" t="str">
        <f t="array" aca="1" ref="S323" ca="1">IFERROR(INDEX(Source!$A$1:$A$250,SMALL(IF(--(Source!$B$1:$B$250=$O323)*--(Source!$E$1:$E$250=$Q$3)*--(Source!$D$1:$D$250=Pyramid!$Q323),ROW(Source!$B$1:$B$250),FALSE),S$3)),"")</f>
        <v/>
      </c>
      <c r="T323" t="str">
        <f t="array" aca="1" ref="T323" ca="1">IFERROR(INDEX(Source!$A$1:$A$250,SMALL(IF(--(Source!$B$1:$B$250=$O323)*--(Source!$E$1:$E$250=$Q$3)*--(Source!$D$1:$D$250=Pyramid!$Q323),ROW(Source!$B$1:$B$250),FALSE),T$3)),"")</f>
        <v/>
      </c>
      <c r="U323" t="str">
        <f t="array" aca="1" ref="U323" ca="1">IFERROR(INDEX(Source!$A$1:$A$250,SMALL(IF(--(Source!$B$1:$B$250=$O323)*--(Source!$E$1:$E$250=$Q$3)*--(Source!$D$1:$D$250=Pyramid!$Q323),ROW(Source!$B$1:$B$250),FALSE),U$3)),"")</f>
        <v/>
      </c>
      <c r="V323" t="str">
        <f t="array" aca="1" ref="V323" ca="1">IFERROR(INDEX(Source!$A$1:$A$250,SMALL(IF(--(Source!$B$1:$B$250=$O323)*--(Source!$E$1:$E$250=$Q$3)*--(Source!$D$1:$D$250=Pyramid!$Q323),ROW(Source!$B$1:$B$250),FALSE),V$3)),"")</f>
        <v/>
      </c>
      <c r="W323" t="str">
        <f t="array" aca="1" ref="W323" ca="1">IFERROR(INDEX(Source!$A$1:$A$250,SMALL(IF(--(Source!$B$1:$B$250=$O323)*--(Source!$E$1:$E$250=$Q$3)*--(Source!$D$1:$D$250=Pyramid!$Q323),ROW(Source!$B$1:$B$250),FALSE),W$3)),"")</f>
        <v/>
      </c>
      <c r="X323" t="str">
        <f t="array" aca="1" ref="X323" ca="1">IFERROR(INDEX(Source!$A$1:$A$250,SMALL(IF(--(Source!$B$1:$B$250=$O323)*--(Source!$E$1:$E$250=$Q$3)*--(Source!$D$1:$D$250=Pyramid!$Q323),ROW(Source!$B$1:$B$250),FALSE),X$3)),"")</f>
        <v/>
      </c>
      <c r="Y323" s="5">
        <f t="shared" ca="1" si="15"/>
        <v>0</v>
      </c>
    </row>
    <row r="324" spans="3:25">
      <c r="C324">
        <v>320</v>
      </c>
      <c r="D324" s="5">
        <f t="shared" ca="1" si="13"/>
        <v>0</v>
      </c>
      <c r="E324" t="str">
        <f t="array" aca="1" ref="E324" ca="1">IFERROR(INDEX(Source!$A$1:$A$250,SMALL(IF(--(Source!$B$1:$B$250=$O324)*--(Source!$E$1:$E$250=$M$3)*--(Source!$D$1:$D$250=Pyramid!$M324),ROW(Source!$B$1:$B$250),FALSE),E$3)),"")</f>
        <v/>
      </c>
      <c r="F324" t="str">
        <f t="array" aca="1" ref="F324" ca="1">IFERROR(INDEX(Source!$A$1:$A$250,SMALL(IF(--(Source!$B$1:$B$250=$O324)*--(Source!$E$1:$E$250=$M$3)*--(Source!$D$1:$D$250=Pyramid!$M324),ROW(Source!$B$1:$B$250),FALSE),F$3)),"")</f>
        <v/>
      </c>
      <c r="G324" t="str">
        <f t="array" aca="1" ref="G324" ca="1">IFERROR(INDEX(Source!$A$1:$A$250,SMALL(IF(--(Source!$B$1:$B$250=$O324)*--(Source!$E$1:$E$250=$M$3)*--(Source!$D$1:$D$250=Pyramid!$M324),ROW(Source!$B$1:$B$250),FALSE),G$3)),"")</f>
        <v/>
      </c>
      <c r="H324" t="str">
        <f t="array" aca="1" ref="H324" ca="1">IFERROR(INDEX(Source!$A$1:$A$250,SMALL(IF(--(Source!$B$1:$B$250=$O324)*--(Source!$E$1:$E$250=$M$3)*--(Source!$D$1:$D$250=Pyramid!$M324),ROW(Source!$B$1:$B$250),FALSE),H$3)),"")</f>
        <v/>
      </c>
      <c r="I324" t="str">
        <f t="array" aca="1" ref="I324" ca="1">IFERROR(INDEX(Source!$A$1:$A$250,SMALL(IF(--(Source!$B$1:$B$250=$O324)*--(Source!$E$1:$E$250=$M$3)*--(Source!$D$1:$D$250=Pyramid!$M324),ROW(Source!$B$1:$B$250),FALSE),I$3)),"")</f>
        <v/>
      </c>
      <c r="J324" t="str">
        <f t="array" aca="1" ref="J324" ca="1">IFERROR(INDEX(Source!$A$1:$A$250,SMALL(IF(--(Source!$B$1:$B$250=$O324)*--(Source!$E$1:$E$250=$M$3)*--(Source!$D$1:$D$250=Pyramid!$M324),ROW(Source!$B$1:$B$250),FALSE),J$3)),"")</f>
        <v/>
      </c>
      <c r="K324" t="str">
        <f t="array" aca="1" ref="K324" ca="1">IFERROR(INDEX(Source!$A$1:$A$250,SMALL(IF(--(Source!$B$1:$B$250=$O324)*--(Source!$E$1:$E$250=$M$3)*--(Source!$D$1:$D$250=Pyramid!$M324),ROW(Source!$B$1:$B$250),FALSE),K$3)),"")</f>
        <v/>
      </c>
      <c r="L324" t="str">
        <f t="array" aca="1" ref="L324" ca="1">IFERROR(INDEX(Source!$A$1:$A$250,SMALL(IF(--(Source!$B$1:$B$250=$O324)*--(Source!$E$1:$E$250=$M$3)*--(Source!$D$1:$D$250=Pyramid!$M324),ROW(Source!$B$1:$B$250),FALSE),L$3)),"")</f>
        <v/>
      </c>
      <c r="M324" t="str">
        <f t="shared" si="14"/>
        <v>29/6/2016</v>
      </c>
      <c r="N324">
        <f ca="1">COUNTIFS(Source!B:B,Pyramid!$O324,Source!$D:$D,Pyramid!$M324,Source!$E:$E,Pyramid!$M$3)</f>
        <v>0</v>
      </c>
      <c r="O324">
        <f ca="1">OFFSET(Sheet2!$N$3,INT(C324/5),)</f>
        <v>22500</v>
      </c>
      <c r="P324">
        <f ca="1">COUNTIFS(Source!B:B,Pyramid!$O324,Source!D:D,Pyramid!$Q324,Source!$E:$E,Pyramid!$Q$3)</f>
        <v>0</v>
      </c>
      <c r="Q324" t="str">
        <f t="shared" si="14"/>
        <v>29/6/2016</v>
      </c>
      <c r="R324" t="str">
        <f t="array" aca="1" ref="R324" ca="1">IFERROR(INDEX(Source!$A$1:$A$250,SMALL(IF(--(Source!$B$1:$B$250=$O324)*--(Source!$E$1:$E$250=$Q$3)*--(Source!$D$1:$D$250=Pyramid!$Q324),ROW(Source!$B$1:$B$250),FALSE),R$3)),"")</f>
        <v/>
      </c>
      <c r="S324" t="str">
        <f t="array" aca="1" ref="S324" ca="1">IFERROR(INDEX(Source!$A$1:$A$250,SMALL(IF(--(Source!$B$1:$B$250=$O324)*--(Source!$E$1:$E$250=$Q$3)*--(Source!$D$1:$D$250=Pyramid!$Q324),ROW(Source!$B$1:$B$250),FALSE),S$3)),"")</f>
        <v/>
      </c>
      <c r="T324" t="str">
        <f t="array" aca="1" ref="T324" ca="1">IFERROR(INDEX(Source!$A$1:$A$250,SMALL(IF(--(Source!$B$1:$B$250=$O324)*--(Source!$E$1:$E$250=$Q$3)*--(Source!$D$1:$D$250=Pyramid!$Q324),ROW(Source!$B$1:$B$250),FALSE),T$3)),"")</f>
        <v/>
      </c>
      <c r="U324" t="str">
        <f t="array" aca="1" ref="U324" ca="1">IFERROR(INDEX(Source!$A$1:$A$250,SMALL(IF(--(Source!$B$1:$B$250=$O324)*--(Source!$E$1:$E$250=$Q$3)*--(Source!$D$1:$D$250=Pyramid!$Q324),ROW(Source!$B$1:$B$250),FALSE),U$3)),"")</f>
        <v/>
      </c>
      <c r="V324" t="str">
        <f t="array" aca="1" ref="V324" ca="1">IFERROR(INDEX(Source!$A$1:$A$250,SMALL(IF(--(Source!$B$1:$B$250=$O324)*--(Source!$E$1:$E$250=$Q$3)*--(Source!$D$1:$D$250=Pyramid!$Q324),ROW(Source!$B$1:$B$250),FALSE),V$3)),"")</f>
        <v/>
      </c>
      <c r="W324" t="str">
        <f t="array" aca="1" ref="W324" ca="1">IFERROR(INDEX(Source!$A$1:$A$250,SMALL(IF(--(Source!$B$1:$B$250=$O324)*--(Source!$E$1:$E$250=$Q$3)*--(Source!$D$1:$D$250=Pyramid!$Q324),ROW(Source!$B$1:$B$250),FALSE),W$3)),"")</f>
        <v/>
      </c>
      <c r="X324" t="str">
        <f t="array" aca="1" ref="X324" ca="1">IFERROR(INDEX(Source!$A$1:$A$250,SMALL(IF(--(Source!$B$1:$B$250=$O324)*--(Source!$E$1:$E$250=$Q$3)*--(Source!$D$1:$D$250=Pyramid!$Q324),ROW(Source!$B$1:$B$250),FALSE),X$3)),"")</f>
        <v/>
      </c>
      <c r="Y324" s="5">
        <f t="shared" ca="1" si="15"/>
        <v>0</v>
      </c>
    </row>
    <row r="325" spans="3:25">
      <c r="C325">
        <v>321</v>
      </c>
      <c r="D325" s="5">
        <f t="shared" ref="D325:D388" ca="1" si="16">SUMPRODUCT(--(E325:L325&lt;&gt;""))-N325</f>
        <v>0</v>
      </c>
      <c r="E325" t="str">
        <f t="array" aca="1" ref="E325" ca="1">IFERROR(INDEX(Source!$A$1:$A$250,SMALL(IF(--(Source!$B$1:$B$250=$O325)*--(Source!$E$1:$E$250=$M$3)*--(Source!$D$1:$D$250=Pyramid!$M325),ROW(Source!$B$1:$B$250),FALSE),E$3)),"")</f>
        <v/>
      </c>
      <c r="F325" t="str">
        <f t="array" aca="1" ref="F325" ca="1">IFERROR(INDEX(Source!$A$1:$A$250,SMALL(IF(--(Source!$B$1:$B$250=$O325)*--(Source!$E$1:$E$250=$M$3)*--(Source!$D$1:$D$250=Pyramid!$M325),ROW(Source!$B$1:$B$250),FALSE),F$3)),"")</f>
        <v/>
      </c>
      <c r="G325" t="str">
        <f t="array" aca="1" ref="G325" ca="1">IFERROR(INDEX(Source!$A$1:$A$250,SMALL(IF(--(Source!$B$1:$B$250=$O325)*--(Source!$E$1:$E$250=$M$3)*--(Source!$D$1:$D$250=Pyramid!$M325),ROW(Source!$B$1:$B$250),FALSE),G$3)),"")</f>
        <v/>
      </c>
      <c r="H325" t="str">
        <f t="array" aca="1" ref="H325" ca="1">IFERROR(INDEX(Source!$A$1:$A$250,SMALL(IF(--(Source!$B$1:$B$250=$O325)*--(Source!$E$1:$E$250=$M$3)*--(Source!$D$1:$D$250=Pyramid!$M325),ROW(Source!$B$1:$B$250),FALSE),H$3)),"")</f>
        <v/>
      </c>
      <c r="I325" t="str">
        <f t="array" aca="1" ref="I325" ca="1">IFERROR(INDEX(Source!$A$1:$A$250,SMALL(IF(--(Source!$B$1:$B$250=$O325)*--(Source!$E$1:$E$250=$M$3)*--(Source!$D$1:$D$250=Pyramid!$M325),ROW(Source!$B$1:$B$250),FALSE),I$3)),"")</f>
        <v/>
      </c>
      <c r="J325" t="str">
        <f t="array" aca="1" ref="J325" ca="1">IFERROR(INDEX(Source!$A$1:$A$250,SMALL(IF(--(Source!$B$1:$B$250=$O325)*--(Source!$E$1:$E$250=$M$3)*--(Source!$D$1:$D$250=Pyramid!$M325),ROW(Source!$B$1:$B$250),FALSE),J$3)),"")</f>
        <v/>
      </c>
      <c r="K325" t="str">
        <f t="array" aca="1" ref="K325" ca="1">IFERROR(INDEX(Source!$A$1:$A$250,SMALL(IF(--(Source!$B$1:$B$250=$O325)*--(Source!$E$1:$E$250=$M$3)*--(Source!$D$1:$D$250=Pyramid!$M325),ROW(Source!$B$1:$B$250),FALSE),K$3)),"")</f>
        <v/>
      </c>
      <c r="L325" t="str">
        <f t="array" aca="1" ref="L325" ca="1">IFERROR(INDEX(Source!$A$1:$A$250,SMALL(IF(--(Source!$B$1:$B$250=$O325)*--(Source!$E$1:$E$250=$M$3)*--(Source!$D$1:$D$250=Pyramid!$M325),ROW(Source!$B$1:$B$250),FALSE),L$3)),"")</f>
        <v/>
      </c>
      <c r="M325" t="str">
        <f t="shared" ref="M325:Q388" si="17">INDEX($A$4:$A$8,MOD($C325,5)+1)</f>
        <v>28/7/2016</v>
      </c>
      <c r="N325">
        <f ca="1">COUNTIFS(Source!B:B,Pyramid!$O325,Source!$D:$D,Pyramid!$M325,Source!$E:$E,Pyramid!$M$3)</f>
        <v>0</v>
      </c>
      <c r="O325">
        <f ca="1">OFFSET(Sheet2!$N$3,INT(C325/5),)</f>
        <v>22500</v>
      </c>
      <c r="P325">
        <f ca="1">COUNTIFS(Source!B:B,Pyramid!$O325,Source!D:D,Pyramid!$Q325,Source!$E:$E,Pyramid!$Q$3)</f>
        <v>0</v>
      </c>
      <c r="Q325" t="str">
        <f t="shared" si="17"/>
        <v>28/7/2016</v>
      </c>
      <c r="R325" t="str">
        <f t="array" aca="1" ref="R325" ca="1">IFERROR(INDEX(Source!$A$1:$A$250,SMALL(IF(--(Source!$B$1:$B$250=$O325)*--(Source!$E$1:$E$250=$Q$3)*--(Source!$D$1:$D$250=Pyramid!$Q325),ROW(Source!$B$1:$B$250),FALSE),R$3)),"")</f>
        <v/>
      </c>
      <c r="S325" t="str">
        <f t="array" aca="1" ref="S325" ca="1">IFERROR(INDEX(Source!$A$1:$A$250,SMALL(IF(--(Source!$B$1:$B$250=$O325)*--(Source!$E$1:$E$250=$Q$3)*--(Source!$D$1:$D$250=Pyramid!$Q325),ROW(Source!$B$1:$B$250),FALSE),S$3)),"")</f>
        <v/>
      </c>
      <c r="T325" t="str">
        <f t="array" aca="1" ref="T325" ca="1">IFERROR(INDEX(Source!$A$1:$A$250,SMALL(IF(--(Source!$B$1:$B$250=$O325)*--(Source!$E$1:$E$250=$Q$3)*--(Source!$D$1:$D$250=Pyramid!$Q325),ROW(Source!$B$1:$B$250),FALSE),T$3)),"")</f>
        <v/>
      </c>
      <c r="U325" t="str">
        <f t="array" aca="1" ref="U325" ca="1">IFERROR(INDEX(Source!$A$1:$A$250,SMALL(IF(--(Source!$B$1:$B$250=$O325)*--(Source!$E$1:$E$250=$Q$3)*--(Source!$D$1:$D$250=Pyramid!$Q325),ROW(Source!$B$1:$B$250),FALSE),U$3)),"")</f>
        <v/>
      </c>
      <c r="V325" t="str">
        <f t="array" aca="1" ref="V325" ca="1">IFERROR(INDEX(Source!$A$1:$A$250,SMALL(IF(--(Source!$B$1:$B$250=$O325)*--(Source!$E$1:$E$250=$Q$3)*--(Source!$D$1:$D$250=Pyramid!$Q325),ROW(Source!$B$1:$B$250),FALSE),V$3)),"")</f>
        <v/>
      </c>
      <c r="W325" t="str">
        <f t="array" aca="1" ref="W325" ca="1">IFERROR(INDEX(Source!$A$1:$A$250,SMALL(IF(--(Source!$B$1:$B$250=$O325)*--(Source!$E$1:$E$250=$Q$3)*--(Source!$D$1:$D$250=Pyramid!$Q325),ROW(Source!$B$1:$B$250),FALSE),W$3)),"")</f>
        <v/>
      </c>
      <c r="X325" t="str">
        <f t="array" aca="1" ref="X325" ca="1">IFERROR(INDEX(Source!$A$1:$A$250,SMALL(IF(--(Source!$B$1:$B$250=$O325)*--(Source!$E$1:$E$250=$Q$3)*--(Source!$D$1:$D$250=Pyramid!$Q325),ROW(Source!$B$1:$B$250),FALSE),X$3)),"")</f>
        <v/>
      </c>
      <c r="Y325" s="5">
        <f t="shared" ref="Y325:Y388" ca="1" si="18">SUMPRODUCT(--(R325:X325&lt;&gt;""))-P325</f>
        <v>0</v>
      </c>
    </row>
    <row r="326" spans="3:25">
      <c r="C326">
        <v>322</v>
      </c>
      <c r="D326" s="5">
        <f t="shared" ca="1" si="16"/>
        <v>0</v>
      </c>
      <c r="E326" t="str">
        <f t="array" aca="1" ref="E326" ca="1">IFERROR(INDEX(Source!$A$1:$A$250,SMALL(IF(--(Source!$B$1:$B$250=$O326)*--(Source!$E$1:$E$250=$M$3)*--(Source!$D$1:$D$250=Pyramid!$M326),ROW(Source!$B$1:$B$250),FALSE),E$3)),"")</f>
        <v/>
      </c>
      <c r="F326" t="str">
        <f t="array" aca="1" ref="F326" ca="1">IFERROR(INDEX(Source!$A$1:$A$250,SMALL(IF(--(Source!$B$1:$B$250=$O326)*--(Source!$E$1:$E$250=$M$3)*--(Source!$D$1:$D$250=Pyramid!$M326),ROW(Source!$B$1:$B$250),FALSE),F$3)),"")</f>
        <v/>
      </c>
      <c r="G326" t="str">
        <f t="array" aca="1" ref="G326" ca="1">IFERROR(INDEX(Source!$A$1:$A$250,SMALL(IF(--(Source!$B$1:$B$250=$O326)*--(Source!$E$1:$E$250=$M$3)*--(Source!$D$1:$D$250=Pyramid!$M326),ROW(Source!$B$1:$B$250),FALSE),G$3)),"")</f>
        <v/>
      </c>
      <c r="H326" t="str">
        <f t="array" aca="1" ref="H326" ca="1">IFERROR(INDEX(Source!$A$1:$A$250,SMALL(IF(--(Source!$B$1:$B$250=$O326)*--(Source!$E$1:$E$250=$M$3)*--(Source!$D$1:$D$250=Pyramid!$M326),ROW(Source!$B$1:$B$250),FALSE),H$3)),"")</f>
        <v/>
      </c>
      <c r="I326" t="str">
        <f t="array" aca="1" ref="I326" ca="1">IFERROR(INDEX(Source!$A$1:$A$250,SMALL(IF(--(Source!$B$1:$B$250=$O326)*--(Source!$E$1:$E$250=$M$3)*--(Source!$D$1:$D$250=Pyramid!$M326),ROW(Source!$B$1:$B$250),FALSE),I$3)),"")</f>
        <v/>
      </c>
      <c r="J326" t="str">
        <f t="array" aca="1" ref="J326" ca="1">IFERROR(INDEX(Source!$A$1:$A$250,SMALL(IF(--(Source!$B$1:$B$250=$O326)*--(Source!$E$1:$E$250=$M$3)*--(Source!$D$1:$D$250=Pyramid!$M326),ROW(Source!$B$1:$B$250),FALSE),J$3)),"")</f>
        <v/>
      </c>
      <c r="K326" t="str">
        <f t="array" aca="1" ref="K326" ca="1">IFERROR(INDEX(Source!$A$1:$A$250,SMALL(IF(--(Source!$B$1:$B$250=$O326)*--(Source!$E$1:$E$250=$M$3)*--(Source!$D$1:$D$250=Pyramid!$M326),ROW(Source!$B$1:$B$250),FALSE),K$3)),"")</f>
        <v/>
      </c>
      <c r="L326" t="str">
        <f t="array" aca="1" ref="L326" ca="1">IFERROR(INDEX(Source!$A$1:$A$250,SMALL(IF(--(Source!$B$1:$B$250=$O326)*--(Source!$E$1:$E$250=$M$3)*--(Source!$D$1:$D$250=Pyramid!$M326),ROW(Source!$B$1:$B$250),FALSE),L$3)),"")</f>
        <v/>
      </c>
      <c r="M326" t="str">
        <f t="shared" si="17"/>
        <v>30/8/2016</v>
      </c>
      <c r="N326">
        <f ca="1">COUNTIFS(Source!B:B,Pyramid!$O326,Source!$D:$D,Pyramid!$M326,Source!$E:$E,Pyramid!$M$3)</f>
        <v>0</v>
      </c>
      <c r="O326">
        <f ca="1">OFFSET(Sheet2!$N$3,INT(C326/5),)</f>
        <v>22500</v>
      </c>
      <c r="P326">
        <f ca="1">COUNTIFS(Source!B:B,Pyramid!$O326,Source!D:D,Pyramid!$Q326,Source!$E:$E,Pyramid!$Q$3)</f>
        <v>1</v>
      </c>
      <c r="Q326" t="str">
        <f t="shared" si="17"/>
        <v>30/8/2016</v>
      </c>
      <c r="R326" t="str">
        <f t="array" aca="1" ref="R326" ca="1">IFERROR(INDEX(Source!$A$1:$A$250,SMALL(IF(--(Source!$B$1:$B$250=$O326)*--(Source!$E$1:$E$250=$Q$3)*--(Source!$D$1:$D$250=Pyramid!$Q326),ROW(Source!$B$1:$B$250),FALSE),R$3)),"")</f>
        <v>24429 HK Equity</v>
      </c>
      <c r="S326" t="str">
        <f t="array" aca="1" ref="S326" ca="1">IFERROR(INDEX(Source!$A$1:$A$250,SMALL(IF(--(Source!$B$1:$B$250=$O326)*--(Source!$E$1:$E$250=$Q$3)*--(Source!$D$1:$D$250=Pyramid!$Q326),ROW(Source!$B$1:$B$250),FALSE),S$3)),"")</f>
        <v/>
      </c>
      <c r="T326" t="str">
        <f t="array" aca="1" ref="T326" ca="1">IFERROR(INDEX(Source!$A$1:$A$250,SMALL(IF(--(Source!$B$1:$B$250=$O326)*--(Source!$E$1:$E$250=$Q$3)*--(Source!$D$1:$D$250=Pyramid!$Q326),ROW(Source!$B$1:$B$250),FALSE),T$3)),"")</f>
        <v/>
      </c>
      <c r="U326" t="str">
        <f t="array" aca="1" ref="U326" ca="1">IFERROR(INDEX(Source!$A$1:$A$250,SMALL(IF(--(Source!$B$1:$B$250=$O326)*--(Source!$E$1:$E$250=$Q$3)*--(Source!$D$1:$D$250=Pyramid!$Q326),ROW(Source!$B$1:$B$250),FALSE),U$3)),"")</f>
        <v/>
      </c>
      <c r="V326" t="str">
        <f t="array" aca="1" ref="V326" ca="1">IFERROR(INDEX(Source!$A$1:$A$250,SMALL(IF(--(Source!$B$1:$B$250=$O326)*--(Source!$E$1:$E$250=$Q$3)*--(Source!$D$1:$D$250=Pyramid!$Q326),ROW(Source!$B$1:$B$250),FALSE),V$3)),"")</f>
        <v/>
      </c>
      <c r="W326" t="str">
        <f t="array" aca="1" ref="W326" ca="1">IFERROR(INDEX(Source!$A$1:$A$250,SMALL(IF(--(Source!$B$1:$B$250=$O326)*--(Source!$E$1:$E$250=$Q$3)*--(Source!$D$1:$D$250=Pyramid!$Q326),ROW(Source!$B$1:$B$250),FALSE),W$3)),"")</f>
        <v/>
      </c>
      <c r="X326" t="str">
        <f t="array" aca="1" ref="X326" ca="1">IFERROR(INDEX(Source!$A$1:$A$250,SMALL(IF(--(Source!$B$1:$B$250=$O326)*--(Source!$E$1:$E$250=$Q$3)*--(Source!$D$1:$D$250=Pyramid!$Q326),ROW(Source!$B$1:$B$250),FALSE),X$3)),"")</f>
        <v/>
      </c>
      <c r="Y326" s="5">
        <f t="shared" ca="1" si="18"/>
        <v>0</v>
      </c>
    </row>
    <row r="327" spans="3:25">
      <c r="C327">
        <v>323</v>
      </c>
      <c r="D327" s="5">
        <f t="shared" ca="1" si="16"/>
        <v>0</v>
      </c>
      <c r="E327" t="str">
        <f t="array" aca="1" ref="E327" ca="1">IFERROR(INDEX(Source!$A$1:$A$250,SMALL(IF(--(Source!$B$1:$B$250=$O327)*--(Source!$E$1:$E$250=$M$3)*--(Source!$D$1:$D$250=Pyramid!$M327),ROW(Source!$B$1:$B$250),FALSE),E$3)),"")</f>
        <v/>
      </c>
      <c r="F327" t="str">
        <f t="array" aca="1" ref="F327" ca="1">IFERROR(INDEX(Source!$A$1:$A$250,SMALL(IF(--(Source!$B$1:$B$250=$O327)*--(Source!$E$1:$E$250=$M$3)*--(Source!$D$1:$D$250=Pyramid!$M327),ROW(Source!$B$1:$B$250),FALSE),F$3)),"")</f>
        <v/>
      </c>
      <c r="G327" t="str">
        <f t="array" aca="1" ref="G327" ca="1">IFERROR(INDEX(Source!$A$1:$A$250,SMALL(IF(--(Source!$B$1:$B$250=$O327)*--(Source!$E$1:$E$250=$M$3)*--(Source!$D$1:$D$250=Pyramid!$M327),ROW(Source!$B$1:$B$250),FALSE),G$3)),"")</f>
        <v/>
      </c>
      <c r="H327" t="str">
        <f t="array" aca="1" ref="H327" ca="1">IFERROR(INDEX(Source!$A$1:$A$250,SMALL(IF(--(Source!$B$1:$B$250=$O327)*--(Source!$E$1:$E$250=$M$3)*--(Source!$D$1:$D$250=Pyramid!$M327),ROW(Source!$B$1:$B$250),FALSE),H$3)),"")</f>
        <v/>
      </c>
      <c r="I327" t="str">
        <f t="array" aca="1" ref="I327" ca="1">IFERROR(INDEX(Source!$A$1:$A$250,SMALL(IF(--(Source!$B$1:$B$250=$O327)*--(Source!$E$1:$E$250=$M$3)*--(Source!$D$1:$D$250=Pyramid!$M327),ROW(Source!$B$1:$B$250),FALSE),I$3)),"")</f>
        <v/>
      </c>
      <c r="J327" t="str">
        <f t="array" aca="1" ref="J327" ca="1">IFERROR(INDEX(Source!$A$1:$A$250,SMALL(IF(--(Source!$B$1:$B$250=$O327)*--(Source!$E$1:$E$250=$M$3)*--(Source!$D$1:$D$250=Pyramid!$M327),ROW(Source!$B$1:$B$250),FALSE),J$3)),"")</f>
        <v/>
      </c>
      <c r="K327" t="str">
        <f t="array" aca="1" ref="K327" ca="1">IFERROR(INDEX(Source!$A$1:$A$250,SMALL(IF(--(Source!$B$1:$B$250=$O327)*--(Source!$E$1:$E$250=$M$3)*--(Source!$D$1:$D$250=Pyramid!$M327),ROW(Source!$B$1:$B$250),FALSE),K$3)),"")</f>
        <v/>
      </c>
      <c r="L327" t="str">
        <f t="array" aca="1" ref="L327" ca="1">IFERROR(INDEX(Source!$A$1:$A$250,SMALL(IF(--(Source!$B$1:$B$250=$O327)*--(Source!$E$1:$E$250=$M$3)*--(Source!$D$1:$D$250=Pyramid!$M327),ROW(Source!$B$1:$B$250),FALSE),L$3)),"")</f>
        <v/>
      </c>
      <c r="M327" t="str">
        <f t="shared" si="17"/>
        <v>29/9/2016</v>
      </c>
      <c r="N327">
        <f ca="1">COUNTIFS(Source!B:B,Pyramid!$O327,Source!$D:$D,Pyramid!$M327,Source!$E:$E,Pyramid!$M$3)</f>
        <v>0</v>
      </c>
      <c r="O327">
        <f ca="1">OFFSET(Sheet2!$N$3,INT(C327/5),)</f>
        <v>22500</v>
      </c>
      <c r="P327">
        <f ca="1">COUNTIFS(Source!B:B,Pyramid!$O327,Source!D:D,Pyramid!$Q327,Source!$E:$E,Pyramid!$Q$3)</f>
        <v>0</v>
      </c>
      <c r="Q327" t="str">
        <f t="shared" si="17"/>
        <v>29/9/2016</v>
      </c>
      <c r="R327" t="str">
        <f t="array" aca="1" ref="R327" ca="1">IFERROR(INDEX(Source!$A$1:$A$250,SMALL(IF(--(Source!$B$1:$B$250=$O327)*--(Source!$E$1:$E$250=$Q$3)*--(Source!$D$1:$D$250=Pyramid!$Q327),ROW(Source!$B$1:$B$250),FALSE),R$3)),"")</f>
        <v/>
      </c>
      <c r="S327" t="str">
        <f t="array" aca="1" ref="S327" ca="1">IFERROR(INDEX(Source!$A$1:$A$250,SMALL(IF(--(Source!$B$1:$B$250=$O327)*--(Source!$E$1:$E$250=$Q$3)*--(Source!$D$1:$D$250=Pyramid!$Q327),ROW(Source!$B$1:$B$250),FALSE),S$3)),"")</f>
        <v/>
      </c>
      <c r="T327" t="str">
        <f t="array" aca="1" ref="T327" ca="1">IFERROR(INDEX(Source!$A$1:$A$250,SMALL(IF(--(Source!$B$1:$B$250=$O327)*--(Source!$E$1:$E$250=$Q$3)*--(Source!$D$1:$D$250=Pyramid!$Q327),ROW(Source!$B$1:$B$250),FALSE),T$3)),"")</f>
        <v/>
      </c>
      <c r="U327" t="str">
        <f t="array" aca="1" ref="U327" ca="1">IFERROR(INDEX(Source!$A$1:$A$250,SMALL(IF(--(Source!$B$1:$B$250=$O327)*--(Source!$E$1:$E$250=$Q$3)*--(Source!$D$1:$D$250=Pyramid!$Q327),ROW(Source!$B$1:$B$250),FALSE),U$3)),"")</f>
        <v/>
      </c>
      <c r="V327" t="str">
        <f t="array" aca="1" ref="V327" ca="1">IFERROR(INDEX(Source!$A$1:$A$250,SMALL(IF(--(Source!$B$1:$B$250=$O327)*--(Source!$E$1:$E$250=$Q$3)*--(Source!$D$1:$D$250=Pyramid!$Q327),ROW(Source!$B$1:$B$250),FALSE),V$3)),"")</f>
        <v/>
      </c>
      <c r="W327" t="str">
        <f t="array" aca="1" ref="W327" ca="1">IFERROR(INDEX(Source!$A$1:$A$250,SMALL(IF(--(Source!$B$1:$B$250=$O327)*--(Source!$E$1:$E$250=$Q$3)*--(Source!$D$1:$D$250=Pyramid!$Q327),ROW(Source!$B$1:$B$250),FALSE),W$3)),"")</f>
        <v/>
      </c>
      <c r="X327" t="str">
        <f t="array" aca="1" ref="X327" ca="1">IFERROR(INDEX(Source!$A$1:$A$250,SMALL(IF(--(Source!$B$1:$B$250=$O327)*--(Source!$E$1:$E$250=$Q$3)*--(Source!$D$1:$D$250=Pyramid!$Q327),ROW(Source!$B$1:$B$250),FALSE),X$3)),"")</f>
        <v/>
      </c>
      <c r="Y327" s="5">
        <f t="shared" ca="1" si="18"/>
        <v>0</v>
      </c>
    </row>
    <row r="328" spans="3:25">
      <c r="C328">
        <v>324</v>
      </c>
      <c r="D328" s="5">
        <f t="shared" ca="1" si="16"/>
        <v>0</v>
      </c>
      <c r="E328" t="str">
        <f t="array" aca="1" ref="E328" ca="1">IFERROR(INDEX(Source!$A$1:$A$250,SMALL(IF(--(Source!$B$1:$B$250=$O328)*--(Source!$E$1:$E$250=$M$3)*--(Source!$D$1:$D$250=Pyramid!$M328),ROW(Source!$B$1:$B$250),FALSE),E$3)),"")</f>
        <v/>
      </c>
      <c r="F328" t="str">
        <f t="array" aca="1" ref="F328" ca="1">IFERROR(INDEX(Source!$A$1:$A$250,SMALL(IF(--(Source!$B$1:$B$250=$O328)*--(Source!$E$1:$E$250=$M$3)*--(Source!$D$1:$D$250=Pyramid!$M328),ROW(Source!$B$1:$B$250),FALSE),F$3)),"")</f>
        <v/>
      </c>
      <c r="G328" t="str">
        <f t="array" aca="1" ref="G328" ca="1">IFERROR(INDEX(Source!$A$1:$A$250,SMALL(IF(--(Source!$B$1:$B$250=$O328)*--(Source!$E$1:$E$250=$M$3)*--(Source!$D$1:$D$250=Pyramid!$M328),ROW(Source!$B$1:$B$250),FALSE),G$3)),"")</f>
        <v/>
      </c>
      <c r="H328" t="str">
        <f t="array" aca="1" ref="H328" ca="1">IFERROR(INDEX(Source!$A$1:$A$250,SMALL(IF(--(Source!$B$1:$B$250=$O328)*--(Source!$E$1:$E$250=$M$3)*--(Source!$D$1:$D$250=Pyramid!$M328),ROW(Source!$B$1:$B$250),FALSE),H$3)),"")</f>
        <v/>
      </c>
      <c r="I328" t="str">
        <f t="array" aca="1" ref="I328" ca="1">IFERROR(INDEX(Source!$A$1:$A$250,SMALL(IF(--(Source!$B$1:$B$250=$O328)*--(Source!$E$1:$E$250=$M$3)*--(Source!$D$1:$D$250=Pyramid!$M328),ROW(Source!$B$1:$B$250),FALSE),I$3)),"")</f>
        <v/>
      </c>
      <c r="J328" t="str">
        <f t="array" aca="1" ref="J328" ca="1">IFERROR(INDEX(Source!$A$1:$A$250,SMALL(IF(--(Source!$B$1:$B$250=$O328)*--(Source!$E$1:$E$250=$M$3)*--(Source!$D$1:$D$250=Pyramid!$M328),ROW(Source!$B$1:$B$250),FALSE),J$3)),"")</f>
        <v/>
      </c>
      <c r="K328" t="str">
        <f t="array" aca="1" ref="K328" ca="1">IFERROR(INDEX(Source!$A$1:$A$250,SMALL(IF(--(Source!$B$1:$B$250=$O328)*--(Source!$E$1:$E$250=$M$3)*--(Source!$D$1:$D$250=Pyramid!$M328),ROW(Source!$B$1:$B$250),FALSE),K$3)),"")</f>
        <v/>
      </c>
      <c r="L328" t="str">
        <f t="array" aca="1" ref="L328" ca="1">IFERROR(INDEX(Source!$A$1:$A$250,SMALL(IF(--(Source!$B$1:$B$250=$O328)*--(Source!$E$1:$E$250=$M$3)*--(Source!$D$1:$D$250=Pyramid!$M328),ROW(Source!$B$1:$B$250),FALSE),L$3)),"")</f>
        <v/>
      </c>
      <c r="M328" t="str">
        <f t="shared" si="17"/>
        <v>28/10/2016</v>
      </c>
      <c r="N328">
        <f ca="1">COUNTIFS(Source!B:B,Pyramid!$O328,Source!$D:$D,Pyramid!$M328,Source!$E:$E,Pyramid!$M$3)</f>
        <v>0</v>
      </c>
      <c r="O328">
        <f ca="1">OFFSET(Sheet2!$N$3,INT(C328/5),)</f>
        <v>22500</v>
      </c>
      <c r="P328">
        <f ca="1">COUNTIFS(Source!B:B,Pyramid!$O328,Source!D:D,Pyramid!$Q328,Source!$E:$E,Pyramid!$Q$3)</f>
        <v>0</v>
      </c>
      <c r="Q328" t="str">
        <f t="shared" si="17"/>
        <v>28/10/2016</v>
      </c>
      <c r="R328" t="str">
        <f t="array" aca="1" ref="R328" ca="1">IFERROR(INDEX(Source!$A$1:$A$250,SMALL(IF(--(Source!$B$1:$B$250=$O328)*--(Source!$E$1:$E$250=$Q$3)*--(Source!$D$1:$D$250=Pyramid!$Q328),ROW(Source!$B$1:$B$250),FALSE),R$3)),"")</f>
        <v/>
      </c>
      <c r="S328" t="str">
        <f t="array" aca="1" ref="S328" ca="1">IFERROR(INDEX(Source!$A$1:$A$250,SMALL(IF(--(Source!$B$1:$B$250=$O328)*--(Source!$E$1:$E$250=$Q$3)*--(Source!$D$1:$D$250=Pyramid!$Q328),ROW(Source!$B$1:$B$250),FALSE),S$3)),"")</f>
        <v/>
      </c>
      <c r="T328" t="str">
        <f t="array" aca="1" ref="T328" ca="1">IFERROR(INDEX(Source!$A$1:$A$250,SMALL(IF(--(Source!$B$1:$B$250=$O328)*--(Source!$E$1:$E$250=$Q$3)*--(Source!$D$1:$D$250=Pyramid!$Q328),ROW(Source!$B$1:$B$250),FALSE),T$3)),"")</f>
        <v/>
      </c>
      <c r="U328" t="str">
        <f t="array" aca="1" ref="U328" ca="1">IFERROR(INDEX(Source!$A$1:$A$250,SMALL(IF(--(Source!$B$1:$B$250=$O328)*--(Source!$E$1:$E$250=$Q$3)*--(Source!$D$1:$D$250=Pyramid!$Q328),ROW(Source!$B$1:$B$250),FALSE),U$3)),"")</f>
        <v/>
      </c>
      <c r="V328" t="str">
        <f t="array" aca="1" ref="V328" ca="1">IFERROR(INDEX(Source!$A$1:$A$250,SMALL(IF(--(Source!$B$1:$B$250=$O328)*--(Source!$E$1:$E$250=$Q$3)*--(Source!$D$1:$D$250=Pyramid!$Q328),ROW(Source!$B$1:$B$250),FALSE),V$3)),"")</f>
        <v/>
      </c>
      <c r="W328" t="str">
        <f t="array" aca="1" ref="W328" ca="1">IFERROR(INDEX(Source!$A$1:$A$250,SMALL(IF(--(Source!$B$1:$B$250=$O328)*--(Source!$E$1:$E$250=$Q$3)*--(Source!$D$1:$D$250=Pyramid!$Q328),ROW(Source!$B$1:$B$250),FALSE),W$3)),"")</f>
        <v/>
      </c>
      <c r="X328" t="str">
        <f t="array" aca="1" ref="X328" ca="1">IFERROR(INDEX(Source!$A$1:$A$250,SMALL(IF(--(Source!$B$1:$B$250=$O328)*--(Source!$E$1:$E$250=$Q$3)*--(Source!$D$1:$D$250=Pyramid!$Q328),ROW(Source!$B$1:$B$250),FALSE),X$3)),"")</f>
        <v/>
      </c>
      <c r="Y328" s="5">
        <f t="shared" ca="1" si="18"/>
        <v>0</v>
      </c>
    </row>
    <row r="329" spans="3:25">
      <c r="C329">
        <v>325</v>
      </c>
      <c r="D329" s="5">
        <f t="shared" ca="1" si="16"/>
        <v>0</v>
      </c>
      <c r="E329" t="str">
        <f t="array" aca="1" ref="E329" ca="1">IFERROR(INDEX(Source!$A$1:$A$250,SMALL(IF(--(Source!$B$1:$B$250=$O329)*--(Source!$E$1:$E$250=$M$3)*--(Source!$D$1:$D$250=Pyramid!$M329),ROW(Source!$B$1:$B$250),FALSE),E$3)),"")</f>
        <v/>
      </c>
      <c r="F329" t="str">
        <f t="array" aca="1" ref="F329" ca="1">IFERROR(INDEX(Source!$A$1:$A$250,SMALL(IF(--(Source!$B$1:$B$250=$O329)*--(Source!$E$1:$E$250=$M$3)*--(Source!$D$1:$D$250=Pyramid!$M329),ROW(Source!$B$1:$B$250),FALSE),F$3)),"")</f>
        <v/>
      </c>
      <c r="G329" t="str">
        <f t="array" aca="1" ref="G329" ca="1">IFERROR(INDEX(Source!$A$1:$A$250,SMALL(IF(--(Source!$B$1:$B$250=$O329)*--(Source!$E$1:$E$250=$M$3)*--(Source!$D$1:$D$250=Pyramid!$M329),ROW(Source!$B$1:$B$250),FALSE),G$3)),"")</f>
        <v/>
      </c>
      <c r="H329" t="str">
        <f t="array" aca="1" ref="H329" ca="1">IFERROR(INDEX(Source!$A$1:$A$250,SMALL(IF(--(Source!$B$1:$B$250=$O329)*--(Source!$E$1:$E$250=$M$3)*--(Source!$D$1:$D$250=Pyramid!$M329),ROW(Source!$B$1:$B$250),FALSE),H$3)),"")</f>
        <v/>
      </c>
      <c r="I329" t="str">
        <f t="array" aca="1" ref="I329" ca="1">IFERROR(INDEX(Source!$A$1:$A$250,SMALL(IF(--(Source!$B$1:$B$250=$O329)*--(Source!$E$1:$E$250=$M$3)*--(Source!$D$1:$D$250=Pyramid!$M329),ROW(Source!$B$1:$B$250),FALSE),I$3)),"")</f>
        <v/>
      </c>
      <c r="J329" t="str">
        <f t="array" aca="1" ref="J329" ca="1">IFERROR(INDEX(Source!$A$1:$A$250,SMALL(IF(--(Source!$B$1:$B$250=$O329)*--(Source!$E$1:$E$250=$M$3)*--(Source!$D$1:$D$250=Pyramid!$M329),ROW(Source!$B$1:$B$250),FALSE),J$3)),"")</f>
        <v/>
      </c>
      <c r="K329" t="str">
        <f t="array" aca="1" ref="K329" ca="1">IFERROR(INDEX(Source!$A$1:$A$250,SMALL(IF(--(Source!$B$1:$B$250=$O329)*--(Source!$E$1:$E$250=$M$3)*--(Source!$D$1:$D$250=Pyramid!$M329),ROW(Source!$B$1:$B$250),FALSE),K$3)),"")</f>
        <v/>
      </c>
      <c r="L329" t="str">
        <f t="array" aca="1" ref="L329" ca="1">IFERROR(INDEX(Source!$A$1:$A$250,SMALL(IF(--(Source!$B$1:$B$250=$O329)*--(Source!$E$1:$E$250=$M$3)*--(Source!$D$1:$D$250=Pyramid!$M329),ROW(Source!$B$1:$B$250),FALSE),L$3)),"")</f>
        <v/>
      </c>
      <c r="M329" t="str">
        <f t="shared" si="17"/>
        <v>29/6/2016</v>
      </c>
      <c r="N329">
        <f ca="1">COUNTIFS(Source!B:B,Pyramid!$O329,Source!$D:$D,Pyramid!$M329,Source!$E:$E,Pyramid!$M$3)</f>
        <v>0</v>
      </c>
      <c r="O329">
        <f ca="1">OFFSET(Sheet2!$N$3,INT(C329/5),)</f>
        <v>22600</v>
      </c>
      <c r="P329">
        <f ca="1">COUNTIFS(Source!B:B,Pyramid!$O329,Source!D:D,Pyramid!$Q329,Source!$E:$E,Pyramid!$Q$3)</f>
        <v>0</v>
      </c>
      <c r="Q329" t="str">
        <f t="shared" si="17"/>
        <v>29/6/2016</v>
      </c>
      <c r="R329" t="str">
        <f t="array" aca="1" ref="R329" ca="1">IFERROR(INDEX(Source!$A$1:$A$250,SMALL(IF(--(Source!$B$1:$B$250=$O329)*--(Source!$E$1:$E$250=$Q$3)*--(Source!$D$1:$D$250=Pyramid!$Q329),ROW(Source!$B$1:$B$250),FALSE),R$3)),"")</f>
        <v/>
      </c>
      <c r="S329" t="str">
        <f t="array" aca="1" ref="S329" ca="1">IFERROR(INDEX(Source!$A$1:$A$250,SMALL(IF(--(Source!$B$1:$B$250=$O329)*--(Source!$E$1:$E$250=$Q$3)*--(Source!$D$1:$D$250=Pyramid!$Q329),ROW(Source!$B$1:$B$250),FALSE),S$3)),"")</f>
        <v/>
      </c>
      <c r="T329" t="str">
        <f t="array" aca="1" ref="T329" ca="1">IFERROR(INDEX(Source!$A$1:$A$250,SMALL(IF(--(Source!$B$1:$B$250=$O329)*--(Source!$E$1:$E$250=$Q$3)*--(Source!$D$1:$D$250=Pyramid!$Q329),ROW(Source!$B$1:$B$250),FALSE),T$3)),"")</f>
        <v/>
      </c>
      <c r="U329" t="str">
        <f t="array" aca="1" ref="U329" ca="1">IFERROR(INDEX(Source!$A$1:$A$250,SMALL(IF(--(Source!$B$1:$B$250=$O329)*--(Source!$E$1:$E$250=$Q$3)*--(Source!$D$1:$D$250=Pyramid!$Q329),ROW(Source!$B$1:$B$250),FALSE),U$3)),"")</f>
        <v/>
      </c>
      <c r="V329" t="str">
        <f t="array" aca="1" ref="V329" ca="1">IFERROR(INDEX(Source!$A$1:$A$250,SMALL(IF(--(Source!$B$1:$B$250=$O329)*--(Source!$E$1:$E$250=$Q$3)*--(Source!$D$1:$D$250=Pyramid!$Q329),ROW(Source!$B$1:$B$250),FALSE),V$3)),"")</f>
        <v/>
      </c>
      <c r="W329" t="str">
        <f t="array" aca="1" ref="W329" ca="1">IFERROR(INDEX(Source!$A$1:$A$250,SMALL(IF(--(Source!$B$1:$B$250=$O329)*--(Source!$E$1:$E$250=$Q$3)*--(Source!$D$1:$D$250=Pyramid!$Q329),ROW(Source!$B$1:$B$250),FALSE),W$3)),"")</f>
        <v/>
      </c>
      <c r="X329" t="str">
        <f t="array" aca="1" ref="X329" ca="1">IFERROR(INDEX(Source!$A$1:$A$250,SMALL(IF(--(Source!$B$1:$B$250=$O329)*--(Source!$E$1:$E$250=$Q$3)*--(Source!$D$1:$D$250=Pyramid!$Q329),ROW(Source!$B$1:$B$250),FALSE),X$3)),"")</f>
        <v/>
      </c>
      <c r="Y329" s="5">
        <f t="shared" ca="1" si="18"/>
        <v>0</v>
      </c>
    </row>
    <row r="330" spans="3:25">
      <c r="C330">
        <v>326</v>
      </c>
      <c r="D330" s="5">
        <f t="shared" ca="1" si="16"/>
        <v>0</v>
      </c>
      <c r="E330" t="str">
        <f t="array" aca="1" ref="E330" ca="1">IFERROR(INDEX(Source!$A$1:$A$250,SMALL(IF(--(Source!$B$1:$B$250=$O330)*--(Source!$E$1:$E$250=$M$3)*--(Source!$D$1:$D$250=Pyramid!$M330),ROW(Source!$B$1:$B$250),FALSE),E$3)),"")</f>
        <v/>
      </c>
      <c r="F330" t="str">
        <f t="array" aca="1" ref="F330" ca="1">IFERROR(INDEX(Source!$A$1:$A$250,SMALL(IF(--(Source!$B$1:$B$250=$O330)*--(Source!$E$1:$E$250=$M$3)*--(Source!$D$1:$D$250=Pyramid!$M330),ROW(Source!$B$1:$B$250),FALSE),F$3)),"")</f>
        <v/>
      </c>
      <c r="G330" t="str">
        <f t="array" aca="1" ref="G330" ca="1">IFERROR(INDEX(Source!$A$1:$A$250,SMALL(IF(--(Source!$B$1:$B$250=$O330)*--(Source!$E$1:$E$250=$M$3)*--(Source!$D$1:$D$250=Pyramid!$M330),ROW(Source!$B$1:$B$250),FALSE),G$3)),"")</f>
        <v/>
      </c>
      <c r="H330" t="str">
        <f t="array" aca="1" ref="H330" ca="1">IFERROR(INDEX(Source!$A$1:$A$250,SMALL(IF(--(Source!$B$1:$B$250=$O330)*--(Source!$E$1:$E$250=$M$3)*--(Source!$D$1:$D$250=Pyramid!$M330),ROW(Source!$B$1:$B$250),FALSE),H$3)),"")</f>
        <v/>
      </c>
      <c r="I330" t="str">
        <f t="array" aca="1" ref="I330" ca="1">IFERROR(INDEX(Source!$A$1:$A$250,SMALL(IF(--(Source!$B$1:$B$250=$O330)*--(Source!$E$1:$E$250=$M$3)*--(Source!$D$1:$D$250=Pyramid!$M330),ROW(Source!$B$1:$B$250),FALSE),I$3)),"")</f>
        <v/>
      </c>
      <c r="J330" t="str">
        <f t="array" aca="1" ref="J330" ca="1">IFERROR(INDEX(Source!$A$1:$A$250,SMALL(IF(--(Source!$B$1:$B$250=$O330)*--(Source!$E$1:$E$250=$M$3)*--(Source!$D$1:$D$250=Pyramid!$M330),ROW(Source!$B$1:$B$250),FALSE),J$3)),"")</f>
        <v/>
      </c>
      <c r="K330" t="str">
        <f t="array" aca="1" ref="K330" ca="1">IFERROR(INDEX(Source!$A$1:$A$250,SMALL(IF(--(Source!$B$1:$B$250=$O330)*--(Source!$E$1:$E$250=$M$3)*--(Source!$D$1:$D$250=Pyramid!$M330),ROW(Source!$B$1:$B$250),FALSE),K$3)),"")</f>
        <v/>
      </c>
      <c r="L330" t="str">
        <f t="array" aca="1" ref="L330" ca="1">IFERROR(INDEX(Source!$A$1:$A$250,SMALL(IF(--(Source!$B$1:$B$250=$O330)*--(Source!$E$1:$E$250=$M$3)*--(Source!$D$1:$D$250=Pyramid!$M330),ROW(Source!$B$1:$B$250),FALSE),L$3)),"")</f>
        <v/>
      </c>
      <c r="M330" t="str">
        <f t="shared" si="17"/>
        <v>28/7/2016</v>
      </c>
      <c r="N330">
        <f ca="1">COUNTIFS(Source!B:B,Pyramid!$O330,Source!$D:$D,Pyramid!$M330,Source!$E:$E,Pyramid!$M$3)</f>
        <v>0</v>
      </c>
      <c r="O330">
        <f ca="1">OFFSET(Sheet2!$N$3,INT(C330/5),)</f>
        <v>22600</v>
      </c>
      <c r="P330">
        <f ca="1">COUNTIFS(Source!B:B,Pyramid!$O330,Source!D:D,Pyramid!$Q330,Source!$E:$E,Pyramid!$Q$3)</f>
        <v>0</v>
      </c>
      <c r="Q330" t="str">
        <f t="shared" si="17"/>
        <v>28/7/2016</v>
      </c>
      <c r="R330" t="str">
        <f t="array" aca="1" ref="R330" ca="1">IFERROR(INDEX(Source!$A$1:$A$250,SMALL(IF(--(Source!$B$1:$B$250=$O330)*--(Source!$E$1:$E$250=$Q$3)*--(Source!$D$1:$D$250=Pyramid!$Q330),ROW(Source!$B$1:$B$250),FALSE),R$3)),"")</f>
        <v/>
      </c>
      <c r="S330" t="str">
        <f t="array" aca="1" ref="S330" ca="1">IFERROR(INDEX(Source!$A$1:$A$250,SMALL(IF(--(Source!$B$1:$B$250=$O330)*--(Source!$E$1:$E$250=$Q$3)*--(Source!$D$1:$D$250=Pyramid!$Q330),ROW(Source!$B$1:$B$250),FALSE),S$3)),"")</f>
        <v/>
      </c>
      <c r="T330" t="str">
        <f t="array" aca="1" ref="T330" ca="1">IFERROR(INDEX(Source!$A$1:$A$250,SMALL(IF(--(Source!$B$1:$B$250=$O330)*--(Source!$E$1:$E$250=$Q$3)*--(Source!$D$1:$D$250=Pyramid!$Q330),ROW(Source!$B$1:$B$250),FALSE),T$3)),"")</f>
        <v/>
      </c>
      <c r="U330" t="str">
        <f t="array" aca="1" ref="U330" ca="1">IFERROR(INDEX(Source!$A$1:$A$250,SMALL(IF(--(Source!$B$1:$B$250=$O330)*--(Source!$E$1:$E$250=$Q$3)*--(Source!$D$1:$D$250=Pyramid!$Q330),ROW(Source!$B$1:$B$250),FALSE),U$3)),"")</f>
        <v/>
      </c>
      <c r="V330" t="str">
        <f t="array" aca="1" ref="V330" ca="1">IFERROR(INDEX(Source!$A$1:$A$250,SMALL(IF(--(Source!$B$1:$B$250=$O330)*--(Source!$E$1:$E$250=$Q$3)*--(Source!$D$1:$D$250=Pyramid!$Q330),ROW(Source!$B$1:$B$250),FALSE),V$3)),"")</f>
        <v/>
      </c>
      <c r="W330" t="str">
        <f t="array" aca="1" ref="W330" ca="1">IFERROR(INDEX(Source!$A$1:$A$250,SMALL(IF(--(Source!$B$1:$B$250=$O330)*--(Source!$E$1:$E$250=$Q$3)*--(Source!$D$1:$D$250=Pyramid!$Q330),ROW(Source!$B$1:$B$250),FALSE),W$3)),"")</f>
        <v/>
      </c>
      <c r="X330" t="str">
        <f t="array" aca="1" ref="X330" ca="1">IFERROR(INDEX(Source!$A$1:$A$250,SMALL(IF(--(Source!$B$1:$B$250=$O330)*--(Source!$E$1:$E$250=$Q$3)*--(Source!$D$1:$D$250=Pyramid!$Q330),ROW(Source!$B$1:$B$250),FALSE),X$3)),"")</f>
        <v/>
      </c>
      <c r="Y330" s="5">
        <f t="shared" ca="1" si="18"/>
        <v>0</v>
      </c>
    </row>
    <row r="331" spans="3:25">
      <c r="C331">
        <v>327</v>
      </c>
      <c r="D331" s="5">
        <f t="shared" ca="1" si="16"/>
        <v>0</v>
      </c>
      <c r="E331" t="str">
        <f t="array" aca="1" ref="E331" ca="1">IFERROR(INDEX(Source!$A$1:$A$250,SMALL(IF(--(Source!$B$1:$B$250=$O331)*--(Source!$E$1:$E$250=$M$3)*--(Source!$D$1:$D$250=Pyramid!$M331),ROW(Source!$B$1:$B$250),FALSE),E$3)),"")</f>
        <v/>
      </c>
      <c r="F331" t="str">
        <f t="array" aca="1" ref="F331" ca="1">IFERROR(INDEX(Source!$A$1:$A$250,SMALL(IF(--(Source!$B$1:$B$250=$O331)*--(Source!$E$1:$E$250=$M$3)*--(Source!$D$1:$D$250=Pyramid!$M331),ROW(Source!$B$1:$B$250),FALSE),F$3)),"")</f>
        <v/>
      </c>
      <c r="G331" t="str">
        <f t="array" aca="1" ref="G331" ca="1">IFERROR(INDEX(Source!$A$1:$A$250,SMALL(IF(--(Source!$B$1:$B$250=$O331)*--(Source!$E$1:$E$250=$M$3)*--(Source!$D$1:$D$250=Pyramid!$M331),ROW(Source!$B$1:$B$250),FALSE),G$3)),"")</f>
        <v/>
      </c>
      <c r="H331" t="str">
        <f t="array" aca="1" ref="H331" ca="1">IFERROR(INDEX(Source!$A$1:$A$250,SMALL(IF(--(Source!$B$1:$B$250=$O331)*--(Source!$E$1:$E$250=$M$3)*--(Source!$D$1:$D$250=Pyramid!$M331),ROW(Source!$B$1:$B$250),FALSE),H$3)),"")</f>
        <v/>
      </c>
      <c r="I331" t="str">
        <f t="array" aca="1" ref="I331" ca="1">IFERROR(INDEX(Source!$A$1:$A$250,SMALL(IF(--(Source!$B$1:$B$250=$O331)*--(Source!$E$1:$E$250=$M$3)*--(Source!$D$1:$D$250=Pyramid!$M331),ROW(Source!$B$1:$B$250),FALSE),I$3)),"")</f>
        <v/>
      </c>
      <c r="J331" t="str">
        <f t="array" aca="1" ref="J331" ca="1">IFERROR(INDEX(Source!$A$1:$A$250,SMALL(IF(--(Source!$B$1:$B$250=$O331)*--(Source!$E$1:$E$250=$M$3)*--(Source!$D$1:$D$250=Pyramid!$M331),ROW(Source!$B$1:$B$250),FALSE),J$3)),"")</f>
        <v/>
      </c>
      <c r="K331" t="str">
        <f t="array" aca="1" ref="K331" ca="1">IFERROR(INDEX(Source!$A$1:$A$250,SMALL(IF(--(Source!$B$1:$B$250=$O331)*--(Source!$E$1:$E$250=$M$3)*--(Source!$D$1:$D$250=Pyramid!$M331),ROW(Source!$B$1:$B$250),FALSE),K$3)),"")</f>
        <v>23522 HK Equity</v>
      </c>
      <c r="L331" t="str">
        <f t="array" aca="1" ref="L331" ca="1">IFERROR(INDEX(Source!$A$1:$A$250,SMALL(IF(--(Source!$B$1:$B$250=$O331)*--(Source!$E$1:$E$250=$M$3)*--(Source!$D$1:$D$250=Pyramid!$M331),ROW(Source!$B$1:$B$250),FALSE),L$3)),"")</f>
        <v>24107 HK Equity</v>
      </c>
      <c r="M331" t="str">
        <f t="shared" si="17"/>
        <v>30/8/2016</v>
      </c>
      <c r="N331">
        <f ca="1">COUNTIFS(Source!B:B,Pyramid!$O331,Source!$D:$D,Pyramid!$M331,Source!$E:$E,Pyramid!$M$3)</f>
        <v>2</v>
      </c>
      <c r="O331">
        <f ca="1">OFFSET(Sheet2!$N$3,INT(C331/5),)</f>
        <v>22600</v>
      </c>
      <c r="P331">
        <f ca="1">COUNTIFS(Source!B:B,Pyramid!$O331,Source!D:D,Pyramid!$Q331,Source!$E:$E,Pyramid!$Q$3)</f>
        <v>0</v>
      </c>
      <c r="Q331" t="str">
        <f t="shared" si="17"/>
        <v>30/8/2016</v>
      </c>
      <c r="R331" t="str">
        <f t="array" aca="1" ref="R331" ca="1">IFERROR(INDEX(Source!$A$1:$A$250,SMALL(IF(--(Source!$B$1:$B$250=$O331)*--(Source!$E$1:$E$250=$Q$3)*--(Source!$D$1:$D$250=Pyramid!$Q331),ROW(Source!$B$1:$B$250),FALSE),R$3)),"")</f>
        <v/>
      </c>
      <c r="S331" t="str">
        <f t="array" aca="1" ref="S331" ca="1">IFERROR(INDEX(Source!$A$1:$A$250,SMALL(IF(--(Source!$B$1:$B$250=$O331)*--(Source!$E$1:$E$250=$Q$3)*--(Source!$D$1:$D$250=Pyramid!$Q331),ROW(Source!$B$1:$B$250),FALSE),S$3)),"")</f>
        <v/>
      </c>
      <c r="T331" t="str">
        <f t="array" aca="1" ref="T331" ca="1">IFERROR(INDEX(Source!$A$1:$A$250,SMALL(IF(--(Source!$B$1:$B$250=$O331)*--(Source!$E$1:$E$250=$Q$3)*--(Source!$D$1:$D$250=Pyramid!$Q331),ROW(Source!$B$1:$B$250),FALSE),T$3)),"")</f>
        <v/>
      </c>
      <c r="U331" t="str">
        <f t="array" aca="1" ref="U331" ca="1">IFERROR(INDEX(Source!$A$1:$A$250,SMALL(IF(--(Source!$B$1:$B$250=$O331)*--(Source!$E$1:$E$250=$Q$3)*--(Source!$D$1:$D$250=Pyramid!$Q331),ROW(Source!$B$1:$B$250),FALSE),U$3)),"")</f>
        <v/>
      </c>
      <c r="V331" t="str">
        <f t="array" aca="1" ref="V331" ca="1">IFERROR(INDEX(Source!$A$1:$A$250,SMALL(IF(--(Source!$B$1:$B$250=$O331)*--(Source!$E$1:$E$250=$Q$3)*--(Source!$D$1:$D$250=Pyramid!$Q331),ROW(Source!$B$1:$B$250),FALSE),V$3)),"")</f>
        <v/>
      </c>
      <c r="W331" t="str">
        <f t="array" aca="1" ref="W331" ca="1">IFERROR(INDEX(Source!$A$1:$A$250,SMALL(IF(--(Source!$B$1:$B$250=$O331)*--(Source!$E$1:$E$250=$Q$3)*--(Source!$D$1:$D$250=Pyramid!$Q331),ROW(Source!$B$1:$B$250),FALSE),W$3)),"")</f>
        <v/>
      </c>
      <c r="X331" t="str">
        <f t="array" aca="1" ref="X331" ca="1">IFERROR(INDEX(Source!$A$1:$A$250,SMALL(IF(--(Source!$B$1:$B$250=$O331)*--(Source!$E$1:$E$250=$Q$3)*--(Source!$D$1:$D$250=Pyramid!$Q331),ROW(Source!$B$1:$B$250),FALSE),X$3)),"")</f>
        <v/>
      </c>
      <c r="Y331" s="5">
        <f t="shared" ca="1" si="18"/>
        <v>0</v>
      </c>
    </row>
    <row r="332" spans="3:25">
      <c r="C332">
        <v>328</v>
      </c>
      <c r="D332" s="5">
        <f t="shared" ca="1" si="16"/>
        <v>0</v>
      </c>
      <c r="E332" t="str">
        <f t="array" aca="1" ref="E332" ca="1">IFERROR(INDEX(Source!$A$1:$A$250,SMALL(IF(--(Source!$B$1:$B$250=$O332)*--(Source!$E$1:$E$250=$M$3)*--(Source!$D$1:$D$250=Pyramid!$M332),ROW(Source!$B$1:$B$250),FALSE),E$3)),"")</f>
        <v/>
      </c>
      <c r="F332" t="str">
        <f t="array" aca="1" ref="F332" ca="1">IFERROR(INDEX(Source!$A$1:$A$250,SMALL(IF(--(Source!$B$1:$B$250=$O332)*--(Source!$E$1:$E$250=$M$3)*--(Source!$D$1:$D$250=Pyramid!$M332),ROW(Source!$B$1:$B$250),FALSE),F$3)),"")</f>
        <v/>
      </c>
      <c r="G332" t="str">
        <f t="array" aca="1" ref="G332" ca="1">IFERROR(INDEX(Source!$A$1:$A$250,SMALL(IF(--(Source!$B$1:$B$250=$O332)*--(Source!$E$1:$E$250=$M$3)*--(Source!$D$1:$D$250=Pyramid!$M332),ROW(Source!$B$1:$B$250),FALSE),G$3)),"")</f>
        <v/>
      </c>
      <c r="H332" t="str">
        <f t="array" aca="1" ref="H332" ca="1">IFERROR(INDEX(Source!$A$1:$A$250,SMALL(IF(--(Source!$B$1:$B$250=$O332)*--(Source!$E$1:$E$250=$M$3)*--(Source!$D$1:$D$250=Pyramid!$M332),ROW(Source!$B$1:$B$250),FALSE),H$3)),"")</f>
        <v/>
      </c>
      <c r="I332" t="str">
        <f t="array" aca="1" ref="I332" ca="1">IFERROR(INDEX(Source!$A$1:$A$250,SMALL(IF(--(Source!$B$1:$B$250=$O332)*--(Source!$E$1:$E$250=$M$3)*--(Source!$D$1:$D$250=Pyramid!$M332),ROW(Source!$B$1:$B$250),FALSE),I$3)),"")</f>
        <v/>
      </c>
      <c r="J332" t="str">
        <f t="array" aca="1" ref="J332" ca="1">IFERROR(INDEX(Source!$A$1:$A$250,SMALL(IF(--(Source!$B$1:$B$250=$O332)*--(Source!$E$1:$E$250=$M$3)*--(Source!$D$1:$D$250=Pyramid!$M332),ROW(Source!$B$1:$B$250),FALSE),J$3)),"")</f>
        <v/>
      </c>
      <c r="K332" t="str">
        <f t="array" aca="1" ref="K332" ca="1">IFERROR(INDEX(Source!$A$1:$A$250,SMALL(IF(--(Source!$B$1:$B$250=$O332)*--(Source!$E$1:$E$250=$M$3)*--(Source!$D$1:$D$250=Pyramid!$M332),ROW(Source!$B$1:$B$250),FALSE),K$3)),"")</f>
        <v/>
      </c>
      <c r="L332" t="str">
        <f t="array" aca="1" ref="L332" ca="1">IFERROR(INDEX(Source!$A$1:$A$250,SMALL(IF(--(Source!$B$1:$B$250=$O332)*--(Source!$E$1:$E$250=$M$3)*--(Source!$D$1:$D$250=Pyramid!$M332),ROW(Source!$B$1:$B$250),FALSE),L$3)),"")</f>
        <v/>
      </c>
      <c r="M332" t="str">
        <f t="shared" si="17"/>
        <v>29/9/2016</v>
      </c>
      <c r="N332">
        <f ca="1">COUNTIFS(Source!B:B,Pyramid!$O332,Source!$D:$D,Pyramid!$M332,Source!$E:$E,Pyramid!$M$3)</f>
        <v>0</v>
      </c>
      <c r="O332">
        <f ca="1">OFFSET(Sheet2!$N$3,INT(C332/5),)</f>
        <v>22600</v>
      </c>
      <c r="P332">
        <f ca="1">COUNTIFS(Source!B:B,Pyramid!$O332,Source!D:D,Pyramid!$Q332,Source!$E:$E,Pyramid!$Q$3)</f>
        <v>0</v>
      </c>
      <c r="Q332" t="str">
        <f t="shared" si="17"/>
        <v>29/9/2016</v>
      </c>
      <c r="R332" t="str">
        <f t="array" aca="1" ref="R332" ca="1">IFERROR(INDEX(Source!$A$1:$A$250,SMALL(IF(--(Source!$B$1:$B$250=$O332)*--(Source!$E$1:$E$250=$Q$3)*--(Source!$D$1:$D$250=Pyramid!$Q332),ROW(Source!$B$1:$B$250),FALSE),R$3)),"")</f>
        <v/>
      </c>
      <c r="S332" t="str">
        <f t="array" aca="1" ref="S332" ca="1">IFERROR(INDEX(Source!$A$1:$A$250,SMALL(IF(--(Source!$B$1:$B$250=$O332)*--(Source!$E$1:$E$250=$Q$3)*--(Source!$D$1:$D$250=Pyramid!$Q332),ROW(Source!$B$1:$B$250),FALSE),S$3)),"")</f>
        <v/>
      </c>
      <c r="T332" t="str">
        <f t="array" aca="1" ref="T332" ca="1">IFERROR(INDEX(Source!$A$1:$A$250,SMALL(IF(--(Source!$B$1:$B$250=$O332)*--(Source!$E$1:$E$250=$Q$3)*--(Source!$D$1:$D$250=Pyramid!$Q332),ROW(Source!$B$1:$B$250),FALSE),T$3)),"")</f>
        <v/>
      </c>
      <c r="U332" t="str">
        <f t="array" aca="1" ref="U332" ca="1">IFERROR(INDEX(Source!$A$1:$A$250,SMALL(IF(--(Source!$B$1:$B$250=$O332)*--(Source!$E$1:$E$250=$Q$3)*--(Source!$D$1:$D$250=Pyramid!$Q332),ROW(Source!$B$1:$B$250),FALSE),U$3)),"")</f>
        <v/>
      </c>
      <c r="V332" t="str">
        <f t="array" aca="1" ref="V332" ca="1">IFERROR(INDEX(Source!$A$1:$A$250,SMALL(IF(--(Source!$B$1:$B$250=$O332)*--(Source!$E$1:$E$250=$Q$3)*--(Source!$D$1:$D$250=Pyramid!$Q332),ROW(Source!$B$1:$B$250),FALSE),V$3)),"")</f>
        <v/>
      </c>
      <c r="W332" t="str">
        <f t="array" aca="1" ref="W332" ca="1">IFERROR(INDEX(Source!$A$1:$A$250,SMALL(IF(--(Source!$B$1:$B$250=$O332)*--(Source!$E$1:$E$250=$Q$3)*--(Source!$D$1:$D$250=Pyramid!$Q332),ROW(Source!$B$1:$B$250),FALSE),W$3)),"")</f>
        <v/>
      </c>
      <c r="X332" t="str">
        <f t="array" aca="1" ref="X332" ca="1">IFERROR(INDEX(Source!$A$1:$A$250,SMALL(IF(--(Source!$B$1:$B$250=$O332)*--(Source!$E$1:$E$250=$Q$3)*--(Source!$D$1:$D$250=Pyramid!$Q332),ROW(Source!$B$1:$B$250),FALSE),X$3)),"")</f>
        <v/>
      </c>
      <c r="Y332" s="5">
        <f t="shared" ca="1" si="18"/>
        <v>0</v>
      </c>
    </row>
    <row r="333" spans="3:25">
      <c r="C333">
        <v>329</v>
      </c>
      <c r="D333" s="5">
        <f t="shared" ca="1" si="16"/>
        <v>0</v>
      </c>
      <c r="E333" t="str">
        <f t="array" aca="1" ref="E333" ca="1">IFERROR(INDEX(Source!$A$1:$A$250,SMALL(IF(--(Source!$B$1:$B$250=$O333)*--(Source!$E$1:$E$250=$M$3)*--(Source!$D$1:$D$250=Pyramid!$M333),ROW(Source!$B$1:$B$250),FALSE),E$3)),"")</f>
        <v/>
      </c>
      <c r="F333" t="str">
        <f t="array" aca="1" ref="F333" ca="1">IFERROR(INDEX(Source!$A$1:$A$250,SMALL(IF(--(Source!$B$1:$B$250=$O333)*--(Source!$E$1:$E$250=$M$3)*--(Source!$D$1:$D$250=Pyramid!$M333),ROW(Source!$B$1:$B$250),FALSE),F$3)),"")</f>
        <v/>
      </c>
      <c r="G333" t="str">
        <f t="array" aca="1" ref="G333" ca="1">IFERROR(INDEX(Source!$A$1:$A$250,SMALL(IF(--(Source!$B$1:$B$250=$O333)*--(Source!$E$1:$E$250=$M$3)*--(Source!$D$1:$D$250=Pyramid!$M333),ROW(Source!$B$1:$B$250),FALSE),G$3)),"")</f>
        <v/>
      </c>
      <c r="H333" t="str">
        <f t="array" aca="1" ref="H333" ca="1">IFERROR(INDEX(Source!$A$1:$A$250,SMALL(IF(--(Source!$B$1:$B$250=$O333)*--(Source!$E$1:$E$250=$M$3)*--(Source!$D$1:$D$250=Pyramid!$M333),ROW(Source!$B$1:$B$250),FALSE),H$3)),"")</f>
        <v/>
      </c>
      <c r="I333" t="str">
        <f t="array" aca="1" ref="I333" ca="1">IFERROR(INDEX(Source!$A$1:$A$250,SMALL(IF(--(Source!$B$1:$B$250=$O333)*--(Source!$E$1:$E$250=$M$3)*--(Source!$D$1:$D$250=Pyramid!$M333),ROW(Source!$B$1:$B$250),FALSE),I$3)),"")</f>
        <v/>
      </c>
      <c r="J333" t="str">
        <f t="array" aca="1" ref="J333" ca="1">IFERROR(INDEX(Source!$A$1:$A$250,SMALL(IF(--(Source!$B$1:$B$250=$O333)*--(Source!$E$1:$E$250=$M$3)*--(Source!$D$1:$D$250=Pyramid!$M333),ROW(Source!$B$1:$B$250),FALSE),J$3)),"")</f>
        <v/>
      </c>
      <c r="K333" t="str">
        <f t="array" aca="1" ref="K333" ca="1">IFERROR(INDEX(Source!$A$1:$A$250,SMALL(IF(--(Source!$B$1:$B$250=$O333)*--(Source!$E$1:$E$250=$M$3)*--(Source!$D$1:$D$250=Pyramid!$M333),ROW(Source!$B$1:$B$250),FALSE),K$3)),"")</f>
        <v/>
      </c>
      <c r="L333" t="str">
        <f t="array" aca="1" ref="L333" ca="1">IFERROR(INDEX(Source!$A$1:$A$250,SMALL(IF(--(Source!$B$1:$B$250=$O333)*--(Source!$E$1:$E$250=$M$3)*--(Source!$D$1:$D$250=Pyramid!$M333),ROW(Source!$B$1:$B$250),FALSE),L$3)),"")</f>
        <v/>
      </c>
      <c r="M333" t="str">
        <f t="shared" si="17"/>
        <v>28/10/2016</v>
      </c>
      <c r="N333">
        <f ca="1">COUNTIFS(Source!B:B,Pyramid!$O333,Source!$D:$D,Pyramid!$M333,Source!$E:$E,Pyramid!$M$3)</f>
        <v>0</v>
      </c>
      <c r="O333">
        <f ca="1">OFFSET(Sheet2!$N$3,INT(C333/5),)</f>
        <v>22600</v>
      </c>
      <c r="P333">
        <f ca="1">COUNTIFS(Source!B:B,Pyramid!$O333,Source!D:D,Pyramid!$Q333,Source!$E:$E,Pyramid!$Q$3)</f>
        <v>0</v>
      </c>
      <c r="Q333" t="str">
        <f t="shared" si="17"/>
        <v>28/10/2016</v>
      </c>
      <c r="R333" t="str">
        <f t="array" aca="1" ref="R333" ca="1">IFERROR(INDEX(Source!$A$1:$A$250,SMALL(IF(--(Source!$B$1:$B$250=$O333)*--(Source!$E$1:$E$250=$Q$3)*--(Source!$D$1:$D$250=Pyramid!$Q333),ROW(Source!$B$1:$B$250),FALSE),R$3)),"")</f>
        <v/>
      </c>
      <c r="S333" t="str">
        <f t="array" aca="1" ref="S333" ca="1">IFERROR(INDEX(Source!$A$1:$A$250,SMALL(IF(--(Source!$B$1:$B$250=$O333)*--(Source!$E$1:$E$250=$Q$3)*--(Source!$D$1:$D$250=Pyramid!$Q333),ROW(Source!$B$1:$B$250),FALSE),S$3)),"")</f>
        <v/>
      </c>
      <c r="T333" t="str">
        <f t="array" aca="1" ref="T333" ca="1">IFERROR(INDEX(Source!$A$1:$A$250,SMALL(IF(--(Source!$B$1:$B$250=$O333)*--(Source!$E$1:$E$250=$Q$3)*--(Source!$D$1:$D$250=Pyramid!$Q333),ROW(Source!$B$1:$B$250),FALSE),T$3)),"")</f>
        <v/>
      </c>
      <c r="U333" t="str">
        <f t="array" aca="1" ref="U333" ca="1">IFERROR(INDEX(Source!$A$1:$A$250,SMALL(IF(--(Source!$B$1:$B$250=$O333)*--(Source!$E$1:$E$250=$Q$3)*--(Source!$D$1:$D$250=Pyramid!$Q333),ROW(Source!$B$1:$B$250),FALSE),U$3)),"")</f>
        <v/>
      </c>
      <c r="V333" t="str">
        <f t="array" aca="1" ref="V333" ca="1">IFERROR(INDEX(Source!$A$1:$A$250,SMALL(IF(--(Source!$B$1:$B$250=$O333)*--(Source!$E$1:$E$250=$Q$3)*--(Source!$D$1:$D$250=Pyramid!$Q333),ROW(Source!$B$1:$B$250),FALSE),V$3)),"")</f>
        <v/>
      </c>
      <c r="W333" t="str">
        <f t="array" aca="1" ref="W333" ca="1">IFERROR(INDEX(Source!$A$1:$A$250,SMALL(IF(--(Source!$B$1:$B$250=$O333)*--(Source!$E$1:$E$250=$Q$3)*--(Source!$D$1:$D$250=Pyramid!$Q333),ROW(Source!$B$1:$B$250),FALSE),W$3)),"")</f>
        <v/>
      </c>
      <c r="X333" t="str">
        <f t="array" aca="1" ref="X333" ca="1">IFERROR(INDEX(Source!$A$1:$A$250,SMALL(IF(--(Source!$B$1:$B$250=$O333)*--(Source!$E$1:$E$250=$Q$3)*--(Source!$D$1:$D$250=Pyramid!$Q333),ROW(Source!$B$1:$B$250),FALSE),X$3)),"")</f>
        <v/>
      </c>
      <c r="Y333" s="5">
        <f t="shared" ca="1" si="18"/>
        <v>0</v>
      </c>
    </row>
    <row r="334" spans="3:25">
      <c r="C334">
        <v>330</v>
      </c>
      <c r="D334" s="5">
        <f t="shared" ca="1" si="16"/>
        <v>0</v>
      </c>
      <c r="E334" t="str">
        <f t="array" aca="1" ref="E334" ca="1">IFERROR(INDEX(Source!$A$1:$A$250,SMALL(IF(--(Source!$B$1:$B$250=$O334)*--(Source!$E$1:$E$250=$M$3)*--(Source!$D$1:$D$250=Pyramid!$M334),ROW(Source!$B$1:$B$250),FALSE),E$3)),"")</f>
        <v/>
      </c>
      <c r="F334" t="str">
        <f t="array" aca="1" ref="F334" ca="1">IFERROR(INDEX(Source!$A$1:$A$250,SMALL(IF(--(Source!$B$1:$B$250=$O334)*--(Source!$E$1:$E$250=$M$3)*--(Source!$D$1:$D$250=Pyramid!$M334),ROW(Source!$B$1:$B$250),FALSE),F$3)),"")</f>
        <v/>
      </c>
      <c r="G334" t="str">
        <f t="array" aca="1" ref="G334" ca="1">IFERROR(INDEX(Source!$A$1:$A$250,SMALL(IF(--(Source!$B$1:$B$250=$O334)*--(Source!$E$1:$E$250=$M$3)*--(Source!$D$1:$D$250=Pyramid!$M334),ROW(Source!$B$1:$B$250),FALSE),G$3)),"")</f>
        <v/>
      </c>
      <c r="H334" t="str">
        <f t="array" aca="1" ref="H334" ca="1">IFERROR(INDEX(Source!$A$1:$A$250,SMALL(IF(--(Source!$B$1:$B$250=$O334)*--(Source!$E$1:$E$250=$M$3)*--(Source!$D$1:$D$250=Pyramid!$M334),ROW(Source!$B$1:$B$250),FALSE),H$3)),"")</f>
        <v/>
      </c>
      <c r="I334" t="str">
        <f t="array" aca="1" ref="I334" ca="1">IFERROR(INDEX(Source!$A$1:$A$250,SMALL(IF(--(Source!$B$1:$B$250=$O334)*--(Source!$E$1:$E$250=$M$3)*--(Source!$D$1:$D$250=Pyramid!$M334),ROW(Source!$B$1:$B$250),FALSE),I$3)),"")</f>
        <v/>
      </c>
      <c r="J334" t="str">
        <f t="array" aca="1" ref="J334" ca="1">IFERROR(INDEX(Source!$A$1:$A$250,SMALL(IF(--(Source!$B$1:$B$250=$O334)*--(Source!$E$1:$E$250=$M$3)*--(Source!$D$1:$D$250=Pyramid!$M334),ROW(Source!$B$1:$B$250),FALSE),J$3)),"")</f>
        <v/>
      </c>
      <c r="K334" t="str">
        <f t="array" aca="1" ref="K334" ca="1">IFERROR(INDEX(Source!$A$1:$A$250,SMALL(IF(--(Source!$B$1:$B$250=$O334)*--(Source!$E$1:$E$250=$M$3)*--(Source!$D$1:$D$250=Pyramid!$M334),ROW(Source!$B$1:$B$250),FALSE),K$3)),"")</f>
        <v/>
      </c>
      <c r="L334" t="str">
        <f t="array" aca="1" ref="L334" ca="1">IFERROR(INDEX(Source!$A$1:$A$250,SMALL(IF(--(Source!$B$1:$B$250=$O334)*--(Source!$E$1:$E$250=$M$3)*--(Source!$D$1:$D$250=Pyramid!$M334),ROW(Source!$B$1:$B$250),FALSE),L$3)),"")</f>
        <v/>
      </c>
      <c r="M334" t="str">
        <f t="shared" si="17"/>
        <v>29/6/2016</v>
      </c>
      <c r="N334">
        <f ca="1">COUNTIFS(Source!B:B,Pyramid!$O334,Source!$D:$D,Pyramid!$M334,Source!$E:$E,Pyramid!$M$3)</f>
        <v>0</v>
      </c>
      <c r="O334">
        <f ca="1">OFFSET(Sheet2!$N$3,INT(C334/5),)</f>
        <v>22700</v>
      </c>
      <c r="P334">
        <f ca="1">COUNTIFS(Source!B:B,Pyramid!$O334,Source!D:D,Pyramid!$Q334,Source!$E:$E,Pyramid!$Q$3)</f>
        <v>0</v>
      </c>
      <c r="Q334" t="str">
        <f t="shared" si="17"/>
        <v>29/6/2016</v>
      </c>
      <c r="R334" t="str">
        <f t="array" aca="1" ref="R334" ca="1">IFERROR(INDEX(Source!$A$1:$A$250,SMALL(IF(--(Source!$B$1:$B$250=$O334)*--(Source!$E$1:$E$250=$Q$3)*--(Source!$D$1:$D$250=Pyramid!$Q334),ROW(Source!$B$1:$B$250),FALSE),R$3)),"")</f>
        <v/>
      </c>
      <c r="S334" t="str">
        <f t="array" aca="1" ref="S334" ca="1">IFERROR(INDEX(Source!$A$1:$A$250,SMALL(IF(--(Source!$B$1:$B$250=$O334)*--(Source!$E$1:$E$250=$Q$3)*--(Source!$D$1:$D$250=Pyramid!$Q334),ROW(Source!$B$1:$B$250),FALSE),S$3)),"")</f>
        <v/>
      </c>
      <c r="T334" t="str">
        <f t="array" aca="1" ref="T334" ca="1">IFERROR(INDEX(Source!$A$1:$A$250,SMALL(IF(--(Source!$B$1:$B$250=$O334)*--(Source!$E$1:$E$250=$Q$3)*--(Source!$D$1:$D$250=Pyramid!$Q334),ROW(Source!$B$1:$B$250),FALSE),T$3)),"")</f>
        <v/>
      </c>
      <c r="U334" t="str">
        <f t="array" aca="1" ref="U334" ca="1">IFERROR(INDEX(Source!$A$1:$A$250,SMALL(IF(--(Source!$B$1:$B$250=$O334)*--(Source!$E$1:$E$250=$Q$3)*--(Source!$D$1:$D$250=Pyramid!$Q334),ROW(Source!$B$1:$B$250),FALSE),U$3)),"")</f>
        <v/>
      </c>
      <c r="V334" t="str">
        <f t="array" aca="1" ref="V334" ca="1">IFERROR(INDEX(Source!$A$1:$A$250,SMALL(IF(--(Source!$B$1:$B$250=$O334)*--(Source!$E$1:$E$250=$Q$3)*--(Source!$D$1:$D$250=Pyramid!$Q334),ROW(Source!$B$1:$B$250),FALSE),V$3)),"")</f>
        <v/>
      </c>
      <c r="W334" t="str">
        <f t="array" aca="1" ref="W334" ca="1">IFERROR(INDEX(Source!$A$1:$A$250,SMALL(IF(--(Source!$B$1:$B$250=$O334)*--(Source!$E$1:$E$250=$Q$3)*--(Source!$D$1:$D$250=Pyramid!$Q334),ROW(Source!$B$1:$B$250),FALSE),W$3)),"")</f>
        <v/>
      </c>
      <c r="X334" t="str">
        <f t="array" aca="1" ref="X334" ca="1">IFERROR(INDEX(Source!$A$1:$A$250,SMALL(IF(--(Source!$B$1:$B$250=$O334)*--(Source!$E$1:$E$250=$Q$3)*--(Source!$D$1:$D$250=Pyramid!$Q334),ROW(Source!$B$1:$B$250),FALSE),X$3)),"")</f>
        <v/>
      </c>
      <c r="Y334" s="5">
        <f t="shared" ca="1" si="18"/>
        <v>0</v>
      </c>
    </row>
    <row r="335" spans="3:25">
      <c r="C335">
        <v>331</v>
      </c>
      <c r="D335" s="5">
        <f t="shared" ca="1" si="16"/>
        <v>0</v>
      </c>
      <c r="E335" t="str">
        <f t="array" aca="1" ref="E335" ca="1">IFERROR(INDEX(Source!$A$1:$A$250,SMALL(IF(--(Source!$B$1:$B$250=$O335)*--(Source!$E$1:$E$250=$M$3)*--(Source!$D$1:$D$250=Pyramid!$M335),ROW(Source!$B$1:$B$250),FALSE),E$3)),"")</f>
        <v/>
      </c>
      <c r="F335" t="str">
        <f t="array" aca="1" ref="F335" ca="1">IFERROR(INDEX(Source!$A$1:$A$250,SMALL(IF(--(Source!$B$1:$B$250=$O335)*--(Source!$E$1:$E$250=$M$3)*--(Source!$D$1:$D$250=Pyramid!$M335),ROW(Source!$B$1:$B$250),FALSE),F$3)),"")</f>
        <v/>
      </c>
      <c r="G335" t="str">
        <f t="array" aca="1" ref="G335" ca="1">IFERROR(INDEX(Source!$A$1:$A$250,SMALL(IF(--(Source!$B$1:$B$250=$O335)*--(Source!$E$1:$E$250=$M$3)*--(Source!$D$1:$D$250=Pyramid!$M335),ROW(Source!$B$1:$B$250),FALSE),G$3)),"")</f>
        <v/>
      </c>
      <c r="H335" t="str">
        <f t="array" aca="1" ref="H335" ca="1">IFERROR(INDEX(Source!$A$1:$A$250,SMALL(IF(--(Source!$B$1:$B$250=$O335)*--(Source!$E$1:$E$250=$M$3)*--(Source!$D$1:$D$250=Pyramid!$M335),ROW(Source!$B$1:$B$250),FALSE),H$3)),"")</f>
        <v/>
      </c>
      <c r="I335" t="str">
        <f t="array" aca="1" ref="I335" ca="1">IFERROR(INDEX(Source!$A$1:$A$250,SMALL(IF(--(Source!$B$1:$B$250=$O335)*--(Source!$E$1:$E$250=$M$3)*--(Source!$D$1:$D$250=Pyramid!$M335),ROW(Source!$B$1:$B$250),FALSE),I$3)),"")</f>
        <v/>
      </c>
      <c r="J335" t="str">
        <f t="array" aca="1" ref="J335" ca="1">IFERROR(INDEX(Source!$A$1:$A$250,SMALL(IF(--(Source!$B$1:$B$250=$O335)*--(Source!$E$1:$E$250=$M$3)*--(Source!$D$1:$D$250=Pyramid!$M335),ROW(Source!$B$1:$B$250),FALSE),J$3)),"")</f>
        <v/>
      </c>
      <c r="K335" t="str">
        <f t="array" aca="1" ref="K335" ca="1">IFERROR(INDEX(Source!$A$1:$A$250,SMALL(IF(--(Source!$B$1:$B$250=$O335)*--(Source!$E$1:$E$250=$M$3)*--(Source!$D$1:$D$250=Pyramid!$M335),ROW(Source!$B$1:$B$250),FALSE),K$3)),"")</f>
        <v/>
      </c>
      <c r="L335" t="str">
        <f t="array" aca="1" ref="L335" ca="1">IFERROR(INDEX(Source!$A$1:$A$250,SMALL(IF(--(Source!$B$1:$B$250=$O335)*--(Source!$E$1:$E$250=$M$3)*--(Source!$D$1:$D$250=Pyramid!$M335),ROW(Source!$B$1:$B$250),FALSE),L$3)),"")</f>
        <v/>
      </c>
      <c r="M335" t="str">
        <f t="shared" si="17"/>
        <v>28/7/2016</v>
      </c>
      <c r="N335">
        <f ca="1">COUNTIFS(Source!B:B,Pyramid!$O335,Source!$D:$D,Pyramid!$M335,Source!$E:$E,Pyramid!$M$3)</f>
        <v>0</v>
      </c>
      <c r="O335">
        <f ca="1">OFFSET(Sheet2!$N$3,INT(C335/5),)</f>
        <v>22700</v>
      </c>
      <c r="P335">
        <f ca="1">COUNTIFS(Source!B:B,Pyramid!$O335,Source!D:D,Pyramid!$Q335,Source!$E:$E,Pyramid!$Q$3)</f>
        <v>0</v>
      </c>
      <c r="Q335" t="str">
        <f t="shared" si="17"/>
        <v>28/7/2016</v>
      </c>
      <c r="R335" t="str">
        <f t="array" aca="1" ref="R335" ca="1">IFERROR(INDEX(Source!$A$1:$A$250,SMALL(IF(--(Source!$B$1:$B$250=$O335)*--(Source!$E$1:$E$250=$Q$3)*--(Source!$D$1:$D$250=Pyramid!$Q335),ROW(Source!$B$1:$B$250),FALSE),R$3)),"")</f>
        <v/>
      </c>
      <c r="S335" t="str">
        <f t="array" aca="1" ref="S335" ca="1">IFERROR(INDEX(Source!$A$1:$A$250,SMALL(IF(--(Source!$B$1:$B$250=$O335)*--(Source!$E$1:$E$250=$Q$3)*--(Source!$D$1:$D$250=Pyramid!$Q335),ROW(Source!$B$1:$B$250),FALSE),S$3)),"")</f>
        <v/>
      </c>
      <c r="T335" t="str">
        <f t="array" aca="1" ref="T335" ca="1">IFERROR(INDEX(Source!$A$1:$A$250,SMALL(IF(--(Source!$B$1:$B$250=$O335)*--(Source!$E$1:$E$250=$Q$3)*--(Source!$D$1:$D$250=Pyramid!$Q335),ROW(Source!$B$1:$B$250),FALSE),T$3)),"")</f>
        <v/>
      </c>
      <c r="U335" t="str">
        <f t="array" aca="1" ref="U335" ca="1">IFERROR(INDEX(Source!$A$1:$A$250,SMALL(IF(--(Source!$B$1:$B$250=$O335)*--(Source!$E$1:$E$250=$Q$3)*--(Source!$D$1:$D$250=Pyramid!$Q335),ROW(Source!$B$1:$B$250),FALSE),U$3)),"")</f>
        <v/>
      </c>
      <c r="V335" t="str">
        <f t="array" aca="1" ref="V335" ca="1">IFERROR(INDEX(Source!$A$1:$A$250,SMALL(IF(--(Source!$B$1:$B$250=$O335)*--(Source!$E$1:$E$250=$Q$3)*--(Source!$D$1:$D$250=Pyramid!$Q335),ROW(Source!$B$1:$B$250),FALSE),V$3)),"")</f>
        <v/>
      </c>
      <c r="W335" t="str">
        <f t="array" aca="1" ref="W335" ca="1">IFERROR(INDEX(Source!$A$1:$A$250,SMALL(IF(--(Source!$B$1:$B$250=$O335)*--(Source!$E$1:$E$250=$Q$3)*--(Source!$D$1:$D$250=Pyramid!$Q335),ROW(Source!$B$1:$B$250),FALSE),W$3)),"")</f>
        <v/>
      </c>
      <c r="X335" t="str">
        <f t="array" aca="1" ref="X335" ca="1">IFERROR(INDEX(Source!$A$1:$A$250,SMALL(IF(--(Source!$B$1:$B$250=$O335)*--(Source!$E$1:$E$250=$Q$3)*--(Source!$D$1:$D$250=Pyramid!$Q335),ROW(Source!$B$1:$B$250),FALSE),X$3)),"")</f>
        <v/>
      </c>
      <c r="Y335" s="5">
        <f t="shared" ca="1" si="18"/>
        <v>0</v>
      </c>
    </row>
    <row r="336" spans="3:25">
      <c r="C336">
        <v>332</v>
      </c>
      <c r="D336" s="5">
        <f t="shared" ca="1" si="16"/>
        <v>0</v>
      </c>
      <c r="E336" t="str">
        <f t="array" aca="1" ref="E336" ca="1">IFERROR(INDEX(Source!$A$1:$A$250,SMALL(IF(--(Source!$B$1:$B$250=$O336)*--(Source!$E$1:$E$250=$M$3)*--(Source!$D$1:$D$250=Pyramid!$M336),ROW(Source!$B$1:$B$250),FALSE),E$3)),"")</f>
        <v/>
      </c>
      <c r="F336" t="str">
        <f t="array" aca="1" ref="F336" ca="1">IFERROR(INDEX(Source!$A$1:$A$250,SMALL(IF(--(Source!$B$1:$B$250=$O336)*--(Source!$E$1:$E$250=$M$3)*--(Source!$D$1:$D$250=Pyramid!$M336),ROW(Source!$B$1:$B$250),FALSE),F$3)),"")</f>
        <v/>
      </c>
      <c r="G336" t="str">
        <f t="array" aca="1" ref="G336" ca="1">IFERROR(INDEX(Source!$A$1:$A$250,SMALL(IF(--(Source!$B$1:$B$250=$O336)*--(Source!$E$1:$E$250=$M$3)*--(Source!$D$1:$D$250=Pyramid!$M336),ROW(Source!$B$1:$B$250),FALSE),G$3)),"")</f>
        <v/>
      </c>
      <c r="H336" t="str">
        <f t="array" aca="1" ref="H336" ca="1">IFERROR(INDEX(Source!$A$1:$A$250,SMALL(IF(--(Source!$B$1:$B$250=$O336)*--(Source!$E$1:$E$250=$M$3)*--(Source!$D$1:$D$250=Pyramid!$M336),ROW(Source!$B$1:$B$250),FALSE),H$3)),"")</f>
        <v/>
      </c>
      <c r="I336" t="str">
        <f t="array" aca="1" ref="I336" ca="1">IFERROR(INDEX(Source!$A$1:$A$250,SMALL(IF(--(Source!$B$1:$B$250=$O336)*--(Source!$E$1:$E$250=$M$3)*--(Source!$D$1:$D$250=Pyramid!$M336),ROW(Source!$B$1:$B$250),FALSE),I$3)),"")</f>
        <v/>
      </c>
      <c r="J336" t="str">
        <f t="array" aca="1" ref="J336" ca="1">IFERROR(INDEX(Source!$A$1:$A$250,SMALL(IF(--(Source!$B$1:$B$250=$O336)*--(Source!$E$1:$E$250=$M$3)*--(Source!$D$1:$D$250=Pyramid!$M336),ROW(Source!$B$1:$B$250),FALSE),J$3)),"")</f>
        <v/>
      </c>
      <c r="K336" t="str">
        <f t="array" aca="1" ref="K336" ca="1">IFERROR(INDEX(Source!$A$1:$A$250,SMALL(IF(--(Source!$B$1:$B$250=$O336)*--(Source!$E$1:$E$250=$M$3)*--(Source!$D$1:$D$250=Pyramid!$M336),ROW(Source!$B$1:$B$250),FALSE),K$3)),"")</f>
        <v/>
      </c>
      <c r="L336" t="str">
        <f t="array" aca="1" ref="L336" ca="1">IFERROR(INDEX(Source!$A$1:$A$250,SMALL(IF(--(Source!$B$1:$B$250=$O336)*--(Source!$E$1:$E$250=$M$3)*--(Source!$D$1:$D$250=Pyramid!$M336),ROW(Source!$B$1:$B$250),FALSE),L$3)),"")</f>
        <v/>
      </c>
      <c r="M336" t="str">
        <f t="shared" si="17"/>
        <v>30/8/2016</v>
      </c>
      <c r="N336">
        <f ca="1">COUNTIFS(Source!B:B,Pyramid!$O336,Source!$D:$D,Pyramid!$M336,Source!$E:$E,Pyramid!$M$3)</f>
        <v>0</v>
      </c>
      <c r="O336">
        <f ca="1">OFFSET(Sheet2!$N$3,INT(C336/5),)</f>
        <v>22700</v>
      </c>
      <c r="P336">
        <f ca="1">COUNTIFS(Source!B:B,Pyramid!$O336,Source!D:D,Pyramid!$Q336,Source!$E:$E,Pyramid!$Q$3)</f>
        <v>0</v>
      </c>
      <c r="Q336" t="str">
        <f t="shared" si="17"/>
        <v>30/8/2016</v>
      </c>
      <c r="R336" t="str">
        <f t="array" aca="1" ref="R336" ca="1">IFERROR(INDEX(Source!$A$1:$A$250,SMALL(IF(--(Source!$B$1:$B$250=$O336)*--(Source!$E$1:$E$250=$Q$3)*--(Source!$D$1:$D$250=Pyramid!$Q336),ROW(Source!$B$1:$B$250),FALSE),R$3)),"")</f>
        <v/>
      </c>
      <c r="S336" t="str">
        <f t="array" aca="1" ref="S336" ca="1">IFERROR(INDEX(Source!$A$1:$A$250,SMALL(IF(--(Source!$B$1:$B$250=$O336)*--(Source!$E$1:$E$250=$Q$3)*--(Source!$D$1:$D$250=Pyramid!$Q336),ROW(Source!$B$1:$B$250),FALSE),S$3)),"")</f>
        <v/>
      </c>
      <c r="T336" t="str">
        <f t="array" aca="1" ref="T336" ca="1">IFERROR(INDEX(Source!$A$1:$A$250,SMALL(IF(--(Source!$B$1:$B$250=$O336)*--(Source!$E$1:$E$250=$Q$3)*--(Source!$D$1:$D$250=Pyramid!$Q336),ROW(Source!$B$1:$B$250),FALSE),T$3)),"")</f>
        <v/>
      </c>
      <c r="U336" t="str">
        <f t="array" aca="1" ref="U336" ca="1">IFERROR(INDEX(Source!$A$1:$A$250,SMALL(IF(--(Source!$B$1:$B$250=$O336)*--(Source!$E$1:$E$250=$Q$3)*--(Source!$D$1:$D$250=Pyramid!$Q336),ROW(Source!$B$1:$B$250),FALSE),U$3)),"")</f>
        <v/>
      </c>
      <c r="V336" t="str">
        <f t="array" aca="1" ref="V336" ca="1">IFERROR(INDEX(Source!$A$1:$A$250,SMALL(IF(--(Source!$B$1:$B$250=$O336)*--(Source!$E$1:$E$250=$Q$3)*--(Source!$D$1:$D$250=Pyramid!$Q336),ROW(Source!$B$1:$B$250),FALSE),V$3)),"")</f>
        <v/>
      </c>
      <c r="W336" t="str">
        <f t="array" aca="1" ref="W336" ca="1">IFERROR(INDEX(Source!$A$1:$A$250,SMALL(IF(--(Source!$B$1:$B$250=$O336)*--(Source!$E$1:$E$250=$Q$3)*--(Source!$D$1:$D$250=Pyramid!$Q336),ROW(Source!$B$1:$B$250),FALSE),W$3)),"")</f>
        <v/>
      </c>
      <c r="X336" t="str">
        <f t="array" aca="1" ref="X336" ca="1">IFERROR(INDEX(Source!$A$1:$A$250,SMALL(IF(--(Source!$B$1:$B$250=$O336)*--(Source!$E$1:$E$250=$Q$3)*--(Source!$D$1:$D$250=Pyramid!$Q336),ROW(Source!$B$1:$B$250),FALSE),X$3)),"")</f>
        <v/>
      </c>
      <c r="Y336" s="5">
        <f t="shared" ca="1" si="18"/>
        <v>0</v>
      </c>
    </row>
    <row r="337" spans="3:25">
      <c r="C337">
        <v>333</v>
      </c>
      <c r="D337" s="5">
        <f t="shared" ca="1" si="16"/>
        <v>0</v>
      </c>
      <c r="E337" t="str">
        <f t="array" aca="1" ref="E337" ca="1">IFERROR(INDEX(Source!$A$1:$A$250,SMALL(IF(--(Source!$B$1:$B$250=$O337)*--(Source!$E$1:$E$250=$M$3)*--(Source!$D$1:$D$250=Pyramid!$M337),ROW(Source!$B$1:$B$250),FALSE),E$3)),"")</f>
        <v/>
      </c>
      <c r="F337" t="str">
        <f t="array" aca="1" ref="F337" ca="1">IFERROR(INDEX(Source!$A$1:$A$250,SMALL(IF(--(Source!$B$1:$B$250=$O337)*--(Source!$E$1:$E$250=$M$3)*--(Source!$D$1:$D$250=Pyramid!$M337),ROW(Source!$B$1:$B$250),FALSE),F$3)),"")</f>
        <v/>
      </c>
      <c r="G337" t="str">
        <f t="array" aca="1" ref="G337" ca="1">IFERROR(INDEX(Source!$A$1:$A$250,SMALL(IF(--(Source!$B$1:$B$250=$O337)*--(Source!$E$1:$E$250=$M$3)*--(Source!$D$1:$D$250=Pyramid!$M337),ROW(Source!$B$1:$B$250),FALSE),G$3)),"")</f>
        <v/>
      </c>
      <c r="H337" t="str">
        <f t="array" aca="1" ref="H337" ca="1">IFERROR(INDEX(Source!$A$1:$A$250,SMALL(IF(--(Source!$B$1:$B$250=$O337)*--(Source!$E$1:$E$250=$M$3)*--(Source!$D$1:$D$250=Pyramid!$M337),ROW(Source!$B$1:$B$250),FALSE),H$3)),"")</f>
        <v/>
      </c>
      <c r="I337" t="str">
        <f t="array" aca="1" ref="I337" ca="1">IFERROR(INDEX(Source!$A$1:$A$250,SMALL(IF(--(Source!$B$1:$B$250=$O337)*--(Source!$E$1:$E$250=$M$3)*--(Source!$D$1:$D$250=Pyramid!$M337),ROW(Source!$B$1:$B$250),FALSE),I$3)),"")</f>
        <v/>
      </c>
      <c r="J337" t="str">
        <f t="array" aca="1" ref="J337" ca="1">IFERROR(INDEX(Source!$A$1:$A$250,SMALL(IF(--(Source!$B$1:$B$250=$O337)*--(Source!$E$1:$E$250=$M$3)*--(Source!$D$1:$D$250=Pyramid!$M337),ROW(Source!$B$1:$B$250),FALSE),J$3)),"")</f>
        <v/>
      </c>
      <c r="K337" t="str">
        <f t="array" aca="1" ref="K337" ca="1">IFERROR(INDEX(Source!$A$1:$A$250,SMALL(IF(--(Source!$B$1:$B$250=$O337)*--(Source!$E$1:$E$250=$M$3)*--(Source!$D$1:$D$250=Pyramid!$M337),ROW(Source!$B$1:$B$250),FALSE),K$3)),"")</f>
        <v/>
      </c>
      <c r="L337" t="str">
        <f t="array" aca="1" ref="L337" ca="1">IFERROR(INDEX(Source!$A$1:$A$250,SMALL(IF(--(Source!$B$1:$B$250=$O337)*--(Source!$E$1:$E$250=$M$3)*--(Source!$D$1:$D$250=Pyramid!$M337),ROW(Source!$B$1:$B$250),FALSE),L$3)),"")</f>
        <v/>
      </c>
      <c r="M337" t="str">
        <f t="shared" si="17"/>
        <v>29/9/2016</v>
      </c>
      <c r="N337">
        <f ca="1">COUNTIFS(Source!B:B,Pyramid!$O337,Source!$D:$D,Pyramid!$M337,Source!$E:$E,Pyramid!$M$3)</f>
        <v>0</v>
      </c>
      <c r="O337">
        <f ca="1">OFFSET(Sheet2!$N$3,INT(C337/5),)</f>
        <v>22700</v>
      </c>
      <c r="P337">
        <f ca="1">COUNTIFS(Source!B:B,Pyramid!$O337,Source!D:D,Pyramid!$Q337,Source!$E:$E,Pyramid!$Q$3)</f>
        <v>0</v>
      </c>
      <c r="Q337" t="str">
        <f t="shared" si="17"/>
        <v>29/9/2016</v>
      </c>
      <c r="R337" t="str">
        <f t="array" aca="1" ref="R337" ca="1">IFERROR(INDEX(Source!$A$1:$A$250,SMALL(IF(--(Source!$B$1:$B$250=$O337)*--(Source!$E$1:$E$250=$Q$3)*--(Source!$D$1:$D$250=Pyramid!$Q337),ROW(Source!$B$1:$B$250),FALSE),R$3)),"")</f>
        <v/>
      </c>
      <c r="S337" t="str">
        <f t="array" aca="1" ref="S337" ca="1">IFERROR(INDEX(Source!$A$1:$A$250,SMALL(IF(--(Source!$B$1:$B$250=$O337)*--(Source!$E$1:$E$250=$Q$3)*--(Source!$D$1:$D$250=Pyramid!$Q337),ROW(Source!$B$1:$B$250),FALSE),S$3)),"")</f>
        <v/>
      </c>
      <c r="T337" t="str">
        <f t="array" aca="1" ref="T337" ca="1">IFERROR(INDEX(Source!$A$1:$A$250,SMALL(IF(--(Source!$B$1:$B$250=$O337)*--(Source!$E$1:$E$250=$Q$3)*--(Source!$D$1:$D$250=Pyramid!$Q337),ROW(Source!$B$1:$B$250),FALSE),T$3)),"")</f>
        <v/>
      </c>
      <c r="U337" t="str">
        <f t="array" aca="1" ref="U337" ca="1">IFERROR(INDEX(Source!$A$1:$A$250,SMALL(IF(--(Source!$B$1:$B$250=$O337)*--(Source!$E$1:$E$250=$Q$3)*--(Source!$D$1:$D$250=Pyramid!$Q337),ROW(Source!$B$1:$B$250),FALSE),U$3)),"")</f>
        <v/>
      </c>
      <c r="V337" t="str">
        <f t="array" aca="1" ref="V337" ca="1">IFERROR(INDEX(Source!$A$1:$A$250,SMALL(IF(--(Source!$B$1:$B$250=$O337)*--(Source!$E$1:$E$250=$Q$3)*--(Source!$D$1:$D$250=Pyramid!$Q337),ROW(Source!$B$1:$B$250),FALSE),V$3)),"")</f>
        <v/>
      </c>
      <c r="W337" t="str">
        <f t="array" aca="1" ref="W337" ca="1">IFERROR(INDEX(Source!$A$1:$A$250,SMALL(IF(--(Source!$B$1:$B$250=$O337)*--(Source!$E$1:$E$250=$Q$3)*--(Source!$D$1:$D$250=Pyramid!$Q337),ROW(Source!$B$1:$B$250),FALSE),W$3)),"")</f>
        <v/>
      </c>
      <c r="X337" t="str">
        <f t="array" aca="1" ref="X337" ca="1">IFERROR(INDEX(Source!$A$1:$A$250,SMALL(IF(--(Source!$B$1:$B$250=$O337)*--(Source!$E$1:$E$250=$Q$3)*--(Source!$D$1:$D$250=Pyramid!$Q337),ROW(Source!$B$1:$B$250),FALSE),X$3)),"")</f>
        <v/>
      </c>
      <c r="Y337" s="5">
        <f t="shared" ca="1" si="18"/>
        <v>0</v>
      </c>
    </row>
    <row r="338" spans="3:25">
      <c r="C338">
        <v>334</v>
      </c>
      <c r="D338" s="5">
        <f t="shared" ca="1" si="16"/>
        <v>0</v>
      </c>
      <c r="E338" t="str">
        <f t="array" aca="1" ref="E338" ca="1">IFERROR(INDEX(Source!$A$1:$A$250,SMALL(IF(--(Source!$B$1:$B$250=$O338)*--(Source!$E$1:$E$250=$M$3)*--(Source!$D$1:$D$250=Pyramid!$M338),ROW(Source!$B$1:$B$250),FALSE),E$3)),"")</f>
        <v/>
      </c>
      <c r="F338" t="str">
        <f t="array" aca="1" ref="F338" ca="1">IFERROR(INDEX(Source!$A$1:$A$250,SMALL(IF(--(Source!$B$1:$B$250=$O338)*--(Source!$E$1:$E$250=$M$3)*--(Source!$D$1:$D$250=Pyramid!$M338),ROW(Source!$B$1:$B$250),FALSE),F$3)),"")</f>
        <v/>
      </c>
      <c r="G338" t="str">
        <f t="array" aca="1" ref="G338" ca="1">IFERROR(INDEX(Source!$A$1:$A$250,SMALL(IF(--(Source!$B$1:$B$250=$O338)*--(Source!$E$1:$E$250=$M$3)*--(Source!$D$1:$D$250=Pyramid!$M338),ROW(Source!$B$1:$B$250),FALSE),G$3)),"")</f>
        <v/>
      </c>
      <c r="H338" t="str">
        <f t="array" aca="1" ref="H338" ca="1">IFERROR(INDEX(Source!$A$1:$A$250,SMALL(IF(--(Source!$B$1:$B$250=$O338)*--(Source!$E$1:$E$250=$M$3)*--(Source!$D$1:$D$250=Pyramid!$M338),ROW(Source!$B$1:$B$250),FALSE),H$3)),"")</f>
        <v/>
      </c>
      <c r="I338" t="str">
        <f t="array" aca="1" ref="I338" ca="1">IFERROR(INDEX(Source!$A$1:$A$250,SMALL(IF(--(Source!$B$1:$B$250=$O338)*--(Source!$E$1:$E$250=$M$3)*--(Source!$D$1:$D$250=Pyramid!$M338),ROW(Source!$B$1:$B$250),FALSE),I$3)),"")</f>
        <v/>
      </c>
      <c r="J338" t="str">
        <f t="array" aca="1" ref="J338" ca="1">IFERROR(INDEX(Source!$A$1:$A$250,SMALL(IF(--(Source!$B$1:$B$250=$O338)*--(Source!$E$1:$E$250=$M$3)*--(Source!$D$1:$D$250=Pyramid!$M338),ROW(Source!$B$1:$B$250),FALSE),J$3)),"")</f>
        <v/>
      </c>
      <c r="K338" t="str">
        <f t="array" aca="1" ref="K338" ca="1">IFERROR(INDEX(Source!$A$1:$A$250,SMALL(IF(--(Source!$B$1:$B$250=$O338)*--(Source!$E$1:$E$250=$M$3)*--(Source!$D$1:$D$250=Pyramid!$M338),ROW(Source!$B$1:$B$250),FALSE),K$3)),"")</f>
        <v/>
      </c>
      <c r="L338" t="str">
        <f t="array" aca="1" ref="L338" ca="1">IFERROR(INDEX(Source!$A$1:$A$250,SMALL(IF(--(Source!$B$1:$B$250=$O338)*--(Source!$E$1:$E$250=$M$3)*--(Source!$D$1:$D$250=Pyramid!$M338),ROW(Source!$B$1:$B$250),FALSE),L$3)),"")</f>
        <v/>
      </c>
      <c r="M338" t="str">
        <f t="shared" si="17"/>
        <v>28/10/2016</v>
      </c>
      <c r="N338">
        <f ca="1">COUNTIFS(Source!B:B,Pyramid!$O338,Source!$D:$D,Pyramid!$M338,Source!$E:$E,Pyramid!$M$3)</f>
        <v>0</v>
      </c>
      <c r="O338">
        <f ca="1">OFFSET(Sheet2!$N$3,INT(C338/5),)</f>
        <v>22700</v>
      </c>
      <c r="P338">
        <f ca="1">COUNTIFS(Source!B:B,Pyramid!$O338,Source!D:D,Pyramid!$Q338,Source!$E:$E,Pyramid!$Q$3)</f>
        <v>0</v>
      </c>
      <c r="Q338" t="str">
        <f t="shared" si="17"/>
        <v>28/10/2016</v>
      </c>
      <c r="R338" t="str">
        <f t="array" aca="1" ref="R338" ca="1">IFERROR(INDEX(Source!$A$1:$A$250,SMALL(IF(--(Source!$B$1:$B$250=$O338)*--(Source!$E$1:$E$250=$Q$3)*--(Source!$D$1:$D$250=Pyramid!$Q338),ROW(Source!$B$1:$B$250),FALSE),R$3)),"")</f>
        <v/>
      </c>
      <c r="S338" t="str">
        <f t="array" aca="1" ref="S338" ca="1">IFERROR(INDEX(Source!$A$1:$A$250,SMALL(IF(--(Source!$B$1:$B$250=$O338)*--(Source!$E$1:$E$250=$Q$3)*--(Source!$D$1:$D$250=Pyramid!$Q338),ROW(Source!$B$1:$B$250),FALSE),S$3)),"")</f>
        <v/>
      </c>
      <c r="T338" t="str">
        <f t="array" aca="1" ref="T338" ca="1">IFERROR(INDEX(Source!$A$1:$A$250,SMALL(IF(--(Source!$B$1:$B$250=$O338)*--(Source!$E$1:$E$250=$Q$3)*--(Source!$D$1:$D$250=Pyramid!$Q338),ROW(Source!$B$1:$B$250),FALSE),T$3)),"")</f>
        <v/>
      </c>
      <c r="U338" t="str">
        <f t="array" aca="1" ref="U338" ca="1">IFERROR(INDEX(Source!$A$1:$A$250,SMALL(IF(--(Source!$B$1:$B$250=$O338)*--(Source!$E$1:$E$250=$Q$3)*--(Source!$D$1:$D$250=Pyramid!$Q338),ROW(Source!$B$1:$B$250),FALSE),U$3)),"")</f>
        <v/>
      </c>
      <c r="V338" t="str">
        <f t="array" aca="1" ref="V338" ca="1">IFERROR(INDEX(Source!$A$1:$A$250,SMALL(IF(--(Source!$B$1:$B$250=$O338)*--(Source!$E$1:$E$250=$Q$3)*--(Source!$D$1:$D$250=Pyramid!$Q338),ROW(Source!$B$1:$B$250),FALSE),V$3)),"")</f>
        <v/>
      </c>
      <c r="W338" t="str">
        <f t="array" aca="1" ref="W338" ca="1">IFERROR(INDEX(Source!$A$1:$A$250,SMALL(IF(--(Source!$B$1:$B$250=$O338)*--(Source!$E$1:$E$250=$Q$3)*--(Source!$D$1:$D$250=Pyramid!$Q338),ROW(Source!$B$1:$B$250),FALSE),W$3)),"")</f>
        <v/>
      </c>
      <c r="X338" t="str">
        <f t="array" aca="1" ref="X338" ca="1">IFERROR(INDEX(Source!$A$1:$A$250,SMALL(IF(--(Source!$B$1:$B$250=$O338)*--(Source!$E$1:$E$250=$Q$3)*--(Source!$D$1:$D$250=Pyramid!$Q338),ROW(Source!$B$1:$B$250),FALSE),X$3)),"")</f>
        <v/>
      </c>
      <c r="Y338" s="5">
        <f t="shared" ca="1" si="18"/>
        <v>0</v>
      </c>
    </row>
    <row r="339" spans="3:25">
      <c r="C339">
        <v>335</v>
      </c>
      <c r="D339" s="5">
        <f t="shared" ca="1" si="16"/>
        <v>0</v>
      </c>
      <c r="E339" t="str">
        <f t="array" aca="1" ref="E339" ca="1">IFERROR(INDEX(Source!$A$1:$A$250,SMALL(IF(--(Source!$B$1:$B$250=$O339)*--(Source!$E$1:$E$250=$M$3)*--(Source!$D$1:$D$250=Pyramid!$M339),ROW(Source!$B$1:$B$250),FALSE),E$3)),"")</f>
        <v/>
      </c>
      <c r="F339" t="str">
        <f t="array" aca="1" ref="F339" ca="1">IFERROR(INDEX(Source!$A$1:$A$250,SMALL(IF(--(Source!$B$1:$B$250=$O339)*--(Source!$E$1:$E$250=$M$3)*--(Source!$D$1:$D$250=Pyramid!$M339),ROW(Source!$B$1:$B$250),FALSE),F$3)),"")</f>
        <v/>
      </c>
      <c r="G339" t="str">
        <f t="array" aca="1" ref="G339" ca="1">IFERROR(INDEX(Source!$A$1:$A$250,SMALL(IF(--(Source!$B$1:$B$250=$O339)*--(Source!$E$1:$E$250=$M$3)*--(Source!$D$1:$D$250=Pyramid!$M339),ROW(Source!$B$1:$B$250),FALSE),G$3)),"")</f>
        <v/>
      </c>
      <c r="H339" t="str">
        <f t="array" aca="1" ref="H339" ca="1">IFERROR(INDEX(Source!$A$1:$A$250,SMALL(IF(--(Source!$B$1:$B$250=$O339)*--(Source!$E$1:$E$250=$M$3)*--(Source!$D$1:$D$250=Pyramid!$M339),ROW(Source!$B$1:$B$250),FALSE),H$3)),"")</f>
        <v/>
      </c>
      <c r="I339" t="str">
        <f t="array" aca="1" ref="I339" ca="1">IFERROR(INDEX(Source!$A$1:$A$250,SMALL(IF(--(Source!$B$1:$B$250=$O339)*--(Source!$E$1:$E$250=$M$3)*--(Source!$D$1:$D$250=Pyramid!$M339),ROW(Source!$B$1:$B$250),FALSE),I$3)),"")</f>
        <v/>
      </c>
      <c r="J339" t="str">
        <f t="array" aca="1" ref="J339" ca="1">IFERROR(INDEX(Source!$A$1:$A$250,SMALL(IF(--(Source!$B$1:$B$250=$O339)*--(Source!$E$1:$E$250=$M$3)*--(Source!$D$1:$D$250=Pyramid!$M339),ROW(Source!$B$1:$B$250),FALSE),J$3)),"")</f>
        <v/>
      </c>
      <c r="K339" t="str">
        <f t="array" aca="1" ref="K339" ca="1">IFERROR(INDEX(Source!$A$1:$A$250,SMALL(IF(--(Source!$B$1:$B$250=$O339)*--(Source!$E$1:$E$250=$M$3)*--(Source!$D$1:$D$250=Pyramid!$M339),ROW(Source!$B$1:$B$250),FALSE),K$3)),"")</f>
        <v/>
      </c>
      <c r="L339" t="str">
        <f t="array" aca="1" ref="L339" ca="1">IFERROR(INDEX(Source!$A$1:$A$250,SMALL(IF(--(Source!$B$1:$B$250=$O339)*--(Source!$E$1:$E$250=$M$3)*--(Source!$D$1:$D$250=Pyramid!$M339),ROW(Source!$B$1:$B$250),FALSE),L$3)),"")</f>
        <v/>
      </c>
      <c r="M339" t="str">
        <f t="shared" si="17"/>
        <v>29/6/2016</v>
      </c>
      <c r="N339">
        <f ca="1">COUNTIFS(Source!B:B,Pyramid!$O339,Source!$D:$D,Pyramid!$M339,Source!$E:$E,Pyramid!$M$3)</f>
        <v>0</v>
      </c>
      <c r="O339">
        <f ca="1">OFFSET(Sheet2!$N$3,INT(C339/5),)</f>
        <v>22800</v>
      </c>
      <c r="P339">
        <f ca="1">COUNTIFS(Source!B:B,Pyramid!$O339,Source!D:D,Pyramid!$Q339,Source!$E:$E,Pyramid!$Q$3)</f>
        <v>0</v>
      </c>
      <c r="Q339" t="str">
        <f t="shared" si="17"/>
        <v>29/6/2016</v>
      </c>
      <c r="R339" t="str">
        <f t="array" aca="1" ref="R339" ca="1">IFERROR(INDEX(Source!$A$1:$A$250,SMALL(IF(--(Source!$B$1:$B$250=$O339)*--(Source!$E$1:$E$250=$Q$3)*--(Source!$D$1:$D$250=Pyramid!$Q339),ROW(Source!$B$1:$B$250),FALSE),R$3)),"")</f>
        <v/>
      </c>
      <c r="S339" t="str">
        <f t="array" aca="1" ref="S339" ca="1">IFERROR(INDEX(Source!$A$1:$A$250,SMALL(IF(--(Source!$B$1:$B$250=$O339)*--(Source!$E$1:$E$250=$Q$3)*--(Source!$D$1:$D$250=Pyramid!$Q339),ROW(Source!$B$1:$B$250),FALSE),S$3)),"")</f>
        <v/>
      </c>
      <c r="T339" t="str">
        <f t="array" aca="1" ref="T339" ca="1">IFERROR(INDEX(Source!$A$1:$A$250,SMALL(IF(--(Source!$B$1:$B$250=$O339)*--(Source!$E$1:$E$250=$Q$3)*--(Source!$D$1:$D$250=Pyramid!$Q339),ROW(Source!$B$1:$B$250),FALSE),T$3)),"")</f>
        <v/>
      </c>
      <c r="U339" t="str">
        <f t="array" aca="1" ref="U339" ca="1">IFERROR(INDEX(Source!$A$1:$A$250,SMALL(IF(--(Source!$B$1:$B$250=$O339)*--(Source!$E$1:$E$250=$Q$3)*--(Source!$D$1:$D$250=Pyramid!$Q339),ROW(Source!$B$1:$B$250),FALSE),U$3)),"")</f>
        <v/>
      </c>
      <c r="V339" t="str">
        <f t="array" aca="1" ref="V339" ca="1">IFERROR(INDEX(Source!$A$1:$A$250,SMALL(IF(--(Source!$B$1:$B$250=$O339)*--(Source!$E$1:$E$250=$Q$3)*--(Source!$D$1:$D$250=Pyramid!$Q339),ROW(Source!$B$1:$B$250),FALSE),V$3)),"")</f>
        <v/>
      </c>
      <c r="W339" t="str">
        <f t="array" aca="1" ref="W339" ca="1">IFERROR(INDEX(Source!$A$1:$A$250,SMALL(IF(--(Source!$B$1:$B$250=$O339)*--(Source!$E$1:$E$250=$Q$3)*--(Source!$D$1:$D$250=Pyramid!$Q339),ROW(Source!$B$1:$B$250),FALSE),W$3)),"")</f>
        <v/>
      </c>
      <c r="X339" t="str">
        <f t="array" aca="1" ref="X339" ca="1">IFERROR(INDEX(Source!$A$1:$A$250,SMALL(IF(--(Source!$B$1:$B$250=$O339)*--(Source!$E$1:$E$250=$Q$3)*--(Source!$D$1:$D$250=Pyramid!$Q339),ROW(Source!$B$1:$B$250),FALSE),X$3)),"")</f>
        <v/>
      </c>
      <c r="Y339" s="5">
        <f t="shared" ca="1" si="18"/>
        <v>0</v>
      </c>
    </row>
    <row r="340" spans="3:25">
      <c r="C340">
        <v>336</v>
      </c>
      <c r="D340" s="5">
        <f t="shared" ca="1" si="16"/>
        <v>0</v>
      </c>
      <c r="E340" t="str">
        <f t="array" aca="1" ref="E340" ca="1">IFERROR(INDEX(Source!$A$1:$A$250,SMALL(IF(--(Source!$B$1:$B$250=$O340)*--(Source!$E$1:$E$250=$M$3)*--(Source!$D$1:$D$250=Pyramid!$M340),ROW(Source!$B$1:$B$250),FALSE),E$3)),"")</f>
        <v/>
      </c>
      <c r="F340" t="str">
        <f t="array" aca="1" ref="F340" ca="1">IFERROR(INDEX(Source!$A$1:$A$250,SMALL(IF(--(Source!$B$1:$B$250=$O340)*--(Source!$E$1:$E$250=$M$3)*--(Source!$D$1:$D$250=Pyramid!$M340),ROW(Source!$B$1:$B$250),FALSE),F$3)),"")</f>
        <v/>
      </c>
      <c r="G340" t="str">
        <f t="array" aca="1" ref="G340" ca="1">IFERROR(INDEX(Source!$A$1:$A$250,SMALL(IF(--(Source!$B$1:$B$250=$O340)*--(Source!$E$1:$E$250=$M$3)*--(Source!$D$1:$D$250=Pyramid!$M340),ROW(Source!$B$1:$B$250),FALSE),G$3)),"")</f>
        <v/>
      </c>
      <c r="H340" t="str">
        <f t="array" aca="1" ref="H340" ca="1">IFERROR(INDEX(Source!$A$1:$A$250,SMALL(IF(--(Source!$B$1:$B$250=$O340)*--(Source!$E$1:$E$250=$M$3)*--(Source!$D$1:$D$250=Pyramid!$M340),ROW(Source!$B$1:$B$250),FALSE),H$3)),"")</f>
        <v/>
      </c>
      <c r="I340" t="str">
        <f t="array" aca="1" ref="I340" ca="1">IFERROR(INDEX(Source!$A$1:$A$250,SMALL(IF(--(Source!$B$1:$B$250=$O340)*--(Source!$E$1:$E$250=$M$3)*--(Source!$D$1:$D$250=Pyramid!$M340),ROW(Source!$B$1:$B$250),FALSE),I$3)),"")</f>
        <v/>
      </c>
      <c r="J340" t="str">
        <f t="array" aca="1" ref="J340" ca="1">IFERROR(INDEX(Source!$A$1:$A$250,SMALL(IF(--(Source!$B$1:$B$250=$O340)*--(Source!$E$1:$E$250=$M$3)*--(Source!$D$1:$D$250=Pyramid!$M340),ROW(Source!$B$1:$B$250),FALSE),J$3)),"")</f>
        <v/>
      </c>
      <c r="K340" t="str">
        <f t="array" aca="1" ref="K340" ca="1">IFERROR(INDEX(Source!$A$1:$A$250,SMALL(IF(--(Source!$B$1:$B$250=$O340)*--(Source!$E$1:$E$250=$M$3)*--(Source!$D$1:$D$250=Pyramid!$M340),ROW(Source!$B$1:$B$250),FALSE),K$3)),"")</f>
        <v/>
      </c>
      <c r="L340" t="str">
        <f t="array" aca="1" ref="L340" ca="1">IFERROR(INDEX(Source!$A$1:$A$250,SMALL(IF(--(Source!$B$1:$B$250=$O340)*--(Source!$E$1:$E$250=$M$3)*--(Source!$D$1:$D$250=Pyramid!$M340),ROW(Source!$B$1:$B$250),FALSE),L$3)),"")</f>
        <v/>
      </c>
      <c r="M340" t="str">
        <f t="shared" si="17"/>
        <v>28/7/2016</v>
      </c>
      <c r="N340">
        <f ca="1">COUNTIFS(Source!B:B,Pyramid!$O340,Source!$D:$D,Pyramid!$M340,Source!$E:$E,Pyramid!$M$3)</f>
        <v>0</v>
      </c>
      <c r="O340">
        <f ca="1">OFFSET(Sheet2!$N$3,INT(C340/5),)</f>
        <v>22800</v>
      </c>
      <c r="P340">
        <f ca="1">COUNTIFS(Source!B:B,Pyramid!$O340,Source!D:D,Pyramid!$Q340,Source!$E:$E,Pyramid!$Q$3)</f>
        <v>0</v>
      </c>
      <c r="Q340" t="str">
        <f t="shared" si="17"/>
        <v>28/7/2016</v>
      </c>
      <c r="R340" t="str">
        <f t="array" aca="1" ref="R340" ca="1">IFERROR(INDEX(Source!$A$1:$A$250,SMALL(IF(--(Source!$B$1:$B$250=$O340)*--(Source!$E$1:$E$250=$Q$3)*--(Source!$D$1:$D$250=Pyramid!$Q340),ROW(Source!$B$1:$B$250),FALSE),R$3)),"")</f>
        <v/>
      </c>
      <c r="S340" t="str">
        <f t="array" aca="1" ref="S340" ca="1">IFERROR(INDEX(Source!$A$1:$A$250,SMALL(IF(--(Source!$B$1:$B$250=$O340)*--(Source!$E$1:$E$250=$Q$3)*--(Source!$D$1:$D$250=Pyramid!$Q340),ROW(Source!$B$1:$B$250),FALSE),S$3)),"")</f>
        <v/>
      </c>
      <c r="T340" t="str">
        <f t="array" aca="1" ref="T340" ca="1">IFERROR(INDEX(Source!$A$1:$A$250,SMALL(IF(--(Source!$B$1:$B$250=$O340)*--(Source!$E$1:$E$250=$Q$3)*--(Source!$D$1:$D$250=Pyramid!$Q340),ROW(Source!$B$1:$B$250),FALSE),T$3)),"")</f>
        <v/>
      </c>
      <c r="U340" t="str">
        <f t="array" aca="1" ref="U340" ca="1">IFERROR(INDEX(Source!$A$1:$A$250,SMALL(IF(--(Source!$B$1:$B$250=$O340)*--(Source!$E$1:$E$250=$Q$3)*--(Source!$D$1:$D$250=Pyramid!$Q340),ROW(Source!$B$1:$B$250),FALSE),U$3)),"")</f>
        <v/>
      </c>
      <c r="V340" t="str">
        <f t="array" aca="1" ref="V340" ca="1">IFERROR(INDEX(Source!$A$1:$A$250,SMALL(IF(--(Source!$B$1:$B$250=$O340)*--(Source!$E$1:$E$250=$Q$3)*--(Source!$D$1:$D$250=Pyramid!$Q340),ROW(Source!$B$1:$B$250),FALSE),V$3)),"")</f>
        <v/>
      </c>
      <c r="W340" t="str">
        <f t="array" aca="1" ref="W340" ca="1">IFERROR(INDEX(Source!$A$1:$A$250,SMALL(IF(--(Source!$B$1:$B$250=$O340)*--(Source!$E$1:$E$250=$Q$3)*--(Source!$D$1:$D$250=Pyramid!$Q340),ROW(Source!$B$1:$B$250),FALSE),W$3)),"")</f>
        <v/>
      </c>
      <c r="X340" t="str">
        <f t="array" aca="1" ref="X340" ca="1">IFERROR(INDEX(Source!$A$1:$A$250,SMALL(IF(--(Source!$B$1:$B$250=$O340)*--(Source!$E$1:$E$250=$Q$3)*--(Source!$D$1:$D$250=Pyramid!$Q340),ROW(Source!$B$1:$B$250),FALSE),X$3)),"")</f>
        <v/>
      </c>
      <c r="Y340" s="5">
        <f t="shared" ca="1" si="18"/>
        <v>0</v>
      </c>
    </row>
    <row r="341" spans="3:25">
      <c r="C341">
        <v>337</v>
      </c>
      <c r="D341" s="5">
        <f t="shared" ca="1" si="16"/>
        <v>0</v>
      </c>
      <c r="E341" t="str">
        <f t="array" aca="1" ref="E341" ca="1">IFERROR(INDEX(Source!$A$1:$A$250,SMALL(IF(--(Source!$B$1:$B$250=$O341)*--(Source!$E$1:$E$250=$M$3)*--(Source!$D$1:$D$250=Pyramid!$M341),ROW(Source!$B$1:$B$250),FALSE),E$3)),"")</f>
        <v/>
      </c>
      <c r="F341" t="str">
        <f t="array" aca="1" ref="F341" ca="1">IFERROR(INDEX(Source!$A$1:$A$250,SMALL(IF(--(Source!$B$1:$B$250=$O341)*--(Source!$E$1:$E$250=$M$3)*--(Source!$D$1:$D$250=Pyramid!$M341),ROW(Source!$B$1:$B$250),FALSE),F$3)),"")</f>
        <v/>
      </c>
      <c r="G341" t="str">
        <f t="array" aca="1" ref="G341" ca="1">IFERROR(INDEX(Source!$A$1:$A$250,SMALL(IF(--(Source!$B$1:$B$250=$O341)*--(Source!$E$1:$E$250=$M$3)*--(Source!$D$1:$D$250=Pyramid!$M341),ROW(Source!$B$1:$B$250),FALSE),G$3)),"")</f>
        <v/>
      </c>
      <c r="H341" t="str">
        <f t="array" aca="1" ref="H341" ca="1">IFERROR(INDEX(Source!$A$1:$A$250,SMALL(IF(--(Source!$B$1:$B$250=$O341)*--(Source!$E$1:$E$250=$M$3)*--(Source!$D$1:$D$250=Pyramid!$M341),ROW(Source!$B$1:$B$250),FALSE),H$3)),"")</f>
        <v/>
      </c>
      <c r="I341" t="str">
        <f t="array" aca="1" ref="I341" ca="1">IFERROR(INDEX(Source!$A$1:$A$250,SMALL(IF(--(Source!$B$1:$B$250=$O341)*--(Source!$E$1:$E$250=$M$3)*--(Source!$D$1:$D$250=Pyramid!$M341),ROW(Source!$B$1:$B$250),FALSE),I$3)),"")</f>
        <v/>
      </c>
      <c r="J341" t="str">
        <f t="array" aca="1" ref="J341" ca="1">IFERROR(INDEX(Source!$A$1:$A$250,SMALL(IF(--(Source!$B$1:$B$250=$O341)*--(Source!$E$1:$E$250=$M$3)*--(Source!$D$1:$D$250=Pyramid!$M341),ROW(Source!$B$1:$B$250),FALSE),J$3)),"")</f>
        <v/>
      </c>
      <c r="K341" t="str">
        <f t="array" aca="1" ref="K341" ca="1">IFERROR(INDEX(Source!$A$1:$A$250,SMALL(IF(--(Source!$B$1:$B$250=$O341)*--(Source!$E$1:$E$250=$M$3)*--(Source!$D$1:$D$250=Pyramid!$M341),ROW(Source!$B$1:$B$250),FALSE),K$3)),"")</f>
        <v/>
      </c>
      <c r="L341" t="str">
        <f t="array" aca="1" ref="L341" ca="1">IFERROR(INDEX(Source!$A$1:$A$250,SMALL(IF(--(Source!$B$1:$B$250=$O341)*--(Source!$E$1:$E$250=$M$3)*--(Source!$D$1:$D$250=Pyramid!$M341),ROW(Source!$B$1:$B$250),FALSE),L$3)),"")</f>
        <v/>
      </c>
      <c r="M341" t="str">
        <f t="shared" si="17"/>
        <v>30/8/2016</v>
      </c>
      <c r="N341">
        <f ca="1">COUNTIFS(Source!B:B,Pyramid!$O341,Source!$D:$D,Pyramid!$M341,Source!$E:$E,Pyramid!$M$3)</f>
        <v>0</v>
      </c>
      <c r="O341">
        <f ca="1">OFFSET(Sheet2!$N$3,INT(C341/5),)</f>
        <v>22800</v>
      </c>
      <c r="P341">
        <f ca="1">COUNTIFS(Source!B:B,Pyramid!$O341,Source!D:D,Pyramid!$Q341,Source!$E:$E,Pyramid!$Q$3)</f>
        <v>0</v>
      </c>
      <c r="Q341" t="str">
        <f t="shared" si="17"/>
        <v>30/8/2016</v>
      </c>
      <c r="R341" t="str">
        <f t="array" aca="1" ref="R341" ca="1">IFERROR(INDEX(Source!$A$1:$A$250,SMALL(IF(--(Source!$B$1:$B$250=$O341)*--(Source!$E$1:$E$250=$Q$3)*--(Source!$D$1:$D$250=Pyramid!$Q341),ROW(Source!$B$1:$B$250),FALSE),R$3)),"")</f>
        <v/>
      </c>
      <c r="S341" t="str">
        <f t="array" aca="1" ref="S341" ca="1">IFERROR(INDEX(Source!$A$1:$A$250,SMALL(IF(--(Source!$B$1:$B$250=$O341)*--(Source!$E$1:$E$250=$Q$3)*--(Source!$D$1:$D$250=Pyramid!$Q341),ROW(Source!$B$1:$B$250),FALSE),S$3)),"")</f>
        <v/>
      </c>
      <c r="T341" t="str">
        <f t="array" aca="1" ref="T341" ca="1">IFERROR(INDEX(Source!$A$1:$A$250,SMALL(IF(--(Source!$B$1:$B$250=$O341)*--(Source!$E$1:$E$250=$Q$3)*--(Source!$D$1:$D$250=Pyramid!$Q341),ROW(Source!$B$1:$B$250),FALSE),T$3)),"")</f>
        <v/>
      </c>
      <c r="U341" t="str">
        <f t="array" aca="1" ref="U341" ca="1">IFERROR(INDEX(Source!$A$1:$A$250,SMALL(IF(--(Source!$B$1:$B$250=$O341)*--(Source!$E$1:$E$250=$Q$3)*--(Source!$D$1:$D$250=Pyramid!$Q341),ROW(Source!$B$1:$B$250),FALSE),U$3)),"")</f>
        <v/>
      </c>
      <c r="V341" t="str">
        <f t="array" aca="1" ref="V341" ca="1">IFERROR(INDEX(Source!$A$1:$A$250,SMALL(IF(--(Source!$B$1:$B$250=$O341)*--(Source!$E$1:$E$250=$Q$3)*--(Source!$D$1:$D$250=Pyramid!$Q341),ROW(Source!$B$1:$B$250),FALSE),V$3)),"")</f>
        <v/>
      </c>
      <c r="W341" t="str">
        <f t="array" aca="1" ref="W341" ca="1">IFERROR(INDEX(Source!$A$1:$A$250,SMALL(IF(--(Source!$B$1:$B$250=$O341)*--(Source!$E$1:$E$250=$Q$3)*--(Source!$D$1:$D$250=Pyramid!$Q341),ROW(Source!$B$1:$B$250),FALSE),W$3)),"")</f>
        <v/>
      </c>
      <c r="X341" t="str">
        <f t="array" aca="1" ref="X341" ca="1">IFERROR(INDEX(Source!$A$1:$A$250,SMALL(IF(--(Source!$B$1:$B$250=$O341)*--(Source!$E$1:$E$250=$Q$3)*--(Source!$D$1:$D$250=Pyramid!$Q341),ROW(Source!$B$1:$B$250),FALSE),X$3)),"")</f>
        <v/>
      </c>
      <c r="Y341" s="5">
        <f t="shared" ca="1" si="18"/>
        <v>0</v>
      </c>
    </row>
    <row r="342" spans="3:25">
      <c r="C342">
        <v>338</v>
      </c>
      <c r="D342" s="5">
        <f t="shared" ca="1" si="16"/>
        <v>0</v>
      </c>
      <c r="E342" t="str">
        <f t="array" aca="1" ref="E342" ca="1">IFERROR(INDEX(Source!$A$1:$A$250,SMALL(IF(--(Source!$B$1:$B$250=$O342)*--(Source!$E$1:$E$250=$M$3)*--(Source!$D$1:$D$250=Pyramid!$M342),ROW(Source!$B$1:$B$250),FALSE),E$3)),"")</f>
        <v/>
      </c>
      <c r="F342" t="str">
        <f t="array" aca="1" ref="F342" ca="1">IFERROR(INDEX(Source!$A$1:$A$250,SMALL(IF(--(Source!$B$1:$B$250=$O342)*--(Source!$E$1:$E$250=$M$3)*--(Source!$D$1:$D$250=Pyramid!$M342),ROW(Source!$B$1:$B$250),FALSE),F$3)),"")</f>
        <v/>
      </c>
      <c r="G342" t="str">
        <f t="array" aca="1" ref="G342" ca="1">IFERROR(INDEX(Source!$A$1:$A$250,SMALL(IF(--(Source!$B$1:$B$250=$O342)*--(Source!$E$1:$E$250=$M$3)*--(Source!$D$1:$D$250=Pyramid!$M342),ROW(Source!$B$1:$B$250),FALSE),G$3)),"")</f>
        <v/>
      </c>
      <c r="H342" t="str">
        <f t="array" aca="1" ref="H342" ca="1">IFERROR(INDEX(Source!$A$1:$A$250,SMALL(IF(--(Source!$B$1:$B$250=$O342)*--(Source!$E$1:$E$250=$M$3)*--(Source!$D$1:$D$250=Pyramid!$M342),ROW(Source!$B$1:$B$250),FALSE),H$3)),"")</f>
        <v/>
      </c>
      <c r="I342" t="str">
        <f t="array" aca="1" ref="I342" ca="1">IFERROR(INDEX(Source!$A$1:$A$250,SMALL(IF(--(Source!$B$1:$B$250=$O342)*--(Source!$E$1:$E$250=$M$3)*--(Source!$D$1:$D$250=Pyramid!$M342),ROW(Source!$B$1:$B$250),FALSE),I$3)),"")</f>
        <v/>
      </c>
      <c r="J342" t="str">
        <f t="array" aca="1" ref="J342" ca="1">IFERROR(INDEX(Source!$A$1:$A$250,SMALL(IF(--(Source!$B$1:$B$250=$O342)*--(Source!$E$1:$E$250=$M$3)*--(Source!$D$1:$D$250=Pyramid!$M342),ROW(Source!$B$1:$B$250),FALSE),J$3)),"")</f>
        <v/>
      </c>
      <c r="K342" t="str">
        <f t="array" aca="1" ref="K342" ca="1">IFERROR(INDEX(Source!$A$1:$A$250,SMALL(IF(--(Source!$B$1:$B$250=$O342)*--(Source!$E$1:$E$250=$M$3)*--(Source!$D$1:$D$250=Pyramid!$M342),ROW(Source!$B$1:$B$250),FALSE),K$3)),"")</f>
        <v/>
      </c>
      <c r="L342" t="str">
        <f t="array" aca="1" ref="L342" ca="1">IFERROR(INDEX(Source!$A$1:$A$250,SMALL(IF(--(Source!$B$1:$B$250=$O342)*--(Source!$E$1:$E$250=$M$3)*--(Source!$D$1:$D$250=Pyramid!$M342),ROW(Source!$B$1:$B$250),FALSE),L$3)),"")</f>
        <v/>
      </c>
      <c r="M342" t="str">
        <f t="shared" si="17"/>
        <v>29/9/2016</v>
      </c>
      <c r="N342">
        <f ca="1">COUNTIFS(Source!B:B,Pyramid!$O342,Source!$D:$D,Pyramid!$M342,Source!$E:$E,Pyramid!$M$3)</f>
        <v>0</v>
      </c>
      <c r="O342">
        <f ca="1">OFFSET(Sheet2!$N$3,INT(C342/5),)</f>
        <v>22800</v>
      </c>
      <c r="P342">
        <f ca="1">COUNTIFS(Source!B:B,Pyramid!$O342,Source!D:D,Pyramid!$Q342,Source!$E:$E,Pyramid!$Q$3)</f>
        <v>0</v>
      </c>
      <c r="Q342" t="str">
        <f t="shared" si="17"/>
        <v>29/9/2016</v>
      </c>
      <c r="R342" t="str">
        <f t="array" aca="1" ref="R342" ca="1">IFERROR(INDEX(Source!$A$1:$A$250,SMALL(IF(--(Source!$B$1:$B$250=$O342)*--(Source!$E$1:$E$250=$Q$3)*--(Source!$D$1:$D$250=Pyramid!$Q342),ROW(Source!$B$1:$B$250),FALSE),R$3)),"")</f>
        <v/>
      </c>
      <c r="S342" t="str">
        <f t="array" aca="1" ref="S342" ca="1">IFERROR(INDEX(Source!$A$1:$A$250,SMALL(IF(--(Source!$B$1:$B$250=$O342)*--(Source!$E$1:$E$250=$Q$3)*--(Source!$D$1:$D$250=Pyramid!$Q342),ROW(Source!$B$1:$B$250),FALSE),S$3)),"")</f>
        <v/>
      </c>
      <c r="T342" t="str">
        <f t="array" aca="1" ref="T342" ca="1">IFERROR(INDEX(Source!$A$1:$A$250,SMALL(IF(--(Source!$B$1:$B$250=$O342)*--(Source!$E$1:$E$250=$Q$3)*--(Source!$D$1:$D$250=Pyramid!$Q342),ROW(Source!$B$1:$B$250),FALSE),T$3)),"")</f>
        <v/>
      </c>
      <c r="U342" t="str">
        <f t="array" aca="1" ref="U342" ca="1">IFERROR(INDEX(Source!$A$1:$A$250,SMALL(IF(--(Source!$B$1:$B$250=$O342)*--(Source!$E$1:$E$250=$Q$3)*--(Source!$D$1:$D$250=Pyramid!$Q342),ROW(Source!$B$1:$B$250),FALSE),U$3)),"")</f>
        <v/>
      </c>
      <c r="V342" t="str">
        <f t="array" aca="1" ref="V342" ca="1">IFERROR(INDEX(Source!$A$1:$A$250,SMALL(IF(--(Source!$B$1:$B$250=$O342)*--(Source!$E$1:$E$250=$Q$3)*--(Source!$D$1:$D$250=Pyramid!$Q342),ROW(Source!$B$1:$B$250),FALSE),V$3)),"")</f>
        <v/>
      </c>
      <c r="W342" t="str">
        <f t="array" aca="1" ref="W342" ca="1">IFERROR(INDEX(Source!$A$1:$A$250,SMALL(IF(--(Source!$B$1:$B$250=$O342)*--(Source!$E$1:$E$250=$Q$3)*--(Source!$D$1:$D$250=Pyramid!$Q342),ROW(Source!$B$1:$B$250),FALSE),W$3)),"")</f>
        <v/>
      </c>
      <c r="X342" t="str">
        <f t="array" aca="1" ref="X342" ca="1">IFERROR(INDEX(Source!$A$1:$A$250,SMALL(IF(--(Source!$B$1:$B$250=$O342)*--(Source!$E$1:$E$250=$Q$3)*--(Source!$D$1:$D$250=Pyramid!$Q342),ROW(Source!$B$1:$B$250),FALSE),X$3)),"")</f>
        <v/>
      </c>
      <c r="Y342" s="5">
        <f t="shared" ca="1" si="18"/>
        <v>0</v>
      </c>
    </row>
    <row r="343" spans="3:25">
      <c r="C343">
        <v>339</v>
      </c>
      <c r="D343" s="5">
        <f t="shared" ca="1" si="16"/>
        <v>0</v>
      </c>
      <c r="E343" t="str">
        <f t="array" aca="1" ref="E343" ca="1">IFERROR(INDEX(Source!$A$1:$A$250,SMALL(IF(--(Source!$B$1:$B$250=$O343)*--(Source!$E$1:$E$250=$M$3)*--(Source!$D$1:$D$250=Pyramid!$M343),ROW(Source!$B$1:$B$250),FALSE),E$3)),"")</f>
        <v/>
      </c>
      <c r="F343" t="str">
        <f t="array" aca="1" ref="F343" ca="1">IFERROR(INDEX(Source!$A$1:$A$250,SMALL(IF(--(Source!$B$1:$B$250=$O343)*--(Source!$E$1:$E$250=$M$3)*--(Source!$D$1:$D$250=Pyramid!$M343),ROW(Source!$B$1:$B$250),FALSE),F$3)),"")</f>
        <v/>
      </c>
      <c r="G343" t="str">
        <f t="array" aca="1" ref="G343" ca="1">IFERROR(INDEX(Source!$A$1:$A$250,SMALL(IF(--(Source!$B$1:$B$250=$O343)*--(Source!$E$1:$E$250=$M$3)*--(Source!$D$1:$D$250=Pyramid!$M343),ROW(Source!$B$1:$B$250),FALSE),G$3)),"")</f>
        <v/>
      </c>
      <c r="H343" t="str">
        <f t="array" aca="1" ref="H343" ca="1">IFERROR(INDEX(Source!$A$1:$A$250,SMALL(IF(--(Source!$B$1:$B$250=$O343)*--(Source!$E$1:$E$250=$M$3)*--(Source!$D$1:$D$250=Pyramid!$M343),ROW(Source!$B$1:$B$250),FALSE),H$3)),"")</f>
        <v/>
      </c>
      <c r="I343" t="str">
        <f t="array" aca="1" ref="I343" ca="1">IFERROR(INDEX(Source!$A$1:$A$250,SMALL(IF(--(Source!$B$1:$B$250=$O343)*--(Source!$E$1:$E$250=$M$3)*--(Source!$D$1:$D$250=Pyramid!$M343),ROW(Source!$B$1:$B$250),FALSE),I$3)),"")</f>
        <v/>
      </c>
      <c r="J343" t="str">
        <f t="array" aca="1" ref="J343" ca="1">IFERROR(INDEX(Source!$A$1:$A$250,SMALL(IF(--(Source!$B$1:$B$250=$O343)*--(Source!$E$1:$E$250=$M$3)*--(Source!$D$1:$D$250=Pyramid!$M343),ROW(Source!$B$1:$B$250),FALSE),J$3)),"")</f>
        <v/>
      </c>
      <c r="K343" t="str">
        <f t="array" aca="1" ref="K343" ca="1">IFERROR(INDEX(Source!$A$1:$A$250,SMALL(IF(--(Source!$B$1:$B$250=$O343)*--(Source!$E$1:$E$250=$M$3)*--(Source!$D$1:$D$250=Pyramid!$M343),ROW(Source!$B$1:$B$250),FALSE),K$3)),"")</f>
        <v/>
      </c>
      <c r="L343" t="str">
        <f t="array" aca="1" ref="L343" ca="1">IFERROR(INDEX(Source!$A$1:$A$250,SMALL(IF(--(Source!$B$1:$B$250=$O343)*--(Source!$E$1:$E$250=$M$3)*--(Source!$D$1:$D$250=Pyramid!$M343),ROW(Source!$B$1:$B$250),FALSE),L$3)),"")</f>
        <v/>
      </c>
      <c r="M343" t="str">
        <f t="shared" si="17"/>
        <v>28/10/2016</v>
      </c>
      <c r="N343">
        <f ca="1">COUNTIFS(Source!B:B,Pyramid!$O343,Source!$D:$D,Pyramid!$M343,Source!$E:$E,Pyramid!$M$3)</f>
        <v>0</v>
      </c>
      <c r="O343">
        <f ca="1">OFFSET(Sheet2!$N$3,INT(C343/5),)</f>
        <v>22800</v>
      </c>
      <c r="P343">
        <f ca="1">COUNTIFS(Source!B:B,Pyramid!$O343,Source!D:D,Pyramid!$Q343,Source!$E:$E,Pyramid!$Q$3)</f>
        <v>0</v>
      </c>
      <c r="Q343" t="str">
        <f t="shared" si="17"/>
        <v>28/10/2016</v>
      </c>
      <c r="R343" t="str">
        <f t="array" aca="1" ref="R343" ca="1">IFERROR(INDEX(Source!$A$1:$A$250,SMALL(IF(--(Source!$B$1:$B$250=$O343)*--(Source!$E$1:$E$250=$Q$3)*--(Source!$D$1:$D$250=Pyramid!$Q343),ROW(Source!$B$1:$B$250),FALSE),R$3)),"")</f>
        <v/>
      </c>
      <c r="S343" t="str">
        <f t="array" aca="1" ref="S343" ca="1">IFERROR(INDEX(Source!$A$1:$A$250,SMALL(IF(--(Source!$B$1:$B$250=$O343)*--(Source!$E$1:$E$250=$Q$3)*--(Source!$D$1:$D$250=Pyramid!$Q343),ROW(Source!$B$1:$B$250),FALSE),S$3)),"")</f>
        <v/>
      </c>
      <c r="T343" t="str">
        <f t="array" aca="1" ref="T343" ca="1">IFERROR(INDEX(Source!$A$1:$A$250,SMALL(IF(--(Source!$B$1:$B$250=$O343)*--(Source!$E$1:$E$250=$Q$3)*--(Source!$D$1:$D$250=Pyramid!$Q343),ROW(Source!$B$1:$B$250),FALSE),T$3)),"")</f>
        <v/>
      </c>
      <c r="U343" t="str">
        <f t="array" aca="1" ref="U343" ca="1">IFERROR(INDEX(Source!$A$1:$A$250,SMALL(IF(--(Source!$B$1:$B$250=$O343)*--(Source!$E$1:$E$250=$Q$3)*--(Source!$D$1:$D$250=Pyramid!$Q343),ROW(Source!$B$1:$B$250),FALSE),U$3)),"")</f>
        <v/>
      </c>
      <c r="V343" t="str">
        <f t="array" aca="1" ref="V343" ca="1">IFERROR(INDEX(Source!$A$1:$A$250,SMALL(IF(--(Source!$B$1:$B$250=$O343)*--(Source!$E$1:$E$250=$Q$3)*--(Source!$D$1:$D$250=Pyramid!$Q343),ROW(Source!$B$1:$B$250),FALSE),V$3)),"")</f>
        <v/>
      </c>
      <c r="W343" t="str">
        <f t="array" aca="1" ref="W343" ca="1">IFERROR(INDEX(Source!$A$1:$A$250,SMALL(IF(--(Source!$B$1:$B$250=$O343)*--(Source!$E$1:$E$250=$Q$3)*--(Source!$D$1:$D$250=Pyramid!$Q343),ROW(Source!$B$1:$B$250),FALSE),W$3)),"")</f>
        <v/>
      </c>
      <c r="X343" t="str">
        <f t="array" aca="1" ref="X343" ca="1">IFERROR(INDEX(Source!$A$1:$A$250,SMALL(IF(--(Source!$B$1:$B$250=$O343)*--(Source!$E$1:$E$250=$Q$3)*--(Source!$D$1:$D$250=Pyramid!$Q343),ROW(Source!$B$1:$B$250),FALSE),X$3)),"")</f>
        <v/>
      </c>
      <c r="Y343" s="5">
        <f t="shared" ca="1" si="18"/>
        <v>0</v>
      </c>
    </row>
    <row r="344" spans="3:25">
      <c r="C344">
        <v>340</v>
      </c>
      <c r="D344" s="5">
        <f t="shared" ca="1" si="16"/>
        <v>0</v>
      </c>
      <c r="E344" t="str">
        <f t="array" aca="1" ref="E344" ca="1">IFERROR(INDEX(Source!$A$1:$A$250,SMALL(IF(--(Source!$B$1:$B$250=$O344)*--(Source!$E$1:$E$250=$M$3)*--(Source!$D$1:$D$250=Pyramid!$M344),ROW(Source!$B$1:$B$250),FALSE),E$3)),"")</f>
        <v/>
      </c>
      <c r="F344" t="str">
        <f t="array" aca="1" ref="F344" ca="1">IFERROR(INDEX(Source!$A$1:$A$250,SMALL(IF(--(Source!$B$1:$B$250=$O344)*--(Source!$E$1:$E$250=$M$3)*--(Source!$D$1:$D$250=Pyramid!$M344),ROW(Source!$B$1:$B$250),FALSE),F$3)),"")</f>
        <v/>
      </c>
      <c r="G344" t="str">
        <f t="array" aca="1" ref="G344" ca="1">IFERROR(INDEX(Source!$A$1:$A$250,SMALL(IF(--(Source!$B$1:$B$250=$O344)*--(Source!$E$1:$E$250=$M$3)*--(Source!$D$1:$D$250=Pyramid!$M344),ROW(Source!$B$1:$B$250),FALSE),G$3)),"")</f>
        <v/>
      </c>
      <c r="H344" t="str">
        <f t="array" aca="1" ref="H344" ca="1">IFERROR(INDEX(Source!$A$1:$A$250,SMALL(IF(--(Source!$B$1:$B$250=$O344)*--(Source!$E$1:$E$250=$M$3)*--(Source!$D$1:$D$250=Pyramid!$M344),ROW(Source!$B$1:$B$250),FALSE),H$3)),"")</f>
        <v/>
      </c>
      <c r="I344" t="str">
        <f t="array" aca="1" ref="I344" ca="1">IFERROR(INDEX(Source!$A$1:$A$250,SMALL(IF(--(Source!$B$1:$B$250=$O344)*--(Source!$E$1:$E$250=$M$3)*--(Source!$D$1:$D$250=Pyramid!$M344),ROW(Source!$B$1:$B$250),FALSE),I$3)),"")</f>
        <v/>
      </c>
      <c r="J344" t="str">
        <f t="array" aca="1" ref="J344" ca="1">IFERROR(INDEX(Source!$A$1:$A$250,SMALL(IF(--(Source!$B$1:$B$250=$O344)*--(Source!$E$1:$E$250=$M$3)*--(Source!$D$1:$D$250=Pyramid!$M344),ROW(Source!$B$1:$B$250),FALSE),J$3)),"")</f>
        <v/>
      </c>
      <c r="K344" t="str">
        <f t="array" aca="1" ref="K344" ca="1">IFERROR(INDEX(Source!$A$1:$A$250,SMALL(IF(--(Source!$B$1:$B$250=$O344)*--(Source!$E$1:$E$250=$M$3)*--(Source!$D$1:$D$250=Pyramid!$M344),ROW(Source!$B$1:$B$250),FALSE),K$3)),"")</f>
        <v/>
      </c>
      <c r="L344" t="str">
        <f t="array" aca="1" ref="L344" ca="1">IFERROR(INDEX(Source!$A$1:$A$250,SMALL(IF(--(Source!$B$1:$B$250=$O344)*--(Source!$E$1:$E$250=$M$3)*--(Source!$D$1:$D$250=Pyramid!$M344),ROW(Source!$B$1:$B$250),FALSE),L$3)),"")</f>
        <v/>
      </c>
      <c r="M344" t="str">
        <f t="shared" si="17"/>
        <v>29/6/2016</v>
      </c>
      <c r="N344">
        <f ca="1">COUNTIFS(Source!B:B,Pyramid!$O344,Source!$D:$D,Pyramid!$M344,Source!$E:$E,Pyramid!$M$3)</f>
        <v>0</v>
      </c>
      <c r="O344">
        <f ca="1">OFFSET(Sheet2!$N$3,INT(C344/5),)</f>
        <v>23000</v>
      </c>
      <c r="P344">
        <f ca="1">COUNTIFS(Source!B:B,Pyramid!$O344,Source!D:D,Pyramid!$Q344,Source!$E:$E,Pyramid!$Q$3)</f>
        <v>0</v>
      </c>
      <c r="Q344" t="str">
        <f t="shared" si="17"/>
        <v>29/6/2016</v>
      </c>
      <c r="R344" t="str">
        <f t="array" aca="1" ref="R344" ca="1">IFERROR(INDEX(Source!$A$1:$A$250,SMALL(IF(--(Source!$B$1:$B$250=$O344)*--(Source!$E$1:$E$250=$Q$3)*--(Source!$D$1:$D$250=Pyramid!$Q344),ROW(Source!$B$1:$B$250),FALSE),R$3)),"")</f>
        <v/>
      </c>
      <c r="S344" t="str">
        <f t="array" aca="1" ref="S344" ca="1">IFERROR(INDEX(Source!$A$1:$A$250,SMALL(IF(--(Source!$B$1:$B$250=$O344)*--(Source!$E$1:$E$250=$Q$3)*--(Source!$D$1:$D$250=Pyramid!$Q344),ROW(Source!$B$1:$B$250),FALSE),S$3)),"")</f>
        <v/>
      </c>
      <c r="T344" t="str">
        <f t="array" aca="1" ref="T344" ca="1">IFERROR(INDEX(Source!$A$1:$A$250,SMALL(IF(--(Source!$B$1:$B$250=$O344)*--(Source!$E$1:$E$250=$Q$3)*--(Source!$D$1:$D$250=Pyramid!$Q344),ROW(Source!$B$1:$B$250),FALSE),T$3)),"")</f>
        <v/>
      </c>
      <c r="U344" t="str">
        <f t="array" aca="1" ref="U344" ca="1">IFERROR(INDEX(Source!$A$1:$A$250,SMALL(IF(--(Source!$B$1:$B$250=$O344)*--(Source!$E$1:$E$250=$Q$3)*--(Source!$D$1:$D$250=Pyramid!$Q344),ROW(Source!$B$1:$B$250),FALSE),U$3)),"")</f>
        <v/>
      </c>
      <c r="V344" t="str">
        <f t="array" aca="1" ref="V344" ca="1">IFERROR(INDEX(Source!$A$1:$A$250,SMALL(IF(--(Source!$B$1:$B$250=$O344)*--(Source!$E$1:$E$250=$Q$3)*--(Source!$D$1:$D$250=Pyramid!$Q344),ROW(Source!$B$1:$B$250),FALSE),V$3)),"")</f>
        <v/>
      </c>
      <c r="W344" t="str">
        <f t="array" aca="1" ref="W344" ca="1">IFERROR(INDEX(Source!$A$1:$A$250,SMALL(IF(--(Source!$B$1:$B$250=$O344)*--(Source!$E$1:$E$250=$Q$3)*--(Source!$D$1:$D$250=Pyramid!$Q344),ROW(Source!$B$1:$B$250),FALSE),W$3)),"")</f>
        <v/>
      </c>
      <c r="X344" t="str">
        <f t="array" aca="1" ref="X344" ca="1">IFERROR(INDEX(Source!$A$1:$A$250,SMALL(IF(--(Source!$B$1:$B$250=$O344)*--(Source!$E$1:$E$250=$Q$3)*--(Source!$D$1:$D$250=Pyramid!$Q344),ROW(Source!$B$1:$B$250),FALSE),X$3)),"")</f>
        <v/>
      </c>
      <c r="Y344" s="5">
        <f t="shared" ca="1" si="18"/>
        <v>0</v>
      </c>
    </row>
    <row r="345" spans="3:25">
      <c r="C345">
        <v>341</v>
      </c>
      <c r="D345" s="5">
        <f t="shared" ca="1" si="16"/>
        <v>0</v>
      </c>
      <c r="E345" t="str">
        <f t="array" aca="1" ref="E345" ca="1">IFERROR(INDEX(Source!$A$1:$A$250,SMALL(IF(--(Source!$B$1:$B$250=$O345)*--(Source!$E$1:$E$250=$M$3)*--(Source!$D$1:$D$250=Pyramid!$M345),ROW(Source!$B$1:$B$250),FALSE),E$3)),"")</f>
        <v/>
      </c>
      <c r="F345" t="str">
        <f t="array" aca="1" ref="F345" ca="1">IFERROR(INDEX(Source!$A$1:$A$250,SMALL(IF(--(Source!$B$1:$B$250=$O345)*--(Source!$E$1:$E$250=$M$3)*--(Source!$D$1:$D$250=Pyramid!$M345),ROW(Source!$B$1:$B$250),FALSE),F$3)),"")</f>
        <v/>
      </c>
      <c r="G345" t="str">
        <f t="array" aca="1" ref="G345" ca="1">IFERROR(INDEX(Source!$A$1:$A$250,SMALL(IF(--(Source!$B$1:$B$250=$O345)*--(Source!$E$1:$E$250=$M$3)*--(Source!$D$1:$D$250=Pyramid!$M345),ROW(Source!$B$1:$B$250),FALSE),G$3)),"")</f>
        <v/>
      </c>
      <c r="H345" t="str">
        <f t="array" aca="1" ref="H345" ca="1">IFERROR(INDEX(Source!$A$1:$A$250,SMALL(IF(--(Source!$B$1:$B$250=$O345)*--(Source!$E$1:$E$250=$M$3)*--(Source!$D$1:$D$250=Pyramid!$M345),ROW(Source!$B$1:$B$250),FALSE),H$3)),"")</f>
        <v/>
      </c>
      <c r="I345" t="str">
        <f t="array" aca="1" ref="I345" ca="1">IFERROR(INDEX(Source!$A$1:$A$250,SMALL(IF(--(Source!$B$1:$B$250=$O345)*--(Source!$E$1:$E$250=$M$3)*--(Source!$D$1:$D$250=Pyramid!$M345),ROW(Source!$B$1:$B$250),FALSE),I$3)),"")</f>
        <v/>
      </c>
      <c r="J345" t="str">
        <f t="array" aca="1" ref="J345" ca="1">IFERROR(INDEX(Source!$A$1:$A$250,SMALL(IF(--(Source!$B$1:$B$250=$O345)*--(Source!$E$1:$E$250=$M$3)*--(Source!$D$1:$D$250=Pyramid!$M345),ROW(Source!$B$1:$B$250),FALSE),J$3)),"")</f>
        <v/>
      </c>
      <c r="K345" t="str">
        <f t="array" aca="1" ref="K345" ca="1">IFERROR(INDEX(Source!$A$1:$A$250,SMALL(IF(--(Source!$B$1:$B$250=$O345)*--(Source!$E$1:$E$250=$M$3)*--(Source!$D$1:$D$250=Pyramid!$M345),ROW(Source!$B$1:$B$250),FALSE),K$3)),"")</f>
        <v/>
      </c>
      <c r="L345" t="str">
        <f t="array" aca="1" ref="L345" ca="1">IFERROR(INDEX(Source!$A$1:$A$250,SMALL(IF(--(Source!$B$1:$B$250=$O345)*--(Source!$E$1:$E$250=$M$3)*--(Source!$D$1:$D$250=Pyramid!$M345),ROW(Source!$B$1:$B$250),FALSE),L$3)),"")</f>
        <v/>
      </c>
      <c r="M345" t="str">
        <f t="shared" si="17"/>
        <v>28/7/2016</v>
      </c>
      <c r="N345">
        <f ca="1">COUNTIFS(Source!B:B,Pyramid!$O345,Source!$D:$D,Pyramid!$M345,Source!$E:$E,Pyramid!$M$3)</f>
        <v>0</v>
      </c>
      <c r="O345">
        <f ca="1">OFFSET(Sheet2!$N$3,INT(C345/5),)</f>
        <v>23000</v>
      </c>
      <c r="P345">
        <f ca="1">COUNTIFS(Source!B:B,Pyramid!$O345,Source!D:D,Pyramid!$Q345,Source!$E:$E,Pyramid!$Q$3)</f>
        <v>0</v>
      </c>
      <c r="Q345" t="str">
        <f t="shared" si="17"/>
        <v>28/7/2016</v>
      </c>
      <c r="R345" t="str">
        <f t="array" aca="1" ref="R345" ca="1">IFERROR(INDEX(Source!$A$1:$A$250,SMALL(IF(--(Source!$B$1:$B$250=$O345)*--(Source!$E$1:$E$250=$Q$3)*--(Source!$D$1:$D$250=Pyramid!$Q345),ROW(Source!$B$1:$B$250),FALSE),R$3)),"")</f>
        <v/>
      </c>
      <c r="S345" t="str">
        <f t="array" aca="1" ref="S345" ca="1">IFERROR(INDEX(Source!$A$1:$A$250,SMALL(IF(--(Source!$B$1:$B$250=$O345)*--(Source!$E$1:$E$250=$Q$3)*--(Source!$D$1:$D$250=Pyramid!$Q345),ROW(Source!$B$1:$B$250),FALSE),S$3)),"")</f>
        <v/>
      </c>
      <c r="T345" t="str">
        <f t="array" aca="1" ref="T345" ca="1">IFERROR(INDEX(Source!$A$1:$A$250,SMALL(IF(--(Source!$B$1:$B$250=$O345)*--(Source!$E$1:$E$250=$Q$3)*--(Source!$D$1:$D$250=Pyramid!$Q345),ROW(Source!$B$1:$B$250),FALSE),T$3)),"")</f>
        <v/>
      </c>
      <c r="U345" t="str">
        <f t="array" aca="1" ref="U345" ca="1">IFERROR(INDEX(Source!$A$1:$A$250,SMALL(IF(--(Source!$B$1:$B$250=$O345)*--(Source!$E$1:$E$250=$Q$3)*--(Source!$D$1:$D$250=Pyramid!$Q345),ROW(Source!$B$1:$B$250),FALSE),U$3)),"")</f>
        <v/>
      </c>
      <c r="V345" t="str">
        <f t="array" aca="1" ref="V345" ca="1">IFERROR(INDEX(Source!$A$1:$A$250,SMALL(IF(--(Source!$B$1:$B$250=$O345)*--(Source!$E$1:$E$250=$Q$3)*--(Source!$D$1:$D$250=Pyramid!$Q345),ROW(Source!$B$1:$B$250),FALSE),V$3)),"")</f>
        <v/>
      </c>
      <c r="W345" t="str">
        <f t="array" aca="1" ref="W345" ca="1">IFERROR(INDEX(Source!$A$1:$A$250,SMALL(IF(--(Source!$B$1:$B$250=$O345)*--(Source!$E$1:$E$250=$Q$3)*--(Source!$D$1:$D$250=Pyramid!$Q345),ROW(Source!$B$1:$B$250),FALSE),W$3)),"")</f>
        <v/>
      </c>
      <c r="X345" t="str">
        <f t="array" aca="1" ref="X345" ca="1">IFERROR(INDEX(Source!$A$1:$A$250,SMALL(IF(--(Source!$B$1:$B$250=$O345)*--(Source!$E$1:$E$250=$Q$3)*--(Source!$D$1:$D$250=Pyramid!$Q345),ROW(Source!$B$1:$B$250),FALSE),X$3)),"")</f>
        <v/>
      </c>
      <c r="Y345" s="5">
        <f t="shared" ca="1" si="18"/>
        <v>0</v>
      </c>
    </row>
    <row r="346" spans="3:25">
      <c r="C346">
        <v>342</v>
      </c>
      <c r="D346" s="5">
        <f t="shared" ca="1" si="16"/>
        <v>0</v>
      </c>
      <c r="E346" t="str">
        <f t="array" aca="1" ref="E346" ca="1">IFERROR(INDEX(Source!$A$1:$A$250,SMALL(IF(--(Source!$B$1:$B$250=$O346)*--(Source!$E$1:$E$250=$M$3)*--(Source!$D$1:$D$250=Pyramid!$M346),ROW(Source!$B$1:$B$250),FALSE),E$3)),"")</f>
        <v/>
      </c>
      <c r="F346" t="str">
        <f t="array" aca="1" ref="F346" ca="1">IFERROR(INDEX(Source!$A$1:$A$250,SMALL(IF(--(Source!$B$1:$B$250=$O346)*--(Source!$E$1:$E$250=$M$3)*--(Source!$D$1:$D$250=Pyramid!$M346),ROW(Source!$B$1:$B$250),FALSE),F$3)),"")</f>
        <v/>
      </c>
      <c r="G346" t="str">
        <f t="array" aca="1" ref="G346" ca="1">IFERROR(INDEX(Source!$A$1:$A$250,SMALL(IF(--(Source!$B$1:$B$250=$O346)*--(Source!$E$1:$E$250=$M$3)*--(Source!$D$1:$D$250=Pyramid!$M346),ROW(Source!$B$1:$B$250),FALSE),G$3)),"")</f>
        <v/>
      </c>
      <c r="H346" t="str">
        <f t="array" aca="1" ref="H346" ca="1">IFERROR(INDEX(Source!$A$1:$A$250,SMALL(IF(--(Source!$B$1:$B$250=$O346)*--(Source!$E$1:$E$250=$M$3)*--(Source!$D$1:$D$250=Pyramid!$M346),ROW(Source!$B$1:$B$250),FALSE),H$3)),"")</f>
        <v/>
      </c>
      <c r="I346" t="str">
        <f t="array" aca="1" ref="I346" ca="1">IFERROR(INDEX(Source!$A$1:$A$250,SMALL(IF(--(Source!$B$1:$B$250=$O346)*--(Source!$E$1:$E$250=$M$3)*--(Source!$D$1:$D$250=Pyramid!$M346),ROW(Source!$B$1:$B$250),FALSE),I$3)),"")</f>
        <v/>
      </c>
      <c r="J346" t="str">
        <f t="array" aca="1" ref="J346" ca="1">IFERROR(INDEX(Source!$A$1:$A$250,SMALL(IF(--(Source!$B$1:$B$250=$O346)*--(Source!$E$1:$E$250=$M$3)*--(Source!$D$1:$D$250=Pyramid!$M346),ROW(Source!$B$1:$B$250),FALSE),J$3)),"")</f>
        <v/>
      </c>
      <c r="K346" t="str">
        <f t="array" aca="1" ref="K346" ca="1">IFERROR(INDEX(Source!$A$1:$A$250,SMALL(IF(--(Source!$B$1:$B$250=$O346)*--(Source!$E$1:$E$250=$M$3)*--(Source!$D$1:$D$250=Pyramid!$M346),ROW(Source!$B$1:$B$250),FALSE),K$3)),"")</f>
        <v/>
      </c>
      <c r="L346" t="str">
        <f t="array" aca="1" ref="L346" ca="1">IFERROR(INDEX(Source!$A$1:$A$250,SMALL(IF(--(Source!$B$1:$B$250=$O346)*--(Source!$E$1:$E$250=$M$3)*--(Source!$D$1:$D$250=Pyramid!$M346),ROW(Source!$B$1:$B$250),FALSE),L$3)),"")</f>
        <v>24167 HK Equity</v>
      </c>
      <c r="M346" t="str">
        <f t="shared" si="17"/>
        <v>30/8/2016</v>
      </c>
      <c r="N346">
        <f ca="1">COUNTIFS(Source!B:B,Pyramid!$O346,Source!$D:$D,Pyramid!$M346,Source!$E:$E,Pyramid!$M$3)</f>
        <v>1</v>
      </c>
      <c r="O346">
        <f ca="1">OFFSET(Sheet2!$N$3,INT(C346/5),)</f>
        <v>23000</v>
      </c>
      <c r="P346">
        <f ca="1">COUNTIFS(Source!B:B,Pyramid!$O346,Source!D:D,Pyramid!$Q346,Source!$E:$E,Pyramid!$Q$3)</f>
        <v>0</v>
      </c>
      <c r="Q346" t="str">
        <f t="shared" si="17"/>
        <v>30/8/2016</v>
      </c>
      <c r="R346" t="str">
        <f t="array" aca="1" ref="R346" ca="1">IFERROR(INDEX(Source!$A$1:$A$250,SMALL(IF(--(Source!$B$1:$B$250=$O346)*--(Source!$E$1:$E$250=$Q$3)*--(Source!$D$1:$D$250=Pyramid!$Q346),ROW(Source!$B$1:$B$250),FALSE),R$3)),"")</f>
        <v/>
      </c>
      <c r="S346" t="str">
        <f t="array" aca="1" ref="S346" ca="1">IFERROR(INDEX(Source!$A$1:$A$250,SMALL(IF(--(Source!$B$1:$B$250=$O346)*--(Source!$E$1:$E$250=$Q$3)*--(Source!$D$1:$D$250=Pyramid!$Q346),ROW(Source!$B$1:$B$250),FALSE),S$3)),"")</f>
        <v/>
      </c>
      <c r="T346" t="str">
        <f t="array" aca="1" ref="T346" ca="1">IFERROR(INDEX(Source!$A$1:$A$250,SMALL(IF(--(Source!$B$1:$B$250=$O346)*--(Source!$E$1:$E$250=$Q$3)*--(Source!$D$1:$D$250=Pyramid!$Q346),ROW(Source!$B$1:$B$250),FALSE),T$3)),"")</f>
        <v/>
      </c>
      <c r="U346" t="str">
        <f t="array" aca="1" ref="U346" ca="1">IFERROR(INDEX(Source!$A$1:$A$250,SMALL(IF(--(Source!$B$1:$B$250=$O346)*--(Source!$E$1:$E$250=$Q$3)*--(Source!$D$1:$D$250=Pyramid!$Q346),ROW(Source!$B$1:$B$250),FALSE),U$3)),"")</f>
        <v/>
      </c>
      <c r="V346" t="str">
        <f t="array" aca="1" ref="V346" ca="1">IFERROR(INDEX(Source!$A$1:$A$250,SMALL(IF(--(Source!$B$1:$B$250=$O346)*--(Source!$E$1:$E$250=$Q$3)*--(Source!$D$1:$D$250=Pyramid!$Q346),ROW(Source!$B$1:$B$250),FALSE),V$3)),"")</f>
        <v/>
      </c>
      <c r="W346" t="str">
        <f t="array" aca="1" ref="W346" ca="1">IFERROR(INDEX(Source!$A$1:$A$250,SMALL(IF(--(Source!$B$1:$B$250=$O346)*--(Source!$E$1:$E$250=$Q$3)*--(Source!$D$1:$D$250=Pyramid!$Q346),ROW(Source!$B$1:$B$250),FALSE),W$3)),"")</f>
        <v/>
      </c>
      <c r="X346" t="str">
        <f t="array" aca="1" ref="X346" ca="1">IFERROR(INDEX(Source!$A$1:$A$250,SMALL(IF(--(Source!$B$1:$B$250=$O346)*--(Source!$E$1:$E$250=$Q$3)*--(Source!$D$1:$D$250=Pyramid!$Q346),ROW(Source!$B$1:$B$250),FALSE),X$3)),"")</f>
        <v/>
      </c>
      <c r="Y346" s="5">
        <f t="shared" ca="1" si="18"/>
        <v>0</v>
      </c>
    </row>
    <row r="347" spans="3:25">
      <c r="C347">
        <v>343</v>
      </c>
      <c r="D347" s="5">
        <f t="shared" ca="1" si="16"/>
        <v>0</v>
      </c>
      <c r="E347" t="str">
        <f t="array" aca="1" ref="E347" ca="1">IFERROR(INDEX(Source!$A$1:$A$250,SMALL(IF(--(Source!$B$1:$B$250=$O347)*--(Source!$E$1:$E$250=$M$3)*--(Source!$D$1:$D$250=Pyramid!$M347),ROW(Source!$B$1:$B$250),FALSE),E$3)),"")</f>
        <v/>
      </c>
      <c r="F347" t="str">
        <f t="array" aca="1" ref="F347" ca="1">IFERROR(INDEX(Source!$A$1:$A$250,SMALL(IF(--(Source!$B$1:$B$250=$O347)*--(Source!$E$1:$E$250=$M$3)*--(Source!$D$1:$D$250=Pyramid!$M347),ROW(Source!$B$1:$B$250),FALSE),F$3)),"")</f>
        <v/>
      </c>
      <c r="G347" t="str">
        <f t="array" aca="1" ref="G347" ca="1">IFERROR(INDEX(Source!$A$1:$A$250,SMALL(IF(--(Source!$B$1:$B$250=$O347)*--(Source!$E$1:$E$250=$M$3)*--(Source!$D$1:$D$250=Pyramid!$M347),ROW(Source!$B$1:$B$250),FALSE),G$3)),"")</f>
        <v/>
      </c>
      <c r="H347" t="str">
        <f t="array" aca="1" ref="H347" ca="1">IFERROR(INDEX(Source!$A$1:$A$250,SMALL(IF(--(Source!$B$1:$B$250=$O347)*--(Source!$E$1:$E$250=$M$3)*--(Source!$D$1:$D$250=Pyramid!$M347),ROW(Source!$B$1:$B$250),FALSE),H$3)),"")</f>
        <v/>
      </c>
      <c r="I347" t="str">
        <f t="array" aca="1" ref="I347" ca="1">IFERROR(INDEX(Source!$A$1:$A$250,SMALL(IF(--(Source!$B$1:$B$250=$O347)*--(Source!$E$1:$E$250=$M$3)*--(Source!$D$1:$D$250=Pyramid!$M347),ROW(Source!$B$1:$B$250),FALSE),I$3)),"")</f>
        <v/>
      </c>
      <c r="J347" t="str">
        <f t="array" aca="1" ref="J347" ca="1">IFERROR(INDEX(Source!$A$1:$A$250,SMALL(IF(--(Source!$B$1:$B$250=$O347)*--(Source!$E$1:$E$250=$M$3)*--(Source!$D$1:$D$250=Pyramid!$M347),ROW(Source!$B$1:$B$250),FALSE),J$3)),"")</f>
        <v/>
      </c>
      <c r="K347" t="str">
        <f t="array" aca="1" ref="K347" ca="1">IFERROR(INDEX(Source!$A$1:$A$250,SMALL(IF(--(Source!$B$1:$B$250=$O347)*--(Source!$E$1:$E$250=$M$3)*--(Source!$D$1:$D$250=Pyramid!$M347),ROW(Source!$B$1:$B$250),FALSE),K$3)),"")</f>
        <v/>
      </c>
      <c r="L347" t="str">
        <f t="array" aca="1" ref="L347" ca="1">IFERROR(INDEX(Source!$A$1:$A$250,SMALL(IF(--(Source!$B$1:$B$250=$O347)*--(Source!$E$1:$E$250=$M$3)*--(Source!$D$1:$D$250=Pyramid!$M347),ROW(Source!$B$1:$B$250),FALSE),L$3)),"")</f>
        <v/>
      </c>
      <c r="M347" t="str">
        <f t="shared" si="17"/>
        <v>29/9/2016</v>
      </c>
      <c r="N347">
        <f ca="1">COUNTIFS(Source!B:B,Pyramid!$O347,Source!$D:$D,Pyramid!$M347,Source!$E:$E,Pyramid!$M$3)</f>
        <v>0</v>
      </c>
      <c r="O347">
        <f ca="1">OFFSET(Sheet2!$N$3,INT(C347/5),)</f>
        <v>23000</v>
      </c>
      <c r="P347">
        <f ca="1">COUNTIFS(Source!B:B,Pyramid!$O347,Source!D:D,Pyramid!$Q347,Source!$E:$E,Pyramid!$Q$3)</f>
        <v>0</v>
      </c>
      <c r="Q347" t="str">
        <f t="shared" si="17"/>
        <v>29/9/2016</v>
      </c>
      <c r="R347" t="str">
        <f t="array" aca="1" ref="R347" ca="1">IFERROR(INDEX(Source!$A$1:$A$250,SMALL(IF(--(Source!$B$1:$B$250=$O347)*--(Source!$E$1:$E$250=$Q$3)*--(Source!$D$1:$D$250=Pyramid!$Q347),ROW(Source!$B$1:$B$250),FALSE),R$3)),"")</f>
        <v/>
      </c>
      <c r="S347" t="str">
        <f t="array" aca="1" ref="S347" ca="1">IFERROR(INDEX(Source!$A$1:$A$250,SMALL(IF(--(Source!$B$1:$B$250=$O347)*--(Source!$E$1:$E$250=$Q$3)*--(Source!$D$1:$D$250=Pyramid!$Q347),ROW(Source!$B$1:$B$250),FALSE),S$3)),"")</f>
        <v/>
      </c>
      <c r="T347" t="str">
        <f t="array" aca="1" ref="T347" ca="1">IFERROR(INDEX(Source!$A$1:$A$250,SMALL(IF(--(Source!$B$1:$B$250=$O347)*--(Source!$E$1:$E$250=$Q$3)*--(Source!$D$1:$D$250=Pyramid!$Q347),ROW(Source!$B$1:$B$250),FALSE),T$3)),"")</f>
        <v/>
      </c>
      <c r="U347" t="str">
        <f t="array" aca="1" ref="U347" ca="1">IFERROR(INDEX(Source!$A$1:$A$250,SMALL(IF(--(Source!$B$1:$B$250=$O347)*--(Source!$E$1:$E$250=$Q$3)*--(Source!$D$1:$D$250=Pyramid!$Q347),ROW(Source!$B$1:$B$250),FALSE),U$3)),"")</f>
        <v/>
      </c>
      <c r="V347" t="str">
        <f t="array" aca="1" ref="V347" ca="1">IFERROR(INDEX(Source!$A$1:$A$250,SMALL(IF(--(Source!$B$1:$B$250=$O347)*--(Source!$E$1:$E$250=$Q$3)*--(Source!$D$1:$D$250=Pyramid!$Q347),ROW(Source!$B$1:$B$250),FALSE),V$3)),"")</f>
        <v/>
      </c>
      <c r="W347" t="str">
        <f t="array" aca="1" ref="W347" ca="1">IFERROR(INDEX(Source!$A$1:$A$250,SMALL(IF(--(Source!$B$1:$B$250=$O347)*--(Source!$E$1:$E$250=$Q$3)*--(Source!$D$1:$D$250=Pyramid!$Q347),ROW(Source!$B$1:$B$250),FALSE),W$3)),"")</f>
        <v/>
      </c>
      <c r="X347" t="str">
        <f t="array" aca="1" ref="X347" ca="1">IFERROR(INDEX(Source!$A$1:$A$250,SMALL(IF(--(Source!$B$1:$B$250=$O347)*--(Source!$E$1:$E$250=$Q$3)*--(Source!$D$1:$D$250=Pyramid!$Q347),ROW(Source!$B$1:$B$250),FALSE),X$3)),"")</f>
        <v/>
      </c>
      <c r="Y347" s="5">
        <f t="shared" ca="1" si="18"/>
        <v>0</v>
      </c>
    </row>
    <row r="348" spans="3:25">
      <c r="C348">
        <v>344</v>
      </c>
      <c r="D348" s="5">
        <f t="shared" ca="1" si="16"/>
        <v>0</v>
      </c>
      <c r="E348" t="str">
        <f t="array" aca="1" ref="E348" ca="1">IFERROR(INDEX(Source!$A$1:$A$250,SMALL(IF(--(Source!$B$1:$B$250=$O348)*--(Source!$E$1:$E$250=$M$3)*--(Source!$D$1:$D$250=Pyramid!$M348),ROW(Source!$B$1:$B$250),FALSE),E$3)),"")</f>
        <v/>
      </c>
      <c r="F348" t="str">
        <f t="array" aca="1" ref="F348" ca="1">IFERROR(INDEX(Source!$A$1:$A$250,SMALL(IF(--(Source!$B$1:$B$250=$O348)*--(Source!$E$1:$E$250=$M$3)*--(Source!$D$1:$D$250=Pyramid!$M348),ROW(Source!$B$1:$B$250),FALSE),F$3)),"")</f>
        <v/>
      </c>
      <c r="G348" t="str">
        <f t="array" aca="1" ref="G348" ca="1">IFERROR(INDEX(Source!$A$1:$A$250,SMALL(IF(--(Source!$B$1:$B$250=$O348)*--(Source!$E$1:$E$250=$M$3)*--(Source!$D$1:$D$250=Pyramid!$M348),ROW(Source!$B$1:$B$250),FALSE),G$3)),"")</f>
        <v/>
      </c>
      <c r="H348" t="str">
        <f t="array" aca="1" ref="H348" ca="1">IFERROR(INDEX(Source!$A$1:$A$250,SMALL(IF(--(Source!$B$1:$B$250=$O348)*--(Source!$E$1:$E$250=$M$3)*--(Source!$D$1:$D$250=Pyramid!$M348),ROW(Source!$B$1:$B$250),FALSE),H$3)),"")</f>
        <v/>
      </c>
      <c r="I348" t="str">
        <f t="array" aca="1" ref="I348" ca="1">IFERROR(INDEX(Source!$A$1:$A$250,SMALL(IF(--(Source!$B$1:$B$250=$O348)*--(Source!$E$1:$E$250=$M$3)*--(Source!$D$1:$D$250=Pyramid!$M348),ROW(Source!$B$1:$B$250),FALSE),I$3)),"")</f>
        <v/>
      </c>
      <c r="J348" t="str">
        <f t="array" aca="1" ref="J348" ca="1">IFERROR(INDEX(Source!$A$1:$A$250,SMALL(IF(--(Source!$B$1:$B$250=$O348)*--(Source!$E$1:$E$250=$M$3)*--(Source!$D$1:$D$250=Pyramid!$M348),ROW(Source!$B$1:$B$250),FALSE),J$3)),"")</f>
        <v/>
      </c>
      <c r="K348" t="str">
        <f t="array" aca="1" ref="K348" ca="1">IFERROR(INDEX(Source!$A$1:$A$250,SMALL(IF(--(Source!$B$1:$B$250=$O348)*--(Source!$E$1:$E$250=$M$3)*--(Source!$D$1:$D$250=Pyramid!$M348),ROW(Source!$B$1:$B$250),FALSE),K$3)),"")</f>
        <v/>
      </c>
      <c r="L348" t="str">
        <f t="array" aca="1" ref="L348" ca="1">IFERROR(INDEX(Source!$A$1:$A$250,SMALL(IF(--(Source!$B$1:$B$250=$O348)*--(Source!$E$1:$E$250=$M$3)*--(Source!$D$1:$D$250=Pyramid!$M348),ROW(Source!$B$1:$B$250),FALSE),L$3)),"")</f>
        <v/>
      </c>
      <c r="M348" t="str">
        <f t="shared" si="17"/>
        <v>28/10/2016</v>
      </c>
      <c r="N348">
        <f ca="1">COUNTIFS(Source!B:B,Pyramid!$O348,Source!$D:$D,Pyramid!$M348,Source!$E:$E,Pyramid!$M$3)</f>
        <v>0</v>
      </c>
      <c r="O348">
        <f ca="1">OFFSET(Sheet2!$N$3,INT(C348/5),)</f>
        <v>23000</v>
      </c>
      <c r="P348">
        <f ca="1">COUNTIFS(Source!B:B,Pyramid!$O348,Source!D:D,Pyramid!$Q348,Source!$E:$E,Pyramid!$Q$3)</f>
        <v>0</v>
      </c>
      <c r="Q348" t="str">
        <f t="shared" si="17"/>
        <v>28/10/2016</v>
      </c>
      <c r="R348" t="str">
        <f t="array" aca="1" ref="R348" ca="1">IFERROR(INDEX(Source!$A$1:$A$250,SMALL(IF(--(Source!$B$1:$B$250=$O348)*--(Source!$E$1:$E$250=$Q$3)*--(Source!$D$1:$D$250=Pyramid!$Q348),ROW(Source!$B$1:$B$250),FALSE),R$3)),"")</f>
        <v/>
      </c>
      <c r="S348" t="str">
        <f t="array" aca="1" ref="S348" ca="1">IFERROR(INDEX(Source!$A$1:$A$250,SMALL(IF(--(Source!$B$1:$B$250=$O348)*--(Source!$E$1:$E$250=$Q$3)*--(Source!$D$1:$D$250=Pyramid!$Q348),ROW(Source!$B$1:$B$250),FALSE),S$3)),"")</f>
        <v/>
      </c>
      <c r="T348" t="str">
        <f t="array" aca="1" ref="T348" ca="1">IFERROR(INDEX(Source!$A$1:$A$250,SMALL(IF(--(Source!$B$1:$B$250=$O348)*--(Source!$E$1:$E$250=$Q$3)*--(Source!$D$1:$D$250=Pyramid!$Q348),ROW(Source!$B$1:$B$250),FALSE),T$3)),"")</f>
        <v/>
      </c>
      <c r="U348" t="str">
        <f t="array" aca="1" ref="U348" ca="1">IFERROR(INDEX(Source!$A$1:$A$250,SMALL(IF(--(Source!$B$1:$B$250=$O348)*--(Source!$E$1:$E$250=$Q$3)*--(Source!$D$1:$D$250=Pyramid!$Q348),ROW(Source!$B$1:$B$250),FALSE),U$3)),"")</f>
        <v/>
      </c>
      <c r="V348" t="str">
        <f t="array" aca="1" ref="V348" ca="1">IFERROR(INDEX(Source!$A$1:$A$250,SMALL(IF(--(Source!$B$1:$B$250=$O348)*--(Source!$E$1:$E$250=$Q$3)*--(Source!$D$1:$D$250=Pyramid!$Q348),ROW(Source!$B$1:$B$250),FALSE),V$3)),"")</f>
        <v/>
      </c>
      <c r="W348" t="str">
        <f t="array" aca="1" ref="W348" ca="1">IFERROR(INDEX(Source!$A$1:$A$250,SMALL(IF(--(Source!$B$1:$B$250=$O348)*--(Source!$E$1:$E$250=$Q$3)*--(Source!$D$1:$D$250=Pyramid!$Q348),ROW(Source!$B$1:$B$250),FALSE),W$3)),"")</f>
        <v/>
      </c>
      <c r="X348" t="str">
        <f t="array" aca="1" ref="X348" ca="1">IFERROR(INDEX(Source!$A$1:$A$250,SMALL(IF(--(Source!$B$1:$B$250=$O348)*--(Source!$E$1:$E$250=$Q$3)*--(Source!$D$1:$D$250=Pyramid!$Q348),ROW(Source!$B$1:$B$250),FALSE),X$3)),"")</f>
        <v/>
      </c>
      <c r="Y348" s="5">
        <f t="shared" ca="1" si="18"/>
        <v>0</v>
      </c>
    </row>
    <row r="349" spans="3:25">
      <c r="C349">
        <v>345</v>
      </c>
      <c r="D349" s="5">
        <f t="shared" ca="1" si="16"/>
        <v>0</v>
      </c>
      <c r="E349" t="str">
        <f t="array" aca="1" ref="E349" ca="1">IFERROR(INDEX(Source!$A$1:$A$250,SMALL(IF(--(Source!$B$1:$B$250=$O349)*--(Source!$E$1:$E$250=$M$3)*--(Source!$D$1:$D$250=Pyramid!$M349),ROW(Source!$B$1:$B$250),FALSE),E$3)),"")</f>
        <v/>
      </c>
      <c r="F349" t="str">
        <f t="array" aca="1" ref="F349" ca="1">IFERROR(INDEX(Source!$A$1:$A$250,SMALL(IF(--(Source!$B$1:$B$250=$O349)*--(Source!$E$1:$E$250=$M$3)*--(Source!$D$1:$D$250=Pyramid!$M349),ROW(Source!$B$1:$B$250),FALSE),F$3)),"")</f>
        <v/>
      </c>
      <c r="G349" t="str">
        <f t="array" aca="1" ref="G349" ca="1">IFERROR(INDEX(Source!$A$1:$A$250,SMALL(IF(--(Source!$B$1:$B$250=$O349)*--(Source!$E$1:$E$250=$M$3)*--(Source!$D$1:$D$250=Pyramid!$M349),ROW(Source!$B$1:$B$250),FALSE),G$3)),"")</f>
        <v/>
      </c>
      <c r="H349" t="str">
        <f t="array" aca="1" ref="H349" ca="1">IFERROR(INDEX(Source!$A$1:$A$250,SMALL(IF(--(Source!$B$1:$B$250=$O349)*--(Source!$E$1:$E$250=$M$3)*--(Source!$D$1:$D$250=Pyramid!$M349),ROW(Source!$B$1:$B$250),FALSE),H$3)),"")</f>
        <v/>
      </c>
      <c r="I349" t="str">
        <f t="array" aca="1" ref="I349" ca="1">IFERROR(INDEX(Source!$A$1:$A$250,SMALL(IF(--(Source!$B$1:$B$250=$O349)*--(Source!$E$1:$E$250=$M$3)*--(Source!$D$1:$D$250=Pyramid!$M349),ROW(Source!$B$1:$B$250),FALSE),I$3)),"")</f>
        <v/>
      </c>
      <c r="J349" t="str">
        <f t="array" aca="1" ref="J349" ca="1">IFERROR(INDEX(Source!$A$1:$A$250,SMALL(IF(--(Source!$B$1:$B$250=$O349)*--(Source!$E$1:$E$250=$M$3)*--(Source!$D$1:$D$250=Pyramid!$M349),ROW(Source!$B$1:$B$250),FALSE),J$3)),"")</f>
        <v/>
      </c>
      <c r="K349" t="str">
        <f t="array" aca="1" ref="K349" ca="1">IFERROR(INDEX(Source!$A$1:$A$250,SMALL(IF(--(Source!$B$1:$B$250=$O349)*--(Source!$E$1:$E$250=$M$3)*--(Source!$D$1:$D$250=Pyramid!$M349),ROW(Source!$B$1:$B$250),FALSE),K$3)),"")</f>
        <v/>
      </c>
      <c r="L349" t="str">
        <f t="array" aca="1" ref="L349" ca="1">IFERROR(INDEX(Source!$A$1:$A$250,SMALL(IF(--(Source!$B$1:$B$250=$O349)*--(Source!$E$1:$E$250=$M$3)*--(Source!$D$1:$D$250=Pyramid!$M349),ROW(Source!$B$1:$B$250),FALSE),L$3)),"")</f>
        <v/>
      </c>
      <c r="M349" t="str">
        <f t="shared" si="17"/>
        <v>29/6/2016</v>
      </c>
      <c r="N349">
        <f ca="1">COUNTIFS(Source!B:B,Pyramid!$O349,Source!$D:$D,Pyramid!$M349,Source!$E:$E,Pyramid!$M$3)</f>
        <v>0</v>
      </c>
      <c r="O349">
        <f ca="1">OFFSET(Sheet2!$N$3,INT(C349/5),)</f>
        <v>23200</v>
      </c>
      <c r="P349">
        <f ca="1">COUNTIFS(Source!B:B,Pyramid!$O349,Source!D:D,Pyramid!$Q349,Source!$E:$E,Pyramid!$Q$3)</f>
        <v>0</v>
      </c>
      <c r="Q349" t="str">
        <f t="shared" si="17"/>
        <v>29/6/2016</v>
      </c>
      <c r="R349" t="str">
        <f t="array" aca="1" ref="R349" ca="1">IFERROR(INDEX(Source!$A$1:$A$250,SMALL(IF(--(Source!$B$1:$B$250=$O349)*--(Source!$E$1:$E$250=$Q$3)*--(Source!$D$1:$D$250=Pyramid!$Q349),ROW(Source!$B$1:$B$250),FALSE),R$3)),"")</f>
        <v/>
      </c>
      <c r="S349" t="str">
        <f t="array" aca="1" ref="S349" ca="1">IFERROR(INDEX(Source!$A$1:$A$250,SMALL(IF(--(Source!$B$1:$B$250=$O349)*--(Source!$E$1:$E$250=$Q$3)*--(Source!$D$1:$D$250=Pyramid!$Q349),ROW(Source!$B$1:$B$250),FALSE),S$3)),"")</f>
        <v/>
      </c>
      <c r="T349" t="str">
        <f t="array" aca="1" ref="T349" ca="1">IFERROR(INDEX(Source!$A$1:$A$250,SMALL(IF(--(Source!$B$1:$B$250=$O349)*--(Source!$E$1:$E$250=$Q$3)*--(Source!$D$1:$D$250=Pyramid!$Q349),ROW(Source!$B$1:$B$250),FALSE),T$3)),"")</f>
        <v/>
      </c>
      <c r="U349" t="str">
        <f t="array" aca="1" ref="U349" ca="1">IFERROR(INDEX(Source!$A$1:$A$250,SMALL(IF(--(Source!$B$1:$B$250=$O349)*--(Source!$E$1:$E$250=$Q$3)*--(Source!$D$1:$D$250=Pyramid!$Q349),ROW(Source!$B$1:$B$250),FALSE),U$3)),"")</f>
        <v/>
      </c>
      <c r="V349" t="str">
        <f t="array" aca="1" ref="V349" ca="1">IFERROR(INDEX(Source!$A$1:$A$250,SMALL(IF(--(Source!$B$1:$B$250=$O349)*--(Source!$E$1:$E$250=$Q$3)*--(Source!$D$1:$D$250=Pyramid!$Q349),ROW(Source!$B$1:$B$250),FALSE),V$3)),"")</f>
        <v/>
      </c>
      <c r="W349" t="str">
        <f t="array" aca="1" ref="W349" ca="1">IFERROR(INDEX(Source!$A$1:$A$250,SMALL(IF(--(Source!$B$1:$B$250=$O349)*--(Source!$E$1:$E$250=$Q$3)*--(Source!$D$1:$D$250=Pyramid!$Q349),ROW(Source!$B$1:$B$250),FALSE),W$3)),"")</f>
        <v/>
      </c>
      <c r="X349" t="str">
        <f t="array" aca="1" ref="X349" ca="1">IFERROR(INDEX(Source!$A$1:$A$250,SMALL(IF(--(Source!$B$1:$B$250=$O349)*--(Source!$E$1:$E$250=$Q$3)*--(Source!$D$1:$D$250=Pyramid!$Q349),ROW(Source!$B$1:$B$250),FALSE),X$3)),"")</f>
        <v/>
      </c>
      <c r="Y349" s="5">
        <f t="shared" ca="1" si="18"/>
        <v>0</v>
      </c>
    </row>
    <row r="350" spans="3:25">
      <c r="C350">
        <v>346</v>
      </c>
      <c r="D350" s="5">
        <f t="shared" ca="1" si="16"/>
        <v>0</v>
      </c>
      <c r="E350" t="str">
        <f t="array" aca="1" ref="E350" ca="1">IFERROR(INDEX(Source!$A$1:$A$250,SMALL(IF(--(Source!$B$1:$B$250=$O350)*--(Source!$E$1:$E$250=$M$3)*--(Source!$D$1:$D$250=Pyramid!$M350),ROW(Source!$B$1:$B$250),FALSE),E$3)),"")</f>
        <v/>
      </c>
      <c r="F350" t="str">
        <f t="array" aca="1" ref="F350" ca="1">IFERROR(INDEX(Source!$A$1:$A$250,SMALL(IF(--(Source!$B$1:$B$250=$O350)*--(Source!$E$1:$E$250=$M$3)*--(Source!$D$1:$D$250=Pyramid!$M350),ROW(Source!$B$1:$B$250),FALSE),F$3)),"")</f>
        <v/>
      </c>
      <c r="G350" t="str">
        <f t="array" aca="1" ref="G350" ca="1">IFERROR(INDEX(Source!$A$1:$A$250,SMALL(IF(--(Source!$B$1:$B$250=$O350)*--(Source!$E$1:$E$250=$M$3)*--(Source!$D$1:$D$250=Pyramid!$M350),ROW(Source!$B$1:$B$250),FALSE),G$3)),"")</f>
        <v/>
      </c>
      <c r="H350" t="str">
        <f t="array" aca="1" ref="H350" ca="1">IFERROR(INDEX(Source!$A$1:$A$250,SMALL(IF(--(Source!$B$1:$B$250=$O350)*--(Source!$E$1:$E$250=$M$3)*--(Source!$D$1:$D$250=Pyramid!$M350),ROW(Source!$B$1:$B$250),FALSE),H$3)),"")</f>
        <v/>
      </c>
      <c r="I350" t="str">
        <f t="array" aca="1" ref="I350" ca="1">IFERROR(INDEX(Source!$A$1:$A$250,SMALL(IF(--(Source!$B$1:$B$250=$O350)*--(Source!$E$1:$E$250=$M$3)*--(Source!$D$1:$D$250=Pyramid!$M350),ROW(Source!$B$1:$B$250),FALSE),I$3)),"")</f>
        <v/>
      </c>
      <c r="J350" t="str">
        <f t="array" aca="1" ref="J350" ca="1">IFERROR(INDEX(Source!$A$1:$A$250,SMALL(IF(--(Source!$B$1:$B$250=$O350)*--(Source!$E$1:$E$250=$M$3)*--(Source!$D$1:$D$250=Pyramid!$M350),ROW(Source!$B$1:$B$250),FALSE),J$3)),"")</f>
        <v/>
      </c>
      <c r="K350" t="str">
        <f t="array" aca="1" ref="K350" ca="1">IFERROR(INDEX(Source!$A$1:$A$250,SMALL(IF(--(Source!$B$1:$B$250=$O350)*--(Source!$E$1:$E$250=$M$3)*--(Source!$D$1:$D$250=Pyramid!$M350),ROW(Source!$B$1:$B$250),FALSE),K$3)),"")</f>
        <v/>
      </c>
      <c r="L350" t="str">
        <f t="array" aca="1" ref="L350" ca="1">IFERROR(INDEX(Source!$A$1:$A$250,SMALL(IF(--(Source!$B$1:$B$250=$O350)*--(Source!$E$1:$E$250=$M$3)*--(Source!$D$1:$D$250=Pyramid!$M350),ROW(Source!$B$1:$B$250),FALSE),L$3)),"")</f>
        <v/>
      </c>
      <c r="M350" t="str">
        <f t="shared" si="17"/>
        <v>28/7/2016</v>
      </c>
      <c r="N350">
        <f ca="1">COUNTIFS(Source!B:B,Pyramid!$O350,Source!$D:$D,Pyramid!$M350,Source!$E:$E,Pyramid!$M$3)</f>
        <v>0</v>
      </c>
      <c r="O350">
        <f ca="1">OFFSET(Sheet2!$N$3,INT(C350/5),)</f>
        <v>23200</v>
      </c>
      <c r="P350">
        <f ca="1">COUNTIFS(Source!B:B,Pyramid!$O350,Source!D:D,Pyramid!$Q350,Source!$E:$E,Pyramid!$Q$3)</f>
        <v>0</v>
      </c>
      <c r="Q350" t="str">
        <f t="shared" si="17"/>
        <v>28/7/2016</v>
      </c>
      <c r="R350" t="str">
        <f t="array" aca="1" ref="R350" ca="1">IFERROR(INDEX(Source!$A$1:$A$250,SMALL(IF(--(Source!$B$1:$B$250=$O350)*--(Source!$E$1:$E$250=$Q$3)*--(Source!$D$1:$D$250=Pyramid!$Q350),ROW(Source!$B$1:$B$250),FALSE),R$3)),"")</f>
        <v/>
      </c>
      <c r="S350" t="str">
        <f t="array" aca="1" ref="S350" ca="1">IFERROR(INDEX(Source!$A$1:$A$250,SMALL(IF(--(Source!$B$1:$B$250=$O350)*--(Source!$E$1:$E$250=$Q$3)*--(Source!$D$1:$D$250=Pyramid!$Q350),ROW(Source!$B$1:$B$250),FALSE),S$3)),"")</f>
        <v/>
      </c>
      <c r="T350" t="str">
        <f t="array" aca="1" ref="T350" ca="1">IFERROR(INDEX(Source!$A$1:$A$250,SMALL(IF(--(Source!$B$1:$B$250=$O350)*--(Source!$E$1:$E$250=$Q$3)*--(Source!$D$1:$D$250=Pyramid!$Q350),ROW(Source!$B$1:$B$250),FALSE),T$3)),"")</f>
        <v/>
      </c>
      <c r="U350" t="str">
        <f t="array" aca="1" ref="U350" ca="1">IFERROR(INDEX(Source!$A$1:$A$250,SMALL(IF(--(Source!$B$1:$B$250=$O350)*--(Source!$E$1:$E$250=$Q$3)*--(Source!$D$1:$D$250=Pyramid!$Q350),ROW(Source!$B$1:$B$250),FALSE),U$3)),"")</f>
        <v/>
      </c>
      <c r="V350" t="str">
        <f t="array" aca="1" ref="V350" ca="1">IFERROR(INDEX(Source!$A$1:$A$250,SMALL(IF(--(Source!$B$1:$B$250=$O350)*--(Source!$E$1:$E$250=$Q$3)*--(Source!$D$1:$D$250=Pyramid!$Q350),ROW(Source!$B$1:$B$250),FALSE),V$3)),"")</f>
        <v/>
      </c>
      <c r="W350" t="str">
        <f t="array" aca="1" ref="W350" ca="1">IFERROR(INDEX(Source!$A$1:$A$250,SMALL(IF(--(Source!$B$1:$B$250=$O350)*--(Source!$E$1:$E$250=$Q$3)*--(Source!$D$1:$D$250=Pyramid!$Q350),ROW(Source!$B$1:$B$250),FALSE),W$3)),"")</f>
        <v/>
      </c>
      <c r="X350" t="str">
        <f t="array" aca="1" ref="X350" ca="1">IFERROR(INDEX(Source!$A$1:$A$250,SMALL(IF(--(Source!$B$1:$B$250=$O350)*--(Source!$E$1:$E$250=$Q$3)*--(Source!$D$1:$D$250=Pyramid!$Q350),ROW(Source!$B$1:$B$250),FALSE),X$3)),"")</f>
        <v/>
      </c>
      <c r="Y350" s="5">
        <f t="shared" ca="1" si="18"/>
        <v>0</v>
      </c>
    </row>
    <row r="351" spans="3:25">
      <c r="C351">
        <v>347</v>
      </c>
      <c r="D351" s="5">
        <f t="shared" ca="1" si="16"/>
        <v>0</v>
      </c>
      <c r="E351" t="str">
        <f t="array" aca="1" ref="E351" ca="1">IFERROR(INDEX(Source!$A$1:$A$250,SMALL(IF(--(Source!$B$1:$B$250=$O351)*--(Source!$E$1:$E$250=$M$3)*--(Source!$D$1:$D$250=Pyramid!$M351),ROW(Source!$B$1:$B$250),FALSE),E$3)),"")</f>
        <v/>
      </c>
      <c r="F351" t="str">
        <f t="array" aca="1" ref="F351" ca="1">IFERROR(INDEX(Source!$A$1:$A$250,SMALL(IF(--(Source!$B$1:$B$250=$O351)*--(Source!$E$1:$E$250=$M$3)*--(Source!$D$1:$D$250=Pyramid!$M351),ROW(Source!$B$1:$B$250),FALSE),F$3)),"")</f>
        <v/>
      </c>
      <c r="G351" t="str">
        <f t="array" aca="1" ref="G351" ca="1">IFERROR(INDEX(Source!$A$1:$A$250,SMALL(IF(--(Source!$B$1:$B$250=$O351)*--(Source!$E$1:$E$250=$M$3)*--(Source!$D$1:$D$250=Pyramid!$M351),ROW(Source!$B$1:$B$250),FALSE),G$3)),"")</f>
        <v/>
      </c>
      <c r="H351" t="str">
        <f t="array" aca="1" ref="H351" ca="1">IFERROR(INDEX(Source!$A$1:$A$250,SMALL(IF(--(Source!$B$1:$B$250=$O351)*--(Source!$E$1:$E$250=$M$3)*--(Source!$D$1:$D$250=Pyramid!$M351),ROW(Source!$B$1:$B$250),FALSE),H$3)),"")</f>
        <v/>
      </c>
      <c r="I351" t="str">
        <f t="array" aca="1" ref="I351" ca="1">IFERROR(INDEX(Source!$A$1:$A$250,SMALL(IF(--(Source!$B$1:$B$250=$O351)*--(Source!$E$1:$E$250=$M$3)*--(Source!$D$1:$D$250=Pyramid!$M351),ROW(Source!$B$1:$B$250),FALSE),I$3)),"")</f>
        <v/>
      </c>
      <c r="J351" t="str">
        <f t="array" aca="1" ref="J351" ca="1">IFERROR(INDEX(Source!$A$1:$A$250,SMALL(IF(--(Source!$B$1:$B$250=$O351)*--(Source!$E$1:$E$250=$M$3)*--(Source!$D$1:$D$250=Pyramid!$M351),ROW(Source!$B$1:$B$250),FALSE),J$3)),"")</f>
        <v/>
      </c>
      <c r="K351" t="str">
        <f t="array" aca="1" ref="K351" ca="1">IFERROR(INDEX(Source!$A$1:$A$250,SMALL(IF(--(Source!$B$1:$B$250=$O351)*--(Source!$E$1:$E$250=$M$3)*--(Source!$D$1:$D$250=Pyramid!$M351),ROW(Source!$B$1:$B$250),FALSE),K$3)),"")</f>
        <v/>
      </c>
      <c r="L351" t="str">
        <f t="array" aca="1" ref="L351" ca="1">IFERROR(INDEX(Source!$A$1:$A$250,SMALL(IF(--(Source!$B$1:$B$250=$O351)*--(Source!$E$1:$E$250=$M$3)*--(Source!$D$1:$D$250=Pyramid!$M351),ROW(Source!$B$1:$B$250),FALSE),L$3)),"")</f>
        <v/>
      </c>
      <c r="M351" t="str">
        <f t="shared" si="17"/>
        <v>30/8/2016</v>
      </c>
      <c r="N351">
        <f ca="1">COUNTIFS(Source!B:B,Pyramid!$O351,Source!$D:$D,Pyramid!$M351,Source!$E:$E,Pyramid!$M$3)</f>
        <v>0</v>
      </c>
      <c r="O351">
        <f ca="1">OFFSET(Sheet2!$N$3,INT(C351/5),)</f>
        <v>23200</v>
      </c>
      <c r="P351">
        <f ca="1">COUNTIFS(Source!B:B,Pyramid!$O351,Source!D:D,Pyramid!$Q351,Source!$E:$E,Pyramid!$Q$3)</f>
        <v>0</v>
      </c>
      <c r="Q351" t="str">
        <f t="shared" si="17"/>
        <v>30/8/2016</v>
      </c>
      <c r="R351" t="str">
        <f t="array" aca="1" ref="R351" ca="1">IFERROR(INDEX(Source!$A$1:$A$250,SMALL(IF(--(Source!$B$1:$B$250=$O351)*--(Source!$E$1:$E$250=$Q$3)*--(Source!$D$1:$D$250=Pyramid!$Q351),ROW(Source!$B$1:$B$250),FALSE),R$3)),"")</f>
        <v/>
      </c>
      <c r="S351" t="str">
        <f t="array" aca="1" ref="S351" ca="1">IFERROR(INDEX(Source!$A$1:$A$250,SMALL(IF(--(Source!$B$1:$B$250=$O351)*--(Source!$E$1:$E$250=$Q$3)*--(Source!$D$1:$D$250=Pyramid!$Q351),ROW(Source!$B$1:$B$250),FALSE),S$3)),"")</f>
        <v/>
      </c>
      <c r="T351" t="str">
        <f t="array" aca="1" ref="T351" ca="1">IFERROR(INDEX(Source!$A$1:$A$250,SMALL(IF(--(Source!$B$1:$B$250=$O351)*--(Source!$E$1:$E$250=$Q$3)*--(Source!$D$1:$D$250=Pyramid!$Q351),ROW(Source!$B$1:$B$250),FALSE),T$3)),"")</f>
        <v/>
      </c>
      <c r="U351" t="str">
        <f t="array" aca="1" ref="U351" ca="1">IFERROR(INDEX(Source!$A$1:$A$250,SMALL(IF(--(Source!$B$1:$B$250=$O351)*--(Source!$E$1:$E$250=$Q$3)*--(Source!$D$1:$D$250=Pyramid!$Q351),ROW(Source!$B$1:$B$250),FALSE),U$3)),"")</f>
        <v/>
      </c>
      <c r="V351" t="str">
        <f t="array" aca="1" ref="V351" ca="1">IFERROR(INDEX(Source!$A$1:$A$250,SMALL(IF(--(Source!$B$1:$B$250=$O351)*--(Source!$E$1:$E$250=$Q$3)*--(Source!$D$1:$D$250=Pyramid!$Q351),ROW(Source!$B$1:$B$250),FALSE),V$3)),"")</f>
        <v/>
      </c>
      <c r="W351" t="str">
        <f t="array" aca="1" ref="W351" ca="1">IFERROR(INDEX(Source!$A$1:$A$250,SMALL(IF(--(Source!$B$1:$B$250=$O351)*--(Source!$E$1:$E$250=$Q$3)*--(Source!$D$1:$D$250=Pyramid!$Q351),ROW(Source!$B$1:$B$250),FALSE),W$3)),"")</f>
        <v/>
      </c>
      <c r="X351" t="str">
        <f t="array" aca="1" ref="X351" ca="1">IFERROR(INDEX(Source!$A$1:$A$250,SMALL(IF(--(Source!$B$1:$B$250=$O351)*--(Source!$E$1:$E$250=$Q$3)*--(Source!$D$1:$D$250=Pyramid!$Q351),ROW(Source!$B$1:$B$250),FALSE),X$3)),"")</f>
        <v/>
      </c>
      <c r="Y351" s="5">
        <f t="shared" ca="1" si="18"/>
        <v>0</v>
      </c>
    </row>
    <row r="352" spans="3:25">
      <c r="C352">
        <v>348</v>
      </c>
      <c r="D352" s="5">
        <f t="shared" ca="1" si="16"/>
        <v>0</v>
      </c>
      <c r="E352" t="str">
        <f t="array" aca="1" ref="E352" ca="1">IFERROR(INDEX(Source!$A$1:$A$250,SMALL(IF(--(Source!$B$1:$B$250=$O352)*--(Source!$E$1:$E$250=$M$3)*--(Source!$D$1:$D$250=Pyramid!$M352),ROW(Source!$B$1:$B$250),FALSE),E$3)),"")</f>
        <v/>
      </c>
      <c r="F352" t="str">
        <f t="array" aca="1" ref="F352" ca="1">IFERROR(INDEX(Source!$A$1:$A$250,SMALL(IF(--(Source!$B$1:$B$250=$O352)*--(Source!$E$1:$E$250=$M$3)*--(Source!$D$1:$D$250=Pyramid!$M352),ROW(Source!$B$1:$B$250),FALSE),F$3)),"")</f>
        <v/>
      </c>
      <c r="G352" t="str">
        <f t="array" aca="1" ref="G352" ca="1">IFERROR(INDEX(Source!$A$1:$A$250,SMALL(IF(--(Source!$B$1:$B$250=$O352)*--(Source!$E$1:$E$250=$M$3)*--(Source!$D$1:$D$250=Pyramid!$M352),ROW(Source!$B$1:$B$250),FALSE),G$3)),"")</f>
        <v/>
      </c>
      <c r="H352" t="str">
        <f t="array" aca="1" ref="H352" ca="1">IFERROR(INDEX(Source!$A$1:$A$250,SMALL(IF(--(Source!$B$1:$B$250=$O352)*--(Source!$E$1:$E$250=$M$3)*--(Source!$D$1:$D$250=Pyramid!$M352),ROW(Source!$B$1:$B$250),FALSE),H$3)),"")</f>
        <v/>
      </c>
      <c r="I352" t="str">
        <f t="array" aca="1" ref="I352" ca="1">IFERROR(INDEX(Source!$A$1:$A$250,SMALL(IF(--(Source!$B$1:$B$250=$O352)*--(Source!$E$1:$E$250=$M$3)*--(Source!$D$1:$D$250=Pyramid!$M352),ROW(Source!$B$1:$B$250),FALSE),I$3)),"")</f>
        <v/>
      </c>
      <c r="J352" t="str">
        <f t="array" aca="1" ref="J352" ca="1">IFERROR(INDEX(Source!$A$1:$A$250,SMALL(IF(--(Source!$B$1:$B$250=$O352)*--(Source!$E$1:$E$250=$M$3)*--(Source!$D$1:$D$250=Pyramid!$M352),ROW(Source!$B$1:$B$250),FALSE),J$3)),"")</f>
        <v>24821 HK Equity</v>
      </c>
      <c r="K352" t="str">
        <f t="array" aca="1" ref="K352" ca="1">IFERROR(INDEX(Source!$A$1:$A$250,SMALL(IF(--(Source!$B$1:$B$250=$O352)*--(Source!$E$1:$E$250=$M$3)*--(Source!$D$1:$D$250=Pyramid!$M352),ROW(Source!$B$1:$B$250),FALSE),K$3)),"")</f>
        <v>23523 HK Equity</v>
      </c>
      <c r="L352" t="str">
        <f t="array" aca="1" ref="L352" ca="1">IFERROR(INDEX(Source!$A$1:$A$250,SMALL(IF(--(Source!$B$1:$B$250=$O352)*--(Source!$E$1:$E$250=$M$3)*--(Source!$D$1:$D$250=Pyramid!$M352),ROW(Source!$B$1:$B$250),FALSE),L$3)),"")</f>
        <v>24108 HK Equity</v>
      </c>
      <c r="M352" t="str">
        <f t="shared" si="17"/>
        <v>29/9/2016</v>
      </c>
      <c r="N352">
        <f ca="1">COUNTIFS(Source!B:B,Pyramid!$O352,Source!$D:$D,Pyramid!$M352,Source!$E:$E,Pyramid!$M$3)</f>
        <v>3</v>
      </c>
      <c r="O352">
        <f ca="1">OFFSET(Sheet2!$N$3,INT(C352/5),)</f>
        <v>23200</v>
      </c>
      <c r="P352">
        <f ca="1">COUNTIFS(Source!B:B,Pyramid!$O352,Source!D:D,Pyramid!$Q352,Source!$E:$E,Pyramid!$Q$3)</f>
        <v>0</v>
      </c>
      <c r="Q352" t="str">
        <f t="shared" si="17"/>
        <v>29/9/2016</v>
      </c>
      <c r="R352" t="str">
        <f t="array" aca="1" ref="R352" ca="1">IFERROR(INDEX(Source!$A$1:$A$250,SMALL(IF(--(Source!$B$1:$B$250=$O352)*--(Source!$E$1:$E$250=$Q$3)*--(Source!$D$1:$D$250=Pyramid!$Q352),ROW(Source!$B$1:$B$250),FALSE),R$3)),"")</f>
        <v/>
      </c>
      <c r="S352" t="str">
        <f t="array" aca="1" ref="S352" ca="1">IFERROR(INDEX(Source!$A$1:$A$250,SMALL(IF(--(Source!$B$1:$B$250=$O352)*--(Source!$E$1:$E$250=$Q$3)*--(Source!$D$1:$D$250=Pyramid!$Q352),ROW(Source!$B$1:$B$250),FALSE),S$3)),"")</f>
        <v/>
      </c>
      <c r="T352" t="str">
        <f t="array" aca="1" ref="T352" ca="1">IFERROR(INDEX(Source!$A$1:$A$250,SMALL(IF(--(Source!$B$1:$B$250=$O352)*--(Source!$E$1:$E$250=$Q$3)*--(Source!$D$1:$D$250=Pyramid!$Q352),ROW(Source!$B$1:$B$250),FALSE),T$3)),"")</f>
        <v/>
      </c>
      <c r="U352" t="str">
        <f t="array" aca="1" ref="U352" ca="1">IFERROR(INDEX(Source!$A$1:$A$250,SMALL(IF(--(Source!$B$1:$B$250=$O352)*--(Source!$E$1:$E$250=$Q$3)*--(Source!$D$1:$D$250=Pyramid!$Q352),ROW(Source!$B$1:$B$250),FALSE),U$3)),"")</f>
        <v/>
      </c>
      <c r="V352" t="str">
        <f t="array" aca="1" ref="V352" ca="1">IFERROR(INDEX(Source!$A$1:$A$250,SMALL(IF(--(Source!$B$1:$B$250=$O352)*--(Source!$E$1:$E$250=$Q$3)*--(Source!$D$1:$D$250=Pyramid!$Q352),ROW(Source!$B$1:$B$250),FALSE),V$3)),"")</f>
        <v/>
      </c>
      <c r="W352" t="str">
        <f t="array" aca="1" ref="W352" ca="1">IFERROR(INDEX(Source!$A$1:$A$250,SMALL(IF(--(Source!$B$1:$B$250=$O352)*--(Source!$E$1:$E$250=$Q$3)*--(Source!$D$1:$D$250=Pyramid!$Q352),ROW(Source!$B$1:$B$250),FALSE),W$3)),"")</f>
        <v/>
      </c>
      <c r="X352" t="str">
        <f t="array" aca="1" ref="X352" ca="1">IFERROR(INDEX(Source!$A$1:$A$250,SMALL(IF(--(Source!$B$1:$B$250=$O352)*--(Source!$E$1:$E$250=$Q$3)*--(Source!$D$1:$D$250=Pyramid!$Q352),ROW(Source!$B$1:$B$250),FALSE),X$3)),"")</f>
        <v/>
      </c>
      <c r="Y352" s="5">
        <f t="shared" ca="1" si="18"/>
        <v>0</v>
      </c>
    </row>
    <row r="353" spans="3:25">
      <c r="C353">
        <v>349</v>
      </c>
      <c r="D353" s="5">
        <f t="shared" ca="1" si="16"/>
        <v>0</v>
      </c>
      <c r="E353" t="str">
        <f t="array" aca="1" ref="E353" ca="1">IFERROR(INDEX(Source!$A$1:$A$250,SMALL(IF(--(Source!$B$1:$B$250=$O353)*--(Source!$E$1:$E$250=$M$3)*--(Source!$D$1:$D$250=Pyramid!$M353),ROW(Source!$B$1:$B$250),FALSE),E$3)),"")</f>
        <v/>
      </c>
      <c r="F353" t="str">
        <f t="array" aca="1" ref="F353" ca="1">IFERROR(INDEX(Source!$A$1:$A$250,SMALL(IF(--(Source!$B$1:$B$250=$O353)*--(Source!$E$1:$E$250=$M$3)*--(Source!$D$1:$D$250=Pyramid!$M353),ROW(Source!$B$1:$B$250),FALSE),F$3)),"")</f>
        <v/>
      </c>
      <c r="G353" t="str">
        <f t="array" aca="1" ref="G353" ca="1">IFERROR(INDEX(Source!$A$1:$A$250,SMALL(IF(--(Source!$B$1:$B$250=$O353)*--(Source!$E$1:$E$250=$M$3)*--(Source!$D$1:$D$250=Pyramid!$M353),ROW(Source!$B$1:$B$250),FALSE),G$3)),"")</f>
        <v/>
      </c>
      <c r="H353" t="str">
        <f t="array" aca="1" ref="H353" ca="1">IFERROR(INDEX(Source!$A$1:$A$250,SMALL(IF(--(Source!$B$1:$B$250=$O353)*--(Source!$E$1:$E$250=$M$3)*--(Source!$D$1:$D$250=Pyramid!$M353),ROW(Source!$B$1:$B$250),FALSE),H$3)),"")</f>
        <v/>
      </c>
      <c r="I353" t="str">
        <f t="array" aca="1" ref="I353" ca="1">IFERROR(INDEX(Source!$A$1:$A$250,SMALL(IF(--(Source!$B$1:$B$250=$O353)*--(Source!$E$1:$E$250=$M$3)*--(Source!$D$1:$D$250=Pyramid!$M353),ROW(Source!$B$1:$B$250),FALSE),I$3)),"")</f>
        <v/>
      </c>
      <c r="J353" t="str">
        <f t="array" aca="1" ref="J353" ca="1">IFERROR(INDEX(Source!$A$1:$A$250,SMALL(IF(--(Source!$B$1:$B$250=$O353)*--(Source!$E$1:$E$250=$M$3)*--(Source!$D$1:$D$250=Pyramid!$M353),ROW(Source!$B$1:$B$250),FALSE),J$3)),"")</f>
        <v/>
      </c>
      <c r="K353" t="str">
        <f t="array" aca="1" ref="K353" ca="1">IFERROR(INDEX(Source!$A$1:$A$250,SMALL(IF(--(Source!$B$1:$B$250=$O353)*--(Source!$E$1:$E$250=$M$3)*--(Source!$D$1:$D$250=Pyramid!$M353),ROW(Source!$B$1:$B$250),FALSE),K$3)),"")</f>
        <v/>
      </c>
      <c r="L353" t="str">
        <f t="array" aca="1" ref="L353" ca="1">IFERROR(INDEX(Source!$A$1:$A$250,SMALL(IF(--(Source!$B$1:$B$250=$O353)*--(Source!$E$1:$E$250=$M$3)*--(Source!$D$1:$D$250=Pyramid!$M353),ROW(Source!$B$1:$B$250),FALSE),L$3)),"")</f>
        <v/>
      </c>
      <c r="M353" t="str">
        <f t="shared" si="17"/>
        <v>28/10/2016</v>
      </c>
      <c r="N353">
        <f ca="1">COUNTIFS(Source!B:B,Pyramid!$O353,Source!$D:$D,Pyramid!$M353,Source!$E:$E,Pyramid!$M$3)</f>
        <v>0</v>
      </c>
      <c r="O353">
        <f ca="1">OFFSET(Sheet2!$N$3,INT(C353/5),)</f>
        <v>23200</v>
      </c>
      <c r="P353">
        <f ca="1">COUNTIFS(Source!B:B,Pyramid!$O353,Source!D:D,Pyramid!$Q353,Source!$E:$E,Pyramid!$Q$3)</f>
        <v>0</v>
      </c>
      <c r="Q353" t="str">
        <f t="shared" si="17"/>
        <v>28/10/2016</v>
      </c>
      <c r="R353" t="str">
        <f t="array" aca="1" ref="R353" ca="1">IFERROR(INDEX(Source!$A$1:$A$250,SMALL(IF(--(Source!$B$1:$B$250=$O353)*--(Source!$E$1:$E$250=$Q$3)*--(Source!$D$1:$D$250=Pyramid!$Q353),ROW(Source!$B$1:$B$250),FALSE),R$3)),"")</f>
        <v/>
      </c>
      <c r="S353" t="str">
        <f t="array" aca="1" ref="S353" ca="1">IFERROR(INDEX(Source!$A$1:$A$250,SMALL(IF(--(Source!$B$1:$B$250=$O353)*--(Source!$E$1:$E$250=$Q$3)*--(Source!$D$1:$D$250=Pyramid!$Q353),ROW(Source!$B$1:$B$250),FALSE),S$3)),"")</f>
        <v/>
      </c>
      <c r="T353" t="str">
        <f t="array" aca="1" ref="T353" ca="1">IFERROR(INDEX(Source!$A$1:$A$250,SMALL(IF(--(Source!$B$1:$B$250=$O353)*--(Source!$E$1:$E$250=$Q$3)*--(Source!$D$1:$D$250=Pyramid!$Q353),ROW(Source!$B$1:$B$250),FALSE),T$3)),"")</f>
        <v/>
      </c>
      <c r="U353" t="str">
        <f t="array" aca="1" ref="U353" ca="1">IFERROR(INDEX(Source!$A$1:$A$250,SMALL(IF(--(Source!$B$1:$B$250=$O353)*--(Source!$E$1:$E$250=$Q$3)*--(Source!$D$1:$D$250=Pyramid!$Q353),ROW(Source!$B$1:$B$250),FALSE),U$3)),"")</f>
        <v/>
      </c>
      <c r="V353" t="str">
        <f t="array" aca="1" ref="V353" ca="1">IFERROR(INDEX(Source!$A$1:$A$250,SMALL(IF(--(Source!$B$1:$B$250=$O353)*--(Source!$E$1:$E$250=$Q$3)*--(Source!$D$1:$D$250=Pyramid!$Q353),ROW(Source!$B$1:$B$250),FALSE),V$3)),"")</f>
        <v/>
      </c>
      <c r="W353" t="str">
        <f t="array" aca="1" ref="W353" ca="1">IFERROR(INDEX(Source!$A$1:$A$250,SMALL(IF(--(Source!$B$1:$B$250=$O353)*--(Source!$E$1:$E$250=$Q$3)*--(Source!$D$1:$D$250=Pyramid!$Q353),ROW(Source!$B$1:$B$250),FALSE),W$3)),"")</f>
        <v/>
      </c>
      <c r="X353" t="str">
        <f t="array" aca="1" ref="X353" ca="1">IFERROR(INDEX(Source!$A$1:$A$250,SMALL(IF(--(Source!$B$1:$B$250=$O353)*--(Source!$E$1:$E$250=$Q$3)*--(Source!$D$1:$D$250=Pyramid!$Q353),ROW(Source!$B$1:$B$250),FALSE),X$3)),"")</f>
        <v/>
      </c>
      <c r="Y353" s="5">
        <f t="shared" ca="1" si="18"/>
        <v>0</v>
      </c>
    </row>
    <row r="354" spans="3:25">
      <c r="C354">
        <v>350</v>
      </c>
      <c r="D354" s="5">
        <f t="shared" ca="1" si="16"/>
        <v>0</v>
      </c>
      <c r="E354" t="str">
        <f t="array" aca="1" ref="E354" ca="1">IFERROR(INDEX(Source!$A$1:$A$250,SMALL(IF(--(Source!$B$1:$B$250=$O354)*--(Source!$E$1:$E$250=$M$3)*--(Source!$D$1:$D$250=Pyramid!$M354),ROW(Source!$B$1:$B$250),FALSE),E$3)),"")</f>
        <v/>
      </c>
      <c r="F354" t="str">
        <f t="array" aca="1" ref="F354" ca="1">IFERROR(INDEX(Source!$A$1:$A$250,SMALL(IF(--(Source!$B$1:$B$250=$O354)*--(Source!$E$1:$E$250=$M$3)*--(Source!$D$1:$D$250=Pyramid!$M354),ROW(Source!$B$1:$B$250),FALSE),F$3)),"")</f>
        <v/>
      </c>
      <c r="G354" t="str">
        <f t="array" aca="1" ref="G354" ca="1">IFERROR(INDEX(Source!$A$1:$A$250,SMALL(IF(--(Source!$B$1:$B$250=$O354)*--(Source!$E$1:$E$250=$M$3)*--(Source!$D$1:$D$250=Pyramid!$M354),ROW(Source!$B$1:$B$250),FALSE),G$3)),"")</f>
        <v/>
      </c>
      <c r="H354" t="str">
        <f t="array" aca="1" ref="H354" ca="1">IFERROR(INDEX(Source!$A$1:$A$250,SMALL(IF(--(Source!$B$1:$B$250=$O354)*--(Source!$E$1:$E$250=$M$3)*--(Source!$D$1:$D$250=Pyramid!$M354),ROW(Source!$B$1:$B$250),FALSE),H$3)),"")</f>
        <v/>
      </c>
      <c r="I354" t="str">
        <f t="array" aca="1" ref="I354" ca="1">IFERROR(INDEX(Source!$A$1:$A$250,SMALL(IF(--(Source!$B$1:$B$250=$O354)*--(Source!$E$1:$E$250=$M$3)*--(Source!$D$1:$D$250=Pyramid!$M354),ROW(Source!$B$1:$B$250),FALSE),I$3)),"")</f>
        <v/>
      </c>
      <c r="J354" t="str">
        <f t="array" aca="1" ref="J354" ca="1">IFERROR(INDEX(Source!$A$1:$A$250,SMALL(IF(--(Source!$B$1:$B$250=$O354)*--(Source!$E$1:$E$250=$M$3)*--(Source!$D$1:$D$250=Pyramid!$M354),ROW(Source!$B$1:$B$250),FALSE),J$3)),"")</f>
        <v/>
      </c>
      <c r="K354" t="str">
        <f t="array" aca="1" ref="K354" ca="1">IFERROR(INDEX(Source!$A$1:$A$250,SMALL(IF(--(Source!$B$1:$B$250=$O354)*--(Source!$E$1:$E$250=$M$3)*--(Source!$D$1:$D$250=Pyramid!$M354),ROW(Source!$B$1:$B$250),FALSE),K$3)),"")</f>
        <v/>
      </c>
      <c r="L354" t="str">
        <f t="array" aca="1" ref="L354" ca="1">IFERROR(INDEX(Source!$A$1:$A$250,SMALL(IF(--(Source!$B$1:$B$250=$O354)*--(Source!$E$1:$E$250=$M$3)*--(Source!$D$1:$D$250=Pyramid!$M354),ROW(Source!$B$1:$B$250),FALSE),L$3)),"")</f>
        <v/>
      </c>
      <c r="M354" t="str">
        <f t="shared" si="17"/>
        <v>29/6/2016</v>
      </c>
      <c r="N354">
        <f ca="1">COUNTIFS(Source!B:B,Pyramid!$O354,Source!$D:$D,Pyramid!$M354,Source!$E:$E,Pyramid!$M$3)</f>
        <v>0</v>
      </c>
      <c r="O354">
        <f ca="1">OFFSET(Sheet2!$N$3,INT(C354/5),)</f>
        <v>23288</v>
      </c>
      <c r="P354">
        <f ca="1">COUNTIFS(Source!B:B,Pyramid!$O354,Source!D:D,Pyramid!$Q354,Source!$E:$E,Pyramid!$Q$3)</f>
        <v>0</v>
      </c>
      <c r="Q354" t="str">
        <f t="shared" si="17"/>
        <v>29/6/2016</v>
      </c>
      <c r="R354" t="str">
        <f t="array" aca="1" ref="R354" ca="1">IFERROR(INDEX(Source!$A$1:$A$250,SMALL(IF(--(Source!$B$1:$B$250=$O354)*--(Source!$E$1:$E$250=$Q$3)*--(Source!$D$1:$D$250=Pyramid!$Q354),ROW(Source!$B$1:$B$250),FALSE),R$3)),"")</f>
        <v/>
      </c>
      <c r="S354" t="str">
        <f t="array" aca="1" ref="S354" ca="1">IFERROR(INDEX(Source!$A$1:$A$250,SMALL(IF(--(Source!$B$1:$B$250=$O354)*--(Source!$E$1:$E$250=$Q$3)*--(Source!$D$1:$D$250=Pyramid!$Q354),ROW(Source!$B$1:$B$250),FALSE),S$3)),"")</f>
        <v/>
      </c>
      <c r="T354" t="str">
        <f t="array" aca="1" ref="T354" ca="1">IFERROR(INDEX(Source!$A$1:$A$250,SMALL(IF(--(Source!$B$1:$B$250=$O354)*--(Source!$E$1:$E$250=$Q$3)*--(Source!$D$1:$D$250=Pyramid!$Q354),ROW(Source!$B$1:$B$250),FALSE),T$3)),"")</f>
        <v/>
      </c>
      <c r="U354" t="str">
        <f t="array" aca="1" ref="U354" ca="1">IFERROR(INDEX(Source!$A$1:$A$250,SMALL(IF(--(Source!$B$1:$B$250=$O354)*--(Source!$E$1:$E$250=$Q$3)*--(Source!$D$1:$D$250=Pyramid!$Q354),ROW(Source!$B$1:$B$250),FALSE),U$3)),"")</f>
        <v/>
      </c>
      <c r="V354" t="str">
        <f t="array" aca="1" ref="V354" ca="1">IFERROR(INDEX(Source!$A$1:$A$250,SMALL(IF(--(Source!$B$1:$B$250=$O354)*--(Source!$E$1:$E$250=$Q$3)*--(Source!$D$1:$D$250=Pyramid!$Q354),ROW(Source!$B$1:$B$250),FALSE),V$3)),"")</f>
        <v/>
      </c>
      <c r="W354" t="str">
        <f t="array" aca="1" ref="W354" ca="1">IFERROR(INDEX(Source!$A$1:$A$250,SMALL(IF(--(Source!$B$1:$B$250=$O354)*--(Source!$E$1:$E$250=$Q$3)*--(Source!$D$1:$D$250=Pyramid!$Q354),ROW(Source!$B$1:$B$250),FALSE),W$3)),"")</f>
        <v/>
      </c>
      <c r="X354" t="str">
        <f t="array" aca="1" ref="X354" ca="1">IFERROR(INDEX(Source!$A$1:$A$250,SMALL(IF(--(Source!$B$1:$B$250=$O354)*--(Source!$E$1:$E$250=$Q$3)*--(Source!$D$1:$D$250=Pyramid!$Q354),ROW(Source!$B$1:$B$250),FALSE),X$3)),"")</f>
        <v/>
      </c>
      <c r="Y354" s="5">
        <f t="shared" ca="1" si="18"/>
        <v>0</v>
      </c>
    </row>
    <row r="355" spans="3:25">
      <c r="C355">
        <v>351</v>
      </c>
      <c r="D355" s="5">
        <f t="shared" ca="1" si="16"/>
        <v>0</v>
      </c>
      <c r="E355" t="str">
        <f t="array" aca="1" ref="E355" ca="1">IFERROR(INDEX(Source!$A$1:$A$250,SMALL(IF(--(Source!$B$1:$B$250=$O355)*--(Source!$E$1:$E$250=$M$3)*--(Source!$D$1:$D$250=Pyramid!$M355),ROW(Source!$B$1:$B$250),FALSE),E$3)),"")</f>
        <v/>
      </c>
      <c r="F355" t="str">
        <f t="array" aca="1" ref="F355" ca="1">IFERROR(INDEX(Source!$A$1:$A$250,SMALL(IF(--(Source!$B$1:$B$250=$O355)*--(Source!$E$1:$E$250=$M$3)*--(Source!$D$1:$D$250=Pyramid!$M355),ROW(Source!$B$1:$B$250),FALSE),F$3)),"")</f>
        <v/>
      </c>
      <c r="G355" t="str">
        <f t="array" aca="1" ref="G355" ca="1">IFERROR(INDEX(Source!$A$1:$A$250,SMALL(IF(--(Source!$B$1:$B$250=$O355)*--(Source!$E$1:$E$250=$M$3)*--(Source!$D$1:$D$250=Pyramid!$M355),ROW(Source!$B$1:$B$250),FALSE),G$3)),"")</f>
        <v/>
      </c>
      <c r="H355" t="str">
        <f t="array" aca="1" ref="H355" ca="1">IFERROR(INDEX(Source!$A$1:$A$250,SMALL(IF(--(Source!$B$1:$B$250=$O355)*--(Source!$E$1:$E$250=$M$3)*--(Source!$D$1:$D$250=Pyramid!$M355),ROW(Source!$B$1:$B$250),FALSE),H$3)),"")</f>
        <v/>
      </c>
      <c r="I355" t="str">
        <f t="array" aca="1" ref="I355" ca="1">IFERROR(INDEX(Source!$A$1:$A$250,SMALL(IF(--(Source!$B$1:$B$250=$O355)*--(Source!$E$1:$E$250=$M$3)*--(Source!$D$1:$D$250=Pyramid!$M355),ROW(Source!$B$1:$B$250),FALSE),I$3)),"")</f>
        <v/>
      </c>
      <c r="J355" t="str">
        <f t="array" aca="1" ref="J355" ca="1">IFERROR(INDEX(Source!$A$1:$A$250,SMALL(IF(--(Source!$B$1:$B$250=$O355)*--(Source!$E$1:$E$250=$M$3)*--(Source!$D$1:$D$250=Pyramid!$M355),ROW(Source!$B$1:$B$250),FALSE),J$3)),"")</f>
        <v/>
      </c>
      <c r="K355" t="str">
        <f t="array" aca="1" ref="K355" ca="1">IFERROR(INDEX(Source!$A$1:$A$250,SMALL(IF(--(Source!$B$1:$B$250=$O355)*--(Source!$E$1:$E$250=$M$3)*--(Source!$D$1:$D$250=Pyramid!$M355),ROW(Source!$B$1:$B$250),FALSE),K$3)),"")</f>
        <v/>
      </c>
      <c r="L355" t="str">
        <f t="array" aca="1" ref="L355" ca="1">IFERROR(INDEX(Source!$A$1:$A$250,SMALL(IF(--(Source!$B$1:$B$250=$O355)*--(Source!$E$1:$E$250=$M$3)*--(Source!$D$1:$D$250=Pyramid!$M355),ROW(Source!$B$1:$B$250),FALSE),L$3)),"")</f>
        <v/>
      </c>
      <c r="M355" t="str">
        <f t="shared" si="17"/>
        <v>28/7/2016</v>
      </c>
      <c r="N355">
        <f ca="1">COUNTIFS(Source!B:B,Pyramid!$O355,Source!$D:$D,Pyramid!$M355,Source!$E:$E,Pyramid!$M$3)</f>
        <v>0</v>
      </c>
      <c r="O355">
        <f ca="1">OFFSET(Sheet2!$N$3,INT(C355/5),)</f>
        <v>23288</v>
      </c>
      <c r="P355">
        <f ca="1">COUNTIFS(Source!B:B,Pyramid!$O355,Source!D:D,Pyramid!$Q355,Source!$E:$E,Pyramid!$Q$3)</f>
        <v>0</v>
      </c>
      <c r="Q355" t="str">
        <f t="shared" si="17"/>
        <v>28/7/2016</v>
      </c>
      <c r="R355" t="str">
        <f t="array" aca="1" ref="R355" ca="1">IFERROR(INDEX(Source!$A$1:$A$250,SMALL(IF(--(Source!$B$1:$B$250=$O355)*--(Source!$E$1:$E$250=$Q$3)*--(Source!$D$1:$D$250=Pyramid!$Q355),ROW(Source!$B$1:$B$250),FALSE),R$3)),"")</f>
        <v/>
      </c>
      <c r="S355" t="str">
        <f t="array" aca="1" ref="S355" ca="1">IFERROR(INDEX(Source!$A$1:$A$250,SMALL(IF(--(Source!$B$1:$B$250=$O355)*--(Source!$E$1:$E$250=$Q$3)*--(Source!$D$1:$D$250=Pyramid!$Q355),ROW(Source!$B$1:$B$250),FALSE),S$3)),"")</f>
        <v/>
      </c>
      <c r="T355" t="str">
        <f t="array" aca="1" ref="T355" ca="1">IFERROR(INDEX(Source!$A$1:$A$250,SMALL(IF(--(Source!$B$1:$B$250=$O355)*--(Source!$E$1:$E$250=$Q$3)*--(Source!$D$1:$D$250=Pyramid!$Q355),ROW(Source!$B$1:$B$250),FALSE),T$3)),"")</f>
        <v/>
      </c>
      <c r="U355" t="str">
        <f t="array" aca="1" ref="U355" ca="1">IFERROR(INDEX(Source!$A$1:$A$250,SMALL(IF(--(Source!$B$1:$B$250=$O355)*--(Source!$E$1:$E$250=$Q$3)*--(Source!$D$1:$D$250=Pyramid!$Q355),ROW(Source!$B$1:$B$250),FALSE),U$3)),"")</f>
        <v/>
      </c>
      <c r="V355" t="str">
        <f t="array" aca="1" ref="V355" ca="1">IFERROR(INDEX(Source!$A$1:$A$250,SMALL(IF(--(Source!$B$1:$B$250=$O355)*--(Source!$E$1:$E$250=$Q$3)*--(Source!$D$1:$D$250=Pyramid!$Q355),ROW(Source!$B$1:$B$250),FALSE),V$3)),"")</f>
        <v/>
      </c>
      <c r="W355" t="str">
        <f t="array" aca="1" ref="W355" ca="1">IFERROR(INDEX(Source!$A$1:$A$250,SMALL(IF(--(Source!$B$1:$B$250=$O355)*--(Source!$E$1:$E$250=$Q$3)*--(Source!$D$1:$D$250=Pyramid!$Q355),ROW(Source!$B$1:$B$250),FALSE),W$3)),"")</f>
        <v/>
      </c>
      <c r="X355" t="str">
        <f t="array" aca="1" ref="X355" ca="1">IFERROR(INDEX(Source!$A$1:$A$250,SMALL(IF(--(Source!$B$1:$B$250=$O355)*--(Source!$E$1:$E$250=$Q$3)*--(Source!$D$1:$D$250=Pyramid!$Q355),ROW(Source!$B$1:$B$250),FALSE),X$3)),"")</f>
        <v/>
      </c>
      <c r="Y355" s="5">
        <f t="shared" ca="1" si="18"/>
        <v>0</v>
      </c>
    </row>
    <row r="356" spans="3:25">
      <c r="C356">
        <v>352</v>
      </c>
      <c r="D356" s="5">
        <f t="shared" ca="1" si="16"/>
        <v>0</v>
      </c>
      <c r="E356" t="str">
        <f t="array" aca="1" ref="E356" ca="1">IFERROR(INDEX(Source!$A$1:$A$250,SMALL(IF(--(Source!$B$1:$B$250=$O356)*--(Source!$E$1:$E$250=$M$3)*--(Source!$D$1:$D$250=Pyramid!$M356),ROW(Source!$B$1:$B$250),FALSE),E$3)),"")</f>
        <v/>
      </c>
      <c r="F356" t="str">
        <f t="array" aca="1" ref="F356" ca="1">IFERROR(INDEX(Source!$A$1:$A$250,SMALL(IF(--(Source!$B$1:$B$250=$O356)*--(Source!$E$1:$E$250=$M$3)*--(Source!$D$1:$D$250=Pyramid!$M356),ROW(Source!$B$1:$B$250),FALSE),F$3)),"")</f>
        <v/>
      </c>
      <c r="G356" t="str">
        <f t="array" aca="1" ref="G356" ca="1">IFERROR(INDEX(Source!$A$1:$A$250,SMALL(IF(--(Source!$B$1:$B$250=$O356)*--(Source!$E$1:$E$250=$M$3)*--(Source!$D$1:$D$250=Pyramid!$M356),ROW(Source!$B$1:$B$250),FALSE),G$3)),"")</f>
        <v/>
      </c>
      <c r="H356" t="str">
        <f t="array" aca="1" ref="H356" ca="1">IFERROR(INDEX(Source!$A$1:$A$250,SMALL(IF(--(Source!$B$1:$B$250=$O356)*--(Source!$E$1:$E$250=$M$3)*--(Source!$D$1:$D$250=Pyramid!$M356),ROW(Source!$B$1:$B$250),FALSE),H$3)),"")</f>
        <v/>
      </c>
      <c r="I356" t="str">
        <f t="array" aca="1" ref="I356" ca="1">IFERROR(INDEX(Source!$A$1:$A$250,SMALL(IF(--(Source!$B$1:$B$250=$O356)*--(Source!$E$1:$E$250=$M$3)*--(Source!$D$1:$D$250=Pyramid!$M356),ROW(Source!$B$1:$B$250),FALSE),I$3)),"")</f>
        <v/>
      </c>
      <c r="J356" t="str">
        <f t="array" aca="1" ref="J356" ca="1">IFERROR(INDEX(Source!$A$1:$A$250,SMALL(IF(--(Source!$B$1:$B$250=$O356)*--(Source!$E$1:$E$250=$M$3)*--(Source!$D$1:$D$250=Pyramid!$M356),ROW(Source!$B$1:$B$250),FALSE),J$3)),"")</f>
        <v/>
      </c>
      <c r="K356" t="str">
        <f t="array" aca="1" ref="K356" ca="1">IFERROR(INDEX(Source!$A$1:$A$250,SMALL(IF(--(Source!$B$1:$B$250=$O356)*--(Source!$E$1:$E$250=$M$3)*--(Source!$D$1:$D$250=Pyramid!$M356),ROW(Source!$B$1:$B$250),FALSE),K$3)),"")</f>
        <v/>
      </c>
      <c r="L356" t="str">
        <f t="array" aca="1" ref="L356" ca="1">IFERROR(INDEX(Source!$A$1:$A$250,SMALL(IF(--(Source!$B$1:$B$250=$O356)*--(Source!$E$1:$E$250=$M$3)*--(Source!$D$1:$D$250=Pyramid!$M356),ROW(Source!$B$1:$B$250),FALSE),L$3)),"")</f>
        <v/>
      </c>
      <c r="M356" t="str">
        <f t="shared" si="17"/>
        <v>30/8/2016</v>
      </c>
      <c r="N356">
        <f ca="1">COUNTIFS(Source!B:B,Pyramid!$O356,Source!$D:$D,Pyramid!$M356,Source!$E:$E,Pyramid!$M$3)</f>
        <v>0</v>
      </c>
      <c r="O356">
        <f ca="1">OFFSET(Sheet2!$N$3,INT(C356/5),)</f>
        <v>23288</v>
      </c>
      <c r="P356">
        <f ca="1">COUNTIFS(Source!B:B,Pyramid!$O356,Source!D:D,Pyramid!$Q356,Source!$E:$E,Pyramid!$Q$3)</f>
        <v>0</v>
      </c>
      <c r="Q356" t="str">
        <f t="shared" si="17"/>
        <v>30/8/2016</v>
      </c>
      <c r="R356" t="str">
        <f t="array" aca="1" ref="R356" ca="1">IFERROR(INDEX(Source!$A$1:$A$250,SMALL(IF(--(Source!$B$1:$B$250=$O356)*--(Source!$E$1:$E$250=$Q$3)*--(Source!$D$1:$D$250=Pyramid!$Q356),ROW(Source!$B$1:$B$250),FALSE),R$3)),"")</f>
        <v/>
      </c>
      <c r="S356" t="str">
        <f t="array" aca="1" ref="S356" ca="1">IFERROR(INDEX(Source!$A$1:$A$250,SMALL(IF(--(Source!$B$1:$B$250=$O356)*--(Source!$E$1:$E$250=$Q$3)*--(Source!$D$1:$D$250=Pyramid!$Q356),ROW(Source!$B$1:$B$250),FALSE),S$3)),"")</f>
        <v/>
      </c>
      <c r="T356" t="str">
        <f t="array" aca="1" ref="T356" ca="1">IFERROR(INDEX(Source!$A$1:$A$250,SMALL(IF(--(Source!$B$1:$B$250=$O356)*--(Source!$E$1:$E$250=$Q$3)*--(Source!$D$1:$D$250=Pyramid!$Q356),ROW(Source!$B$1:$B$250),FALSE),T$3)),"")</f>
        <v/>
      </c>
      <c r="U356" t="str">
        <f t="array" aca="1" ref="U356" ca="1">IFERROR(INDEX(Source!$A$1:$A$250,SMALL(IF(--(Source!$B$1:$B$250=$O356)*--(Source!$E$1:$E$250=$Q$3)*--(Source!$D$1:$D$250=Pyramid!$Q356),ROW(Source!$B$1:$B$250),FALSE),U$3)),"")</f>
        <v/>
      </c>
      <c r="V356" t="str">
        <f t="array" aca="1" ref="V356" ca="1">IFERROR(INDEX(Source!$A$1:$A$250,SMALL(IF(--(Source!$B$1:$B$250=$O356)*--(Source!$E$1:$E$250=$Q$3)*--(Source!$D$1:$D$250=Pyramid!$Q356),ROW(Source!$B$1:$B$250),FALSE),V$3)),"")</f>
        <v/>
      </c>
      <c r="W356" t="str">
        <f t="array" aca="1" ref="W356" ca="1">IFERROR(INDEX(Source!$A$1:$A$250,SMALL(IF(--(Source!$B$1:$B$250=$O356)*--(Source!$E$1:$E$250=$Q$3)*--(Source!$D$1:$D$250=Pyramid!$Q356),ROW(Source!$B$1:$B$250),FALSE),W$3)),"")</f>
        <v/>
      </c>
      <c r="X356" t="str">
        <f t="array" aca="1" ref="X356" ca="1">IFERROR(INDEX(Source!$A$1:$A$250,SMALL(IF(--(Source!$B$1:$B$250=$O356)*--(Source!$E$1:$E$250=$Q$3)*--(Source!$D$1:$D$250=Pyramid!$Q356),ROW(Source!$B$1:$B$250),FALSE),X$3)),"")</f>
        <v/>
      </c>
      <c r="Y356" s="5">
        <f t="shared" ca="1" si="18"/>
        <v>0</v>
      </c>
    </row>
    <row r="357" spans="3:25">
      <c r="C357">
        <v>353</v>
      </c>
      <c r="D357" s="5">
        <f t="shared" ca="1" si="16"/>
        <v>0</v>
      </c>
      <c r="E357" t="str">
        <f t="array" aca="1" ref="E357" ca="1">IFERROR(INDEX(Source!$A$1:$A$250,SMALL(IF(--(Source!$B$1:$B$250=$O357)*--(Source!$E$1:$E$250=$M$3)*--(Source!$D$1:$D$250=Pyramid!$M357),ROW(Source!$B$1:$B$250),FALSE),E$3)),"")</f>
        <v/>
      </c>
      <c r="F357" t="str">
        <f t="array" aca="1" ref="F357" ca="1">IFERROR(INDEX(Source!$A$1:$A$250,SMALL(IF(--(Source!$B$1:$B$250=$O357)*--(Source!$E$1:$E$250=$M$3)*--(Source!$D$1:$D$250=Pyramid!$M357),ROW(Source!$B$1:$B$250),FALSE),F$3)),"")</f>
        <v/>
      </c>
      <c r="G357" t="str">
        <f t="array" aca="1" ref="G357" ca="1">IFERROR(INDEX(Source!$A$1:$A$250,SMALL(IF(--(Source!$B$1:$B$250=$O357)*--(Source!$E$1:$E$250=$M$3)*--(Source!$D$1:$D$250=Pyramid!$M357),ROW(Source!$B$1:$B$250),FALSE),G$3)),"")</f>
        <v/>
      </c>
      <c r="H357" t="str">
        <f t="array" aca="1" ref="H357" ca="1">IFERROR(INDEX(Source!$A$1:$A$250,SMALL(IF(--(Source!$B$1:$B$250=$O357)*--(Source!$E$1:$E$250=$M$3)*--(Source!$D$1:$D$250=Pyramid!$M357),ROW(Source!$B$1:$B$250),FALSE),H$3)),"")</f>
        <v/>
      </c>
      <c r="I357" t="str">
        <f t="array" aca="1" ref="I357" ca="1">IFERROR(INDEX(Source!$A$1:$A$250,SMALL(IF(--(Source!$B$1:$B$250=$O357)*--(Source!$E$1:$E$250=$M$3)*--(Source!$D$1:$D$250=Pyramid!$M357),ROW(Source!$B$1:$B$250),FALSE),I$3)),"")</f>
        <v/>
      </c>
      <c r="J357" t="str">
        <f t="array" aca="1" ref="J357" ca="1">IFERROR(INDEX(Source!$A$1:$A$250,SMALL(IF(--(Source!$B$1:$B$250=$O357)*--(Source!$E$1:$E$250=$M$3)*--(Source!$D$1:$D$250=Pyramid!$M357),ROW(Source!$B$1:$B$250),FALSE),J$3)),"")</f>
        <v/>
      </c>
      <c r="K357" t="str">
        <f t="array" aca="1" ref="K357" ca="1">IFERROR(INDEX(Source!$A$1:$A$250,SMALL(IF(--(Source!$B$1:$B$250=$O357)*--(Source!$E$1:$E$250=$M$3)*--(Source!$D$1:$D$250=Pyramid!$M357),ROW(Source!$B$1:$B$250),FALSE),K$3)),"")</f>
        <v/>
      </c>
      <c r="L357" t="str">
        <f t="array" aca="1" ref="L357" ca="1">IFERROR(INDEX(Source!$A$1:$A$250,SMALL(IF(--(Source!$B$1:$B$250=$O357)*--(Source!$E$1:$E$250=$M$3)*--(Source!$D$1:$D$250=Pyramid!$M357),ROW(Source!$B$1:$B$250),FALSE),L$3)),"")</f>
        <v/>
      </c>
      <c r="M357" t="str">
        <f t="shared" si="17"/>
        <v>29/9/2016</v>
      </c>
      <c r="N357">
        <f ca="1">COUNTIFS(Source!B:B,Pyramid!$O357,Source!$D:$D,Pyramid!$M357,Source!$E:$E,Pyramid!$M$3)</f>
        <v>0</v>
      </c>
      <c r="O357">
        <f ca="1">OFFSET(Sheet2!$N$3,INT(C357/5),)</f>
        <v>23288</v>
      </c>
      <c r="P357">
        <f ca="1">COUNTIFS(Source!B:B,Pyramid!$O357,Source!D:D,Pyramid!$Q357,Source!$E:$E,Pyramid!$Q$3)</f>
        <v>0</v>
      </c>
      <c r="Q357" t="str">
        <f t="shared" si="17"/>
        <v>29/9/2016</v>
      </c>
      <c r="R357" t="str">
        <f t="array" aca="1" ref="R357" ca="1">IFERROR(INDEX(Source!$A$1:$A$250,SMALL(IF(--(Source!$B$1:$B$250=$O357)*--(Source!$E$1:$E$250=$Q$3)*--(Source!$D$1:$D$250=Pyramid!$Q357),ROW(Source!$B$1:$B$250),FALSE),R$3)),"")</f>
        <v/>
      </c>
      <c r="S357" t="str">
        <f t="array" aca="1" ref="S357" ca="1">IFERROR(INDEX(Source!$A$1:$A$250,SMALL(IF(--(Source!$B$1:$B$250=$O357)*--(Source!$E$1:$E$250=$Q$3)*--(Source!$D$1:$D$250=Pyramid!$Q357),ROW(Source!$B$1:$B$250),FALSE),S$3)),"")</f>
        <v/>
      </c>
      <c r="T357" t="str">
        <f t="array" aca="1" ref="T357" ca="1">IFERROR(INDEX(Source!$A$1:$A$250,SMALL(IF(--(Source!$B$1:$B$250=$O357)*--(Source!$E$1:$E$250=$Q$3)*--(Source!$D$1:$D$250=Pyramid!$Q357),ROW(Source!$B$1:$B$250),FALSE),T$3)),"")</f>
        <v/>
      </c>
      <c r="U357" t="str">
        <f t="array" aca="1" ref="U357" ca="1">IFERROR(INDEX(Source!$A$1:$A$250,SMALL(IF(--(Source!$B$1:$B$250=$O357)*--(Source!$E$1:$E$250=$Q$3)*--(Source!$D$1:$D$250=Pyramid!$Q357),ROW(Source!$B$1:$B$250),FALSE),U$3)),"")</f>
        <v/>
      </c>
      <c r="V357" t="str">
        <f t="array" aca="1" ref="V357" ca="1">IFERROR(INDEX(Source!$A$1:$A$250,SMALL(IF(--(Source!$B$1:$B$250=$O357)*--(Source!$E$1:$E$250=$Q$3)*--(Source!$D$1:$D$250=Pyramid!$Q357),ROW(Source!$B$1:$B$250),FALSE),V$3)),"")</f>
        <v/>
      </c>
      <c r="W357" t="str">
        <f t="array" aca="1" ref="W357" ca="1">IFERROR(INDEX(Source!$A$1:$A$250,SMALL(IF(--(Source!$B$1:$B$250=$O357)*--(Source!$E$1:$E$250=$Q$3)*--(Source!$D$1:$D$250=Pyramid!$Q357),ROW(Source!$B$1:$B$250),FALSE),W$3)),"")</f>
        <v/>
      </c>
      <c r="X357" t="str">
        <f t="array" aca="1" ref="X357" ca="1">IFERROR(INDEX(Source!$A$1:$A$250,SMALL(IF(--(Source!$B$1:$B$250=$O357)*--(Source!$E$1:$E$250=$Q$3)*--(Source!$D$1:$D$250=Pyramid!$Q357),ROW(Source!$B$1:$B$250),FALSE),X$3)),"")</f>
        <v/>
      </c>
      <c r="Y357" s="5">
        <f t="shared" ca="1" si="18"/>
        <v>0</v>
      </c>
    </row>
    <row r="358" spans="3:25">
      <c r="C358">
        <v>354</v>
      </c>
      <c r="D358" s="5">
        <f t="shared" ca="1" si="16"/>
        <v>0</v>
      </c>
      <c r="E358" t="str">
        <f t="array" aca="1" ref="E358" ca="1">IFERROR(INDEX(Source!$A$1:$A$250,SMALL(IF(--(Source!$B$1:$B$250=$O358)*--(Source!$E$1:$E$250=$M$3)*--(Source!$D$1:$D$250=Pyramid!$M358),ROW(Source!$B$1:$B$250),FALSE),E$3)),"")</f>
        <v/>
      </c>
      <c r="F358" t="str">
        <f t="array" aca="1" ref="F358" ca="1">IFERROR(INDEX(Source!$A$1:$A$250,SMALL(IF(--(Source!$B$1:$B$250=$O358)*--(Source!$E$1:$E$250=$M$3)*--(Source!$D$1:$D$250=Pyramid!$M358),ROW(Source!$B$1:$B$250),FALSE),F$3)),"")</f>
        <v/>
      </c>
      <c r="G358" t="str">
        <f t="array" aca="1" ref="G358" ca="1">IFERROR(INDEX(Source!$A$1:$A$250,SMALL(IF(--(Source!$B$1:$B$250=$O358)*--(Source!$E$1:$E$250=$M$3)*--(Source!$D$1:$D$250=Pyramid!$M358),ROW(Source!$B$1:$B$250),FALSE),G$3)),"")</f>
        <v/>
      </c>
      <c r="H358" t="str">
        <f t="array" aca="1" ref="H358" ca="1">IFERROR(INDEX(Source!$A$1:$A$250,SMALL(IF(--(Source!$B$1:$B$250=$O358)*--(Source!$E$1:$E$250=$M$3)*--(Source!$D$1:$D$250=Pyramid!$M358),ROW(Source!$B$1:$B$250),FALSE),H$3)),"")</f>
        <v/>
      </c>
      <c r="I358" t="str">
        <f t="array" aca="1" ref="I358" ca="1">IFERROR(INDEX(Source!$A$1:$A$250,SMALL(IF(--(Source!$B$1:$B$250=$O358)*--(Source!$E$1:$E$250=$M$3)*--(Source!$D$1:$D$250=Pyramid!$M358),ROW(Source!$B$1:$B$250),FALSE),I$3)),"")</f>
        <v/>
      </c>
      <c r="J358" t="str">
        <f t="array" aca="1" ref="J358" ca="1">IFERROR(INDEX(Source!$A$1:$A$250,SMALL(IF(--(Source!$B$1:$B$250=$O358)*--(Source!$E$1:$E$250=$M$3)*--(Source!$D$1:$D$250=Pyramid!$M358),ROW(Source!$B$1:$B$250),FALSE),J$3)),"")</f>
        <v/>
      </c>
      <c r="K358" t="str">
        <f t="array" aca="1" ref="K358" ca="1">IFERROR(INDEX(Source!$A$1:$A$250,SMALL(IF(--(Source!$B$1:$B$250=$O358)*--(Source!$E$1:$E$250=$M$3)*--(Source!$D$1:$D$250=Pyramid!$M358),ROW(Source!$B$1:$B$250),FALSE),K$3)),"")</f>
        <v/>
      </c>
      <c r="L358" t="str">
        <f t="array" aca="1" ref="L358" ca="1">IFERROR(INDEX(Source!$A$1:$A$250,SMALL(IF(--(Source!$B$1:$B$250=$O358)*--(Source!$E$1:$E$250=$M$3)*--(Source!$D$1:$D$250=Pyramid!$M358),ROW(Source!$B$1:$B$250),FALSE),L$3)),"")</f>
        <v/>
      </c>
      <c r="M358" t="str">
        <f t="shared" si="17"/>
        <v>28/10/2016</v>
      </c>
      <c r="N358">
        <f ca="1">COUNTIFS(Source!B:B,Pyramid!$O358,Source!$D:$D,Pyramid!$M358,Source!$E:$E,Pyramid!$M$3)</f>
        <v>0</v>
      </c>
      <c r="O358">
        <f ca="1">OFFSET(Sheet2!$N$3,INT(C358/5),)</f>
        <v>23288</v>
      </c>
      <c r="P358">
        <f ca="1">COUNTIFS(Source!B:B,Pyramid!$O358,Source!D:D,Pyramid!$Q358,Source!$E:$E,Pyramid!$Q$3)</f>
        <v>0</v>
      </c>
      <c r="Q358" t="str">
        <f t="shared" si="17"/>
        <v>28/10/2016</v>
      </c>
      <c r="R358" t="str">
        <f t="array" aca="1" ref="R358" ca="1">IFERROR(INDEX(Source!$A$1:$A$250,SMALL(IF(--(Source!$B$1:$B$250=$O358)*--(Source!$E$1:$E$250=$Q$3)*--(Source!$D$1:$D$250=Pyramid!$Q358),ROW(Source!$B$1:$B$250),FALSE),R$3)),"")</f>
        <v/>
      </c>
      <c r="S358" t="str">
        <f t="array" aca="1" ref="S358" ca="1">IFERROR(INDEX(Source!$A$1:$A$250,SMALL(IF(--(Source!$B$1:$B$250=$O358)*--(Source!$E$1:$E$250=$Q$3)*--(Source!$D$1:$D$250=Pyramid!$Q358),ROW(Source!$B$1:$B$250),FALSE),S$3)),"")</f>
        <v/>
      </c>
      <c r="T358" t="str">
        <f t="array" aca="1" ref="T358" ca="1">IFERROR(INDEX(Source!$A$1:$A$250,SMALL(IF(--(Source!$B$1:$B$250=$O358)*--(Source!$E$1:$E$250=$Q$3)*--(Source!$D$1:$D$250=Pyramid!$Q358),ROW(Source!$B$1:$B$250),FALSE),T$3)),"")</f>
        <v/>
      </c>
      <c r="U358" t="str">
        <f t="array" aca="1" ref="U358" ca="1">IFERROR(INDEX(Source!$A$1:$A$250,SMALL(IF(--(Source!$B$1:$B$250=$O358)*--(Source!$E$1:$E$250=$Q$3)*--(Source!$D$1:$D$250=Pyramid!$Q358),ROW(Source!$B$1:$B$250),FALSE),U$3)),"")</f>
        <v/>
      </c>
      <c r="V358" t="str">
        <f t="array" aca="1" ref="V358" ca="1">IFERROR(INDEX(Source!$A$1:$A$250,SMALL(IF(--(Source!$B$1:$B$250=$O358)*--(Source!$E$1:$E$250=$Q$3)*--(Source!$D$1:$D$250=Pyramid!$Q358),ROW(Source!$B$1:$B$250),FALSE),V$3)),"")</f>
        <v/>
      </c>
      <c r="W358" t="str">
        <f t="array" aca="1" ref="W358" ca="1">IFERROR(INDEX(Source!$A$1:$A$250,SMALL(IF(--(Source!$B$1:$B$250=$O358)*--(Source!$E$1:$E$250=$Q$3)*--(Source!$D$1:$D$250=Pyramid!$Q358),ROW(Source!$B$1:$B$250),FALSE),W$3)),"")</f>
        <v/>
      </c>
      <c r="X358" t="str">
        <f t="array" aca="1" ref="X358" ca="1">IFERROR(INDEX(Source!$A$1:$A$250,SMALL(IF(--(Source!$B$1:$B$250=$O358)*--(Source!$E$1:$E$250=$Q$3)*--(Source!$D$1:$D$250=Pyramid!$Q358),ROW(Source!$B$1:$B$250),FALSE),X$3)),"")</f>
        <v/>
      </c>
      <c r="Y358" s="5">
        <f t="shared" ca="1" si="18"/>
        <v>0</v>
      </c>
    </row>
    <row r="359" spans="3:25">
      <c r="C359">
        <v>355</v>
      </c>
      <c r="D359" s="5">
        <f t="shared" ca="1" si="16"/>
        <v>0</v>
      </c>
      <c r="E359" t="str">
        <f t="array" aca="1" ref="E359" ca="1">IFERROR(INDEX(Source!$A$1:$A$250,SMALL(IF(--(Source!$B$1:$B$250=$O359)*--(Source!$E$1:$E$250=$M$3)*--(Source!$D$1:$D$250=Pyramid!$M359),ROW(Source!$B$1:$B$250),FALSE),E$3)),"")</f>
        <v/>
      </c>
      <c r="F359" t="str">
        <f t="array" aca="1" ref="F359" ca="1">IFERROR(INDEX(Source!$A$1:$A$250,SMALL(IF(--(Source!$B$1:$B$250=$O359)*--(Source!$E$1:$E$250=$M$3)*--(Source!$D$1:$D$250=Pyramid!$M359),ROW(Source!$B$1:$B$250),FALSE),F$3)),"")</f>
        <v/>
      </c>
      <c r="G359" t="str">
        <f t="array" aca="1" ref="G359" ca="1">IFERROR(INDEX(Source!$A$1:$A$250,SMALL(IF(--(Source!$B$1:$B$250=$O359)*--(Source!$E$1:$E$250=$M$3)*--(Source!$D$1:$D$250=Pyramid!$M359),ROW(Source!$B$1:$B$250),FALSE),G$3)),"")</f>
        <v/>
      </c>
      <c r="H359" t="str">
        <f t="array" aca="1" ref="H359" ca="1">IFERROR(INDEX(Source!$A$1:$A$250,SMALL(IF(--(Source!$B$1:$B$250=$O359)*--(Source!$E$1:$E$250=$M$3)*--(Source!$D$1:$D$250=Pyramid!$M359),ROW(Source!$B$1:$B$250),FALSE),H$3)),"")</f>
        <v/>
      </c>
      <c r="I359" t="str">
        <f t="array" aca="1" ref="I359" ca="1">IFERROR(INDEX(Source!$A$1:$A$250,SMALL(IF(--(Source!$B$1:$B$250=$O359)*--(Source!$E$1:$E$250=$M$3)*--(Source!$D$1:$D$250=Pyramid!$M359),ROW(Source!$B$1:$B$250),FALSE),I$3)),"")</f>
        <v/>
      </c>
      <c r="J359" t="str">
        <f t="array" aca="1" ref="J359" ca="1">IFERROR(INDEX(Source!$A$1:$A$250,SMALL(IF(--(Source!$B$1:$B$250=$O359)*--(Source!$E$1:$E$250=$M$3)*--(Source!$D$1:$D$250=Pyramid!$M359),ROW(Source!$B$1:$B$250),FALSE),J$3)),"")</f>
        <v/>
      </c>
      <c r="K359" t="str">
        <f t="array" aca="1" ref="K359" ca="1">IFERROR(INDEX(Source!$A$1:$A$250,SMALL(IF(--(Source!$B$1:$B$250=$O359)*--(Source!$E$1:$E$250=$M$3)*--(Source!$D$1:$D$250=Pyramid!$M359),ROW(Source!$B$1:$B$250),FALSE),K$3)),"")</f>
        <v/>
      </c>
      <c r="L359" t="str">
        <f t="array" aca="1" ref="L359" ca="1">IFERROR(INDEX(Source!$A$1:$A$250,SMALL(IF(--(Source!$B$1:$B$250=$O359)*--(Source!$E$1:$E$250=$M$3)*--(Source!$D$1:$D$250=Pyramid!$M359),ROW(Source!$B$1:$B$250),FALSE),L$3)),"")</f>
        <v/>
      </c>
      <c r="M359" t="str">
        <f t="shared" si="17"/>
        <v>29/6/2016</v>
      </c>
      <c r="N359">
        <f ca="1">COUNTIFS(Source!B:B,Pyramid!$O359,Source!$D:$D,Pyramid!$M359,Source!$E:$E,Pyramid!$M$3)</f>
        <v>0</v>
      </c>
      <c r="O359">
        <f ca="1">OFFSET(Sheet2!$N$3,INT(C359/5),)</f>
        <v>23300</v>
      </c>
      <c r="P359">
        <f ca="1">COUNTIFS(Source!B:B,Pyramid!$O359,Source!D:D,Pyramid!$Q359,Source!$E:$E,Pyramid!$Q$3)</f>
        <v>0</v>
      </c>
      <c r="Q359" t="str">
        <f t="shared" si="17"/>
        <v>29/6/2016</v>
      </c>
      <c r="R359" t="str">
        <f t="array" aca="1" ref="R359" ca="1">IFERROR(INDEX(Source!$A$1:$A$250,SMALL(IF(--(Source!$B$1:$B$250=$O359)*--(Source!$E$1:$E$250=$Q$3)*--(Source!$D$1:$D$250=Pyramid!$Q359),ROW(Source!$B$1:$B$250),FALSE),R$3)),"")</f>
        <v/>
      </c>
      <c r="S359" t="str">
        <f t="array" aca="1" ref="S359" ca="1">IFERROR(INDEX(Source!$A$1:$A$250,SMALL(IF(--(Source!$B$1:$B$250=$O359)*--(Source!$E$1:$E$250=$Q$3)*--(Source!$D$1:$D$250=Pyramid!$Q359),ROW(Source!$B$1:$B$250),FALSE),S$3)),"")</f>
        <v/>
      </c>
      <c r="T359" t="str">
        <f t="array" aca="1" ref="T359" ca="1">IFERROR(INDEX(Source!$A$1:$A$250,SMALL(IF(--(Source!$B$1:$B$250=$O359)*--(Source!$E$1:$E$250=$Q$3)*--(Source!$D$1:$D$250=Pyramid!$Q359),ROW(Source!$B$1:$B$250),FALSE),T$3)),"")</f>
        <v/>
      </c>
      <c r="U359" t="str">
        <f t="array" aca="1" ref="U359" ca="1">IFERROR(INDEX(Source!$A$1:$A$250,SMALL(IF(--(Source!$B$1:$B$250=$O359)*--(Source!$E$1:$E$250=$Q$3)*--(Source!$D$1:$D$250=Pyramid!$Q359),ROW(Source!$B$1:$B$250),FALSE),U$3)),"")</f>
        <v/>
      </c>
      <c r="V359" t="str">
        <f t="array" aca="1" ref="V359" ca="1">IFERROR(INDEX(Source!$A$1:$A$250,SMALL(IF(--(Source!$B$1:$B$250=$O359)*--(Source!$E$1:$E$250=$Q$3)*--(Source!$D$1:$D$250=Pyramid!$Q359),ROW(Source!$B$1:$B$250),FALSE),V$3)),"")</f>
        <v/>
      </c>
      <c r="W359" t="str">
        <f t="array" aca="1" ref="W359" ca="1">IFERROR(INDEX(Source!$A$1:$A$250,SMALL(IF(--(Source!$B$1:$B$250=$O359)*--(Source!$E$1:$E$250=$Q$3)*--(Source!$D$1:$D$250=Pyramid!$Q359),ROW(Source!$B$1:$B$250),FALSE),W$3)),"")</f>
        <v/>
      </c>
      <c r="X359" t="str">
        <f t="array" aca="1" ref="X359" ca="1">IFERROR(INDEX(Source!$A$1:$A$250,SMALL(IF(--(Source!$B$1:$B$250=$O359)*--(Source!$E$1:$E$250=$Q$3)*--(Source!$D$1:$D$250=Pyramid!$Q359),ROW(Source!$B$1:$B$250),FALSE),X$3)),"")</f>
        <v/>
      </c>
      <c r="Y359" s="5">
        <f t="shared" ca="1" si="18"/>
        <v>0</v>
      </c>
    </row>
    <row r="360" spans="3:25">
      <c r="C360">
        <v>356</v>
      </c>
      <c r="D360" s="5">
        <f t="shared" ca="1" si="16"/>
        <v>0</v>
      </c>
      <c r="E360" t="str">
        <f t="array" aca="1" ref="E360" ca="1">IFERROR(INDEX(Source!$A$1:$A$250,SMALL(IF(--(Source!$B$1:$B$250=$O360)*--(Source!$E$1:$E$250=$M$3)*--(Source!$D$1:$D$250=Pyramid!$M360),ROW(Source!$B$1:$B$250),FALSE),E$3)),"")</f>
        <v/>
      </c>
      <c r="F360" t="str">
        <f t="array" aca="1" ref="F360" ca="1">IFERROR(INDEX(Source!$A$1:$A$250,SMALL(IF(--(Source!$B$1:$B$250=$O360)*--(Source!$E$1:$E$250=$M$3)*--(Source!$D$1:$D$250=Pyramid!$M360),ROW(Source!$B$1:$B$250),FALSE),F$3)),"")</f>
        <v/>
      </c>
      <c r="G360" t="str">
        <f t="array" aca="1" ref="G360" ca="1">IFERROR(INDEX(Source!$A$1:$A$250,SMALL(IF(--(Source!$B$1:$B$250=$O360)*--(Source!$E$1:$E$250=$M$3)*--(Source!$D$1:$D$250=Pyramid!$M360),ROW(Source!$B$1:$B$250),FALSE),G$3)),"")</f>
        <v/>
      </c>
      <c r="H360" t="str">
        <f t="array" aca="1" ref="H360" ca="1">IFERROR(INDEX(Source!$A$1:$A$250,SMALL(IF(--(Source!$B$1:$B$250=$O360)*--(Source!$E$1:$E$250=$M$3)*--(Source!$D$1:$D$250=Pyramid!$M360),ROW(Source!$B$1:$B$250),FALSE),H$3)),"")</f>
        <v/>
      </c>
      <c r="I360" t="str">
        <f t="array" aca="1" ref="I360" ca="1">IFERROR(INDEX(Source!$A$1:$A$250,SMALL(IF(--(Source!$B$1:$B$250=$O360)*--(Source!$E$1:$E$250=$M$3)*--(Source!$D$1:$D$250=Pyramid!$M360),ROW(Source!$B$1:$B$250),FALSE),I$3)),"")</f>
        <v/>
      </c>
      <c r="J360" t="str">
        <f t="array" aca="1" ref="J360" ca="1">IFERROR(INDEX(Source!$A$1:$A$250,SMALL(IF(--(Source!$B$1:$B$250=$O360)*--(Source!$E$1:$E$250=$M$3)*--(Source!$D$1:$D$250=Pyramid!$M360),ROW(Source!$B$1:$B$250),FALSE),J$3)),"")</f>
        <v/>
      </c>
      <c r="K360" t="str">
        <f t="array" aca="1" ref="K360" ca="1">IFERROR(INDEX(Source!$A$1:$A$250,SMALL(IF(--(Source!$B$1:$B$250=$O360)*--(Source!$E$1:$E$250=$M$3)*--(Source!$D$1:$D$250=Pyramid!$M360),ROW(Source!$B$1:$B$250),FALSE),K$3)),"")</f>
        <v/>
      </c>
      <c r="L360" t="str">
        <f t="array" aca="1" ref="L360" ca="1">IFERROR(INDEX(Source!$A$1:$A$250,SMALL(IF(--(Source!$B$1:$B$250=$O360)*--(Source!$E$1:$E$250=$M$3)*--(Source!$D$1:$D$250=Pyramid!$M360),ROW(Source!$B$1:$B$250),FALSE),L$3)),"")</f>
        <v/>
      </c>
      <c r="M360" t="str">
        <f t="shared" si="17"/>
        <v>28/7/2016</v>
      </c>
      <c r="N360">
        <f ca="1">COUNTIFS(Source!B:B,Pyramid!$O360,Source!$D:$D,Pyramid!$M360,Source!$E:$E,Pyramid!$M$3)</f>
        <v>0</v>
      </c>
      <c r="O360">
        <f ca="1">OFFSET(Sheet2!$N$3,INT(C360/5),)</f>
        <v>23300</v>
      </c>
      <c r="P360">
        <f ca="1">COUNTIFS(Source!B:B,Pyramid!$O360,Source!D:D,Pyramid!$Q360,Source!$E:$E,Pyramid!$Q$3)</f>
        <v>0</v>
      </c>
      <c r="Q360" t="str">
        <f t="shared" si="17"/>
        <v>28/7/2016</v>
      </c>
      <c r="R360" t="str">
        <f t="array" aca="1" ref="R360" ca="1">IFERROR(INDEX(Source!$A$1:$A$250,SMALL(IF(--(Source!$B$1:$B$250=$O360)*--(Source!$E$1:$E$250=$Q$3)*--(Source!$D$1:$D$250=Pyramid!$Q360),ROW(Source!$B$1:$B$250),FALSE),R$3)),"")</f>
        <v/>
      </c>
      <c r="S360" t="str">
        <f t="array" aca="1" ref="S360" ca="1">IFERROR(INDEX(Source!$A$1:$A$250,SMALL(IF(--(Source!$B$1:$B$250=$O360)*--(Source!$E$1:$E$250=$Q$3)*--(Source!$D$1:$D$250=Pyramid!$Q360),ROW(Source!$B$1:$B$250),FALSE),S$3)),"")</f>
        <v/>
      </c>
      <c r="T360" t="str">
        <f t="array" aca="1" ref="T360" ca="1">IFERROR(INDEX(Source!$A$1:$A$250,SMALL(IF(--(Source!$B$1:$B$250=$O360)*--(Source!$E$1:$E$250=$Q$3)*--(Source!$D$1:$D$250=Pyramid!$Q360),ROW(Source!$B$1:$B$250),FALSE),T$3)),"")</f>
        <v/>
      </c>
      <c r="U360" t="str">
        <f t="array" aca="1" ref="U360" ca="1">IFERROR(INDEX(Source!$A$1:$A$250,SMALL(IF(--(Source!$B$1:$B$250=$O360)*--(Source!$E$1:$E$250=$Q$3)*--(Source!$D$1:$D$250=Pyramid!$Q360),ROW(Source!$B$1:$B$250),FALSE),U$3)),"")</f>
        <v/>
      </c>
      <c r="V360" t="str">
        <f t="array" aca="1" ref="V360" ca="1">IFERROR(INDEX(Source!$A$1:$A$250,SMALL(IF(--(Source!$B$1:$B$250=$O360)*--(Source!$E$1:$E$250=$Q$3)*--(Source!$D$1:$D$250=Pyramid!$Q360),ROW(Source!$B$1:$B$250),FALSE),V$3)),"")</f>
        <v/>
      </c>
      <c r="W360" t="str">
        <f t="array" aca="1" ref="W360" ca="1">IFERROR(INDEX(Source!$A$1:$A$250,SMALL(IF(--(Source!$B$1:$B$250=$O360)*--(Source!$E$1:$E$250=$Q$3)*--(Source!$D$1:$D$250=Pyramid!$Q360),ROW(Source!$B$1:$B$250),FALSE),W$3)),"")</f>
        <v/>
      </c>
      <c r="X360" t="str">
        <f t="array" aca="1" ref="X360" ca="1">IFERROR(INDEX(Source!$A$1:$A$250,SMALL(IF(--(Source!$B$1:$B$250=$O360)*--(Source!$E$1:$E$250=$Q$3)*--(Source!$D$1:$D$250=Pyramid!$Q360),ROW(Source!$B$1:$B$250),FALSE),X$3)),"")</f>
        <v/>
      </c>
      <c r="Y360" s="5">
        <f t="shared" ca="1" si="18"/>
        <v>0</v>
      </c>
    </row>
    <row r="361" spans="3:25">
      <c r="C361">
        <v>357</v>
      </c>
      <c r="D361" s="5">
        <f t="shared" ca="1" si="16"/>
        <v>0</v>
      </c>
      <c r="E361" t="str">
        <f t="array" aca="1" ref="E361" ca="1">IFERROR(INDEX(Source!$A$1:$A$250,SMALL(IF(--(Source!$B$1:$B$250=$O361)*--(Source!$E$1:$E$250=$M$3)*--(Source!$D$1:$D$250=Pyramid!$M361),ROW(Source!$B$1:$B$250),FALSE),E$3)),"")</f>
        <v/>
      </c>
      <c r="F361" t="str">
        <f t="array" aca="1" ref="F361" ca="1">IFERROR(INDEX(Source!$A$1:$A$250,SMALL(IF(--(Source!$B$1:$B$250=$O361)*--(Source!$E$1:$E$250=$M$3)*--(Source!$D$1:$D$250=Pyramid!$M361),ROW(Source!$B$1:$B$250),FALSE),F$3)),"")</f>
        <v/>
      </c>
      <c r="G361" t="str">
        <f t="array" aca="1" ref="G361" ca="1">IFERROR(INDEX(Source!$A$1:$A$250,SMALL(IF(--(Source!$B$1:$B$250=$O361)*--(Source!$E$1:$E$250=$M$3)*--(Source!$D$1:$D$250=Pyramid!$M361),ROW(Source!$B$1:$B$250),FALSE),G$3)),"")</f>
        <v/>
      </c>
      <c r="H361" t="str">
        <f t="array" aca="1" ref="H361" ca="1">IFERROR(INDEX(Source!$A$1:$A$250,SMALL(IF(--(Source!$B$1:$B$250=$O361)*--(Source!$E$1:$E$250=$M$3)*--(Source!$D$1:$D$250=Pyramid!$M361),ROW(Source!$B$1:$B$250),FALSE),H$3)),"")</f>
        <v/>
      </c>
      <c r="I361" t="str">
        <f t="array" aca="1" ref="I361" ca="1">IFERROR(INDEX(Source!$A$1:$A$250,SMALL(IF(--(Source!$B$1:$B$250=$O361)*--(Source!$E$1:$E$250=$M$3)*--(Source!$D$1:$D$250=Pyramid!$M361),ROW(Source!$B$1:$B$250),FALSE),I$3)),"")</f>
        <v/>
      </c>
      <c r="J361" t="str">
        <f t="array" aca="1" ref="J361" ca="1">IFERROR(INDEX(Source!$A$1:$A$250,SMALL(IF(--(Source!$B$1:$B$250=$O361)*--(Source!$E$1:$E$250=$M$3)*--(Source!$D$1:$D$250=Pyramid!$M361),ROW(Source!$B$1:$B$250),FALSE),J$3)),"")</f>
        <v/>
      </c>
      <c r="K361" t="str">
        <f t="array" aca="1" ref="K361" ca="1">IFERROR(INDEX(Source!$A$1:$A$250,SMALL(IF(--(Source!$B$1:$B$250=$O361)*--(Source!$E$1:$E$250=$M$3)*--(Source!$D$1:$D$250=Pyramid!$M361),ROW(Source!$B$1:$B$250),FALSE),K$3)),"")</f>
        <v/>
      </c>
      <c r="L361" t="str">
        <f t="array" aca="1" ref="L361" ca="1">IFERROR(INDEX(Source!$A$1:$A$250,SMALL(IF(--(Source!$B$1:$B$250=$O361)*--(Source!$E$1:$E$250=$M$3)*--(Source!$D$1:$D$250=Pyramid!$M361),ROW(Source!$B$1:$B$250),FALSE),L$3)),"")</f>
        <v/>
      </c>
      <c r="M361" t="str">
        <f t="shared" si="17"/>
        <v>30/8/2016</v>
      </c>
      <c r="N361">
        <f ca="1">COUNTIFS(Source!B:B,Pyramid!$O361,Source!$D:$D,Pyramid!$M361,Source!$E:$E,Pyramid!$M$3)</f>
        <v>0</v>
      </c>
      <c r="O361">
        <f ca="1">OFFSET(Sheet2!$N$3,INT(C361/5),)</f>
        <v>23300</v>
      </c>
      <c r="P361">
        <f ca="1">COUNTIFS(Source!B:B,Pyramid!$O361,Source!D:D,Pyramid!$Q361,Source!$E:$E,Pyramid!$Q$3)</f>
        <v>0</v>
      </c>
      <c r="Q361" t="str">
        <f t="shared" si="17"/>
        <v>30/8/2016</v>
      </c>
      <c r="R361" t="str">
        <f t="array" aca="1" ref="R361" ca="1">IFERROR(INDEX(Source!$A$1:$A$250,SMALL(IF(--(Source!$B$1:$B$250=$O361)*--(Source!$E$1:$E$250=$Q$3)*--(Source!$D$1:$D$250=Pyramid!$Q361),ROW(Source!$B$1:$B$250),FALSE),R$3)),"")</f>
        <v/>
      </c>
      <c r="S361" t="str">
        <f t="array" aca="1" ref="S361" ca="1">IFERROR(INDEX(Source!$A$1:$A$250,SMALL(IF(--(Source!$B$1:$B$250=$O361)*--(Source!$E$1:$E$250=$Q$3)*--(Source!$D$1:$D$250=Pyramid!$Q361),ROW(Source!$B$1:$B$250),FALSE),S$3)),"")</f>
        <v/>
      </c>
      <c r="T361" t="str">
        <f t="array" aca="1" ref="T361" ca="1">IFERROR(INDEX(Source!$A$1:$A$250,SMALL(IF(--(Source!$B$1:$B$250=$O361)*--(Source!$E$1:$E$250=$Q$3)*--(Source!$D$1:$D$250=Pyramid!$Q361),ROW(Source!$B$1:$B$250),FALSE),T$3)),"")</f>
        <v/>
      </c>
      <c r="U361" t="str">
        <f t="array" aca="1" ref="U361" ca="1">IFERROR(INDEX(Source!$A$1:$A$250,SMALL(IF(--(Source!$B$1:$B$250=$O361)*--(Source!$E$1:$E$250=$Q$3)*--(Source!$D$1:$D$250=Pyramid!$Q361),ROW(Source!$B$1:$B$250),FALSE),U$3)),"")</f>
        <v/>
      </c>
      <c r="V361" t="str">
        <f t="array" aca="1" ref="V361" ca="1">IFERROR(INDEX(Source!$A$1:$A$250,SMALL(IF(--(Source!$B$1:$B$250=$O361)*--(Source!$E$1:$E$250=$Q$3)*--(Source!$D$1:$D$250=Pyramid!$Q361),ROW(Source!$B$1:$B$250),FALSE),V$3)),"")</f>
        <v/>
      </c>
      <c r="W361" t="str">
        <f t="array" aca="1" ref="W361" ca="1">IFERROR(INDEX(Source!$A$1:$A$250,SMALL(IF(--(Source!$B$1:$B$250=$O361)*--(Source!$E$1:$E$250=$Q$3)*--(Source!$D$1:$D$250=Pyramid!$Q361),ROW(Source!$B$1:$B$250),FALSE),W$3)),"")</f>
        <v/>
      </c>
      <c r="X361" t="str">
        <f t="array" aca="1" ref="X361" ca="1">IFERROR(INDEX(Source!$A$1:$A$250,SMALL(IF(--(Source!$B$1:$B$250=$O361)*--(Source!$E$1:$E$250=$Q$3)*--(Source!$D$1:$D$250=Pyramid!$Q361),ROW(Source!$B$1:$B$250),FALSE),X$3)),"")</f>
        <v/>
      </c>
      <c r="Y361" s="5">
        <f t="shared" ca="1" si="18"/>
        <v>0</v>
      </c>
    </row>
    <row r="362" spans="3:25">
      <c r="C362">
        <v>358</v>
      </c>
      <c r="D362" s="5">
        <f t="shared" ca="1" si="16"/>
        <v>0</v>
      </c>
      <c r="E362" t="str">
        <f t="array" aca="1" ref="E362" ca="1">IFERROR(INDEX(Source!$A$1:$A$250,SMALL(IF(--(Source!$B$1:$B$250=$O362)*--(Source!$E$1:$E$250=$M$3)*--(Source!$D$1:$D$250=Pyramid!$M362),ROW(Source!$B$1:$B$250),FALSE),E$3)),"")</f>
        <v/>
      </c>
      <c r="F362" t="str">
        <f t="array" aca="1" ref="F362" ca="1">IFERROR(INDEX(Source!$A$1:$A$250,SMALL(IF(--(Source!$B$1:$B$250=$O362)*--(Source!$E$1:$E$250=$M$3)*--(Source!$D$1:$D$250=Pyramid!$M362),ROW(Source!$B$1:$B$250),FALSE),F$3)),"")</f>
        <v/>
      </c>
      <c r="G362" t="str">
        <f t="array" aca="1" ref="G362" ca="1">IFERROR(INDEX(Source!$A$1:$A$250,SMALL(IF(--(Source!$B$1:$B$250=$O362)*--(Source!$E$1:$E$250=$M$3)*--(Source!$D$1:$D$250=Pyramid!$M362),ROW(Source!$B$1:$B$250),FALSE),G$3)),"")</f>
        <v/>
      </c>
      <c r="H362" t="str">
        <f t="array" aca="1" ref="H362" ca="1">IFERROR(INDEX(Source!$A$1:$A$250,SMALL(IF(--(Source!$B$1:$B$250=$O362)*--(Source!$E$1:$E$250=$M$3)*--(Source!$D$1:$D$250=Pyramid!$M362),ROW(Source!$B$1:$B$250),FALSE),H$3)),"")</f>
        <v/>
      </c>
      <c r="I362" t="str">
        <f t="array" aca="1" ref="I362" ca="1">IFERROR(INDEX(Source!$A$1:$A$250,SMALL(IF(--(Source!$B$1:$B$250=$O362)*--(Source!$E$1:$E$250=$M$3)*--(Source!$D$1:$D$250=Pyramid!$M362),ROW(Source!$B$1:$B$250),FALSE),I$3)),"")</f>
        <v/>
      </c>
      <c r="J362" t="str">
        <f t="array" aca="1" ref="J362" ca="1">IFERROR(INDEX(Source!$A$1:$A$250,SMALL(IF(--(Source!$B$1:$B$250=$O362)*--(Source!$E$1:$E$250=$M$3)*--(Source!$D$1:$D$250=Pyramid!$M362),ROW(Source!$B$1:$B$250),FALSE),J$3)),"")</f>
        <v/>
      </c>
      <c r="K362" t="str">
        <f t="array" aca="1" ref="K362" ca="1">IFERROR(INDEX(Source!$A$1:$A$250,SMALL(IF(--(Source!$B$1:$B$250=$O362)*--(Source!$E$1:$E$250=$M$3)*--(Source!$D$1:$D$250=Pyramid!$M362),ROW(Source!$B$1:$B$250),FALSE),K$3)),"")</f>
        <v/>
      </c>
      <c r="L362" t="str">
        <f t="array" aca="1" ref="L362" ca="1">IFERROR(INDEX(Source!$A$1:$A$250,SMALL(IF(--(Source!$B$1:$B$250=$O362)*--(Source!$E$1:$E$250=$M$3)*--(Source!$D$1:$D$250=Pyramid!$M362),ROW(Source!$B$1:$B$250),FALSE),L$3)),"")</f>
        <v/>
      </c>
      <c r="M362" t="str">
        <f t="shared" si="17"/>
        <v>29/9/2016</v>
      </c>
      <c r="N362">
        <f ca="1">COUNTIFS(Source!B:B,Pyramid!$O362,Source!$D:$D,Pyramid!$M362,Source!$E:$E,Pyramid!$M$3)</f>
        <v>0</v>
      </c>
      <c r="O362">
        <f ca="1">OFFSET(Sheet2!$N$3,INT(C362/5),)</f>
        <v>23300</v>
      </c>
      <c r="P362">
        <f ca="1">COUNTIFS(Source!B:B,Pyramid!$O362,Source!D:D,Pyramid!$Q362,Source!$E:$E,Pyramid!$Q$3)</f>
        <v>0</v>
      </c>
      <c r="Q362" t="str">
        <f t="shared" si="17"/>
        <v>29/9/2016</v>
      </c>
      <c r="R362" t="str">
        <f t="array" aca="1" ref="R362" ca="1">IFERROR(INDEX(Source!$A$1:$A$250,SMALL(IF(--(Source!$B$1:$B$250=$O362)*--(Source!$E$1:$E$250=$Q$3)*--(Source!$D$1:$D$250=Pyramid!$Q362),ROW(Source!$B$1:$B$250),FALSE),R$3)),"")</f>
        <v/>
      </c>
      <c r="S362" t="str">
        <f t="array" aca="1" ref="S362" ca="1">IFERROR(INDEX(Source!$A$1:$A$250,SMALL(IF(--(Source!$B$1:$B$250=$O362)*--(Source!$E$1:$E$250=$Q$3)*--(Source!$D$1:$D$250=Pyramid!$Q362),ROW(Source!$B$1:$B$250),FALSE),S$3)),"")</f>
        <v/>
      </c>
      <c r="T362" t="str">
        <f t="array" aca="1" ref="T362" ca="1">IFERROR(INDEX(Source!$A$1:$A$250,SMALL(IF(--(Source!$B$1:$B$250=$O362)*--(Source!$E$1:$E$250=$Q$3)*--(Source!$D$1:$D$250=Pyramid!$Q362),ROW(Source!$B$1:$B$250),FALSE),T$3)),"")</f>
        <v/>
      </c>
      <c r="U362" t="str">
        <f t="array" aca="1" ref="U362" ca="1">IFERROR(INDEX(Source!$A$1:$A$250,SMALL(IF(--(Source!$B$1:$B$250=$O362)*--(Source!$E$1:$E$250=$Q$3)*--(Source!$D$1:$D$250=Pyramid!$Q362),ROW(Source!$B$1:$B$250),FALSE),U$3)),"")</f>
        <v/>
      </c>
      <c r="V362" t="str">
        <f t="array" aca="1" ref="V362" ca="1">IFERROR(INDEX(Source!$A$1:$A$250,SMALL(IF(--(Source!$B$1:$B$250=$O362)*--(Source!$E$1:$E$250=$Q$3)*--(Source!$D$1:$D$250=Pyramid!$Q362),ROW(Source!$B$1:$B$250),FALSE),V$3)),"")</f>
        <v/>
      </c>
      <c r="W362" t="str">
        <f t="array" aca="1" ref="W362" ca="1">IFERROR(INDEX(Source!$A$1:$A$250,SMALL(IF(--(Source!$B$1:$B$250=$O362)*--(Source!$E$1:$E$250=$Q$3)*--(Source!$D$1:$D$250=Pyramid!$Q362),ROW(Source!$B$1:$B$250),FALSE),W$3)),"")</f>
        <v/>
      </c>
      <c r="X362" t="str">
        <f t="array" aca="1" ref="X362" ca="1">IFERROR(INDEX(Source!$A$1:$A$250,SMALL(IF(--(Source!$B$1:$B$250=$O362)*--(Source!$E$1:$E$250=$Q$3)*--(Source!$D$1:$D$250=Pyramid!$Q362),ROW(Source!$B$1:$B$250),FALSE),X$3)),"")</f>
        <v/>
      </c>
      <c r="Y362" s="5">
        <f t="shared" ca="1" si="18"/>
        <v>0</v>
      </c>
    </row>
    <row r="363" spans="3:25">
      <c r="C363">
        <v>359</v>
      </c>
      <c r="D363" s="5">
        <f t="shared" ca="1" si="16"/>
        <v>0</v>
      </c>
      <c r="E363" t="str">
        <f t="array" aca="1" ref="E363" ca="1">IFERROR(INDEX(Source!$A$1:$A$250,SMALL(IF(--(Source!$B$1:$B$250=$O363)*--(Source!$E$1:$E$250=$M$3)*--(Source!$D$1:$D$250=Pyramid!$M363),ROW(Source!$B$1:$B$250),FALSE),E$3)),"")</f>
        <v/>
      </c>
      <c r="F363" t="str">
        <f t="array" aca="1" ref="F363" ca="1">IFERROR(INDEX(Source!$A$1:$A$250,SMALL(IF(--(Source!$B$1:$B$250=$O363)*--(Source!$E$1:$E$250=$M$3)*--(Source!$D$1:$D$250=Pyramid!$M363),ROW(Source!$B$1:$B$250),FALSE),F$3)),"")</f>
        <v/>
      </c>
      <c r="G363" t="str">
        <f t="array" aca="1" ref="G363" ca="1">IFERROR(INDEX(Source!$A$1:$A$250,SMALL(IF(--(Source!$B$1:$B$250=$O363)*--(Source!$E$1:$E$250=$M$3)*--(Source!$D$1:$D$250=Pyramid!$M363),ROW(Source!$B$1:$B$250),FALSE),G$3)),"")</f>
        <v/>
      </c>
      <c r="H363" t="str">
        <f t="array" aca="1" ref="H363" ca="1">IFERROR(INDEX(Source!$A$1:$A$250,SMALL(IF(--(Source!$B$1:$B$250=$O363)*--(Source!$E$1:$E$250=$M$3)*--(Source!$D$1:$D$250=Pyramid!$M363),ROW(Source!$B$1:$B$250),FALSE),H$3)),"")</f>
        <v/>
      </c>
      <c r="I363" t="str">
        <f t="array" aca="1" ref="I363" ca="1">IFERROR(INDEX(Source!$A$1:$A$250,SMALL(IF(--(Source!$B$1:$B$250=$O363)*--(Source!$E$1:$E$250=$M$3)*--(Source!$D$1:$D$250=Pyramid!$M363),ROW(Source!$B$1:$B$250),FALSE),I$3)),"")</f>
        <v/>
      </c>
      <c r="J363" t="str">
        <f t="array" aca="1" ref="J363" ca="1">IFERROR(INDEX(Source!$A$1:$A$250,SMALL(IF(--(Source!$B$1:$B$250=$O363)*--(Source!$E$1:$E$250=$M$3)*--(Source!$D$1:$D$250=Pyramid!$M363),ROW(Source!$B$1:$B$250),FALSE),J$3)),"")</f>
        <v/>
      </c>
      <c r="K363" t="str">
        <f t="array" aca="1" ref="K363" ca="1">IFERROR(INDEX(Source!$A$1:$A$250,SMALL(IF(--(Source!$B$1:$B$250=$O363)*--(Source!$E$1:$E$250=$M$3)*--(Source!$D$1:$D$250=Pyramid!$M363),ROW(Source!$B$1:$B$250),FALSE),K$3)),"")</f>
        <v/>
      </c>
      <c r="L363" t="str">
        <f t="array" aca="1" ref="L363" ca="1">IFERROR(INDEX(Source!$A$1:$A$250,SMALL(IF(--(Source!$B$1:$B$250=$O363)*--(Source!$E$1:$E$250=$M$3)*--(Source!$D$1:$D$250=Pyramid!$M363),ROW(Source!$B$1:$B$250),FALSE),L$3)),"")</f>
        <v/>
      </c>
      <c r="M363" t="str">
        <f t="shared" si="17"/>
        <v>28/10/2016</v>
      </c>
      <c r="N363">
        <f ca="1">COUNTIFS(Source!B:B,Pyramid!$O363,Source!$D:$D,Pyramid!$M363,Source!$E:$E,Pyramid!$M$3)</f>
        <v>0</v>
      </c>
      <c r="O363">
        <f ca="1">OFFSET(Sheet2!$N$3,INT(C363/5),)</f>
        <v>23300</v>
      </c>
      <c r="P363">
        <f ca="1">COUNTIFS(Source!B:B,Pyramid!$O363,Source!D:D,Pyramid!$Q363,Source!$E:$E,Pyramid!$Q$3)</f>
        <v>0</v>
      </c>
      <c r="Q363" t="str">
        <f t="shared" si="17"/>
        <v>28/10/2016</v>
      </c>
      <c r="R363" t="str">
        <f t="array" aca="1" ref="R363" ca="1">IFERROR(INDEX(Source!$A$1:$A$250,SMALL(IF(--(Source!$B$1:$B$250=$O363)*--(Source!$E$1:$E$250=$Q$3)*--(Source!$D$1:$D$250=Pyramid!$Q363),ROW(Source!$B$1:$B$250),FALSE),R$3)),"")</f>
        <v/>
      </c>
      <c r="S363" t="str">
        <f t="array" aca="1" ref="S363" ca="1">IFERROR(INDEX(Source!$A$1:$A$250,SMALL(IF(--(Source!$B$1:$B$250=$O363)*--(Source!$E$1:$E$250=$Q$3)*--(Source!$D$1:$D$250=Pyramid!$Q363),ROW(Source!$B$1:$B$250),FALSE),S$3)),"")</f>
        <v/>
      </c>
      <c r="T363" t="str">
        <f t="array" aca="1" ref="T363" ca="1">IFERROR(INDEX(Source!$A$1:$A$250,SMALL(IF(--(Source!$B$1:$B$250=$O363)*--(Source!$E$1:$E$250=$Q$3)*--(Source!$D$1:$D$250=Pyramid!$Q363),ROW(Source!$B$1:$B$250),FALSE),T$3)),"")</f>
        <v/>
      </c>
      <c r="U363" t="str">
        <f t="array" aca="1" ref="U363" ca="1">IFERROR(INDEX(Source!$A$1:$A$250,SMALL(IF(--(Source!$B$1:$B$250=$O363)*--(Source!$E$1:$E$250=$Q$3)*--(Source!$D$1:$D$250=Pyramid!$Q363),ROW(Source!$B$1:$B$250),FALSE),U$3)),"")</f>
        <v/>
      </c>
      <c r="V363" t="str">
        <f t="array" aca="1" ref="V363" ca="1">IFERROR(INDEX(Source!$A$1:$A$250,SMALL(IF(--(Source!$B$1:$B$250=$O363)*--(Source!$E$1:$E$250=$Q$3)*--(Source!$D$1:$D$250=Pyramid!$Q363),ROW(Source!$B$1:$B$250),FALSE),V$3)),"")</f>
        <v/>
      </c>
      <c r="W363" t="str">
        <f t="array" aca="1" ref="W363" ca="1">IFERROR(INDEX(Source!$A$1:$A$250,SMALL(IF(--(Source!$B$1:$B$250=$O363)*--(Source!$E$1:$E$250=$Q$3)*--(Source!$D$1:$D$250=Pyramid!$Q363),ROW(Source!$B$1:$B$250),FALSE),W$3)),"")</f>
        <v/>
      </c>
      <c r="X363" t="str">
        <f t="array" aca="1" ref="X363" ca="1">IFERROR(INDEX(Source!$A$1:$A$250,SMALL(IF(--(Source!$B$1:$B$250=$O363)*--(Source!$E$1:$E$250=$Q$3)*--(Source!$D$1:$D$250=Pyramid!$Q363),ROW(Source!$B$1:$B$250),FALSE),X$3)),"")</f>
        <v/>
      </c>
      <c r="Y363" s="5">
        <f t="shared" ca="1" si="18"/>
        <v>0</v>
      </c>
    </row>
    <row r="364" spans="3:25">
      <c r="C364">
        <v>360</v>
      </c>
      <c r="D364" s="5">
        <f t="shared" ca="1" si="16"/>
        <v>0</v>
      </c>
      <c r="E364" t="str">
        <f t="array" aca="1" ref="E364" ca="1">IFERROR(INDEX(Source!$A$1:$A$250,SMALL(IF(--(Source!$B$1:$B$250=$O364)*--(Source!$E$1:$E$250=$M$3)*--(Source!$D$1:$D$250=Pyramid!$M364),ROW(Source!$B$1:$B$250),FALSE),E$3)),"")</f>
        <v/>
      </c>
      <c r="F364" t="str">
        <f t="array" aca="1" ref="F364" ca="1">IFERROR(INDEX(Source!$A$1:$A$250,SMALL(IF(--(Source!$B$1:$B$250=$O364)*--(Source!$E$1:$E$250=$M$3)*--(Source!$D$1:$D$250=Pyramid!$M364),ROW(Source!$B$1:$B$250),FALSE),F$3)),"")</f>
        <v/>
      </c>
      <c r="G364" t="str">
        <f t="array" aca="1" ref="G364" ca="1">IFERROR(INDEX(Source!$A$1:$A$250,SMALL(IF(--(Source!$B$1:$B$250=$O364)*--(Source!$E$1:$E$250=$M$3)*--(Source!$D$1:$D$250=Pyramid!$M364),ROW(Source!$B$1:$B$250),FALSE),G$3)),"")</f>
        <v/>
      </c>
      <c r="H364" t="str">
        <f t="array" aca="1" ref="H364" ca="1">IFERROR(INDEX(Source!$A$1:$A$250,SMALL(IF(--(Source!$B$1:$B$250=$O364)*--(Source!$E$1:$E$250=$M$3)*--(Source!$D$1:$D$250=Pyramid!$M364),ROW(Source!$B$1:$B$250),FALSE),H$3)),"")</f>
        <v/>
      </c>
      <c r="I364" t="str">
        <f t="array" aca="1" ref="I364" ca="1">IFERROR(INDEX(Source!$A$1:$A$250,SMALL(IF(--(Source!$B$1:$B$250=$O364)*--(Source!$E$1:$E$250=$M$3)*--(Source!$D$1:$D$250=Pyramid!$M364),ROW(Source!$B$1:$B$250),FALSE),I$3)),"")</f>
        <v/>
      </c>
      <c r="J364" t="str">
        <f t="array" aca="1" ref="J364" ca="1">IFERROR(INDEX(Source!$A$1:$A$250,SMALL(IF(--(Source!$B$1:$B$250=$O364)*--(Source!$E$1:$E$250=$M$3)*--(Source!$D$1:$D$250=Pyramid!$M364),ROW(Source!$B$1:$B$250),FALSE),J$3)),"")</f>
        <v/>
      </c>
      <c r="K364" t="str">
        <f t="array" aca="1" ref="K364" ca="1">IFERROR(INDEX(Source!$A$1:$A$250,SMALL(IF(--(Source!$B$1:$B$250=$O364)*--(Source!$E$1:$E$250=$M$3)*--(Source!$D$1:$D$250=Pyramid!$M364),ROW(Source!$B$1:$B$250),FALSE),K$3)),"")</f>
        <v/>
      </c>
      <c r="L364" t="str">
        <f t="array" aca="1" ref="L364" ca="1">IFERROR(INDEX(Source!$A$1:$A$250,SMALL(IF(--(Source!$B$1:$B$250=$O364)*--(Source!$E$1:$E$250=$M$3)*--(Source!$D$1:$D$250=Pyramid!$M364),ROW(Source!$B$1:$B$250),FALSE),L$3)),"")</f>
        <v/>
      </c>
      <c r="M364" t="str">
        <f t="shared" si="17"/>
        <v>29/6/2016</v>
      </c>
      <c r="N364">
        <f ca="1">COUNTIFS(Source!B:B,Pyramid!$O364,Source!$D:$D,Pyramid!$M364,Source!$E:$E,Pyramid!$M$3)</f>
        <v>0</v>
      </c>
      <c r="O364">
        <f ca="1">OFFSET(Sheet2!$N$3,INT(C364/5),)</f>
        <v>23500</v>
      </c>
      <c r="P364">
        <f ca="1">COUNTIFS(Source!B:B,Pyramid!$O364,Source!D:D,Pyramid!$Q364,Source!$E:$E,Pyramid!$Q$3)</f>
        <v>1</v>
      </c>
      <c r="Q364" t="str">
        <f t="shared" si="17"/>
        <v>29/6/2016</v>
      </c>
      <c r="R364" t="str">
        <f t="array" aca="1" ref="R364" ca="1">IFERROR(INDEX(Source!$A$1:$A$250,SMALL(IF(--(Source!$B$1:$B$250=$O364)*--(Source!$E$1:$E$250=$Q$3)*--(Source!$D$1:$D$250=Pyramid!$Q364),ROW(Source!$B$1:$B$250),FALSE),R$3)),"")</f>
        <v>21009 HK Equity</v>
      </c>
      <c r="S364" t="str">
        <f t="array" aca="1" ref="S364" ca="1">IFERROR(INDEX(Source!$A$1:$A$250,SMALL(IF(--(Source!$B$1:$B$250=$O364)*--(Source!$E$1:$E$250=$Q$3)*--(Source!$D$1:$D$250=Pyramid!$Q364),ROW(Source!$B$1:$B$250),FALSE),S$3)),"")</f>
        <v/>
      </c>
      <c r="T364" t="str">
        <f t="array" aca="1" ref="T364" ca="1">IFERROR(INDEX(Source!$A$1:$A$250,SMALL(IF(--(Source!$B$1:$B$250=$O364)*--(Source!$E$1:$E$250=$Q$3)*--(Source!$D$1:$D$250=Pyramid!$Q364),ROW(Source!$B$1:$B$250),FALSE),T$3)),"")</f>
        <v/>
      </c>
      <c r="U364" t="str">
        <f t="array" aca="1" ref="U364" ca="1">IFERROR(INDEX(Source!$A$1:$A$250,SMALL(IF(--(Source!$B$1:$B$250=$O364)*--(Source!$E$1:$E$250=$Q$3)*--(Source!$D$1:$D$250=Pyramid!$Q364),ROW(Source!$B$1:$B$250),FALSE),U$3)),"")</f>
        <v/>
      </c>
      <c r="V364" t="str">
        <f t="array" aca="1" ref="V364" ca="1">IFERROR(INDEX(Source!$A$1:$A$250,SMALL(IF(--(Source!$B$1:$B$250=$O364)*--(Source!$E$1:$E$250=$Q$3)*--(Source!$D$1:$D$250=Pyramid!$Q364),ROW(Source!$B$1:$B$250),FALSE),V$3)),"")</f>
        <v/>
      </c>
      <c r="W364" t="str">
        <f t="array" aca="1" ref="W364" ca="1">IFERROR(INDEX(Source!$A$1:$A$250,SMALL(IF(--(Source!$B$1:$B$250=$O364)*--(Source!$E$1:$E$250=$Q$3)*--(Source!$D$1:$D$250=Pyramid!$Q364),ROW(Source!$B$1:$B$250),FALSE),W$3)),"")</f>
        <v/>
      </c>
      <c r="X364" t="str">
        <f t="array" aca="1" ref="X364" ca="1">IFERROR(INDEX(Source!$A$1:$A$250,SMALL(IF(--(Source!$B$1:$B$250=$O364)*--(Source!$E$1:$E$250=$Q$3)*--(Source!$D$1:$D$250=Pyramid!$Q364),ROW(Source!$B$1:$B$250),FALSE),X$3)),"")</f>
        <v/>
      </c>
      <c r="Y364" s="5">
        <f t="shared" ca="1" si="18"/>
        <v>0</v>
      </c>
    </row>
    <row r="365" spans="3:25">
      <c r="C365">
        <v>361</v>
      </c>
      <c r="D365" s="5">
        <f t="shared" ca="1" si="16"/>
        <v>0</v>
      </c>
      <c r="E365" t="str">
        <f t="array" aca="1" ref="E365" ca="1">IFERROR(INDEX(Source!$A$1:$A$250,SMALL(IF(--(Source!$B$1:$B$250=$O365)*--(Source!$E$1:$E$250=$M$3)*--(Source!$D$1:$D$250=Pyramid!$M365),ROW(Source!$B$1:$B$250),FALSE),E$3)),"")</f>
        <v/>
      </c>
      <c r="F365" t="str">
        <f t="array" aca="1" ref="F365" ca="1">IFERROR(INDEX(Source!$A$1:$A$250,SMALL(IF(--(Source!$B$1:$B$250=$O365)*--(Source!$E$1:$E$250=$M$3)*--(Source!$D$1:$D$250=Pyramid!$M365),ROW(Source!$B$1:$B$250),FALSE),F$3)),"")</f>
        <v/>
      </c>
      <c r="G365" t="str">
        <f t="array" aca="1" ref="G365" ca="1">IFERROR(INDEX(Source!$A$1:$A$250,SMALL(IF(--(Source!$B$1:$B$250=$O365)*--(Source!$E$1:$E$250=$M$3)*--(Source!$D$1:$D$250=Pyramid!$M365),ROW(Source!$B$1:$B$250),FALSE),G$3)),"")</f>
        <v/>
      </c>
      <c r="H365" t="str">
        <f t="array" aca="1" ref="H365" ca="1">IFERROR(INDEX(Source!$A$1:$A$250,SMALL(IF(--(Source!$B$1:$B$250=$O365)*--(Source!$E$1:$E$250=$M$3)*--(Source!$D$1:$D$250=Pyramid!$M365),ROW(Source!$B$1:$B$250),FALSE),H$3)),"")</f>
        <v/>
      </c>
      <c r="I365" t="str">
        <f t="array" aca="1" ref="I365" ca="1">IFERROR(INDEX(Source!$A$1:$A$250,SMALL(IF(--(Source!$B$1:$B$250=$O365)*--(Source!$E$1:$E$250=$M$3)*--(Source!$D$1:$D$250=Pyramid!$M365),ROW(Source!$B$1:$B$250),FALSE),I$3)),"")</f>
        <v/>
      </c>
      <c r="J365" t="str">
        <f t="array" aca="1" ref="J365" ca="1">IFERROR(INDEX(Source!$A$1:$A$250,SMALL(IF(--(Source!$B$1:$B$250=$O365)*--(Source!$E$1:$E$250=$M$3)*--(Source!$D$1:$D$250=Pyramid!$M365),ROW(Source!$B$1:$B$250),FALSE),J$3)),"")</f>
        <v/>
      </c>
      <c r="K365" t="str">
        <f t="array" aca="1" ref="K365" ca="1">IFERROR(INDEX(Source!$A$1:$A$250,SMALL(IF(--(Source!$B$1:$B$250=$O365)*--(Source!$E$1:$E$250=$M$3)*--(Source!$D$1:$D$250=Pyramid!$M365),ROW(Source!$B$1:$B$250),FALSE),K$3)),"")</f>
        <v/>
      </c>
      <c r="L365" t="str">
        <f t="array" aca="1" ref="L365" ca="1">IFERROR(INDEX(Source!$A$1:$A$250,SMALL(IF(--(Source!$B$1:$B$250=$O365)*--(Source!$E$1:$E$250=$M$3)*--(Source!$D$1:$D$250=Pyramid!$M365),ROW(Source!$B$1:$B$250),FALSE),L$3)),"")</f>
        <v/>
      </c>
      <c r="M365" t="str">
        <f t="shared" si="17"/>
        <v>28/7/2016</v>
      </c>
      <c r="N365">
        <f ca="1">COUNTIFS(Source!B:B,Pyramid!$O365,Source!$D:$D,Pyramid!$M365,Source!$E:$E,Pyramid!$M$3)</f>
        <v>0</v>
      </c>
      <c r="O365">
        <f ca="1">OFFSET(Sheet2!$N$3,INT(C365/5),)</f>
        <v>23500</v>
      </c>
      <c r="P365">
        <f ca="1">COUNTIFS(Source!B:B,Pyramid!$O365,Source!D:D,Pyramid!$Q365,Source!$E:$E,Pyramid!$Q$3)</f>
        <v>0</v>
      </c>
      <c r="Q365" t="str">
        <f t="shared" si="17"/>
        <v>28/7/2016</v>
      </c>
      <c r="R365" t="str">
        <f t="array" aca="1" ref="R365" ca="1">IFERROR(INDEX(Source!$A$1:$A$250,SMALL(IF(--(Source!$B$1:$B$250=$O365)*--(Source!$E$1:$E$250=$Q$3)*--(Source!$D$1:$D$250=Pyramid!$Q365),ROW(Source!$B$1:$B$250),FALSE),R$3)),"")</f>
        <v/>
      </c>
      <c r="S365" t="str">
        <f t="array" aca="1" ref="S365" ca="1">IFERROR(INDEX(Source!$A$1:$A$250,SMALL(IF(--(Source!$B$1:$B$250=$O365)*--(Source!$E$1:$E$250=$Q$3)*--(Source!$D$1:$D$250=Pyramid!$Q365),ROW(Source!$B$1:$B$250),FALSE),S$3)),"")</f>
        <v/>
      </c>
      <c r="T365" t="str">
        <f t="array" aca="1" ref="T365" ca="1">IFERROR(INDEX(Source!$A$1:$A$250,SMALL(IF(--(Source!$B$1:$B$250=$O365)*--(Source!$E$1:$E$250=$Q$3)*--(Source!$D$1:$D$250=Pyramid!$Q365),ROW(Source!$B$1:$B$250),FALSE),T$3)),"")</f>
        <v/>
      </c>
      <c r="U365" t="str">
        <f t="array" aca="1" ref="U365" ca="1">IFERROR(INDEX(Source!$A$1:$A$250,SMALL(IF(--(Source!$B$1:$B$250=$O365)*--(Source!$E$1:$E$250=$Q$3)*--(Source!$D$1:$D$250=Pyramid!$Q365),ROW(Source!$B$1:$B$250),FALSE),U$3)),"")</f>
        <v/>
      </c>
      <c r="V365" t="str">
        <f t="array" aca="1" ref="V365" ca="1">IFERROR(INDEX(Source!$A$1:$A$250,SMALL(IF(--(Source!$B$1:$B$250=$O365)*--(Source!$E$1:$E$250=$Q$3)*--(Source!$D$1:$D$250=Pyramid!$Q365),ROW(Source!$B$1:$B$250),FALSE),V$3)),"")</f>
        <v/>
      </c>
      <c r="W365" t="str">
        <f t="array" aca="1" ref="W365" ca="1">IFERROR(INDEX(Source!$A$1:$A$250,SMALL(IF(--(Source!$B$1:$B$250=$O365)*--(Source!$E$1:$E$250=$Q$3)*--(Source!$D$1:$D$250=Pyramid!$Q365),ROW(Source!$B$1:$B$250),FALSE),W$3)),"")</f>
        <v/>
      </c>
      <c r="X365" t="str">
        <f t="array" aca="1" ref="X365" ca="1">IFERROR(INDEX(Source!$A$1:$A$250,SMALL(IF(--(Source!$B$1:$B$250=$O365)*--(Source!$E$1:$E$250=$Q$3)*--(Source!$D$1:$D$250=Pyramid!$Q365),ROW(Source!$B$1:$B$250),FALSE),X$3)),"")</f>
        <v/>
      </c>
      <c r="Y365" s="5">
        <f t="shared" ca="1" si="18"/>
        <v>0</v>
      </c>
    </row>
    <row r="366" spans="3:25">
      <c r="C366">
        <v>362</v>
      </c>
      <c r="D366" s="5">
        <f t="shared" ca="1" si="16"/>
        <v>0</v>
      </c>
      <c r="E366" t="str">
        <f t="array" aca="1" ref="E366" ca="1">IFERROR(INDEX(Source!$A$1:$A$250,SMALL(IF(--(Source!$B$1:$B$250=$O366)*--(Source!$E$1:$E$250=$M$3)*--(Source!$D$1:$D$250=Pyramid!$M366),ROW(Source!$B$1:$B$250),FALSE),E$3)),"")</f>
        <v/>
      </c>
      <c r="F366" t="str">
        <f t="array" aca="1" ref="F366" ca="1">IFERROR(INDEX(Source!$A$1:$A$250,SMALL(IF(--(Source!$B$1:$B$250=$O366)*--(Source!$E$1:$E$250=$M$3)*--(Source!$D$1:$D$250=Pyramid!$M366),ROW(Source!$B$1:$B$250),FALSE),F$3)),"")</f>
        <v/>
      </c>
      <c r="G366" t="str">
        <f t="array" aca="1" ref="G366" ca="1">IFERROR(INDEX(Source!$A$1:$A$250,SMALL(IF(--(Source!$B$1:$B$250=$O366)*--(Source!$E$1:$E$250=$M$3)*--(Source!$D$1:$D$250=Pyramid!$M366),ROW(Source!$B$1:$B$250),FALSE),G$3)),"")</f>
        <v/>
      </c>
      <c r="H366" t="str">
        <f t="array" aca="1" ref="H366" ca="1">IFERROR(INDEX(Source!$A$1:$A$250,SMALL(IF(--(Source!$B$1:$B$250=$O366)*--(Source!$E$1:$E$250=$M$3)*--(Source!$D$1:$D$250=Pyramid!$M366),ROW(Source!$B$1:$B$250),FALSE),H$3)),"")</f>
        <v/>
      </c>
      <c r="I366" t="str">
        <f t="array" aca="1" ref="I366" ca="1">IFERROR(INDEX(Source!$A$1:$A$250,SMALL(IF(--(Source!$B$1:$B$250=$O366)*--(Source!$E$1:$E$250=$M$3)*--(Source!$D$1:$D$250=Pyramid!$M366),ROW(Source!$B$1:$B$250),FALSE),I$3)),"")</f>
        <v/>
      </c>
      <c r="J366" t="str">
        <f t="array" aca="1" ref="J366" ca="1">IFERROR(INDEX(Source!$A$1:$A$250,SMALL(IF(--(Source!$B$1:$B$250=$O366)*--(Source!$E$1:$E$250=$M$3)*--(Source!$D$1:$D$250=Pyramid!$M366),ROW(Source!$B$1:$B$250),FALSE),J$3)),"")</f>
        <v/>
      </c>
      <c r="K366" t="str">
        <f t="array" aca="1" ref="K366" ca="1">IFERROR(INDEX(Source!$A$1:$A$250,SMALL(IF(--(Source!$B$1:$B$250=$O366)*--(Source!$E$1:$E$250=$M$3)*--(Source!$D$1:$D$250=Pyramid!$M366),ROW(Source!$B$1:$B$250),FALSE),K$3)),"")</f>
        <v/>
      </c>
      <c r="L366" t="str">
        <f t="array" aca="1" ref="L366" ca="1">IFERROR(INDEX(Source!$A$1:$A$250,SMALL(IF(--(Source!$B$1:$B$250=$O366)*--(Source!$E$1:$E$250=$M$3)*--(Source!$D$1:$D$250=Pyramid!$M366),ROW(Source!$B$1:$B$250),FALSE),L$3)),"")</f>
        <v/>
      </c>
      <c r="M366" t="str">
        <f t="shared" si="17"/>
        <v>30/8/2016</v>
      </c>
      <c r="N366">
        <f ca="1">COUNTIFS(Source!B:B,Pyramid!$O366,Source!$D:$D,Pyramid!$M366,Source!$E:$E,Pyramid!$M$3)</f>
        <v>0</v>
      </c>
      <c r="O366">
        <f ca="1">OFFSET(Sheet2!$N$3,INT(C366/5),)</f>
        <v>23500</v>
      </c>
      <c r="P366">
        <f ca="1">COUNTIFS(Source!B:B,Pyramid!$O366,Source!D:D,Pyramid!$Q366,Source!$E:$E,Pyramid!$Q$3)</f>
        <v>0</v>
      </c>
      <c r="Q366" t="str">
        <f t="shared" si="17"/>
        <v>30/8/2016</v>
      </c>
      <c r="R366" t="str">
        <f t="array" aca="1" ref="R366" ca="1">IFERROR(INDEX(Source!$A$1:$A$250,SMALL(IF(--(Source!$B$1:$B$250=$O366)*--(Source!$E$1:$E$250=$Q$3)*--(Source!$D$1:$D$250=Pyramid!$Q366),ROW(Source!$B$1:$B$250),FALSE),R$3)),"")</f>
        <v/>
      </c>
      <c r="S366" t="str">
        <f t="array" aca="1" ref="S366" ca="1">IFERROR(INDEX(Source!$A$1:$A$250,SMALL(IF(--(Source!$B$1:$B$250=$O366)*--(Source!$E$1:$E$250=$Q$3)*--(Source!$D$1:$D$250=Pyramid!$Q366),ROW(Source!$B$1:$B$250),FALSE),S$3)),"")</f>
        <v/>
      </c>
      <c r="T366" t="str">
        <f t="array" aca="1" ref="T366" ca="1">IFERROR(INDEX(Source!$A$1:$A$250,SMALL(IF(--(Source!$B$1:$B$250=$O366)*--(Source!$E$1:$E$250=$Q$3)*--(Source!$D$1:$D$250=Pyramid!$Q366),ROW(Source!$B$1:$B$250),FALSE),T$3)),"")</f>
        <v/>
      </c>
      <c r="U366" t="str">
        <f t="array" aca="1" ref="U366" ca="1">IFERROR(INDEX(Source!$A$1:$A$250,SMALL(IF(--(Source!$B$1:$B$250=$O366)*--(Source!$E$1:$E$250=$Q$3)*--(Source!$D$1:$D$250=Pyramid!$Q366),ROW(Source!$B$1:$B$250),FALSE),U$3)),"")</f>
        <v/>
      </c>
      <c r="V366" t="str">
        <f t="array" aca="1" ref="V366" ca="1">IFERROR(INDEX(Source!$A$1:$A$250,SMALL(IF(--(Source!$B$1:$B$250=$O366)*--(Source!$E$1:$E$250=$Q$3)*--(Source!$D$1:$D$250=Pyramid!$Q366),ROW(Source!$B$1:$B$250),FALSE),V$3)),"")</f>
        <v/>
      </c>
      <c r="W366" t="str">
        <f t="array" aca="1" ref="W366" ca="1">IFERROR(INDEX(Source!$A$1:$A$250,SMALL(IF(--(Source!$B$1:$B$250=$O366)*--(Source!$E$1:$E$250=$Q$3)*--(Source!$D$1:$D$250=Pyramid!$Q366),ROW(Source!$B$1:$B$250),FALSE),W$3)),"")</f>
        <v/>
      </c>
      <c r="X366" t="str">
        <f t="array" aca="1" ref="X366" ca="1">IFERROR(INDEX(Source!$A$1:$A$250,SMALL(IF(--(Source!$B$1:$B$250=$O366)*--(Source!$E$1:$E$250=$Q$3)*--(Source!$D$1:$D$250=Pyramid!$Q366),ROW(Source!$B$1:$B$250),FALSE),X$3)),"")</f>
        <v/>
      </c>
      <c r="Y366" s="5">
        <f t="shared" ca="1" si="18"/>
        <v>0</v>
      </c>
    </row>
    <row r="367" spans="3:25">
      <c r="C367">
        <v>363</v>
      </c>
      <c r="D367" s="5">
        <f t="shared" ca="1" si="16"/>
        <v>0</v>
      </c>
      <c r="E367" t="str">
        <f t="array" aca="1" ref="E367" ca="1">IFERROR(INDEX(Source!$A$1:$A$250,SMALL(IF(--(Source!$B$1:$B$250=$O367)*--(Source!$E$1:$E$250=$M$3)*--(Source!$D$1:$D$250=Pyramid!$M367),ROW(Source!$B$1:$B$250),FALSE),E$3)),"")</f>
        <v/>
      </c>
      <c r="F367" t="str">
        <f t="array" aca="1" ref="F367" ca="1">IFERROR(INDEX(Source!$A$1:$A$250,SMALL(IF(--(Source!$B$1:$B$250=$O367)*--(Source!$E$1:$E$250=$M$3)*--(Source!$D$1:$D$250=Pyramid!$M367),ROW(Source!$B$1:$B$250),FALSE),F$3)),"")</f>
        <v/>
      </c>
      <c r="G367" t="str">
        <f t="array" aca="1" ref="G367" ca="1">IFERROR(INDEX(Source!$A$1:$A$250,SMALL(IF(--(Source!$B$1:$B$250=$O367)*--(Source!$E$1:$E$250=$M$3)*--(Source!$D$1:$D$250=Pyramid!$M367),ROW(Source!$B$1:$B$250),FALSE),G$3)),"")</f>
        <v/>
      </c>
      <c r="H367" t="str">
        <f t="array" aca="1" ref="H367" ca="1">IFERROR(INDEX(Source!$A$1:$A$250,SMALL(IF(--(Source!$B$1:$B$250=$O367)*--(Source!$E$1:$E$250=$M$3)*--(Source!$D$1:$D$250=Pyramid!$M367),ROW(Source!$B$1:$B$250),FALSE),H$3)),"")</f>
        <v/>
      </c>
      <c r="I367" t="str">
        <f t="array" aca="1" ref="I367" ca="1">IFERROR(INDEX(Source!$A$1:$A$250,SMALL(IF(--(Source!$B$1:$B$250=$O367)*--(Source!$E$1:$E$250=$M$3)*--(Source!$D$1:$D$250=Pyramid!$M367),ROW(Source!$B$1:$B$250),FALSE),I$3)),"")</f>
        <v/>
      </c>
      <c r="J367" t="str">
        <f t="array" aca="1" ref="J367" ca="1">IFERROR(INDEX(Source!$A$1:$A$250,SMALL(IF(--(Source!$B$1:$B$250=$O367)*--(Source!$E$1:$E$250=$M$3)*--(Source!$D$1:$D$250=Pyramid!$M367),ROW(Source!$B$1:$B$250),FALSE),J$3)),"")</f>
        <v/>
      </c>
      <c r="K367" t="str">
        <f t="array" aca="1" ref="K367" ca="1">IFERROR(INDEX(Source!$A$1:$A$250,SMALL(IF(--(Source!$B$1:$B$250=$O367)*--(Source!$E$1:$E$250=$M$3)*--(Source!$D$1:$D$250=Pyramid!$M367),ROW(Source!$B$1:$B$250),FALSE),K$3)),"")</f>
        <v/>
      </c>
      <c r="L367" t="str">
        <f t="array" aca="1" ref="L367" ca="1">IFERROR(INDEX(Source!$A$1:$A$250,SMALL(IF(--(Source!$B$1:$B$250=$O367)*--(Source!$E$1:$E$250=$M$3)*--(Source!$D$1:$D$250=Pyramid!$M367),ROW(Source!$B$1:$B$250),FALSE),L$3)),"")</f>
        <v/>
      </c>
      <c r="M367" t="str">
        <f t="shared" si="17"/>
        <v>29/9/2016</v>
      </c>
      <c r="N367">
        <f ca="1">COUNTIFS(Source!B:B,Pyramid!$O367,Source!$D:$D,Pyramid!$M367,Source!$E:$E,Pyramid!$M$3)</f>
        <v>0</v>
      </c>
      <c r="O367">
        <f ca="1">OFFSET(Sheet2!$N$3,INT(C367/5),)</f>
        <v>23500</v>
      </c>
      <c r="P367">
        <f ca="1">COUNTIFS(Source!B:B,Pyramid!$O367,Source!D:D,Pyramid!$Q367,Source!$E:$E,Pyramid!$Q$3)</f>
        <v>0</v>
      </c>
      <c r="Q367" t="str">
        <f t="shared" si="17"/>
        <v>29/9/2016</v>
      </c>
      <c r="R367" t="str">
        <f t="array" aca="1" ref="R367" ca="1">IFERROR(INDEX(Source!$A$1:$A$250,SMALL(IF(--(Source!$B$1:$B$250=$O367)*--(Source!$E$1:$E$250=$Q$3)*--(Source!$D$1:$D$250=Pyramid!$Q367),ROW(Source!$B$1:$B$250),FALSE),R$3)),"")</f>
        <v/>
      </c>
      <c r="S367" t="str">
        <f t="array" aca="1" ref="S367" ca="1">IFERROR(INDEX(Source!$A$1:$A$250,SMALL(IF(--(Source!$B$1:$B$250=$O367)*--(Source!$E$1:$E$250=$Q$3)*--(Source!$D$1:$D$250=Pyramid!$Q367),ROW(Source!$B$1:$B$250),FALSE),S$3)),"")</f>
        <v/>
      </c>
      <c r="T367" t="str">
        <f t="array" aca="1" ref="T367" ca="1">IFERROR(INDEX(Source!$A$1:$A$250,SMALL(IF(--(Source!$B$1:$B$250=$O367)*--(Source!$E$1:$E$250=$Q$3)*--(Source!$D$1:$D$250=Pyramid!$Q367),ROW(Source!$B$1:$B$250),FALSE),T$3)),"")</f>
        <v/>
      </c>
      <c r="U367" t="str">
        <f t="array" aca="1" ref="U367" ca="1">IFERROR(INDEX(Source!$A$1:$A$250,SMALL(IF(--(Source!$B$1:$B$250=$O367)*--(Source!$E$1:$E$250=$Q$3)*--(Source!$D$1:$D$250=Pyramid!$Q367),ROW(Source!$B$1:$B$250),FALSE),U$3)),"")</f>
        <v/>
      </c>
      <c r="V367" t="str">
        <f t="array" aca="1" ref="V367" ca="1">IFERROR(INDEX(Source!$A$1:$A$250,SMALL(IF(--(Source!$B$1:$B$250=$O367)*--(Source!$E$1:$E$250=$Q$3)*--(Source!$D$1:$D$250=Pyramid!$Q367),ROW(Source!$B$1:$B$250),FALSE),V$3)),"")</f>
        <v/>
      </c>
      <c r="W367" t="str">
        <f t="array" aca="1" ref="W367" ca="1">IFERROR(INDEX(Source!$A$1:$A$250,SMALL(IF(--(Source!$B$1:$B$250=$O367)*--(Source!$E$1:$E$250=$Q$3)*--(Source!$D$1:$D$250=Pyramid!$Q367),ROW(Source!$B$1:$B$250),FALSE),W$3)),"")</f>
        <v/>
      </c>
      <c r="X367" t="str">
        <f t="array" aca="1" ref="X367" ca="1">IFERROR(INDEX(Source!$A$1:$A$250,SMALL(IF(--(Source!$B$1:$B$250=$O367)*--(Source!$E$1:$E$250=$Q$3)*--(Source!$D$1:$D$250=Pyramid!$Q367),ROW(Source!$B$1:$B$250),FALSE),X$3)),"")</f>
        <v/>
      </c>
      <c r="Y367" s="5">
        <f t="shared" ca="1" si="18"/>
        <v>0</v>
      </c>
    </row>
    <row r="368" spans="3:25">
      <c r="C368">
        <v>364</v>
      </c>
      <c r="D368" s="5">
        <f t="shared" ca="1" si="16"/>
        <v>0</v>
      </c>
      <c r="E368" t="str">
        <f t="array" aca="1" ref="E368" ca="1">IFERROR(INDEX(Source!$A$1:$A$250,SMALL(IF(--(Source!$B$1:$B$250=$O368)*--(Source!$E$1:$E$250=$M$3)*--(Source!$D$1:$D$250=Pyramid!$M368),ROW(Source!$B$1:$B$250),FALSE),E$3)),"")</f>
        <v/>
      </c>
      <c r="F368" t="str">
        <f t="array" aca="1" ref="F368" ca="1">IFERROR(INDEX(Source!$A$1:$A$250,SMALL(IF(--(Source!$B$1:$B$250=$O368)*--(Source!$E$1:$E$250=$M$3)*--(Source!$D$1:$D$250=Pyramid!$M368),ROW(Source!$B$1:$B$250),FALSE),F$3)),"")</f>
        <v/>
      </c>
      <c r="G368" t="str">
        <f t="array" aca="1" ref="G368" ca="1">IFERROR(INDEX(Source!$A$1:$A$250,SMALL(IF(--(Source!$B$1:$B$250=$O368)*--(Source!$E$1:$E$250=$M$3)*--(Source!$D$1:$D$250=Pyramid!$M368),ROW(Source!$B$1:$B$250),FALSE),G$3)),"")</f>
        <v/>
      </c>
      <c r="H368" t="str">
        <f t="array" aca="1" ref="H368" ca="1">IFERROR(INDEX(Source!$A$1:$A$250,SMALL(IF(--(Source!$B$1:$B$250=$O368)*--(Source!$E$1:$E$250=$M$3)*--(Source!$D$1:$D$250=Pyramid!$M368),ROW(Source!$B$1:$B$250),FALSE),H$3)),"")</f>
        <v/>
      </c>
      <c r="I368" t="str">
        <f t="array" aca="1" ref="I368" ca="1">IFERROR(INDEX(Source!$A$1:$A$250,SMALL(IF(--(Source!$B$1:$B$250=$O368)*--(Source!$E$1:$E$250=$M$3)*--(Source!$D$1:$D$250=Pyramid!$M368),ROW(Source!$B$1:$B$250),FALSE),I$3)),"")</f>
        <v/>
      </c>
      <c r="J368" t="str">
        <f t="array" aca="1" ref="J368" ca="1">IFERROR(INDEX(Source!$A$1:$A$250,SMALL(IF(--(Source!$B$1:$B$250=$O368)*--(Source!$E$1:$E$250=$M$3)*--(Source!$D$1:$D$250=Pyramid!$M368),ROW(Source!$B$1:$B$250),FALSE),J$3)),"")</f>
        <v/>
      </c>
      <c r="K368" t="str">
        <f t="array" aca="1" ref="K368" ca="1">IFERROR(INDEX(Source!$A$1:$A$250,SMALL(IF(--(Source!$B$1:$B$250=$O368)*--(Source!$E$1:$E$250=$M$3)*--(Source!$D$1:$D$250=Pyramid!$M368),ROW(Source!$B$1:$B$250),FALSE),K$3)),"")</f>
        <v/>
      </c>
      <c r="L368" t="str">
        <f t="array" aca="1" ref="L368" ca="1">IFERROR(INDEX(Source!$A$1:$A$250,SMALL(IF(--(Source!$B$1:$B$250=$O368)*--(Source!$E$1:$E$250=$M$3)*--(Source!$D$1:$D$250=Pyramid!$M368),ROW(Source!$B$1:$B$250),FALSE),L$3)),"")</f>
        <v/>
      </c>
      <c r="M368" t="str">
        <f t="shared" si="17"/>
        <v>28/10/2016</v>
      </c>
      <c r="N368">
        <f ca="1">COUNTIFS(Source!B:B,Pyramid!$O368,Source!$D:$D,Pyramid!$M368,Source!$E:$E,Pyramid!$M$3)</f>
        <v>0</v>
      </c>
      <c r="O368">
        <f ca="1">OFFSET(Sheet2!$N$3,INT(C368/5),)</f>
        <v>23500</v>
      </c>
      <c r="P368">
        <f ca="1">COUNTIFS(Source!B:B,Pyramid!$O368,Source!D:D,Pyramid!$Q368,Source!$E:$E,Pyramid!$Q$3)</f>
        <v>0</v>
      </c>
      <c r="Q368" t="str">
        <f t="shared" si="17"/>
        <v>28/10/2016</v>
      </c>
      <c r="R368" t="str">
        <f t="array" aca="1" ref="R368" ca="1">IFERROR(INDEX(Source!$A$1:$A$250,SMALL(IF(--(Source!$B$1:$B$250=$O368)*--(Source!$E$1:$E$250=$Q$3)*--(Source!$D$1:$D$250=Pyramid!$Q368),ROW(Source!$B$1:$B$250),FALSE),R$3)),"")</f>
        <v/>
      </c>
      <c r="S368" t="str">
        <f t="array" aca="1" ref="S368" ca="1">IFERROR(INDEX(Source!$A$1:$A$250,SMALL(IF(--(Source!$B$1:$B$250=$O368)*--(Source!$E$1:$E$250=$Q$3)*--(Source!$D$1:$D$250=Pyramid!$Q368),ROW(Source!$B$1:$B$250),FALSE),S$3)),"")</f>
        <v/>
      </c>
      <c r="T368" t="str">
        <f t="array" aca="1" ref="T368" ca="1">IFERROR(INDEX(Source!$A$1:$A$250,SMALL(IF(--(Source!$B$1:$B$250=$O368)*--(Source!$E$1:$E$250=$Q$3)*--(Source!$D$1:$D$250=Pyramid!$Q368),ROW(Source!$B$1:$B$250),FALSE),T$3)),"")</f>
        <v/>
      </c>
      <c r="U368" t="str">
        <f t="array" aca="1" ref="U368" ca="1">IFERROR(INDEX(Source!$A$1:$A$250,SMALL(IF(--(Source!$B$1:$B$250=$O368)*--(Source!$E$1:$E$250=$Q$3)*--(Source!$D$1:$D$250=Pyramid!$Q368),ROW(Source!$B$1:$B$250),FALSE),U$3)),"")</f>
        <v/>
      </c>
      <c r="V368" t="str">
        <f t="array" aca="1" ref="V368" ca="1">IFERROR(INDEX(Source!$A$1:$A$250,SMALL(IF(--(Source!$B$1:$B$250=$O368)*--(Source!$E$1:$E$250=$Q$3)*--(Source!$D$1:$D$250=Pyramid!$Q368),ROW(Source!$B$1:$B$250),FALSE),V$3)),"")</f>
        <v/>
      </c>
      <c r="W368" t="str">
        <f t="array" aca="1" ref="W368" ca="1">IFERROR(INDEX(Source!$A$1:$A$250,SMALL(IF(--(Source!$B$1:$B$250=$O368)*--(Source!$E$1:$E$250=$Q$3)*--(Source!$D$1:$D$250=Pyramid!$Q368),ROW(Source!$B$1:$B$250),FALSE),W$3)),"")</f>
        <v/>
      </c>
      <c r="X368" t="str">
        <f t="array" aca="1" ref="X368" ca="1">IFERROR(INDEX(Source!$A$1:$A$250,SMALL(IF(--(Source!$B$1:$B$250=$O368)*--(Source!$E$1:$E$250=$Q$3)*--(Source!$D$1:$D$250=Pyramid!$Q368),ROW(Source!$B$1:$B$250),FALSE),X$3)),"")</f>
        <v/>
      </c>
      <c r="Y368" s="5">
        <f t="shared" ca="1" si="18"/>
        <v>0</v>
      </c>
    </row>
    <row r="369" spans="3:25">
      <c r="C369">
        <v>365</v>
      </c>
      <c r="D369" s="5">
        <f t="shared" ca="1" si="16"/>
        <v>0</v>
      </c>
      <c r="E369" t="str">
        <f t="array" aca="1" ref="E369" ca="1">IFERROR(INDEX(Source!$A$1:$A$250,SMALL(IF(--(Source!$B$1:$B$250=$O369)*--(Source!$E$1:$E$250=$M$3)*--(Source!$D$1:$D$250=Pyramid!$M369),ROW(Source!$B$1:$B$250),FALSE),E$3)),"")</f>
        <v/>
      </c>
      <c r="F369" t="str">
        <f t="array" aca="1" ref="F369" ca="1">IFERROR(INDEX(Source!$A$1:$A$250,SMALL(IF(--(Source!$B$1:$B$250=$O369)*--(Source!$E$1:$E$250=$M$3)*--(Source!$D$1:$D$250=Pyramid!$M369),ROW(Source!$B$1:$B$250),FALSE),F$3)),"")</f>
        <v/>
      </c>
      <c r="G369" t="str">
        <f t="array" aca="1" ref="G369" ca="1">IFERROR(INDEX(Source!$A$1:$A$250,SMALL(IF(--(Source!$B$1:$B$250=$O369)*--(Source!$E$1:$E$250=$M$3)*--(Source!$D$1:$D$250=Pyramid!$M369),ROW(Source!$B$1:$B$250),FALSE),G$3)),"")</f>
        <v/>
      </c>
      <c r="H369" t="str">
        <f t="array" aca="1" ref="H369" ca="1">IFERROR(INDEX(Source!$A$1:$A$250,SMALL(IF(--(Source!$B$1:$B$250=$O369)*--(Source!$E$1:$E$250=$M$3)*--(Source!$D$1:$D$250=Pyramid!$M369),ROW(Source!$B$1:$B$250),FALSE),H$3)),"")</f>
        <v/>
      </c>
      <c r="I369" t="str">
        <f t="array" aca="1" ref="I369" ca="1">IFERROR(INDEX(Source!$A$1:$A$250,SMALL(IF(--(Source!$B$1:$B$250=$O369)*--(Source!$E$1:$E$250=$M$3)*--(Source!$D$1:$D$250=Pyramid!$M369),ROW(Source!$B$1:$B$250),FALSE),I$3)),"")</f>
        <v/>
      </c>
      <c r="J369" t="str">
        <f t="array" aca="1" ref="J369" ca="1">IFERROR(INDEX(Source!$A$1:$A$250,SMALL(IF(--(Source!$B$1:$B$250=$O369)*--(Source!$E$1:$E$250=$M$3)*--(Source!$D$1:$D$250=Pyramid!$M369),ROW(Source!$B$1:$B$250),FALSE),J$3)),"")</f>
        <v/>
      </c>
      <c r="K369" t="str">
        <f t="array" aca="1" ref="K369" ca="1">IFERROR(INDEX(Source!$A$1:$A$250,SMALL(IF(--(Source!$B$1:$B$250=$O369)*--(Source!$E$1:$E$250=$M$3)*--(Source!$D$1:$D$250=Pyramid!$M369),ROW(Source!$B$1:$B$250),FALSE),K$3)),"")</f>
        <v/>
      </c>
      <c r="L369" t="str">
        <f t="array" aca="1" ref="L369" ca="1">IFERROR(INDEX(Source!$A$1:$A$250,SMALL(IF(--(Source!$B$1:$B$250=$O369)*--(Source!$E$1:$E$250=$M$3)*--(Source!$D$1:$D$250=Pyramid!$M369),ROW(Source!$B$1:$B$250),FALSE),L$3)),"")</f>
        <v/>
      </c>
      <c r="M369" t="str">
        <f t="shared" si="17"/>
        <v>29/6/2016</v>
      </c>
      <c r="N369">
        <f ca="1">COUNTIFS(Source!B:B,Pyramid!$O369,Source!$D:$D,Pyramid!$M369,Source!$E:$E,Pyramid!$M$3)</f>
        <v>0</v>
      </c>
      <c r="O369">
        <f ca="1">OFFSET(Sheet2!$N$3,INT(C369/5),)</f>
        <v>23600</v>
      </c>
      <c r="P369">
        <f ca="1">COUNTIFS(Source!B:B,Pyramid!$O369,Source!D:D,Pyramid!$Q369,Source!$E:$E,Pyramid!$Q$3)</f>
        <v>0</v>
      </c>
      <c r="Q369" t="str">
        <f t="shared" si="17"/>
        <v>29/6/2016</v>
      </c>
      <c r="R369" t="str">
        <f t="array" aca="1" ref="R369" ca="1">IFERROR(INDEX(Source!$A$1:$A$250,SMALL(IF(--(Source!$B$1:$B$250=$O369)*--(Source!$E$1:$E$250=$Q$3)*--(Source!$D$1:$D$250=Pyramid!$Q369),ROW(Source!$B$1:$B$250),FALSE),R$3)),"")</f>
        <v/>
      </c>
      <c r="S369" t="str">
        <f t="array" aca="1" ref="S369" ca="1">IFERROR(INDEX(Source!$A$1:$A$250,SMALL(IF(--(Source!$B$1:$B$250=$O369)*--(Source!$E$1:$E$250=$Q$3)*--(Source!$D$1:$D$250=Pyramid!$Q369),ROW(Source!$B$1:$B$250),FALSE),S$3)),"")</f>
        <v/>
      </c>
      <c r="T369" t="str">
        <f t="array" aca="1" ref="T369" ca="1">IFERROR(INDEX(Source!$A$1:$A$250,SMALL(IF(--(Source!$B$1:$B$250=$O369)*--(Source!$E$1:$E$250=$Q$3)*--(Source!$D$1:$D$250=Pyramid!$Q369),ROW(Source!$B$1:$B$250),FALSE),T$3)),"")</f>
        <v/>
      </c>
      <c r="U369" t="str">
        <f t="array" aca="1" ref="U369" ca="1">IFERROR(INDEX(Source!$A$1:$A$250,SMALL(IF(--(Source!$B$1:$B$250=$O369)*--(Source!$E$1:$E$250=$Q$3)*--(Source!$D$1:$D$250=Pyramid!$Q369),ROW(Source!$B$1:$B$250),FALSE),U$3)),"")</f>
        <v/>
      </c>
      <c r="V369" t="str">
        <f t="array" aca="1" ref="V369" ca="1">IFERROR(INDEX(Source!$A$1:$A$250,SMALL(IF(--(Source!$B$1:$B$250=$O369)*--(Source!$E$1:$E$250=$Q$3)*--(Source!$D$1:$D$250=Pyramid!$Q369),ROW(Source!$B$1:$B$250),FALSE),V$3)),"")</f>
        <v/>
      </c>
      <c r="W369" t="str">
        <f t="array" aca="1" ref="W369" ca="1">IFERROR(INDEX(Source!$A$1:$A$250,SMALL(IF(--(Source!$B$1:$B$250=$O369)*--(Source!$E$1:$E$250=$Q$3)*--(Source!$D$1:$D$250=Pyramid!$Q369),ROW(Source!$B$1:$B$250),FALSE),W$3)),"")</f>
        <v/>
      </c>
      <c r="X369" t="str">
        <f t="array" aca="1" ref="X369" ca="1">IFERROR(INDEX(Source!$A$1:$A$250,SMALL(IF(--(Source!$B$1:$B$250=$O369)*--(Source!$E$1:$E$250=$Q$3)*--(Source!$D$1:$D$250=Pyramid!$Q369),ROW(Source!$B$1:$B$250),FALSE),X$3)),"")</f>
        <v/>
      </c>
      <c r="Y369" s="5">
        <f t="shared" ca="1" si="18"/>
        <v>0</v>
      </c>
    </row>
    <row r="370" spans="3:25">
      <c r="C370">
        <v>366</v>
      </c>
      <c r="D370" s="5">
        <f t="shared" ca="1" si="16"/>
        <v>0</v>
      </c>
      <c r="E370" t="str">
        <f t="array" aca="1" ref="E370" ca="1">IFERROR(INDEX(Source!$A$1:$A$250,SMALL(IF(--(Source!$B$1:$B$250=$O370)*--(Source!$E$1:$E$250=$M$3)*--(Source!$D$1:$D$250=Pyramid!$M370),ROW(Source!$B$1:$B$250),FALSE),E$3)),"")</f>
        <v/>
      </c>
      <c r="F370" t="str">
        <f t="array" aca="1" ref="F370" ca="1">IFERROR(INDEX(Source!$A$1:$A$250,SMALL(IF(--(Source!$B$1:$B$250=$O370)*--(Source!$E$1:$E$250=$M$3)*--(Source!$D$1:$D$250=Pyramid!$M370),ROW(Source!$B$1:$B$250),FALSE),F$3)),"")</f>
        <v/>
      </c>
      <c r="G370" t="str">
        <f t="array" aca="1" ref="G370" ca="1">IFERROR(INDEX(Source!$A$1:$A$250,SMALL(IF(--(Source!$B$1:$B$250=$O370)*--(Source!$E$1:$E$250=$M$3)*--(Source!$D$1:$D$250=Pyramid!$M370),ROW(Source!$B$1:$B$250),FALSE),G$3)),"")</f>
        <v/>
      </c>
      <c r="H370" t="str">
        <f t="array" aca="1" ref="H370" ca="1">IFERROR(INDEX(Source!$A$1:$A$250,SMALL(IF(--(Source!$B$1:$B$250=$O370)*--(Source!$E$1:$E$250=$M$3)*--(Source!$D$1:$D$250=Pyramid!$M370),ROW(Source!$B$1:$B$250),FALSE),H$3)),"")</f>
        <v/>
      </c>
      <c r="I370" t="str">
        <f t="array" aca="1" ref="I370" ca="1">IFERROR(INDEX(Source!$A$1:$A$250,SMALL(IF(--(Source!$B$1:$B$250=$O370)*--(Source!$E$1:$E$250=$M$3)*--(Source!$D$1:$D$250=Pyramid!$M370),ROW(Source!$B$1:$B$250),FALSE),I$3)),"")</f>
        <v/>
      </c>
      <c r="J370" t="str">
        <f t="array" aca="1" ref="J370" ca="1">IFERROR(INDEX(Source!$A$1:$A$250,SMALL(IF(--(Source!$B$1:$B$250=$O370)*--(Source!$E$1:$E$250=$M$3)*--(Source!$D$1:$D$250=Pyramid!$M370),ROW(Source!$B$1:$B$250),FALSE),J$3)),"")</f>
        <v>24825 HK Equity</v>
      </c>
      <c r="K370" t="str">
        <f t="array" aca="1" ref="K370" ca="1">IFERROR(INDEX(Source!$A$1:$A$250,SMALL(IF(--(Source!$B$1:$B$250=$O370)*--(Source!$E$1:$E$250=$M$3)*--(Source!$D$1:$D$250=Pyramid!$M370),ROW(Source!$B$1:$B$250),FALSE),K$3)),"")</f>
        <v>24712 HK Equity</v>
      </c>
      <c r="L370" t="str">
        <f t="array" aca="1" ref="L370" ca="1">IFERROR(INDEX(Source!$A$1:$A$250,SMALL(IF(--(Source!$B$1:$B$250=$O370)*--(Source!$E$1:$E$250=$M$3)*--(Source!$D$1:$D$250=Pyramid!$M370),ROW(Source!$B$1:$B$250),FALSE),L$3)),"")</f>
        <v>23383 HK Equity</v>
      </c>
      <c r="M370" t="str">
        <f t="shared" si="17"/>
        <v>28/7/2016</v>
      </c>
      <c r="N370">
        <f ca="1">COUNTIFS(Source!B:B,Pyramid!$O370,Source!$D:$D,Pyramid!$M370,Source!$E:$E,Pyramid!$M$3)</f>
        <v>3</v>
      </c>
      <c r="O370">
        <f ca="1">OFFSET(Sheet2!$N$3,INT(C370/5),)</f>
        <v>23600</v>
      </c>
      <c r="P370">
        <f ca="1">COUNTIFS(Source!B:B,Pyramid!$O370,Source!D:D,Pyramid!$Q370,Source!$E:$E,Pyramid!$Q$3)</f>
        <v>0</v>
      </c>
      <c r="Q370" t="str">
        <f t="shared" si="17"/>
        <v>28/7/2016</v>
      </c>
      <c r="R370" t="str">
        <f t="array" aca="1" ref="R370" ca="1">IFERROR(INDEX(Source!$A$1:$A$250,SMALL(IF(--(Source!$B$1:$B$250=$O370)*--(Source!$E$1:$E$250=$Q$3)*--(Source!$D$1:$D$250=Pyramid!$Q370),ROW(Source!$B$1:$B$250),FALSE),R$3)),"")</f>
        <v/>
      </c>
      <c r="S370" t="str">
        <f t="array" aca="1" ref="S370" ca="1">IFERROR(INDEX(Source!$A$1:$A$250,SMALL(IF(--(Source!$B$1:$B$250=$O370)*--(Source!$E$1:$E$250=$Q$3)*--(Source!$D$1:$D$250=Pyramid!$Q370),ROW(Source!$B$1:$B$250),FALSE),S$3)),"")</f>
        <v/>
      </c>
      <c r="T370" t="str">
        <f t="array" aca="1" ref="T370" ca="1">IFERROR(INDEX(Source!$A$1:$A$250,SMALL(IF(--(Source!$B$1:$B$250=$O370)*--(Source!$E$1:$E$250=$Q$3)*--(Source!$D$1:$D$250=Pyramid!$Q370),ROW(Source!$B$1:$B$250),FALSE),T$3)),"")</f>
        <v/>
      </c>
      <c r="U370" t="str">
        <f t="array" aca="1" ref="U370" ca="1">IFERROR(INDEX(Source!$A$1:$A$250,SMALL(IF(--(Source!$B$1:$B$250=$O370)*--(Source!$E$1:$E$250=$Q$3)*--(Source!$D$1:$D$250=Pyramid!$Q370),ROW(Source!$B$1:$B$250),FALSE),U$3)),"")</f>
        <v/>
      </c>
      <c r="V370" t="str">
        <f t="array" aca="1" ref="V370" ca="1">IFERROR(INDEX(Source!$A$1:$A$250,SMALL(IF(--(Source!$B$1:$B$250=$O370)*--(Source!$E$1:$E$250=$Q$3)*--(Source!$D$1:$D$250=Pyramid!$Q370),ROW(Source!$B$1:$B$250),FALSE),V$3)),"")</f>
        <v/>
      </c>
      <c r="W370" t="str">
        <f t="array" aca="1" ref="W370" ca="1">IFERROR(INDEX(Source!$A$1:$A$250,SMALL(IF(--(Source!$B$1:$B$250=$O370)*--(Source!$E$1:$E$250=$Q$3)*--(Source!$D$1:$D$250=Pyramid!$Q370),ROW(Source!$B$1:$B$250),FALSE),W$3)),"")</f>
        <v/>
      </c>
      <c r="X370" t="str">
        <f t="array" aca="1" ref="X370" ca="1">IFERROR(INDEX(Source!$A$1:$A$250,SMALL(IF(--(Source!$B$1:$B$250=$O370)*--(Source!$E$1:$E$250=$Q$3)*--(Source!$D$1:$D$250=Pyramid!$Q370),ROW(Source!$B$1:$B$250),FALSE),X$3)),"")</f>
        <v/>
      </c>
      <c r="Y370" s="5">
        <f t="shared" ca="1" si="18"/>
        <v>0</v>
      </c>
    </row>
    <row r="371" spans="3:25">
      <c r="C371">
        <v>367</v>
      </c>
      <c r="D371" s="5">
        <f t="shared" ca="1" si="16"/>
        <v>0</v>
      </c>
      <c r="E371" t="str">
        <f t="array" aca="1" ref="E371" ca="1">IFERROR(INDEX(Source!$A$1:$A$250,SMALL(IF(--(Source!$B$1:$B$250=$O371)*--(Source!$E$1:$E$250=$M$3)*--(Source!$D$1:$D$250=Pyramid!$M371),ROW(Source!$B$1:$B$250),FALSE),E$3)),"")</f>
        <v/>
      </c>
      <c r="F371" t="str">
        <f t="array" aca="1" ref="F371" ca="1">IFERROR(INDEX(Source!$A$1:$A$250,SMALL(IF(--(Source!$B$1:$B$250=$O371)*--(Source!$E$1:$E$250=$M$3)*--(Source!$D$1:$D$250=Pyramid!$M371),ROW(Source!$B$1:$B$250),FALSE),F$3)),"")</f>
        <v/>
      </c>
      <c r="G371" t="str">
        <f t="array" aca="1" ref="G371" ca="1">IFERROR(INDEX(Source!$A$1:$A$250,SMALL(IF(--(Source!$B$1:$B$250=$O371)*--(Source!$E$1:$E$250=$M$3)*--(Source!$D$1:$D$250=Pyramid!$M371),ROW(Source!$B$1:$B$250),FALSE),G$3)),"")</f>
        <v/>
      </c>
      <c r="H371" t="str">
        <f t="array" aca="1" ref="H371" ca="1">IFERROR(INDEX(Source!$A$1:$A$250,SMALL(IF(--(Source!$B$1:$B$250=$O371)*--(Source!$E$1:$E$250=$M$3)*--(Source!$D$1:$D$250=Pyramid!$M371),ROW(Source!$B$1:$B$250),FALSE),H$3)),"")</f>
        <v/>
      </c>
      <c r="I371" t="str">
        <f t="array" aca="1" ref="I371" ca="1">IFERROR(INDEX(Source!$A$1:$A$250,SMALL(IF(--(Source!$B$1:$B$250=$O371)*--(Source!$E$1:$E$250=$M$3)*--(Source!$D$1:$D$250=Pyramid!$M371),ROW(Source!$B$1:$B$250),FALSE),I$3)),"")</f>
        <v/>
      </c>
      <c r="J371" t="str">
        <f t="array" aca="1" ref="J371" ca="1">IFERROR(INDEX(Source!$A$1:$A$250,SMALL(IF(--(Source!$B$1:$B$250=$O371)*--(Source!$E$1:$E$250=$M$3)*--(Source!$D$1:$D$250=Pyramid!$M371),ROW(Source!$B$1:$B$250),FALSE),J$3)),"")</f>
        <v/>
      </c>
      <c r="K371" t="str">
        <f t="array" aca="1" ref="K371" ca="1">IFERROR(INDEX(Source!$A$1:$A$250,SMALL(IF(--(Source!$B$1:$B$250=$O371)*--(Source!$E$1:$E$250=$M$3)*--(Source!$D$1:$D$250=Pyramid!$M371),ROW(Source!$B$1:$B$250),FALSE),K$3)),"")</f>
        <v/>
      </c>
      <c r="L371" t="str">
        <f t="array" aca="1" ref="L371" ca="1">IFERROR(INDEX(Source!$A$1:$A$250,SMALL(IF(--(Source!$B$1:$B$250=$O371)*--(Source!$E$1:$E$250=$M$3)*--(Source!$D$1:$D$250=Pyramid!$M371),ROW(Source!$B$1:$B$250),FALSE),L$3)),"")</f>
        <v/>
      </c>
      <c r="M371" t="str">
        <f t="shared" si="17"/>
        <v>30/8/2016</v>
      </c>
      <c r="N371">
        <f ca="1">COUNTIFS(Source!B:B,Pyramid!$O371,Source!$D:$D,Pyramid!$M371,Source!$E:$E,Pyramid!$M$3)</f>
        <v>0</v>
      </c>
      <c r="O371">
        <f ca="1">OFFSET(Sheet2!$N$3,INT(C371/5),)</f>
        <v>23600</v>
      </c>
      <c r="P371">
        <f ca="1">COUNTIFS(Source!B:B,Pyramid!$O371,Source!D:D,Pyramid!$Q371,Source!$E:$E,Pyramid!$Q$3)</f>
        <v>0</v>
      </c>
      <c r="Q371" t="str">
        <f t="shared" si="17"/>
        <v>30/8/2016</v>
      </c>
      <c r="R371" t="str">
        <f t="array" aca="1" ref="R371" ca="1">IFERROR(INDEX(Source!$A$1:$A$250,SMALL(IF(--(Source!$B$1:$B$250=$O371)*--(Source!$E$1:$E$250=$Q$3)*--(Source!$D$1:$D$250=Pyramid!$Q371),ROW(Source!$B$1:$B$250),FALSE),R$3)),"")</f>
        <v/>
      </c>
      <c r="S371" t="str">
        <f t="array" aca="1" ref="S371" ca="1">IFERROR(INDEX(Source!$A$1:$A$250,SMALL(IF(--(Source!$B$1:$B$250=$O371)*--(Source!$E$1:$E$250=$Q$3)*--(Source!$D$1:$D$250=Pyramid!$Q371),ROW(Source!$B$1:$B$250),FALSE),S$3)),"")</f>
        <v/>
      </c>
      <c r="T371" t="str">
        <f t="array" aca="1" ref="T371" ca="1">IFERROR(INDEX(Source!$A$1:$A$250,SMALL(IF(--(Source!$B$1:$B$250=$O371)*--(Source!$E$1:$E$250=$Q$3)*--(Source!$D$1:$D$250=Pyramid!$Q371),ROW(Source!$B$1:$B$250),FALSE),T$3)),"")</f>
        <v/>
      </c>
      <c r="U371" t="str">
        <f t="array" aca="1" ref="U371" ca="1">IFERROR(INDEX(Source!$A$1:$A$250,SMALL(IF(--(Source!$B$1:$B$250=$O371)*--(Source!$E$1:$E$250=$Q$3)*--(Source!$D$1:$D$250=Pyramid!$Q371),ROW(Source!$B$1:$B$250),FALSE),U$3)),"")</f>
        <v/>
      </c>
      <c r="V371" t="str">
        <f t="array" aca="1" ref="V371" ca="1">IFERROR(INDEX(Source!$A$1:$A$250,SMALL(IF(--(Source!$B$1:$B$250=$O371)*--(Source!$E$1:$E$250=$Q$3)*--(Source!$D$1:$D$250=Pyramid!$Q371),ROW(Source!$B$1:$B$250),FALSE),V$3)),"")</f>
        <v/>
      </c>
      <c r="W371" t="str">
        <f t="array" aca="1" ref="W371" ca="1">IFERROR(INDEX(Source!$A$1:$A$250,SMALL(IF(--(Source!$B$1:$B$250=$O371)*--(Source!$E$1:$E$250=$Q$3)*--(Source!$D$1:$D$250=Pyramid!$Q371),ROW(Source!$B$1:$B$250),FALSE),W$3)),"")</f>
        <v/>
      </c>
      <c r="X371" t="str">
        <f t="array" aca="1" ref="X371" ca="1">IFERROR(INDEX(Source!$A$1:$A$250,SMALL(IF(--(Source!$B$1:$B$250=$O371)*--(Source!$E$1:$E$250=$Q$3)*--(Source!$D$1:$D$250=Pyramid!$Q371),ROW(Source!$B$1:$B$250),FALSE),X$3)),"")</f>
        <v/>
      </c>
      <c r="Y371" s="5">
        <f t="shared" ca="1" si="18"/>
        <v>0</v>
      </c>
    </row>
    <row r="372" spans="3:25">
      <c r="C372">
        <v>368</v>
      </c>
      <c r="D372" s="5">
        <f t="shared" ca="1" si="16"/>
        <v>0</v>
      </c>
      <c r="E372" t="str">
        <f t="array" aca="1" ref="E372" ca="1">IFERROR(INDEX(Source!$A$1:$A$250,SMALL(IF(--(Source!$B$1:$B$250=$O372)*--(Source!$E$1:$E$250=$M$3)*--(Source!$D$1:$D$250=Pyramid!$M372),ROW(Source!$B$1:$B$250),FALSE),E$3)),"")</f>
        <v/>
      </c>
      <c r="F372" t="str">
        <f t="array" aca="1" ref="F372" ca="1">IFERROR(INDEX(Source!$A$1:$A$250,SMALL(IF(--(Source!$B$1:$B$250=$O372)*--(Source!$E$1:$E$250=$M$3)*--(Source!$D$1:$D$250=Pyramid!$M372),ROW(Source!$B$1:$B$250),FALSE),F$3)),"")</f>
        <v/>
      </c>
      <c r="G372" t="str">
        <f t="array" aca="1" ref="G372" ca="1">IFERROR(INDEX(Source!$A$1:$A$250,SMALL(IF(--(Source!$B$1:$B$250=$O372)*--(Source!$E$1:$E$250=$M$3)*--(Source!$D$1:$D$250=Pyramid!$M372),ROW(Source!$B$1:$B$250),FALSE),G$3)),"")</f>
        <v/>
      </c>
      <c r="H372" t="str">
        <f t="array" aca="1" ref="H372" ca="1">IFERROR(INDEX(Source!$A$1:$A$250,SMALL(IF(--(Source!$B$1:$B$250=$O372)*--(Source!$E$1:$E$250=$M$3)*--(Source!$D$1:$D$250=Pyramid!$M372),ROW(Source!$B$1:$B$250),FALSE),H$3)),"")</f>
        <v/>
      </c>
      <c r="I372" t="str">
        <f t="array" aca="1" ref="I372" ca="1">IFERROR(INDEX(Source!$A$1:$A$250,SMALL(IF(--(Source!$B$1:$B$250=$O372)*--(Source!$E$1:$E$250=$M$3)*--(Source!$D$1:$D$250=Pyramid!$M372),ROW(Source!$B$1:$B$250),FALSE),I$3)),"")</f>
        <v/>
      </c>
      <c r="J372" t="str">
        <f t="array" aca="1" ref="J372" ca="1">IFERROR(INDEX(Source!$A$1:$A$250,SMALL(IF(--(Source!$B$1:$B$250=$O372)*--(Source!$E$1:$E$250=$M$3)*--(Source!$D$1:$D$250=Pyramid!$M372),ROW(Source!$B$1:$B$250),FALSE),J$3)),"")</f>
        <v/>
      </c>
      <c r="K372" t="str">
        <f t="array" aca="1" ref="K372" ca="1">IFERROR(INDEX(Source!$A$1:$A$250,SMALL(IF(--(Source!$B$1:$B$250=$O372)*--(Source!$E$1:$E$250=$M$3)*--(Source!$D$1:$D$250=Pyramid!$M372),ROW(Source!$B$1:$B$250),FALSE),K$3)),"")</f>
        <v/>
      </c>
      <c r="L372" t="str">
        <f t="array" aca="1" ref="L372" ca="1">IFERROR(INDEX(Source!$A$1:$A$250,SMALL(IF(--(Source!$B$1:$B$250=$O372)*--(Source!$E$1:$E$250=$M$3)*--(Source!$D$1:$D$250=Pyramid!$M372),ROW(Source!$B$1:$B$250),FALSE),L$3)),"")</f>
        <v/>
      </c>
      <c r="M372" t="str">
        <f t="shared" si="17"/>
        <v>29/9/2016</v>
      </c>
      <c r="N372">
        <f ca="1">COUNTIFS(Source!B:B,Pyramid!$O372,Source!$D:$D,Pyramid!$M372,Source!$E:$E,Pyramid!$M$3)</f>
        <v>0</v>
      </c>
      <c r="O372">
        <f ca="1">OFFSET(Sheet2!$N$3,INT(C372/5),)</f>
        <v>23600</v>
      </c>
      <c r="P372">
        <f ca="1">COUNTIFS(Source!B:B,Pyramid!$O372,Source!D:D,Pyramid!$Q372,Source!$E:$E,Pyramid!$Q$3)</f>
        <v>0</v>
      </c>
      <c r="Q372" t="str">
        <f t="shared" si="17"/>
        <v>29/9/2016</v>
      </c>
      <c r="R372" t="str">
        <f t="array" aca="1" ref="R372" ca="1">IFERROR(INDEX(Source!$A$1:$A$250,SMALL(IF(--(Source!$B$1:$B$250=$O372)*--(Source!$E$1:$E$250=$Q$3)*--(Source!$D$1:$D$250=Pyramid!$Q372),ROW(Source!$B$1:$B$250),FALSE),R$3)),"")</f>
        <v/>
      </c>
      <c r="S372" t="str">
        <f t="array" aca="1" ref="S372" ca="1">IFERROR(INDEX(Source!$A$1:$A$250,SMALL(IF(--(Source!$B$1:$B$250=$O372)*--(Source!$E$1:$E$250=$Q$3)*--(Source!$D$1:$D$250=Pyramid!$Q372),ROW(Source!$B$1:$B$250),FALSE),S$3)),"")</f>
        <v/>
      </c>
      <c r="T372" t="str">
        <f t="array" aca="1" ref="T372" ca="1">IFERROR(INDEX(Source!$A$1:$A$250,SMALL(IF(--(Source!$B$1:$B$250=$O372)*--(Source!$E$1:$E$250=$Q$3)*--(Source!$D$1:$D$250=Pyramid!$Q372),ROW(Source!$B$1:$B$250),FALSE),T$3)),"")</f>
        <v/>
      </c>
      <c r="U372" t="str">
        <f t="array" aca="1" ref="U372" ca="1">IFERROR(INDEX(Source!$A$1:$A$250,SMALL(IF(--(Source!$B$1:$B$250=$O372)*--(Source!$E$1:$E$250=$Q$3)*--(Source!$D$1:$D$250=Pyramid!$Q372),ROW(Source!$B$1:$B$250),FALSE),U$3)),"")</f>
        <v/>
      </c>
      <c r="V372" t="str">
        <f t="array" aca="1" ref="V372" ca="1">IFERROR(INDEX(Source!$A$1:$A$250,SMALL(IF(--(Source!$B$1:$B$250=$O372)*--(Source!$E$1:$E$250=$Q$3)*--(Source!$D$1:$D$250=Pyramid!$Q372),ROW(Source!$B$1:$B$250),FALSE),V$3)),"")</f>
        <v/>
      </c>
      <c r="W372" t="str">
        <f t="array" aca="1" ref="W372" ca="1">IFERROR(INDEX(Source!$A$1:$A$250,SMALL(IF(--(Source!$B$1:$B$250=$O372)*--(Source!$E$1:$E$250=$Q$3)*--(Source!$D$1:$D$250=Pyramid!$Q372),ROW(Source!$B$1:$B$250),FALSE),W$3)),"")</f>
        <v/>
      </c>
      <c r="X372" t="str">
        <f t="array" aca="1" ref="X372" ca="1">IFERROR(INDEX(Source!$A$1:$A$250,SMALL(IF(--(Source!$B$1:$B$250=$O372)*--(Source!$E$1:$E$250=$Q$3)*--(Source!$D$1:$D$250=Pyramid!$Q372),ROW(Source!$B$1:$B$250),FALSE),X$3)),"")</f>
        <v/>
      </c>
      <c r="Y372" s="5">
        <f t="shared" ca="1" si="18"/>
        <v>0</v>
      </c>
    </row>
    <row r="373" spans="3:25">
      <c r="C373">
        <v>369</v>
      </c>
      <c r="D373" s="5">
        <f t="shared" ca="1" si="16"/>
        <v>0</v>
      </c>
      <c r="E373" t="str">
        <f t="array" aca="1" ref="E373" ca="1">IFERROR(INDEX(Source!$A$1:$A$250,SMALL(IF(--(Source!$B$1:$B$250=$O373)*--(Source!$E$1:$E$250=$M$3)*--(Source!$D$1:$D$250=Pyramid!$M373),ROW(Source!$B$1:$B$250),FALSE),E$3)),"")</f>
        <v/>
      </c>
      <c r="F373" t="str">
        <f t="array" aca="1" ref="F373" ca="1">IFERROR(INDEX(Source!$A$1:$A$250,SMALL(IF(--(Source!$B$1:$B$250=$O373)*--(Source!$E$1:$E$250=$M$3)*--(Source!$D$1:$D$250=Pyramid!$M373),ROW(Source!$B$1:$B$250),FALSE),F$3)),"")</f>
        <v/>
      </c>
      <c r="G373" t="str">
        <f t="array" aca="1" ref="G373" ca="1">IFERROR(INDEX(Source!$A$1:$A$250,SMALL(IF(--(Source!$B$1:$B$250=$O373)*--(Source!$E$1:$E$250=$M$3)*--(Source!$D$1:$D$250=Pyramid!$M373),ROW(Source!$B$1:$B$250),FALSE),G$3)),"")</f>
        <v/>
      </c>
      <c r="H373" t="str">
        <f t="array" aca="1" ref="H373" ca="1">IFERROR(INDEX(Source!$A$1:$A$250,SMALL(IF(--(Source!$B$1:$B$250=$O373)*--(Source!$E$1:$E$250=$M$3)*--(Source!$D$1:$D$250=Pyramid!$M373),ROW(Source!$B$1:$B$250),FALSE),H$3)),"")</f>
        <v/>
      </c>
      <c r="I373" t="str">
        <f t="array" aca="1" ref="I373" ca="1">IFERROR(INDEX(Source!$A$1:$A$250,SMALL(IF(--(Source!$B$1:$B$250=$O373)*--(Source!$E$1:$E$250=$M$3)*--(Source!$D$1:$D$250=Pyramid!$M373),ROW(Source!$B$1:$B$250),FALSE),I$3)),"")</f>
        <v/>
      </c>
      <c r="J373" t="str">
        <f t="array" aca="1" ref="J373" ca="1">IFERROR(INDEX(Source!$A$1:$A$250,SMALL(IF(--(Source!$B$1:$B$250=$O373)*--(Source!$E$1:$E$250=$M$3)*--(Source!$D$1:$D$250=Pyramid!$M373),ROW(Source!$B$1:$B$250),FALSE),J$3)),"")</f>
        <v/>
      </c>
      <c r="K373" t="str">
        <f t="array" aca="1" ref="K373" ca="1">IFERROR(INDEX(Source!$A$1:$A$250,SMALL(IF(--(Source!$B$1:$B$250=$O373)*--(Source!$E$1:$E$250=$M$3)*--(Source!$D$1:$D$250=Pyramid!$M373),ROW(Source!$B$1:$B$250),FALSE),K$3)),"")</f>
        <v/>
      </c>
      <c r="L373" t="str">
        <f t="array" aca="1" ref="L373" ca="1">IFERROR(INDEX(Source!$A$1:$A$250,SMALL(IF(--(Source!$B$1:$B$250=$O373)*--(Source!$E$1:$E$250=$M$3)*--(Source!$D$1:$D$250=Pyramid!$M373),ROW(Source!$B$1:$B$250),FALSE),L$3)),"")</f>
        <v/>
      </c>
      <c r="M373" t="str">
        <f t="shared" si="17"/>
        <v>28/10/2016</v>
      </c>
      <c r="N373">
        <f ca="1">COUNTIFS(Source!B:B,Pyramid!$O373,Source!$D:$D,Pyramid!$M373,Source!$E:$E,Pyramid!$M$3)</f>
        <v>0</v>
      </c>
      <c r="O373">
        <f ca="1">OFFSET(Sheet2!$N$3,INT(C373/5),)</f>
        <v>23600</v>
      </c>
      <c r="P373">
        <f ca="1">COUNTIFS(Source!B:B,Pyramid!$O373,Source!D:D,Pyramid!$Q373,Source!$E:$E,Pyramid!$Q$3)</f>
        <v>0</v>
      </c>
      <c r="Q373" t="str">
        <f t="shared" si="17"/>
        <v>28/10/2016</v>
      </c>
      <c r="R373" t="str">
        <f t="array" aca="1" ref="R373" ca="1">IFERROR(INDEX(Source!$A$1:$A$250,SMALL(IF(--(Source!$B$1:$B$250=$O373)*--(Source!$E$1:$E$250=$Q$3)*--(Source!$D$1:$D$250=Pyramid!$Q373),ROW(Source!$B$1:$B$250),FALSE),R$3)),"")</f>
        <v/>
      </c>
      <c r="S373" t="str">
        <f t="array" aca="1" ref="S373" ca="1">IFERROR(INDEX(Source!$A$1:$A$250,SMALL(IF(--(Source!$B$1:$B$250=$O373)*--(Source!$E$1:$E$250=$Q$3)*--(Source!$D$1:$D$250=Pyramid!$Q373),ROW(Source!$B$1:$B$250),FALSE),S$3)),"")</f>
        <v/>
      </c>
      <c r="T373" t="str">
        <f t="array" aca="1" ref="T373" ca="1">IFERROR(INDEX(Source!$A$1:$A$250,SMALL(IF(--(Source!$B$1:$B$250=$O373)*--(Source!$E$1:$E$250=$Q$3)*--(Source!$D$1:$D$250=Pyramid!$Q373),ROW(Source!$B$1:$B$250),FALSE),T$3)),"")</f>
        <v/>
      </c>
      <c r="U373" t="str">
        <f t="array" aca="1" ref="U373" ca="1">IFERROR(INDEX(Source!$A$1:$A$250,SMALL(IF(--(Source!$B$1:$B$250=$O373)*--(Source!$E$1:$E$250=$Q$3)*--(Source!$D$1:$D$250=Pyramid!$Q373),ROW(Source!$B$1:$B$250),FALSE),U$3)),"")</f>
        <v/>
      </c>
      <c r="V373" t="str">
        <f t="array" aca="1" ref="V373" ca="1">IFERROR(INDEX(Source!$A$1:$A$250,SMALL(IF(--(Source!$B$1:$B$250=$O373)*--(Source!$E$1:$E$250=$Q$3)*--(Source!$D$1:$D$250=Pyramid!$Q373),ROW(Source!$B$1:$B$250),FALSE),V$3)),"")</f>
        <v/>
      </c>
      <c r="W373" t="str">
        <f t="array" aca="1" ref="W373" ca="1">IFERROR(INDEX(Source!$A$1:$A$250,SMALL(IF(--(Source!$B$1:$B$250=$O373)*--(Source!$E$1:$E$250=$Q$3)*--(Source!$D$1:$D$250=Pyramid!$Q373),ROW(Source!$B$1:$B$250),FALSE),W$3)),"")</f>
        <v/>
      </c>
      <c r="X373" t="str">
        <f t="array" aca="1" ref="X373" ca="1">IFERROR(INDEX(Source!$A$1:$A$250,SMALL(IF(--(Source!$B$1:$B$250=$O373)*--(Source!$E$1:$E$250=$Q$3)*--(Source!$D$1:$D$250=Pyramid!$Q373),ROW(Source!$B$1:$B$250),FALSE),X$3)),"")</f>
        <v/>
      </c>
      <c r="Y373" s="5">
        <f t="shared" ca="1" si="18"/>
        <v>0</v>
      </c>
    </row>
    <row r="374" spans="3:25">
      <c r="C374">
        <v>370</v>
      </c>
      <c r="D374" s="5">
        <f t="shared" ca="1" si="16"/>
        <v>0</v>
      </c>
      <c r="E374" t="str">
        <f t="array" aca="1" ref="E374" ca="1">IFERROR(INDEX(Source!$A$1:$A$250,SMALL(IF(--(Source!$B$1:$B$250=$O374)*--(Source!$E$1:$E$250=$M$3)*--(Source!$D$1:$D$250=Pyramid!$M374),ROW(Source!$B$1:$B$250),FALSE),E$3)),"")</f>
        <v/>
      </c>
      <c r="F374" t="str">
        <f t="array" aca="1" ref="F374" ca="1">IFERROR(INDEX(Source!$A$1:$A$250,SMALL(IF(--(Source!$B$1:$B$250=$O374)*--(Source!$E$1:$E$250=$M$3)*--(Source!$D$1:$D$250=Pyramid!$M374),ROW(Source!$B$1:$B$250),FALSE),F$3)),"")</f>
        <v/>
      </c>
      <c r="G374" t="str">
        <f t="array" aca="1" ref="G374" ca="1">IFERROR(INDEX(Source!$A$1:$A$250,SMALL(IF(--(Source!$B$1:$B$250=$O374)*--(Source!$E$1:$E$250=$M$3)*--(Source!$D$1:$D$250=Pyramid!$M374),ROW(Source!$B$1:$B$250),FALSE),G$3)),"")</f>
        <v/>
      </c>
      <c r="H374" t="str">
        <f t="array" aca="1" ref="H374" ca="1">IFERROR(INDEX(Source!$A$1:$A$250,SMALL(IF(--(Source!$B$1:$B$250=$O374)*--(Source!$E$1:$E$250=$M$3)*--(Source!$D$1:$D$250=Pyramid!$M374),ROW(Source!$B$1:$B$250),FALSE),H$3)),"")</f>
        <v/>
      </c>
      <c r="I374" t="str">
        <f t="array" aca="1" ref="I374" ca="1">IFERROR(INDEX(Source!$A$1:$A$250,SMALL(IF(--(Source!$B$1:$B$250=$O374)*--(Source!$E$1:$E$250=$M$3)*--(Source!$D$1:$D$250=Pyramid!$M374),ROW(Source!$B$1:$B$250),FALSE),I$3)),"")</f>
        <v/>
      </c>
      <c r="J374" t="str">
        <f t="array" aca="1" ref="J374" ca="1">IFERROR(INDEX(Source!$A$1:$A$250,SMALL(IF(--(Source!$B$1:$B$250=$O374)*--(Source!$E$1:$E$250=$M$3)*--(Source!$D$1:$D$250=Pyramid!$M374),ROW(Source!$B$1:$B$250),FALSE),J$3)),"")</f>
        <v/>
      </c>
      <c r="K374" t="str">
        <f t="array" aca="1" ref="K374" ca="1">IFERROR(INDEX(Source!$A$1:$A$250,SMALL(IF(--(Source!$B$1:$B$250=$O374)*--(Source!$E$1:$E$250=$M$3)*--(Source!$D$1:$D$250=Pyramid!$M374),ROW(Source!$B$1:$B$250),FALSE),K$3)),"")</f>
        <v/>
      </c>
      <c r="L374" t="str">
        <f t="array" aca="1" ref="L374" ca="1">IFERROR(INDEX(Source!$A$1:$A$250,SMALL(IF(--(Source!$B$1:$B$250=$O374)*--(Source!$E$1:$E$250=$M$3)*--(Source!$D$1:$D$250=Pyramid!$M374),ROW(Source!$B$1:$B$250),FALSE),L$3)),"")</f>
        <v/>
      </c>
      <c r="M374" t="str">
        <f t="shared" si="17"/>
        <v>29/6/2016</v>
      </c>
      <c r="N374">
        <f ca="1">COUNTIFS(Source!B:B,Pyramid!$O374,Source!$D:$D,Pyramid!$M374,Source!$E:$E,Pyramid!$M$3)</f>
        <v>0</v>
      </c>
      <c r="O374">
        <f ca="1">OFFSET(Sheet2!$N$3,INT(C374/5),)</f>
        <v>23800</v>
      </c>
      <c r="P374">
        <f ca="1">COUNTIFS(Source!B:B,Pyramid!$O374,Source!D:D,Pyramid!$Q374,Source!$E:$E,Pyramid!$Q$3)</f>
        <v>0</v>
      </c>
      <c r="Q374" t="str">
        <f t="shared" si="17"/>
        <v>29/6/2016</v>
      </c>
      <c r="R374" t="str">
        <f t="array" aca="1" ref="R374" ca="1">IFERROR(INDEX(Source!$A$1:$A$250,SMALL(IF(--(Source!$B$1:$B$250=$O374)*--(Source!$E$1:$E$250=$Q$3)*--(Source!$D$1:$D$250=Pyramid!$Q374),ROW(Source!$B$1:$B$250),FALSE),R$3)),"")</f>
        <v/>
      </c>
      <c r="S374" t="str">
        <f t="array" aca="1" ref="S374" ca="1">IFERROR(INDEX(Source!$A$1:$A$250,SMALL(IF(--(Source!$B$1:$B$250=$O374)*--(Source!$E$1:$E$250=$Q$3)*--(Source!$D$1:$D$250=Pyramid!$Q374),ROW(Source!$B$1:$B$250),FALSE),S$3)),"")</f>
        <v/>
      </c>
      <c r="T374" t="str">
        <f t="array" aca="1" ref="T374" ca="1">IFERROR(INDEX(Source!$A$1:$A$250,SMALL(IF(--(Source!$B$1:$B$250=$O374)*--(Source!$E$1:$E$250=$Q$3)*--(Source!$D$1:$D$250=Pyramid!$Q374),ROW(Source!$B$1:$B$250),FALSE),T$3)),"")</f>
        <v/>
      </c>
      <c r="U374" t="str">
        <f t="array" aca="1" ref="U374" ca="1">IFERROR(INDEX(Source!$A$1:$A$250,SMALL(IF(--(Source!$B$1:$B$250=$O374)*--(Source!$E$1:$E$250=$Q$3)*--(Source!$D$1:$D$250=Pyramid!$Q374),ROW(Source!$B$1:$B$250),FALSE),U$3)),"")</f>
        <v/>
      </c>
      <c r="V374" t="str">
        <f t="array" aca="1" ref="V374" ca="1">IFERROR(INDEX(Source!$A$1:$A$250,SMALL(IF(--(Source!$B$1:$B$250=$O374)*--(Source!$E$1:$E$250=$Q$3)*--(Source!$D$1:$D$250=Pyramid!$Q374),ROW(Source!$B$1:$B$250),FALSE),V$3)),"")</f>
        <v/>
      </c>
      <c r="W374" t="str">
        <f t="array" aca="1" ref="W374" ca="1">IFERROR(INDEX(Source!$A$1:$A$250,SMALL(IF(--(Source!$B$1:$B$250=$O374)*--(Source!$E$1:$E$250=$Q$3)*--(Source!$D$1:$D$250=Pyramid!$Q374),ROW(Source!$B$1:$B$250),FALSE),W$3)),"")</f>
        <v/>
      </c>
      <c r="X374" t="str">
        <f t="array" aca="1" ref="X374" ca="1">IFERROR(INDEX(Source!$A$1:$A$250,SMALL(IF(--(Source!$B$1:$B$250=$O374)*--(Source!$E$1:$E$250=$Q$3)*--(Source!$D$1:$D$250=Pyramid!$Q374),ROW(Source!$B$1:$B$250),FALSE),X$3)),"")</f>
        <v/>
      </c>
      <c r="Y374" s="5">
        <f t="shared" ca="1" si="18"/>
        <v>0</v>
      </c>
    </row>
    <row r="375" spans="3:25">
      <c r="C375">
        <v>371</v>
      </c>
      <c r="D375" s="5">
        <f t="shared" ca="1" si="16"/>
        <v>0</v>
      </c>
      <c r="E375" t="str">
        <f t="array" aca="1" ref="E375" ca="1">IFERROR(INDEX(Source!$A$1:$A$250,SMALL(IF(--(Source!$B$1:$B$250=$O375)*--(Source!$E$1:$E$250=$M$3)*--(Source!$D$1:$D$250=Pyramid!$M375),ROW(Source!$B$1:$B$250),FALSE),E$3)),"")</f>
        <v/>
      </c>
      <c r="F375" t="str">
        <f t="array" aca="1" ref="F375" ca="1">IFERROR(INDEX(Source!$A$1:$A$250,SMALL(IF(--(Source!$B$1:$B$250=$O375)*--(Source!$E$1:$E$250=$M$3)*--(Source!$D$1:$D$250=Pyramid!$M375),ROW(Source!$B$1:$B$250),FALSE),F$3)),"")</f>
        <v/>
      </c>
      <c r="G375" t="str">
        <f t="array" aca="1" ref="G375" ca="1">IFERROR(INDEX(Source!$A$1:$A$250,SMALL(IF(--(Source!$B$1:$B$250=$O375)*--(Source!$E$1:$E$250=$M$3)*--(Source!$D$1:$D$250=Pyramid!$M375),ROW(Source!$B$1:$B$250),FALSE),G$3)),"")</f>
        <v/>
      </c>
      <c r="H375" t="str">
        <f t="array" aca="1" ref="H375" ca="1">IFERROR(INDEX(Source!$A$1:$A$250,SMALL(IF(--(Source!$B$1:$B$250=$O375)*--(Source!$E$1:$E$250=$M$3)*--(Source!$D$1:$D$250=Pyramid!$M375),ROW(Source!$B$1:$B$250),FALSE),H$3)),"")</f>
        <v/>
      </c>
      <c r="I375" t="str">
        <f t="array" aca="1" ref="I375" ca="1">IFERROR(INDEX(Source!$A$1:$A$250,SMALL(IF(--(Source!$B$1:$B$250=$O375)*--(Source!$E$1:$E$250=$M$3)*--(Source!$D$1:$D$250=Pyramid!$M375),ROW(Source!$B$1:$B$250),FALSE),I$3)),"")</f>
        <v/>
      </c>
      <c r="J375" t="str">
        <f t="array" aca="1" ref="J375" ca="1">IFERROR(INDEX(Source!$A$1:$A$250,SMALL(IF(--(Source!$B$1:$B$250=$O375)*--(Source!$E$1:$E$250=$M$3)*--(Source!$D$1:$D$250=Pyramid!$M375),ROW(Source!$B$1:$B$250),FALSE),J$3)),"")</f>
        <v/>
      </c>
      <c r="K375" t="str">
        <f t="array" aca="1" ref="K375" ca="1">IFERROR(INDEX(Source!$A$1:$A$250,SMALL(IF(--(Source!$B$1:$B$250=$O375)*--(Source!$E$1:$E$250=$M$3)*--(Source!$D$1:$D$250=Pyramid!$M375),ROW(Source!$B$1:$B$250),FALSE),K$3)),"")</f>
        <v/>
      </c>
      <c r="L375" t="str">
        <f t="array" aca="1" ref="L375" ca="1">IFERROR(INDEX(Source!$A$1:$A$250,SMALL(IF(--(Source!$B$1:$B$250=$O375)*--(Source!$E$1:$E$250=$M$3)*--(Source!$D$1:$D$250=Pyramid!$M375),ROW(Source!$B$1:$B$250),FALSE),L$3)),"")</f>
        <v/>
      </c>
      <c r="M375" t="str">
        <f t="shared" si="17"/>
        <v>28/7/2016</v>
      </c>
      <c r="N375">
        <f ca="1">COUNTIFS(Source!B:B,Pyramid!$O375,Source!$D:$D,Pyramid!$M375,Source!$E:$E,Pyramid!$M$3)</f>
        <v>0</v>
      </c>
      <c r="O375">
        <f ca="1">OFFSET(Sheet2!$N$3,INT(C375/5),)</f>
        <v>23800</v>
      </c>
      <c r="P375">
        <f ca="1">COUNTIFS(Source!B:B,Pyramid!$O375,Source!D:D,Pyramid!$Q375,Source!$E:$E,Pyramid!$Q$3)</f>
        <v>0</v>
      </c>
      <c r="Q375" t="str">
        <f t="shared" si="17"/>
        <v>28/7/2016</v>
      </c>
      <c r="R375" t="str">
        <f t="array" aca="1" ref="R375" ca="1">IFERROR(INDEX(Source!$A$1:$A$250,SMALL(IF(--(Source!$B$1:$B$250=$O375)*--(Source!$E$1:$E$250=$Q$3)*--(Source!$D$1:$D$250=Pyramid!$Q375),ROW(Source!$B$1:$B$250),FALSE),R$3)),"")</f>
        <v/>
      </c>
      <c r="S375" t="str">
        <f t="array" aca="1" ref="S375" ca="1">IFERROR(INDEX(Source!$A$1:$A$250,SMALL(IF(--(Source!$B$1:$B$250=$O375)*--(Source!$E$1:$E$250=$Q$3)*--(Source!$D$1:$D$250=Pyramid!$Q375),ROW(Source!$B$1:$B$250),FALSE),S$3)),"")</f>
        <v/>
      </c>
      <c r="T375" t="str">
        <f t="array" aca="1" ref="T375" ca="1">IFERROR(INDEX(Source!$A$1:$A$250,SMALL(IF(--(Source!$B$1:$B$250=$O375)*--(Source!$E$1:$E$250=$Q$3)*--(Source!$D$1:$D$250=Pyramid!$Q375),ROW(Source!$B$1:$B$250),FALSE),T$3)),"")</f>
        <v/>
      </c>
      <c r="U375" t="str">
        <f t="array" aca="1" ref="U375" ca="1">IFERROR(INDEX(Source!$A$1:$A$250,SMALL(IF(--(Source!$B$1:$B$250=$O375)*--(Source!$E$1:$E$250=$Q$3)*--(Source!$D$1:$D$250=Pyramid!$Q375),ROW(Source!$B$1:$B$250),FALSE),U$3)),"")</f>
        <v/>
      </c>
      <c r="V375" t="str">
        <f t="array" aca="1" ref="V375" ca="1">IFERROR(INDEX(Source!$A$1:$A$250,SMALL(IF(--(Source!$B$1:$B$250=$O375)*--(Source!$E$1:$E$250=$Q$3)*--(Source!$D$1:$D$250=Pyramid!$Q375),ROW(Source!$B$1:$B$250),FALSE),V$3)),"")</f>
        <v/>
      </c>
      <c r="W375" t="str">
        <f t="array" aca="1" ref="W375" ca="1">IFERROR(INDEX(Source!$A$1:$A$250,SMALL(IF(--(Source!$B$1:$B$250=$O375)*--(Source!$E$1:$E$250=$Q$3)*--(Source!$D$1:$D$250=Pyramid!$Q375),ROW(Source!$B$1:$B$250),FALSE),W$3)),"")</f>
        <v/>
      </c>
      <c r="X375" t="str">
        <f t="array" aca="1" ref="X375" ca="1">IFERROR(INDEX(Source!$A$1:$A$250,SMALL(IF(--(Source!$B$1:$B$250=$O375)*--(Source!$E$1:$E$250=$Q$3)*--(Source!$D$1:$D$250=Pyramid!$Q375),ROW(Source!$B$1:$B$250),FALSE),X$3)),"")</f>
        <v/>
      </c>
      <c r="Y375" s="5">
        <f t="shared" ca="1" si="18"/>
        <v>0</v>
      </c>
    </row>
    <row r="376" spans="3:25">
      <c r="C376">
        <v>372</v>
      </c>
      <c r="D376" s="5">
        <f t="shared" ca="1" si="16"/>
        <v>0</v>
      </c>
      <c r="E376" t="str">
        <f t="array" aca="1" ref="E376" ca="1">IFERROR(INDEX(Source!$A$1:$A$250,SMALL(IF(--(Source!$B$1:$B$250=$O376)*--(Source!$E$1:$E$250=$M$3)*--(Source!$D$1:$D$250=Pyramid!$M376),ROW(Source!$B$1:$B$250),FALSE),E$3)),"")</f>
        <v/>
      </c>
      <c r="F376" t="str">
        <f t="array" aca="1" ref="F376" ca="1">IFERROR(INDEX(Source!$A$1:$A$250,SMALL(IF(--(Source!$B$1:$B$250=$O376)*--(Source!$E$1:$E$250=$M$3)*--(Source!$D$1:$D$250=Pyramid!$M376),ROW(Source!$B$1:$B$250),FALSE),F$3)),"")</f>
        <v/>
      </c>
      <c r="G376" t="str">
        <f t="array" aca="1" ref="G376" ca="1">IFERROR(INDEX(Source!$A$1:$A$250,SMALL(IF(--(Source!$B$1:$B$250=$O376)*--(Source!$E$1:$E$250=$M$3)*--(Source!$D$1:$D$250=Pyramid!$M376),ROW(Source!$B$1:$B$250),FALSE),G$3)),"")</f>
        <v/>
      </c>
      <c r="H376" t="str">
        <f t="array" aca="1" ref="H376" ca="1">IFERROR(INDEX(Source!$A$1:$A$250,SMALL(IF(--(Source!$B$1:$B$250=$O376)*--(Source!$E$1:$E$250=$M$3)*--(Source!$D$1:$D$250=Pyramid!$M376),ROW(Source!$B$1:$B$250),FALSE),H$3)),"")</f>
        <v/>
      </c>
      <c r="I376" t="str">
        <f t="array" aca="1" ref="I376" ca="1">IFERROR(INDEX(Source!$A$1:$A$250,SMALL(IF(--(Source!$B$1:$B$250=$O376)*--(Source!$E$1:$E$250=$M$3)*--(Source!$D$1:$D$250=Pyramid!$M376),ROW(Source!$B$1:$B$250),FALSE),I$3)),"")</f>
        <v/>
      </c>
      <c r="J376" t="str">
        <f t="array" aca="1" ref="J376" ca="1">IFERROR(INDEX(Source!$A$1:$A$250,SMALL(IF(--(Source!$B$1:$B$250=$O376)*--(Source!$E$1:$E$250=$M$3)*--(Source!$D$1:$D$250=Pyramid!$M376),ROW(Source!$B$1:$B$250),FALSE),J$3)),"")</f>
        <v/>
      </c>
      <c r="K376" t="str">
        <f t="array" aca="1" ref="K376" ca="1">IFERROR(INDEX(Source!$A$1:$A$250,SMALL(IF(--(Source!$B$1:$B$250=$O376)*--(Source!$E$1:$E$250=$M$3)*--(Source!$D$1:$D$250=Pyramid!$M376),ROW(Source!$B$1:$B$250),FALSE),K$3)),"")</f>
        <v/>
      </c>
      <c r="L376" t="str">
        <f t="array" aca="1" ref="L376" ca="1">IFERROR(INDEX(Source!$A$1:$A$250,SMALL(IF(--(Source!$B$1:$B$250=$O376)*--(Source!$E$1:$E$250=$M$3)*--(Source!$D$1:$D$250=Pyramid!$M376),ROW(Source!$B$1:$B$250),FALSE),L$3)),"")</f>
        <v/>
      </c>
      <c r="M376" t="str">
        <f t="shared" si="17"/>
        <v>30/8/2016</v>
      </c>
      <c r="N376">
        <f ca="1">COUNTIFS(Source!B:B,Pyramid!$O376,Source!$D:$D,Pyramid!$M376,Source!$E:$E,Pyramid!$M$3)</f>
        <v>0</v>
      </c>
      <c r="O376">
        <f ca="1">OFFSET(Sheet2!$N$3,INT(C376/5),)</f>
        <v>23800</v>
      </c>
      <c r="P376">
        <f ca="1">COUNTIFS(Source!B:B,Pyramid!$O376,Source!D:D,Pyramid!$Q376,Source!$E:$E,Pyramid!$Q$3)</f>
        <v>0</v>
      </c>
      <c r="Q376" t="str">
        <f t="shared" si="17"/>
        <v>30/8/2016</v>
      </c>
      <c r="R376" t="str">
        <f t="array" aca="1" ref="R376" ca="1">IFERROR(INDEX(Source!$A$1:$A$250,SMALL(IF(--(Source!$B$1:$B$250=$O376)*--(Source!$E$1:$E$250=$Q$3)*--(Source!$D$1:$D$250=Pyramid!$Q376),ROW(Source!$B$1:$B$250),FALSE),R$3)),"")</f>
        <v/>
      </c>
      <c r="S376" t="str">
        <f t="array" aca="1" ref="S376" ca="1">IFERROR(INDEX(Source!$A$1:$A$250,SMALL(IF(--(Source!$B$1:$B$250=$O376)*--(Source!$E$1:$E$250=$Q$3)*--(Source!$D$1:$D$250=Pyramid!$Q376),ROW(Source!$B$1:$B$250),FALSE),S$3)),"")</f>
        <v/>
      </c>
      <c r="T376" t="str">
        <f t="array" aca="1" ref="T376" ca="1">IFERROR(INDEX(Source!$A$1:$A$250,SMALL(IF(--(Source!$B$1:$B$250=$O376)*--(Source!$E$1:$E$250=$Q$3)*--(Source!$D$1:$D$250=Pyramid!$Q376),ROW(Source!$B$1:$B$250),FALSE),T$3)),"")</f>
        <v/>
      </c>
      <c r="U376" t="str">
        <f t="array" aca="1" ref="U376" ca="1">IFERROR(INDEX(Source!$A$1:$A$250,SMALL(IF(--(Source!$B$1:$B$250=$O376)*--(Source!$E$1:$E$250=$Q$3)*--(Source!$D$1:$D$250=Pyramid!$Q376),ROW(Source!$B$1:$B$250),FALSE),U$3)),"")</f>
        <v/>
      </c>
      <c r="V376" t="str">
        <f t="array" aca="1" ref="V376" ca="1">IFERROR(INDEX(Source!$A$1:$A$250,SMALL(IF(--(Source!$B$1:$B$250=$O376)*--(Source!$E$1:$E$250=$Q$3)*--(Source!$D$1:$D$250=Pyramid!$Q376),ROW(Source!$B$1:$B$250),FALSE),V$3)),"")</f>
        <v/>
      </c>
      <c r="W376" t="str">
        <f t="array" aca="1" ref="W376" ca="1">IFERROR(INDEX(Source!$A$1:$A$250,SMALL(IF(--(Source!$B$1:$B$250=$O376)*--(Source!$E$1:$E$250=$Q$3)*--(Source!$D$1:$D$250=Pyramid!$Q376),ROW(Source!$B$1:$B$250),FALSE),W$3)),"")</f>
        <v/>
      </c>
      <c r="X376" t="str">
        <f t="array" aca="1" ref="X376" ca="1">IFERROR(INDEX(Source!$A$1:$A$250,SMALL(IF(--(Source!$B$1:$B$250=$O376)*--(Source!$E$1:$E$250=$Q$3)*--(Source!$D$1:$D$250=Pyramid!$Q376),ROW(Source!$B$1:$B$250),FALSE),X$3)),"")</f>
        <v/>
      </c>
      <c r="Y376" s="5">
        <f t="shared" ca="1" si="18"/>
        <v>0</v>
      </c>
    </row>
    <row r="377" spans="3:25">
      <c r="C377">
        <v>373</v>
      </c>
      <c r="D377" s="5">
        <f t="shared" ca="1" si="16"/>
        <v>0</v>
      </c>
      <c r="E377" t="str">
        <f t="array" aca="1" ref="E377" ca="1">IFERROR(INDEX(Source!$A$1:$A$250,SMALL(IF(--(Source!$B$1:$B$250=$O377)*--(Source!$E$1:$E$250=$M$3)*--(Source!$D$1:$D$250=Pyramid!$M377),ROW(Source!$B$1:$B$250),FALSE),E$3)),"")</f>
        <v/>
      </c>
      <c r="F377" t="str">
        <f t="array" aca="1" ref="F377" ca="1">IFERROR(INDEX(Source!$A$1:$A$250,SMALL(IF(--(Source!$B$1:$B$250=$O377)*--(Source!$E$1:$E$250=$M$3)*--(Source!$D$1:$D$250=Pyramid!$M377),ROW(Source!$B$1:$B$250),FALSE),F$3)),"")</f>
        <v/>
      </c>
      <c r="G377" t="str">
        <f t="array" aca="1" ref="G377" ca="1">IFERROR(INDEX(Source!$A$1:$A$250,SMALL(IF(--(Source!$B$1:$B$250=$O377)*--(Source!$E$1:$E$250=$M$3)*--(Source!$D$1:$D$250=Pyramid!$M377),ROW(Source!$B$1:$B$250),FALSE),G$3)),"")</f>
        <v/>
      </c>
      <c r="H377" t="str">
        <f t="array" aca="1" ref="H377" ca="1">IFERROR(INDEX(Source!$A$1:$A$250,SMALL(IF(--(Source!$B$1:$B$250=$O377)*--(Source!$E$1:$E$250=$M$3)*--(Source!$D$1:$D$250=Pyramid!$M377),ROW(Source!$B$1:$B$250),FALSE),H$3)),"")</f>
        <v/>
      </c>
      <c r="I377" t="str">
        <f t="array" aca="1" ref="I377" ca="1">IFERROR(INDEX(Source!$A$1:$A$250,SMALL(IF(--(Source!$B$1:$B$250=$O377)*--(Source!$E$1:$E$250=$M$3)*--(Source!$D$1:$D$250=Pyramid!$M377),ROW(Source!$B$1:$B$250),FALSE),I$3)),"")</f>
        <v/>
      </c>
      <c r="J377" t="str">
        <f t="array" aca="1" ref="J377" ca="1">IFERROR(INDEX(Source!$A$1:$A$250,SMALL(IF(--(Source!$B$1:$B$250=$O377)*--(Source!$E$1:$E$250=$M$3)*--(Source!$D$1:$D$250=Pyramid!$M377),ROW(Source!$B$1:$B$250),FALSE),J$3)),"")</f>
        <v/>
      </c>
      <c r="K377" t="str">
        <f t="array" aca="1" ref="K377" ca="1">IFERROR(INDEX(Source!$A$1:$A$250,SMALL(IF(--(Source!$B$1:$B$250=$O377)*--(Source!$E$1:$E$250=$M$3)*--(Source!$D$1:$D$250=Pyramid!$M377),ROW(Source!$B$1:$B$250),FALSE),K$3)),"")</f>
        <v/>
      </c>
      <c r="L377" t="str">
        <f t="array" aca="1" ref="L377" ca="1">IFERROR(INDEX(Source!$A$1:$A$250,SMALL(IF(--(Source!$B$1:$B$250=$O377)*--(Source!$E$1:$E$250=$M$3)*--(Source!$D$1:$D$250=Pyramid!$M377),ROW(Source!$B$1:$B$250),FALSE),L$3)),"")</f>
        <v/>
      </c>
      <c r="M377" t="str">
        <f t="shared" si="17"/>
        <v>29/9/2016</v>
      </c>
      <c r="N377">
        <f ca="1">COUNTIFS(Source!B:B,Pyramid!$O377,Source!$D:$D,Pyramid!$M377,Source!$E:$E,Pyramid!$M$3)</f>
        <v>0</v>
      </c>
      <c r="O377">
        <f ca="1">OFFSET(Sheet2!$N$3,INT(C377/5),)</f>
        <v>23800</v>
      </c>
      <c r="P377">
        <f ca="1">COUNTIFS(Source!B:B,Pyramid!$O377,Source!D:D,Pyramid!$Q377,Source!$E:$E,Pyramid!$Q$3)</f>
        <v>0</v>
      </c>
      <c r="Q377" t="str">
        <f t="shared" si="17"/>
        <v>29/9/2016</v>
      </c>
      <c r="R377" t="str">
        <f t="array" aca="1" ref="R377" ca="1">IFERROR(INDEX(Source!$A$1:$A$250,SMALL(IF(--(Source!$B$1:$B$250=$O377)*--(Source!$E$1:$E$250=$Q$3)*--(Source!$D$1:$D$250=Pyramid!$Q377),ROW(Source!$B$1:$B$250),FALSE),R$3)),"")</f>
        <v/>
      </c>
      <c r="S377" t="str">
        <f t="array" aca="1" ref="S377" ca="1">IFERROR(INDEX(Source!$A$1:$A$250,SMALL(IF(--(Source!$B$1:$B$250=$O377)*--(Source!$E$1:$E$250=$Q$3)*--(Source!$D$1:$D$250=Pyramid!$Q377),ROW(Source!$B$1:$B$250),FALSE),S$3)),"")</f>
        <v/>
      </c>
      <c r="T377" t="str">
        <f t="array" aca="1" ref="T377" ca="1">IFERROR(INDEX(Source!$A$1:$A$250,SMALL(IF(--(Source!$B$1:$B$250=$O377)*--(Source!$E$1:$E$250=$Q$3)*--(Source!$D$1:$D$250=Pyramid!$Q377),ROW(Source!$B$1:$B$250),FALSE),T$3)),"")</f>
        <v/>
      </c>
      <c r="U377" t="str">
        <f t="array" aca="1" ref="U377" ca="1">IFERROR(INDEX(Source!$A$1:$A$250,SMALL(IF(--(Source!$B$1:$B$250=$O377)*--(Source!$E$1:$E$250=$Q$3)*--(Source!$D$1:$D$250=Pyramid!$Q377),ROW(Source!$B$1:$B$250),FALSE),U$3)),"")</f>
        <v/>
      </c>
      <c r="V377" t="str">
        <f t="array" aca="1" ref="V377" ca="1">IFERROR(INDEX(Source!$A$1:$A$250,SMALL(IF(--(Source!$B$1:$B$250=$O377)*--(Source!$E$1:$E$250=$Q$3)*--(Source!$D$1:$D$250=Pyramid!$Q377),ROW(Source!$B$1:$B$250),FALSE),V$3)),"")</f>
        <v/>
      </c>
      <c r="W377" t="str">
        <f t="array" aca="1" ref="W377" ca="1">IFERROR(INDEX(Source!$A$1:$A$250,SMALL(IF(--(Source!$B$1:$B$250=$O377)*--(Source!$E$1:$E$250=$Q$3)*--(Source!$D$1:$D$250=Pyramid!$Q377),ROW(Source!$B$1:$B$250),FALSE),W$3)),"")</f>
        <v/>
      </c>
      <c r="X377" t="str">
        <f t="array" aca="1" ref="X377" ca="1">IFERROR(INDEX(Source!$A$1:$A$250,SMALL(IF(--(Source!$B$1:$B$250=$O377)*--(Source!$E$1:$E$250=$Q$3)*--(Source!$D$1:$D$250=Pyramid!$Q377),ROW(Source!$B$1:$B$250),FALSE),X$3)),"")</f>
        <v/>
      </c>
      <c r="Y377" s="5">
        <f t="shared" ca="1" si="18"/>
        <v>0</v>
      </c>
    </row>
    <row r="378" spans="3:25">
      <c r="C378">
        <v>374</v>
      </c>
      <c r="D378" s="5">
        <f t="shared" ca="1" si="16"/>
        <v>0</v>
      </c>
      <c r="E378" t="str">
        <f t="array" aca="1" ref="E378" ca="1">IFERROR(INDEX(Source!$A$1:$A$250,SMALL(IF(--(Source!$B$1:$B$250=$O378)*--(Source!$E$1:$E$250=$M$3)*--(Source!$D$1:$D$250=Pyramid!$M378),ROW(Source!$B$1:$B$250),FALSE),E$3)),"")</f>
        <v/>
      </c>
      <c r="F378" t="str">
        <f t="array" aca="1" ref="F378" ca="1">IFERROR(INDEX(Source!$A$1:$A$250,SMALL(IF(--(Source!$B$1:$B$250=$O378)*--(Source!$E$1:$E$250=$M$3)*--(Source!$D$1:$D$250=Pyramid!$M378),ROW(Source!$B$1:$B$250),FALSE),F$3)),"")</f>
        <v/>
      </c>
      <c r="G378" t="str">
        <f t="array" aca="1" ref="G378" ca="1">IFERROR(INDEX(Source!$A$1:$A$250,SMALL(IF(--(Source!$B$1:$B$250=$O378)*--(Source!$E$1:$E$250=$M$3)*--(Source!$D$1:$D$250=Pyramid!$M378),ROW(Source!$B$1:$B$250),FALSE),G$3)),"")</f>
        <v/>
      </c>
      <c r="H378" t="str">
        <f t="array" aca="1" ref="H378" ca="1">IFERROR(INDEX(Source!$A$1:$A$250,SMALL(IF(--(Source!$B$1:$B$250=$O378)*--(Source!$E$1:$E$250=$M$3)*--(Source!$D$1:$D$250=Pyramid!$M378),ROW(Source!$B$1:$B$250),FALSE),H$3)),"")</f>
        <v/>
      </c>
      <c r="I378" t="str">
        <f t="array" aca="1" ref="I378" ca="1">IFERROR(INDEX(Source!$A$1:$A$250,SMALL(IF(--(Source!$B$1:$B$250=$O378)*--(Source!$E$1:$E$250=$M$3)*--(Source!$D$1:$D$250=Pyramid!$M378),ROW(Source!$B$1:$B$250),FALSE),I$3)),"")</f>
        <v/>
      </c>
      <c r="J378" t="str">
        <f t="array" aca="1" ref="J378" ca="1">IFERROR(INDEX(Source!$A$1:$A$250,SMALL(IF(--(Source!$B$1:$B$250=$O378)*--(Source!$E$1:$E$250=$M$3)*--(Source!$D$1:$D$250=Pyramid!$M378),ROW(Source!$B$1:$B$250),FALSE),J$3)),"")</f>
        <v/>
      </c>
      <c r="K378" t="str">
        <f t="array" aca="1" ref="K378" ca="1">IFERROR(INDEX(Source!$A$1:$A$250,SMALL(IF(--(Source!$B$1:$B$250=$O378)*--(Source!$E$1:$E$250=$M$3)*--(Source!$D$1:$D$250=Pyramid!$M378),ROW(Source!$B$1:$B$250),FALSE),K$3)),"")</f>
        <v/>
      </c>
      <c r="L378" t="str">
        <f t="array" aca="1" ref="L378" ca="1">IFERROR(INDEX(Source!$A$1:$A$250,SMALL(IF(--(Source!$B$1:$B$250=$O378)*--(Source!$E$1:$E$250=$M$3)*--(Source!$D$1:$D$250=Pyramid!$M378),ROW(Source!$B$1:$B$250),FALSE),L$3)),"")</f>
        <v/>
      </c>
      <c r="M378" t="str">
        <f t="shared" si="17"/>
        <v>28/10/2016</v>
      </c>
      <c r="N378">
        <f ca="1">COUNTIFS(Source!B:B,Pyramid!$O378,Source!$D:$D,Pyramid!$M378,Source!$E:$E,Pyramid!$M$3)</f>
        <v>0</v>
      </c>
      <c r="O378">
        <f ca="1">OFFSET(Sheet2!$N$3,INT(C378/5),)</f>
        <v>23800</v>
      </c>
      <c r="P378">
        <f ca="1">COUNTIFS(Source!B:B,Pyramid!$O378,Source!D:D,Pyramid!$Q378,Source!$E:$E,Pyramid!$Q$3)</f>
        <v>0</v>
      </c>
      <c r="Q378" t="str">
        <f t="shared" si="17"/>
        <v>28/10/2016</v>
      </c>
      <c r="R378" t="str">
        <f t="array" aca="1" ref="R378" ca="1">IFERROR(INDEX(Source!$A$1:$A$250,SMALL(IF(--(Source!$B$1:$B$250=$O378)*--(Source!$E$1:$E$250=$Q$3)*--(Source!$D$1:$D$250=Pyramid!$Q378),ROW(Source!$B$1:$B$250),FALSE),R$3)),"")</f>
        <v/>
      </c>
      <c r="S378" t="str">
        <f t="array" aca="1" ref="S378" ca="1">IFERROR(INDEX(Source!$A$1:$A$250,SMALL(IF(--(Source!$B$1:$B$250=$O378)*--(Source!$E$1:$E$250=$Q$3)*--(Source!$D$1:$D$250=Pyramid!$Q378),ROW(Source!$B$1:$B$250),FALSE),S$3)),"")</f>
        <v/>
      </c>
      <c r="T378" t="str">
        <f t="array" aca="1" ref="T378" ca="1">IFERROR(INDEX(Source!$A$1:$A$250,SMALL(IF(--(Source!$B$1:$B$250=$O378)*--(Source!$E$1:$E$250=$Q$3)*--(Source!$D$1:$D$250=Pyramid!$Q378),ROW(Source!$B$1:$B$250),FALSE),T$3)),"")</f>
        <v/>
      </c>
      <c r="U378" t="str">
        <f t="array" aca="1" ref="U378" ca="1">IFERROR(INDEX(Source!$A$1:$A$250,SMALL(IF(--(Source!$B$1:$B$250=$O378)*--(Source!$E$1:$E$250=$Q$3)*--(Source!$D$1:$D$250=Pyramid!$Q378),ROW(Source!$B$1:$B$250),FALSE),U$3)),"")</f>
        <v/>
      </c>
      <c r="V378" t="str">
        <f t="array" aca="1" ref="V378" ca="1">IFERROR(INDEX(Source!$A$1:$A$250,SMALL(IF(--(Source!$B$1:$B$250=$O378)*--(Source!$E$1:$E$250=$Q$3)*--(Source!$D$1:$D$250=Pyramid!$Q378),ROW(Source!$B$1:$B$250),FALSE),V$3)),"")</f>
        <v/>
      </c>
      <c r="W378" t="str">
        <f t="array" aca="1" ref="W378" ca="1">IFERROR(INDEX(Source!$A$1:$A$250,SMALL(IF(--(Source!$B$1:$B$250=$O378)*--(Source!$E$1:$E$250=$Q$3)*--(Source!$D$1:$D$250=Pyramid!$Q378),ROW(Source!$B$1:$B$250),FALSE),W$3)),"")</f>
        <v/>
      </c>
      <c r="X378" t="str">
        <f t="array" aca="1" ref="X378" ca="1">IFERROR(INDEX(Source!$A$1:$A$250,SMALL(IF(--(Source!$B$1:$B$250=$O378)*--(Source!$E$1:$E$250=$Q$3)*--(Source!$D$1:$D$250=Pyramid!$Q378),ROW(Source!$B$1:$B$250),FALSE),X$3)),"")</f>
        <v/>
      </c>
      <c r="Y378" s="5">
        <f t="shared" ca="1" si="18"/>
        <v>0</v>
      </c>
    </row>
    <row r="379" spans="3:25">
      <c r="C379">
        <v>375</v>
      </c>
      <c r="D379" s="5">
        <f t="shared" ca="1" si="16"/>
        <v>0</v>
      </c>
      <c r="E379" t="str">
        <f t="array" aca="1" ref="E379" ca="1">IFERROR(INDEX(Source!$A$1:$A$250,SMALL(IF(--(Source!$B$1:$B$250=$O379)*--(Source!$E$1:$E$250=$M$3)*--(Source!$D$1:$D$250=Pyramid!$M379),ROW(Source!$B$1:$B$250),FALSE),E$3)),"")</f>
        <v/>
      </c>
      <c r="F379" t="str">
        <f t="array" aca="1" ref="F379" ca="1">IFERROR(INDEX(Source!$A$1:$A$250,SMALL(IF(--(Source!$B$1:$B$250=$O379)*--(Source!$E$1:$E$250=$M$3)*--(Source!$D$1:$D$250=Pyramid!$M379),ROW(Source!$B$1:$B$250),FALSE),F$3)),"")</f>
        <v/>
      </c>
      <c r="G379" t="str">
        <f t="array" aca="1" ref="G379" ca="1">IFERROR(INDEX(Source!$A$1:$A$250,SMALL(IF(--(Source!$B$1:$B$250=$O379)*--(Source!$E$1:$E$250=$M$3)*--(Source!$D$1:$D$250=Pyramid!$M379),ROW(Source!$B$1:$B$250),FALSE),G$3)),"")</f>
        <v/>
      </c>
      <c r="H379" t="str">
        <f t="array" aca="1" ref="H379" ca="1">IFERROR(INDEX(Source!$A$1:$A$250,SMALL(IF(--(Source!$B$1:$B$250=$O379)*--(Source!$E$1:$E$250=$M$3)*--(Source!$D$1:$D$250=Pyramid!$M379),ROW(Source!$B$1:$B$250),FALSE),H$3)),"")</f>
        <v/>
      </c>
      <c r="I379" t="str">
        <f t="array" aca="1" ref="I379" ca="1">IFERROR(INDEX(Source!$A$1:$A$250,SMALL(IF(--(Source!$B$1:$B$250=$O379)*--(Source!$E$1:$E$250=$M$3)*--(Source!$D$1:$D$250=Pyramid!$M379),ROW(Source!$B$1:$B$250),FALSE),I$3)),"")</f>
        <v/>
      </c>
      <c r="J379" t="str">
        <f t="array" aca="1" ref="J379" ca="1">IFERROR(INDEX(Source!$A$1:$A$250,SMALL(IF(--(Source!$B$1:$B$250=$O379)*--(Source!$E$1:$E$250=$M$3)*--(Source!$D$1:$D$250=Pyramid!$M379),ROW(Source!$B$1:$B$250),FALSE),J$3)),"")</f>
        <v/>
      </c>
      <c r="K379" t="str">
        <f t="array" aca="1" ref="K379" ca="1">IFERROR(INDEX(Source!$A$1:$A$250,SMALL(IF(--(Source!$B$1:$B$250=$O379)*--(Source!$E$1:$E$250=$M$3)*--(Source!$D$1:$D$250=Pyramid!$M379),ROW(Source!$B$1:$B$250),FALSE),K$3)),"")</f>
        <v/>
      </c>
      <c r="L379" t="str">
        <f t="array" aca="1" ref="L379" ca="1">IFERROR(INDEX(Source!$A$1:$A$250,SMALL(IF(--(Source!$B$1:$B$250=$O379)*--(Source!$E$1:$E$250=$M$3)*--(Source!$D$1:$D$250=Pyramid!$M379),ROW(Source!$B$1:$B$250),FALSE),L$3)),"")</f>
        <v/>
      </c>
      <c r="M379" t="str">
        <f t="shared" si="17"/>
        <v>29/6/2016</v>
      </c>
      <c r="N379">
        <f ca="1">COUNTIFS(Source!B:B,Pyramid!$O379,Source!$D:$D,Pyramid!$M379,Source!$E:$E,Pyramid!$M$3)</f>
        <v>0</v>
      </c>
      <c r="O379">
        <f ca="1">OFFSET(Sheet2!$N$3,INT(C379/5),)</f>
        <v>24288</v>
      </c>
      <c r="P379">
        <f ca="1">COUNTIFS(Source!B:B,Pyramid!$O379,Source!D:D,Pyramid!$Q379,Source!$E:$E,Pyramid!$Q$3)</f>
        <v>0</v>
      </c>
      <c r="Q379" t="str">
        <f t="shared" si="17"/>
        <v>29/6/2016</v>
      </c>
      <c r="R379" t="str">
        <f t="array" aca="1" ref="R379" ca="1">IFERROR(INDEX(Source!$A$1:$A$250,SMALL(IF(--(Source!$B$1:$B$250=$O379)*--(Source!$E$1:$E$250=$Q$3)*--(Source!$D$1:$D$250=Pyramid!$Q379),ROW(Source!$B$1:$B$250),FALSE),R$3)),"")</f>
        <v/>
      </c>
      <c r="S379" t="str">
        <f t="array" aca="1" ref="S379" ca="1">IFERROR(INDEX(Source!$A$1:$A$250,SMALL(IF(--(Source!$B$1:$B$250=$O379)*--(Source!$E$1:$E$250=$Q$3)*--(Source!$D$1:$D$250=Pyramid!$Q379),ROW(Source!$B$1:$B$250),FALSE),S$3)),"")</f>
        <v/>
      </c>
      <c r="T379" t="str">
        <f t="array" aca="1" ref="T379" ca="1">IFERROR(INDEX(Source!$A$1:$A$250,SMALL(IF(--(Source!$B$1:$B$250=$O379)*--(Source!$E$1:$E$250=$Q$3)*--(Source!$D$1:$D$250=Pyramid!$Q379),ROW(Source!$B$1:$B$250),FALSE),T$3)),"")</f>
        <v/>
      </c>
      <c r="U379" t="str">
        <f t="array" aca="1" ref="U379" ca="1">IFERROR(INDEX(Source!$A$1:$A$250,SMALL(IF(--(Source!$B$1:$B$250=$O379)*--(Source!$E$1:$E$250=$Q$3)*--(Source!$D$1:$D$250=Pyramid!$Q379),ROW(Source!$B$1:$B$250),FALSE),U$3)),"")</f>
        <v/>
      </c>
      <c r="V379" t="str">
        <f t="array" aca="1" ref="V379" ca="1">IFERROR(INDEX(Source!$A$1:$A$250,SMALL(IF(--(Source!$B$1:$B$250=$O379)*--(Source!$E$1:$E$250=$Q$3)*--(Source!$D$1:$D$250=Pyramid!$Q379),ROW(Source!$B$1:$B$250),FALSE),V$3)),"")</f>
        <v/>
      </c>
      <c r="W379" t="str">
        <f t="array" aca="1" ref="W379" ca="1">IFERROR(INDEX(Source!$A$1:$A$250,SMALL(IF(--(Source!$B$1:$B$250=$O379)*--(Source!$E$1:$E$250=$Q$3)*--(Source!$D$1:$D$250=Pyramid!$Q379),ROW(Source!$B$1:$B$250),FALSE),W$3)),"")</f>
        <v/>
      </c>
      <c r="X379" t="str">
        <f t="array" aca="1" ref="X379" ca="1">IFERROR(INDEX(Source!$A$1:$A$250,SMALL(IF(--(Source!$B$1:$B$250=$O379)*--(Source!$E$1:$E$250=$Q$3)*--(Source!$D$1:$D$250=Pyramid!$Q379),ROW(Source!$B$1:$B$250),FALSE),X$3)),"")</f>
        <v/>
      </c>
      <c r="Y379" s="5">
        <f t="shared" ca="1" si="18"/>
        <v>0</v>
      </c>
    </row>
    <row r="380" spans="3:25">
      <c r="C380">
        <v>376</v>
      </c>
      <c r="D380" s="5">
        <f t="shared" ca="1" si="16"/>
        <v>0</v>
      </c>
      <c r="E380" t="str">
        <f t="array" aca="1" ref="E380" ca="1">IFERROR(INDEX(Source!$A$1:$A$250,SMALL(IF(--(Source!$B$1:$B$250=$O380)*--(Source!$E$1:$E$250=$M$3)*--(Source!$D$1:$D$250=Pyramid!$M380),ROW(Source!$B$1:$B$250),FALSE),E$3)),"")</f>
        <v/>
      </c>
      <c r="F380" t="str">
        <f t="array" aca="1" ref="F380" ca="1">IFERROR(INDEX(Source!$A$1:$A$250,SMALL(IF(--(Source!$B$1:$B$250=$O380)*--(Source!$E$1:$E$250=$M$3)*--(Source!$D$1:$D$250=Pyramid!$M380),ROW(Source!$B$1:$B$250),FALSE),F$3)),"")</f>
        <v/>
      </c>
      <c r="G380" t="str">
        <f t="array" aca="1" ref="G380" ca="1">IFERROR(INDEX(Source!$A$1:$A$250,SMALL(IF(--(Source!$B$1:$B$250=$O380)*--(Source!$E$1:$E$250=$M$3)*--(Source!$D$1:$D$250=Pyramid!$M380),ROW(Source!$B$1:$B$250),FALSE),G$3)),"")</f>
        <v/>
      </c>
      <c r="H380" t="str">
        <f t="array" aca="1" ref="H380" ca="1">IFERROR(INDEX(Source!$A$1:$A$250,SMALL(IF(--(Source!$B$1:$B$250=$O380)*--(Source!$E$1:$E$250=$M$3)*--(Source!$D$1:$D$250=Pyramid!$M380),ROW(Source!$B$1:$B$250),FALSE),H$3)),"")</f>
        <v/>
      </c>
      <c r="I380" t="str">
        <f t="array" aca="1" ref="I380" ca="1">IFERROR(INDEX(Source!$A$1:$A$250,SMALL(IF(--(Source!$B$1:$B$250=$O380)*--(Source!$E$1:$E$250=$M$3)*--(Source!$D$1:$D$250=Pyramid!$M380),ROW(Source!$B$1:$B$250),FALSE),I$3)),"")</f>
        <v/>
      </c>
      <c r="J380" t="str">
        <f t="array" aca="1" ref="J380" ca="1">IFERROR(INDEX(Source!$A$1:$A$250,SMALL(IF(--(Source!$B$1:$B$250=$O380)*--(Source!$E$1:$E$250=$M$3)*--(Source!$D$1:$D$250=Pyramid!$M380),ROW(Source!$B$1:$B$250),FALSE),J$3)),"")</f>
        <v/>
      </c>
      <c r="K380" t="str">
        <f t="array" aca="1" ref="K380" ca="1">IFERROR(INDEX(Source!$A$1:$A$250,SMALL(IF(--(Source!$B$1:$B$250=$O380)*--(Source!$E$1:$E$250=$M$3)*--(Source!$D$1:$D$250=Pyramid!$M380),ROW(Source!$B$1:$B$250),FALSE),K$3)),"")</f>
        <v/>
      </c>
      <c r="L380" t="str">
        <f t="array" aca="1" ref="L380" ca="1">IFERROR(INDEX(Source!$A$1:$A$250,SMALL(IF(--(Source!$B$1:$B$250=$O380)*--(Source!$E$1:$E$250=$M$3)*--(Source!$D$1:$D$250=Pyramid!$M380),ROW(Source!$B$1:$B$250),FALSE),L$3)),"")</f>
        <v/>
      </c>
      <c r="M380" t="str">
        <f t="shared" si="17"/>
        <v>28/7/2016</v>
      </c>
      <c r="N380">
        <f ca="1">COUNTIFS(Source!B:B,Pyramid!$O380,Source!$D:$D,Pyramid!$M380,Source!$E:$E,Pyramid!$M$3)</f>
        <v>0</v>
      </c>
      <c r="O380">
        <f ca="1">OFFSET(Sheet2!$N$3,INT(C380/5),)</f>
        <v>24288</v>
      </c>
      <c r="P380">
        <f ca="1">COUNTIFS(Source!B:B,Pyramid!$O380,Source!D:D,Pyramid!$Q380,Source!$E:$E,Pyramid!$Q$3)</f>
        <v>0</v>
      </c>
      <c r="Q380" t="str">
        <f t="shared" si="17"/>
        <v>28/7/2016</v>
      </c>
      <c r="R380" t="str">
        <f t="array" aca="1" ref="R380" ca="1">IFERROR(INDEX(Source!$A$1:$A$250,SMALL(IF(--(Source!$B$1:$B$250=$O380)*--(Source!$E$1:$E$250=$Q$3)*--(Source!$D$1:$D$250=Pyramid!$Q380),ROW(Source!$B$1:$B$250),FALSE),R$3)),"")</f>
        <v/>
      </c>
      <c r="S380" t="str">
        <f t="array" aca="1" ref="S380" ca="1">IFERROR(INDEX(Source!$A$1:$A$250,SMALL(IF(--(Source!$B$1:$B$250=$O380)*--(Source!$E$1:$E$250=$Q$3)*--(Source!$D$1:$D$250=Pyramid!$Q380),ROW(Source!$B$1:$B$250),FALSE),S$3)),"")</f>
        <v/>
      </c>
      <c r="T380" t="str">
        <f t="array" aca="1" ref="T380" ca="1">IFERROR(INDEX(Source!$A$1:$A$250,SMALL(IF(--(Source!$B$1:$B$250=$O380)*--(Source!$E$1:$E$250=$Q$3)*--(Source!$D$1:$D$250=Pyramid!$Q380),ROW(Source!$B$1:$B$250),FALSE),T$3)),"")</f>
        <v/>
      </c>
      <c r="U380" t="str">
        <f t="array" aca="1" ref="U380" ca="1">IFERROR(INDEX(Source!$A$1:$A$250,SMALL(IF(--(Source!$B$1:$B$250=$O380)*--(Source!$E$1:$E$250=$Q$3)*--(Source!$D$1:$D$250=Pyramid!$Q380),ROW(Source!$B$1:$B$250),FALSE),U$3)),"")</f>
        <v/>
      </c>
      <c r="V380" t="str">
        <f t="array" aca="1" ref="V380" ca="1">IFERROR(INDEX(Source!$A$1:$A$250,SMALL(IF(--(Source!$B$1:$B$250=$O380)*--(Source!$E$1:$E$250=$Q$3)*--(Source!$D$1:$D$250=Pyramid!$Q380),ROW(Source!$B$1:$B$250),FALSE),V$3)),"")</f>
        <v/>
      </c>
      <c r="W380" t="str">
        <f t="array" aca="1" ref="W380" ca="1">IFERROR(INDEX(Source!$A$1:$A$250,SMALL(IF(--(Source!$B$1:$B$250=$O380)*--(Source!$E$1:$E$250=$Q$3)*--(Source!$D$1:$D$250=Pyramid!$Q380),ROW(Source!$B$1:$B$250),FALSE),W$3)),"")</f>
        <v/>
      </c>
      <c r="X380" t="str">
        <f t="array" aca="1" ref="X380" ca="1">IFERROR(INDEX(Source!$A$1:$A$250,SMALL(IF(--(Source!$B$1:$B$250=$O380)*--(Source!$E$1:$E$250=$Q$3)*--(Source!$D$1:$D$250=Pyramid!$Q380),ROW(Source!$B$1:$B$250),FALSE),X$3)),"")</f>
        <v/>
      </c>
      <c r="Y380" s="5">
        <f t="shared" ca="1" si="18"/>
        <v>0</v>
      </c>
    </row>
    <row r="381" spans="3:25">
      <c r="C381">
        <v>377</v>
      </c>
      <c r="D381" s="5">
        <f t="shared" ca="1" si="16"/>
        <v>0</v>
      </c>
      <c r="E381" t="str">
        <f t="array" aca="1" ref="E381" ca="1">IFERROR(INDEX(Source!$A$1:$A$250,SMALL(IF(--(Source!$B$1:$B$250=$O381)*--(Source!$E$1:$E$250=$M$3)*--(Source!$D$1:$D$250=Pyramid!$M381),ROW(Source!$B$1:$B$250),FALSE),E$3)),"")</f>
        <v/>
      </c>
      <c r="F381" t="str">
        <f t="array" aca="1" ref="F381" ca="1">IFERROR(INDEX(Source!$A$1:$A$250,SMALL(IF(--(Source!$B$1:$B$250=$O381)*--(Source!$E$1:$E$250=$M$3)*--(Source!$D$1:$D$250=Pyramid!$M381),ROW(Source!$B$1:$B$250),FALSE),F$3)),"")</f>
        <v/>
      </c>
      <c r="G381" t="str">
        <f t="array" aca="1" ref="G381" ca="1">IFERROR(INDEX(Source!$A$1:$A$250,SMALL(IF(--(Source!$B$1:$B$250=$O381)*--(Source!$E$1:$E$250=$M$3)*--(Source!$D$1:$D$250=Pyramid!$M381),ROW(Source!$B$1:$B$250),FALSE),G$3)),"")</f>
        <v/>
      </c>
      <c r="H381" t="str">
        <f t="array" aca="1" ref="H381" ca="1">IFERROR(INDEX(Source!$A$1:$A$250,SMALL(IF(--(Source!$B$1:$B$250=$O381)*--(Source!$E$1:$E$250=$M$3)*--(Source!$D$1:$D$250=Pyramid!$M381),ROW(Source!$B$1:$B$250),FALSE),H$3)),"")</f>
        <v/>
      </c>
      <c r="I381" t="str">
        <f t="array" aca="1" ref="I381" ca="1">IFERROR(INDEX(Source!$A$1:$A$250,SMALL(IF(--(Source!$B$1:$B$250=$O381)*--(Source!$E$1:$E$250=$M$3)*--(Source!$D$1:$D$250=Pyramid!$M381),ROW(Source!$B$1:$B$250),FALSE),I$3)),"")</f>
        <v/>
      </c>
      <c r="J381" t="str">
        <f t="array" aca="1" ref="J381" ca="1">IFERROR(INDEX(Source!$A$1:$A$250,SMALL(IF(--(Source!$B$1:$B$250=$O381)*--(Source!$E$1:$E$250=$M$3)*--(Source!$D$1:$D$250=Pyramid!$M381),ROW(Source!$B$1:$B$250),FALSE),J$3)),"")</f>
        <v/>
      </c>
      <c r="K381" t="str">
        <f t="array" aca="1" ref="K381" ca="1">IFERROR(INDEX(Source!$A$1:$A$250,SMALL(IF(--(Source!$B$1:$B$250=$O381)*--(Source!$E$1:$E$250=$M$3)*--(Source!$D$1:$D$250=Pyramid!$M381),ROW(Source!$B$1:$B$250),FALSE),K$3)),"")</f>
        <v/>
      </c>
      <c r="L381" t="str">
        <f t="array" aca="1" ref="L381" ca="1">IFERROR(INDEX(Source!$A$1:$A$250,SMALL(IF(--(Source!$B$1:$B$250=$O381)*--(Source!$E$1:$E$250=$M$3)*--(Source!$D$1:$D$250=Pyramid!$M381),ROW(Source!$B$1:$B$250),FALSE),L$3)),"")</f>
        <v/>
      </c>
      <c r="M381" t="str">
        <f t="shared" si="17"/>
        <v>30/8/2016</v>
      </c>
      <c r="N381">
        <f ca="1">COUNTIFS(Source!B:B,Pyramid!$O381,Source!$D:$D,Pyramid!$M381,Source!$E:$E,Pyramid!$M$3)</f>
        <v>0</v>
      </c>
      <c r="O381">
        <f ca="1">OFFSET(Sheet2!$N$3,INT(C381/5),)</f>
        <v>24288</v>
      </c>
      <c r="P381">
        <f ca="1">COUNTIFS(Source!B:B,Pyramid!$O381,Source!D:D,Pyramid!$Q381,Source!$E:$E,Pyramid!$Q$3)</f>
        <v>0</v>
      </c>
      <c r="Q381" t="str">
        <f t="shared" si="17"/>
        <v>30/8/2016</v>
      </c>
      <c r="R381" t="str">
        <f t="array" aca="1" ref="R381" ca="1">IFERROR(INDEX(Source!$A$1:$A$250,SMALL(IF(--(Source!$B$1:$B$250=$O381)*--(Source!$E$1:$E$250=$Q$3)*--(Source!$D$1:$D$250=Pyramid!$Q381),ROW(Source!$B$1:$B$250),FALSE),R$3)),"")</f>
        <v/>
      </c>
      <c r="S381" t="str">
        <f t="array" aca="1" ref="S381" ca="1">IFERROR(INDEX(Source!$A$1:$A$250,SMALL(IF(--(Source!$B$1:$B$250=$O381)*--(Source!$E$1:$E$250=$Q$3)*--(Source!$D$1:$D$250=Pyramid!$Q381),ROW(Source!$B$1:$B$250),FALSE),S$3)),"")</f>
        <v/>
      </c>
      <c r="T381" t="str">
        <f t="array" aca="1" ref="T381" ca="1">IFERROR(INDEX(Source!$A$1:$A$250,SMALL(IF(--(Source!$B$1:$B$250=$O381)*--(Source!$E$1:$E$250=$Q$3)*--(Source!$D$1:$D$250=Pyramid!$Q381),ROW(Source!$B$1:$B$250),FALSE),T$3)),"")</f>
        <v/>
      </c>
      <c r="U381" t="str">
        <f t="array" aca="1" ref="U381" ca="1">IFERROR(INDEX(Source!$A$1:$A$250,SMALL(IF(--(Source!$B$1:$B$250=$O381)*--(Source!$E$1:$E$250=$Q$3)*--(Source!$D$1:$D$250=Pyramid!$Q381),ROW(Source!$B$1:$B$250),FALSE),U$3)),"")</f>
        <v/>
      </c>
      <c r="V381" t="str">
        <f t="array" aca="1" ref="V381" ca="1">IFERROR(INDEX(Source!$A$1:$A$250,SMALL(IF(--(Source!$B$1:$B$250=$O381)*--(Source!$E$1:$E$250=$Q$3)*--(Source!$D$1:$D$250=Pyramid!$Q381),ROW(Source!$B$1:$B$250),FALSE),V$3)),"")</f>
        <v/>
      </c>
      <c r="W381" t="str">
        <f t="array" aca="1" ref="W381" ca="1">IFERROR(INDEX(Source!$A$1:$A$250,SMALL(IF(--(Source!$B$1:$B$250=$O381)*--(Source!$E$1:$E$250=$Q$3)*--(Source!$D$1:$D$250=Pyramid!$Q381),ROW(Source!$B$1:$B$250),FALSE),W$3)),"")</f>
        <v/>
      </c>
      <c r="X381" t="str">
        <f t="array" aca="1" ref="X381" ca="1">IFERROR(INDEX(Source!$A$1:$A$250,SMALL(IF(--(Source!$B$1:$B$250=$O381)*--(Source!$E$1:$E$250=$Q$3)*--(Source!$D$1:$D$250=Pyramid!$Q381),ROW(Source!$B$1:$B$250),FALSE),X$3)),"")</f>
        <v/>
      </c>
      <c r="Y381" s="5">
        <f t="shared" ca="1" si="18"/>
        <v>0</v>
      </c>
    </row>
    <row r="382" spans="3:25">
      <c r="C382">
        <v>378</v>
      </c>
      <c r="D382" s="5">
        <f t="shared" ca="1" si="16"/>
        <v>0</v>
      </c>
      <c r="E382" t="str">
        <f t="array" aca="1" ref="E382" ca="1">IFERROR(INDEX(Source!$A$1:$A$250,SMALL(IF(--(Source!$B$1:$B$250=$O382)*--(Source!$E$1:$E$250=$M$3)*--(Source!$D$1:$D$250=Pyramid!$M382),ROW(Source!$B$1:$B$250),FALSE),E$3)),"")</f>
        <v/>
      </c>
      <c r="F382" t="str">
        <f t="array" aca="1" ref="F382" ca="1">IFERROR(INDEX(Source!$A$1:$A$250,SMALL(IF(--(Source!$B$1:$B$250=$O382)*--(Source!$E$1:$E$250=$M$3)*--(Source!$D$1:$D$250=Pyramid!$M382),ROW(Source!$B$1:$B$250),FALSE),F$3)),"")</f>
        <v/>
      </c>
      <c r="G382" t="str">
        <f t="array" aca="1" ref="G382" ca="1">IFERROR(INDEX(Source!$A$1:$A$250,SMALL(IF(--(Source!$B$1:$B$250=$O382)*--(Source!$E$1:$E$250=$M$3)*--(Source!$D$1:$D$250=Pyramid!$M382),ROW(Source!$B$1:$B$250),FALSE),G$3)),"")</f>
        <v/>
      </c>
      <c r="H382" t="str">
        <f t="array" aca="1" ref="H382" ca="1">IFERROR(INDEX(Source!$A$1:$A$250,SMALL(IF(--(Source!$B$1:$B$250=$O382)*--(Source!$E$1:$E$250=$M$3)*--(Source!$D$1:$D$250=Pyramid!$M382),ROW(Source!$B$1:$B$250),FALSE),H$3)),"")</f>
        <v/>
      </c>
      <c r="I382" t="str">
        <f t="array" aca="1" ref="I382" ca="1">IFERROR(INDEX(Source!$A$1:$A$250,SMALL(IF(--(Source!$B$1:$B$250=$O382)*--(Source!$E$1:$E$250=$M$3)*--(Source!$D$1:$D$250=Pyramid!$M382),ROW(Source!$B$1:$B$250),FALSE),I$3)),"")</f>
        <v/>
      </c>
      <c r="J382" t="str">
        <f t="array" aca="1" ref="J382" ca="1">IFERROR(INDEX(Source!$A$1:$A$250,SMALL(IF(--(Source!$B$1:$B$250=$O382)*--(Source!$E$1:$E$250=$M$3)*--(Source!$D$1:$D$250=Pyramid!$M382),ROW(Source!$B$1:$B$250),FALSE),J$3)),"")</f>
        <v/>
      </c>
      <c r="K382" t="str">
        <f t="array" aca="1" ref="K382" ca="1">IFERROR(INDEX(Source!$A$1:$A$250,SMALL(IF(--(Source!$B$1:$B$250=$O382)*--(Source!$E$1:$E$250=$M$3)*--(Source!$D$1:$D$250=Pyramid!$M382),ROW(Source!$B$1:$B$250),FALSE),K$3)),"")</f>
        <v/>
      </c>
      <c r="L382" t="str">
        <f t="array" aca="1" ref="L382" ca="1">IFERROR(INDEX(Source!$A$1:$A$250,SMALL(IF(--(Source!$B$1:$B$250=$O382)*--(Source!$E$1:$E$250=$M$3)*--(Source!$D$1:$D$250=Pyramid!$M382),ROW(Source!$B$1:$B$250),FALSE),L$3)),"")</f>
        <v/>
      </c>
      <c r="M382" t="str">
        <f t="shared" si="17"/>
        <v>29/9/2016</v>
      </c>
      <c r="N382">
        <f ca="1">COUNTIFS(Source!B:B,Pyramid!$O382,Source!$D:$D,Pyramid!$M382,Source!$E:$E,Pyramid!$M$3)</f>
        <v>0</v>
      </c>
      <c r="O382">
        <f ca="1">OFFSET(Sheet2!$N$3,INT(C382/5),)</f>
        <v>24288</v>
      </c>
      <c r="P382">
        <f ca="1">COUNTIFS(Source!B:B,Pyramid!$O382,Source!D:D,Pyramid!$Q382,Source!$E:$E,Pyramid!$Q$3)</f>
        <v>0</v>
      </c>
      <c r="Q382" t="str">
        <f t="shared" si="17"/>
        <v>29/9/2016</v>
      </c>
      <c r="R382" t="str">
        <f t="array" aca="1" ref="R382" ca="1">IFERROR(INDEX(Source!$A$1:$A$250,SMALL(IF(--(Source!$B$1:$B$250=$O382)*--(Source!$E$1:$E$250=$Q$3)*--(Source!$D$1:$D$250=Pyramid!$Q382),ROW(Source!$B$1:$B$250),FALSE),R$3)),"")</f>
        <v/>
      </c>
      <c r="S382" t="str">
        <f t="array" aca="1" ref="S382" ca="1">IFERROR(INDEX(Source!$A$1:$A$250,SMALL(IF(--(Source!$B$1:$B$250=$O382)*--(Source!$E$1:$E$250=$Q$3)*--(Source!$D$1:$D$250=Pyramid!$Q382),ROW(Source!$B$1:$B$250),FALSE),S$3)),"")</f>
        <v/>
      </c>
      <c r="T382" t="str">
        <f t="array" aca="1" ref="T382" ca="1">IFERROR(INDEX(Source!$A$1:$A$250,SMALL(IF(--(Source!$B$1:$B$250=$O382)*--(Source!$E$1:$E$250=$Q$3)*--(Source!$D$1:$D$250=Pyramid!$Q382),ROW(Source!$B$1:$B$250),FALSE),T$3)),"")</f>
        <v/>
      </c>
      <c r="U382" t="str">
        <f t="array" aca="1" ref="U382" ca="1">IFERROR(INDEX(Source!$A$1:$A$250,SMALL(IF(--(Source!$B$1:$B$250=$O382)*--(Source!$E$1:$E$250=$Q$3)*--(Source!$D$1:$D$250=Pyramid!$Q382),ROW(Source!$B$1:$B$250),FALSE),U$3)),"")</f>
        <v/>
      </c>
      <c r="V382" t="str">
        <f t="array" aca="1" ref="V382" ca="1">IFERROR(INDEX(Source!$A$1:$A$250,SMALL(IF(--(Source!$B$1:$B$250=$O382)*--(Source!$E$1:$E$250=$Q$3)*--(Source!$D$1:$D$250=Pyramid!$Q382),ROW(Source!$B$1:$B$250),FALSE),V$3)),"")</f>
        <v/>
      </c>
      <c r="W382" t="str">
        <f t="array" aca="1" ref="W382" ca="1">IFERROR(INDEX(Source!$A$1:$A$250,SMALL(IF(--(Source!$B$1:$B$250=$O382)*--(Source!$E$1:$E$250=$Q$3)*--(Source!$D$1:$D$250=Pyramid!$Q382),ROW(Source!$B$1:$B$250),FALSE),W$3)),"")</f>
        <v/>
      </c>
      <c r="X382" t="str">
        <f t="array" aca="1" ref="X382" ca="1">IFERROR(INDEX(Source!$A$1:$A$250,SMALL(IF(--(Source!$B$1:$B$250=$O382)*--(Source!$E$1:$E$250=$Q$3)*--(Source!$D$1:$D$250=Pyramid!$Q382),ROW(Source!$B$1:$B$250),FALSE),X$3)),"")</f>
        <v/>
      </c>
      <c r="Y382" s="5">
        <f t="shared" ca="1" si="18"/>
        <v>0</v>
      </c>
    </row>
    <row r="383" spans="3:25">
      <c r="C383">
        <v>379</v>
      </c>
      <c r="D383" s="5">
        <f t="shared" ca="1" si="16"/>
        <v>0</v>
      </c>
      <c r="E383" t="str">
        <f t="array" aca="1" ref="E383" ca="1">IFERROR(INDEX(Source!$A$1:$A$250,SMALL(IF(--(Source!$B$1:$B$250=$O383)*--(Source!$E$1:$E$250=$M$3)*--(Source!$D$1:$D$250=Pyramid!$M383),ROW(Source!$B$1:$B$250),FALSE),E$3)),"")</f>
        <v/>
      </c>
      <c r="F383" t="str">
        <f t="array" aca="1" ref="F383" ca="1">IFERROR(INDEX(Source!$A$1:$A$250,SMALL(IF(--(Source!$B$1:$B$250=$O383)*--(Source!$E$1:$E$250=$M$3)*--(Source!$D$1:$D$250=Pyramid!$M383),ROW(Source!$B$1:$B$250),FALSE),F$3)),"")</f>
        <v/>
      </c>
      <c r="G383" t="str">
        <f t="array" aca="1" ref="G383" ca="1">IFERROR(INDEX(Source!$A$1:$A$250,SMALL(IF(--(Source!$B$1:$B$250=$O383)*--(Source!$E$1:$E$250=$M$3)*--(Source!$D$1:$D$250=Pyramid!$M383),ROW(Source!$B$1:$B$250),FALSE),G$3)),"")</f>
        <v/>
      </c>
      <c r="H383" t="str">
        <f t="array" aca="1" ref="H383" ca="1">IFERROR(INDEX(Source!$A$1:$A$250,SMALL(IF(--(Source!$B$1:$B$250=$O383)*--(Source!$E$1:$E$250=$M$3)*--(Source!$D$1:$D$250=Pyramid!$M383),ROW(Source!$B$1:$B$250),FALSE),H$3)),"")</f>
        <v/>
      </c>
      <c r="I383" t="str">
        <f t="array" aca="1" ref="I383" ca="1">IFERROR(INDEX(Source!$A$1:$A$250,SMALL(IF(--(Source!$B$1:$B$250=$O383)*--(Source!$E$1:$E$250=$M$3)*--(Source!$D$1:$D$250=Pyramid!$M383),ROW(Source!$B$1:$B$250),FALSE),I$3)),"")</f>
        <v/>
      </c>
      <c r="J383" t="str">
        <f t="array" aca="1" ref="J383" ca="1">IFERROR(INDEX(Source!$A$1:$A$250,SMALL(IF(--(Source!$B$1:$B$250=$O383)*--(Source!$E$1:$E$250=$M$3)*--(Source!$D$1:$D$250=Pyramid!$M383),ROW(Source!$B$1:$B$250),FALSE),J$3)),"")</f>
        <v/>
      </c>
      <c r="K383" t="str">
        <f t="array" aca="1" ref="K383" ca="1">IFERROR(INDEX(Source!$A$1:$A$250,SMALL(IF(--(Source!$B$1:$B$250=$O383)*--(Source!$E$1:$E$250=$M$3)*--(Source!$D$1:$D$250=Pyramid!$M383),ROW(Source!$B$1:$B$250),FALSE),K$3)),"")</f>
        <v/>
      </c>
      <c r="L383" t="str">
        <f t="array" aca="1" ref="L383" ca="1">IFERROR(INDEX(Source!$A$1:$A$250,SMALL(IF(--(Source!$B$1:$B$250=$O383)*--(Source!$E$1:$E$250=$M$3)*--(Source!$D$1:$D$250=Pyramid!$M383),ROW(Source!$B$1:$B$250),FALSE),L$3)),"")</f>
        <v/>
      </c>
      <c r="M383" t="str">
        <f t="shared" si="17"/>
        <v>28/10/2016</v>
      </c>
      <c r="N383">
        <f ca="1">COUNTIFS(Source!B:B,Pyramid!$O383,Source!$D:$D,Pyramid!$M383,Source!$E:$E,Pyramid!$M$3)</f>
        <v>0</v>
      </c>
      <c r="O383">
        <f ca="1">OFFSET(Sheet2!$N$3,INT(C383/5),)</f>
        <v>24288</v>
      </c>
      <c r="P383">
        <f ca="1">COUNTIFS(Source!B:B,Pyramid!$O383,Source!D:D,Pyramid!$Q383,Source!$E:$E,Pyramid!$Q$3)</f>
        <v>0</v>
      </c>
      <c r="Q383" t="str">
        <f t="shared" si="17"/>
        <v>28/10/2016</v>
      </c>
      <c r="R383" t="str">
        <f t="array" aca="1" ref="R383" ca="1">IFERROR(INDEX(Source!$A$1:$A$250,SMALL(IF(--(Source!$B$1:$B$250=$O383)*--(Source!$E$1:$E$250=$Q$3)*--(Source!$D$1:$D$250=Pyramid!$Q383),ROW(Source!$B$1:$B$250),FALSE),R$3)),"")</f>
        <v/>
      </c>
      <c r="S383" t="str">
        <f t="array" aca="1" ref="S383" ca="1">IFERROR(INDEX(Source!$A$1:$A$250,SMALL(IF(--(Source!$B$1:$B$250=$O383)*--(Source!$E$1:$E$250=$Q$3)*--(Source!$D$1:$D$250=Pyramid!$Q383),ROW(Source!$B$1:$B$250),FALSE),S$3)),"")</f>
        <v/>
      </c>
      <c r="T383" t="str">
        <f t="array" aca="1" ref="T383" ca="1">IFERROR(INDEX(Source!$A$1:$A$250,SMALL(IF(--(Source!$B$1:$B$250=$O383)*--(Source!$E$1:$E$250=$Q$3)*--(Source!$D$1:$D$250=Pyramid!$Q383),ROW(Source!$B$1:$B$250),FALSE),T$3)),"")</f>
        <v/>
      </c>
      <c r="U383" t="str">
        <f t="array" aca="1" ref="U383" ca="1">IFERROR(INDEX(Source!$A$1:$A$250,SMALL(IF(--(Source!$B$1:$B$250=$O383)*--(Source!$E$1:$E$250=$Q$3)*--(Source!$D$1:$D$250=Pyramid!$Q383),ROW(Source!$B$1:$B$250),FALSE),U$3)),"")</f>
        <v/>
      </c>
      <c r="V383" t="str">
        <f t="array" aca="1" ref="V383" ca="1">IFERROR(INDEX(Source!$A$1:$A$250,SMALL(IF(--(Source!$B$1:$B$250=$O383)*--(Source!$E$1:$E$250=$Q$3)*--(Source!$D$1:$D$250=Pyramid!$Q383),ROW(Source!$B$1:$B$250),FALSE),V$3)),"")</f>
        <v/>
      </c>
      <c r="W383" t="str">
        <f t="array" aca="1" ref="W383" ca="1">IFERROR(INDEX(Source!$A$1:$A$250,SMALL(IF(--(Source!$B$1:$B$250=$O383)*--(Source!$E$1:$E$250=$Q$3)*--(Source!$D$1:$D$250=Pyramid!$Q383),ROW(Source!$B$1:$B$250),FALSE),W$3)),"")</f>
        <v/>
      </c>
      <c r="X383" t="str">
        <f t="array" aca="1" ref="X383" ca="1">IFERROR(INDEX(Source!$A$1:$A$250,SMALL(IF(--(Source!$B$1:$B$250=$O383)*--(Source!$E$1:$E$250=$Q$3)*--(Source!$D$1:$D$250=Pyramid!$Q383),ROW(Source!$B$1:$B$250),FALSE),X$3)),"")</f>
        <v/>
      </c>
      <c r="Y383" s="5">
        <f t="shared" ca="1" si="18"/>
        <v>0</v>
      </c>
    </row>
    <row r="384" spans="3:25">
      <c r="C384">
        <v>380</v>
      </c>
      <c r="D384" s="5">
        <f t="shared" ca="1" si="16"/>
        <v>0</v>
      </c>
      <c r="E384" t="str">
        <f t="array" aca="1" ref="E384" ca="1">IFERROR(INDEX(Source!$A$1:$A$250,SMALL(IF(--(Source!$B$1:$B$250=$O384)*--(Source!$E$1:$E$250=$M$3)*--(Source!$D$1:$D$250=Pyramid!$M384),ROW(Source!$B$1:$B$250),FALSE),E$3)),"")</f>
        <v/>
      </c>
      <c r="F384" t="str">
        <f t="array" aca="1" ref="F384" ca="1">IFERROR(INDEX(Source!$A$1:$A$250,SMALL(IF(--(Source!$B$1:$B$250=$O384)*--(Source!$E$1:$E$250=$M$3)*--(Source!$D$1:$D$250=Pyramid!$M384),ROW(Source!$B$1:$B$250),FALSE),F$3)),"")</f>
        <v/>
      </c>
      <c r="G384" t="str">
        <f t="array" aca="1" ref="G384" ca="1">IFERROR(INDEX(Source!$A$1:$A$250,SMALL(IF(--(Source!$B$1:$B$250=$O384)*--(Source!$E$1:$E$250=$M$3)*--(Source!$D$1:$D$250=Pyramid!$M384),ROW(Source!$B$1:$B$250),FALSE),G$3)),"")</f>
        <v/>
      </c>
      <c r="H384" t="str">
        <f t="array" aca="1" ref="H384" ca="1">IFERROR(INDEX(Source!$A$1:$A$250,SMALL(IF(--(Source!$B$1:$B$250=$O384)*--(Source!$E$1:$E$250=$M$3)*--(Source!$D$1:$D$250=Pyramid!$M384),ROW(Source!$B$1:$B$250),FALSE),H$3)),"")</f>
        <v/>
      </c>
      <c r="I384" t="str">
        <f t="array" aca="1" ref="I384" ca="1">IFERROR(INDEX(Source!$A$1:$A$250,SMALL(IF(--(Source!$B$1:$B$250=$O384)*--(Source!$E$1:$E$250=$M$3)*--(Source!$D$1:$D$250=Pyramid!$M384),ROW(Source!$B$1:$B$250),FALSE),I$3)),"")</f>
        <v/>
      </c>
      <c r="J384" t="str">
        <f t="array" aca="1" ref="J384" ca="1">IFERROR(INDEX(Source!$A$1:$A$250,SMALL(IF(--(Source!$B$1:$B$250=$O384)*--(Source!$E$1:$E$250=$M$3)*--(Source!$D$1:$D$250=Pyramid!$M384),ROW(Source!$B$1:$B$250),FALSE),J$3)),"")</f>
        <v/>
      </c>
      <c r="K384" t="str">
        <f t="array" aca="1" ref="K384" ca="1">IFERROR(INDEX(Source!$A$1:$A$250,SMALL(IF(--(Source!$B$1:$B$250=$O384)*--(Source!$E$1:$E$250=$M$3)*--(Source!$D$1:$D$250=Pyramid!$M384),ROW(Source!$B$1:$B$250),FALSE),K$3)),"")</f>
        <v/>
      </c>
      <c r="L384" t="str">
        <f t="array" aca="1" ref="L384" ca="1">IFERROR(INDEX(Source!$A$1:$A$250,SMALL(IF(--(Source!$B$1:$B$250=$O384)*--(Source!$E$1:$E$250=$M$3)*--(Source!$D$1:$D$250=Pyramid!$M384),ROW(Source!$B$1:$B$250),FALSE),L$3)),"")</f>
        <v/>
      </c>
      <c r="M384" t="str">
        <f t="shared" si="17"/>
        <v>29/6/2016</v>
      </c>
      <c r="N384">
        <f ca="1">COUNTIFS(Source!B:B,Pyramid!$O384,Source!$D:$D,Pyramid!$M384,Source!$E:$E,Pyramid!$M$3)</f>
        <v>0</v>
      </c>
      <c r="O384">
        <f ca="1">OFFSET(Sheet2!$N$3,INT(C384/5),)</f>
        <v>24400</v>
      </c>
      <c r="P384">
        <f ca="1">COUNTIFS(Source!B:B,Pyramid!$O384,Source!D:D,Pyramid!$Q384,Source!$E:$E,Pyramid!$Q$3)</f>
        <v>0</v>
      </c>
      <c r="Q384" t="str">
        <f t="shared" si="17"/>
        <v>29/6/2016</v>
      </c>
      <c r="R384" t="str">
        <f t="array" aca="1" ref="R384" ca="1">IFERROR(INDEX(Source!$A$1:$A$250,SMALL(IF(--(Source!$B$1:$B$250=$O384)*--(Source!$E$1:$E$250=$Q$3)*--(Source!$D$1:$D$250=Pyramid!$Q384),ROW(Source!$B$1:$B$250),FALSE),R$3)),"")</f>
        <v/>
      </c>
      <c r="S384" t="str">
        <f t="array" aca="1" ref="S384" ca="1">IFERROR(INDEX(Source!$A$1:$A$250,SMALL(IF(--(Source!$B$1:$B$250=$O384)*--(Source!$E$1:$E$250=$Q$3)*--(Source!$D$1:$D$250=Pyramid!$Q384),ROW(Source!$B$1:$B$250),FALSE),S$3)),"")</f>
        <v/>
      </c>
      <c r="T384" t="str">
        <f t="array" aca="1" ref="T384" ca="1">IFERROR(INDEX(Source!$A$1:$A$250,SMALL(IF(--(Source!$B$1:$B$250=$O384)*--(Source!$E$1:$E$250=$Q$3)*--(Source!$D$1:$D$250=Pyramid!$Q384),ROW(Source!$B$1:$B$250),FALSE),T$3)),"")</f>
        <v/>
      </c>
      <c r="U384" t="str">
        <f t="array" aca="1" ref="U384" ca="1">IFERROR(INDEX(Source!$A$1:$A$250,SMALL(IF(--(Source!$B$1:$B$250=$O384)*--(Source!$E$1:$E$250=$Q$3)*--(Source!$D$1:$D$250=Pyramid!$Q384),ROW(Source!$B$1:$B$250),FALSE),U$3)),"")</f>
        <v/>
      </c>
      <c r="V384" t="str">
        <f t="array" aca="1" ref="V384" ca="1">IFERROR(INDEX(Source!$A$1:$A$250,SMALL(IF(--(Source!$B$1:$B$250=$O384)*--(Source!$E$1:$E$250=$Q$3)*--(Source!$D$1:$D$250=Pyramid!$Q384),ROW(Source!$B$1:$B$250),FALSE),V$3)),"")</f>
        <v/>
      </c>
      <c r="W384" t="str">
        <f t="array" aca="1" ref="W384" ca="1">IFERROR(INDEX(Source!$A$1:$A$250,SMALL(IF(--(Source!$B$1:$B$250=$O384)*--(Source!$E$1:$E$250=$Q$3)*--(Source!$D$1:$D$250=Pyramid!$Q384),ROW(Source!$B$1:$B$250),FALSE),W$3)),"")</f>
        <v/>
      </c>
      <c r="X384" t="str">
        <f t="array" aca="1" ref="X384" ca="1">IFERROR(INDEX(Source!$A$1:$A$250,SMALL(IF(--(Source!$B$1:$B$250=$O384)*--(Source!$E$1:$E$250=$Q$3)*--(Source!$D$1:$D$250=Pyramid!$Q384),ROW(Source!$B$1:$B$250),FALSE),X$3)),"")</f>
        <v/>
      </c>
      <c r="Y384" s="5">
        <f t="shared" ca="1" si="18"/>
        <v>0</v>
      </c>
    </row>
    <row r="385" spans="3:25">
      <c r="C385">
        <v>381</v>
      </c>
      <c r="D385" s="5">
        <f t="shared" ca="1" si="16"/>
        <v>0</v>
      </c>
      <c r="E385" t="str">
        <f t="array" aca="1" ref="E385" ca="1">IFERROR(INDEX(Source!$A$1:$A$250,SMALL(IF(--(Source!$B$1:$B$250=$O385)*--(Source!$E$1:$E$250=$M$3)*--(Source!$D$1:$D$250=Pyramid!$M385),ROW(Source!$B$1:$B$250),FALSE),E$3)),"")</f>
        <v/>
      </c>
      <c r="F385" t="str">
        <f t="array" aca="1" ref="F385" ca="1">IFERROR(INDEX(Source!$A$1:$A$250,SMALL(IF(--(Source!$B$1:$B$250=$O385)*--(Source!$E$1:$E$250=$M$3)*--(Source!$D$1:$D$250=Pyramid!$M385),ROW(Source!$B$1:$B$250),FALSE),F$3)),"")</f>
        <v/>
      </c>
      <c r="G385" t="str">
        <f t="array" aca="1" ref="G385" ca="1">IFERROR(INDEX(Source!$A$1:$A$250,SMALL(IF(--(Source!$B$1:$B$250=$O385)*--(Source!$E$1:$E$250=$M$3)*--(Source!$D$1:$D$250=Pyramid!$M385),ROW(Source!$B$1:$B$250),FALSE),G$3)),"")</f>
        <v/>
      </c>
      <c r="H385" t="str">
        <f t="array" aca="1" ref="H385" ca="1">IFERROR(INDEX(Source!$A$1:$A$250,SMALL(IF(--(Source!$B$1:$B$250=$O385)*--(Source!$E$1:$E$250=$M$3)*--(Source!$D$1:$D$250=Pyramid!$M385),ROW(Source!$B$1:$B$250),FALSE),H$3)),"")</f>
        <v/>
      </c>
      <c r="I385" t="str">
        <f t="array" aca="1" ref="I385" ca="1">IFERROR(INDEX(Source!$A$1:$A$250,SMALL(IF(--(Source!$B$1:$B$250=$O385)*--(Source!$E$1:$E$250=$M$3)*--(Source!$D$1:$D$250=Pyramid!$M385),ROW(Source!$B$1:$B$250),FALSE),I$3)),"")</f>
        <v/>
      </c>
      <c r="J385" t="str">
        <f t="array" aca="1" ref="J385" ca="1">IFERROR(INDEX(Source!$A$1:$A$250,SMALL(IF(--(Source!$B$1:$B$250=$O385)*--(Source!$E$1:$E$250=$M$3)*--(Source!$D$1:$D$250=Pyramid!$M385),ROW(Source!$B$1:$B$250),FALSE),J$3)),"")</f>
        <v/>
      </c>
      <c r="K385" t="str">
        <f t="array" aca="1" ref="K385" ca="1">IFERROR(INDEX(Source!$A$1:$A$250,SMALL(IF(--(Source!$B$1:$B$250=$O385)*--(Source!$E$1:$E$250=$M$3)*--(Source!$D$1:$D$250=Pyramid!$M385),ROW(Source!$B$1:$B$250),FALSE),K$3)),"")</f>
        <v/>
      </c>
      <c r="L385" t="str">
        <f t="array" aca="1" ref="L385" ca="1">IFERROR(INDEX(Source!$A$1:$A$250,SMALL(IF(--(Source!$B$1:$B$250=$O385)*--(Source!$E$1:$E$250=$M$3)*--(Source!$D$1:$D$250=Pyramid!$M385),ROW(Source!$B$1:$B$250),FALSE),L$3)),"")</f>
        <v/>
      </c>
      <c r="M385" t="str">
        <f t="shared" si="17"/>
        <v>28/7/2016</v>
      </c>
      <c r="N385">
        <f ca="1">COUNTIFS(Source!B:B,Pyramid!$O385,Source!$D:$D,Pyramid!$M385,Source!$E:$E,Pyramid!$M$3)</f>
        <v>0</v>
      </c>
      <c r="O385">
        <f ca="1">OFFSET(Sheet2!$N$3,INT(C385/5),)</f>
        <v>24400</v>
      </c>
      <c r="P385">
        <f ca="1">COUNTIFS(Source!B:B,Pyramid!$O385,Source!D:D,Pyramid!$Q385,Source!$E:$E,Pyramid!$Q$3)</f>
        <v>0</v>
      </c>
      <c r="Q385" t="str">
        <f t="shared" si="17"/>
        <v>28/7/2016</v>
      </c>
      <c r="R385" t="str">
        <f t="array" aca="1" ref="R385" ca="1">IFERROR(INDEX(Source!$A$1:$A$250,SMALL(IF(--(Source!$B$1:$B$250=$O385)*--(Source!$E$1:$E$250=$Q$3)*--(Source!$D$1:$D$250=Pyramid!$Q385),ROW(Source!$B$1:$B$250),FALSE),R$3)),"")</f>
        <v/>
      </c>
      <c r="S385" t="str">
        <f t="array" aca="1" ref="S385" ca="1">IFERROR(INDEX(Source!$A$1:$A$250,SMALL(IF(--(Source!$B$1:$B$250=$O385)*--(Source!$E$1:$E$250=$Q$3)*--(Source!$D$1:$D$250=Pyramid!$Q385),ROW(Source!$B$1:$B$250),FALSE),S$3)),"")</f>
        <v/>
      </c>
      <c r="T385" t="str">
        <f t="array" aca="1" ref="T385" ca="1">IFERROR(INDEX(Source!$A$1:$A$250,SMALL(IF(--(Source!$B$1:$B$250=$O385)*--(Source!$E$1:$E$250=$Q$3)*--(Source!$D$1:$D$250=Pyramid!$Q385),ROW(Source!$B$1:$B$250),FALSE),T$3)),"")</f>
        <v/>
      </c>
      <c r="U385" t="str">
        <f t="array" aca="1" ref="U385" ca="1">IFERROR(INDEX(Source!$A$1:$A$250,SMALL(IF(--(Source!$B$1:$B$250=$O385)*--(Source!$E$1:$E$250=$Q$3)*--(Source!$D$1:$D$250=Pyramid!$Q385),ROW(Source!$B$1:$B$250),FALSE),U$3)),"")</f>
        <v/>
      </c>
      <c r="V385" t="str">
        <f t="array" aca="1" ref="V385" ca="1">IFERROR(INDEX(Source!$A$1:$A$250,SMALL(IF(--(Source!$B$1:$B$250=$O385)*--(Source!$E$1:$E$250=$Q$3)*--(Source!$D$1:$D$250=Pyramid!$Q385),ROW(Source!$B$1:$B$250),FALSE),V$3)),"")</f>
        <v/>
      </c>
      <c r="W385" t="str">
        <f t="array" aca="1" ref="W385" ca="1">IFERROR(INDEX(Source!$A$1:$A$250,SMALL(IF(--(Source!$B$1:$B$250=$O385)*--(Source!$E$1:$E$250=$Q$3)*--(Source!$D$1:$D$250=Pyramid!$Q385),ROW(Source!$B$1:$B$250),FALSE),W$3)),"")</f>
        <v/>
      </c>
      <c r="X385" t="str">
        <f t="array" aca="1" ref="X385" ca="1">IFERROR(INDEX(Source!$A$1:$A$250,SMALL(IF(--(Source!$B$1:$B$250=$O385)*--(Source!$E$1:$E$250=$Q$3)*--(Source!$D$1:$D$250=Pyramid!$Q385),ROW(Source!$B$1:$B$250),FALSE),X$3)),"")</f>
        <v/>
      </c>
      <c r="Y385" s="5">
        <f t="shared" ca="1" si="18"/>
        <v>0</v>
      </c>
    </row>
    <row r="386" spans="3:25">
      <c r="C386">
        <v>382</v>
      </c>
      <c r="D386" s="5">
        <f t="shared" ca="1" si="16"/>
        <v>0</v>
      </c>
      <c r="E386" t="str">
        <f t="array" aca="1" ref="E386" ca="1">IFERROR(INDEX(Source!$A$1:$A$250,SMALL(IF(--(Source!$B$1:$B$250=$O386)*--(Source!$E$1:$E$250=$M$3)*--(Source!$D$1:$D$250=Pyramid!$M386),ROW(Source!$B$1:$B$250),FALSE),E$3)),"")</f>
        <v/>
      </c>
      <c r="F386" t="str">
        <f t="array" aca="1" ref="F386" ca="1">IFERROR(INDEX(Source!$A$1:$A$250,SMALL(IF(--(Source!$B$1:$B$250=$O386)*--(Source!$E$1:$E$250=$M$3)*--(Source!$D$1:$D$250=Pyramid!$M386),ROW(Source!$B$1:$B$250),FALSE),F$3)),"")</f>
        <v/>
      </c>
      <c r="G386" t="str">
        <f t="array" aca="1" ref="G386" ca="1">IFERROR(INDEX(Source!$A$1:$A$250,SMALL(IF(--(Source!$B$1:$B$250=$O386)*--(Source!$E$1:$E$250=$M$3)*--(Source!$D$1:$D$250=Pyramid!$M386),ROW(Source!$B$1:$B$250),FALSE),G$3)),"")</f>
        <v/>
      </c>
      <c r="H386" t="str">
        <f t="array" aca="1" ref="H386" ca="1">IFERROR(INDEX(Source!$A$1:$A$250,SMALL(IF(--(Source!$B$1:$B$250=$O386)*--(Source!$E$1:$E$250=$M$3)*--(Source!$D$1:$D$250=Pyramid!$M386),ROW(Source!$B$1:$B$250),FALSE),H$3)),"")</f>
        <v/>
      </c>
      <c r="I386" t="str">
        <f t="array" aca="1" ref="I386" ca="1">IFERROR(INDEX(Source!$A$1:$A$250,SMALL(IF(--(Source!$B$1:$B$250=$O386)*--(Source!$E$1:$E$250=$M$3)*--(Source!$D$1:$D$250=Pyramid!$M386),ROW(Source!$B$1:$B$250),FALSE),I$3)),"")</f>
        <v/>
      </c>
      <c r="J386" t="str">
        <f t="array" aca="1" ref="J386" ca="1">IFERROR(INDEX(Source!$A$1:$A$250,SMALL(IF(--(Source!$B$1:$B$250=$O386)*--(Source!$E$1:$E$250=$M$3)*--(Source!$D$1:$D$250=Pyramid!$M386),ROW(Source!$B$1:$B$250),FALSE),J$3)),"")</f>
        <v/>
      </c>
      <c r="K386" t="str">
        <f t="array" aca="1" ref="K386" ca="1">IFERROR(INDEX(Source!$A$1:$A$250,SMALL(IF(--(Source!$B$1:$B$250=$O386)*--(Source!$E$1:$E$250=$M$3)*--(Source!$D$1:$D$250=Pyramid!$M386),ROW(Source!$B$1:$B$250),FALSE),K$3)),"")</f>
        <v/>
      </c>
      <c r="L386" t="str">
        <f t="array" aca="1" ref="L386" ca="1">IFERROR(INDEX(Source!$A$1:$A$250,SMALL(IF(--(Source!$B$1:$B$250=$O386)*--(Source!$E$1:$E$250=$M$3)*--(Source!$D$1:$D$250=Pyramid!$M386),ROW(Source!$B$1:$B$250),FALSE),L$3)),"")</f>
        <v/>
      </c>
      <c r="M386" t="str">
        <f t="shared" si="17"/>
        <v>30/8/2016</v>
      </c>
      <c r="N386">
        <f ca="1">COUNTIFS(Source!B:B,Pyramid!$O386,Source!$D:$D,Pyramid!$M386,Source!$E:$E,Pyramid!$M$3)</f>
        <v>0</v>
      </c>
      <c r="O386">
        <f ca="1">OFFSET(Sheet2!$N$3,INT(C386/5),)</f>
        <v>24400</v>
      </c>
      <c r="P386">
        <f ca="1">COUNTIFS(Source!B:B,Pyramid!$O386,Source!D:D,Pyramid!$Q386,Source!$E:$E,Pyramid!$Q$3)</f>
        <v>0</v>
      </c>
      <c r="Q386" t="str">
        <f t="shared" si="17"/>
        <v>30/8/2016</v>
      </c>
      <c r="R386" t="str">
        <f t="array" aca="1" ref="R386" ca="1">IFERROR(INDEX(Source!$A$1:$A$250,SMALL(IF(--(Source!$B$1:$B$250=$O386)*--(Source!$E$1:$E$250=$Q$3)*--(Source!$D$1:$D$250=Pyramid!$Q386),ROW(Source!$B$1:$B$250),FALSE),R$3)),"")</f>
        <v/>
      </c>
      <c r="S386" t="str">
        <f t="array" aca="1" ref="S386" ca="1">IFERROR(INDEX(Source!$A$1:$A$250,SMALL(IF(--(Source!$B$1:$B$250=$O386)*--(Source!$E$1:$E$250=$Q$3)*--(Source!$D$1:$D$250=Pyramid!$Q386),ROW(Source!$B$1:$B$250),FALSE),S$3)),"")</f>
        <v/>
      </c>
      <c r="T386" t="str">
        <f t="array" aca="1" ref="T386" ca="1">IFERROR(INDEX(Source!$A$1:$A$250,SMALL(IF(--(Source!$B$1:$B$250=$O386)*--(Source!$E$1:$E$250=$Q$3)*--(Source!$D$1:$D$250=Pyramid!$Q386),ROW(Source!$B$1:$B$250),FALSE),T$3)),"")</f>
        <v/>
      </c>
      <c r="U386" t="str">
        <f t="array" aca="1" ref="U386" ca="1">IFERROR(INDEX(Source!$A$1:$A$250,SMALL(IF(--(Source!$B$1:$B$250=$O386)*--(Source!$E$1:$E$250=$Q$3)*--(Source!$D$1:$D$250=Pyramid!$Q386),ROW(Source!$B$1:$B$250),FALSE),U$3)),"")</f>
        <v/>
      </c>
      <c r="V386" t="str">
        <f t="array" aca="1" ref="V386" ca="1">IFERROR(INDEX(Source!$A$1:$A$250,SMALL(IF(--(Source!$B$1:$B$250=$O386)*--(Source!$E$1:$E$250=$Q$3)*--(Source!$D$1:$D$250=Pyramid!$Q386),ROW(Source!$B$1:$B$250),FALSE),V$3)),"")</f>
        <v/>
      </c>
      <c r="W386" t="str">
        <f t="array" aca="1" ref="W386" ca="1">IFERROR(INDEX(Source!$A$1:$A$250,SMALL(IF(--(Source!$B$1:$B$250=$O386)*--(Source!$E$1:$E$250=$Q$3)*--(Source!$D$1:$D$250=Pyramid!$Q386),ROW(Source!$B$1:$B$250),FALSE),W$3)),"")</f>
        <v/>
      </c>
      <c r="X386" t="str">
        <f t="array" aca="1" ref="X386" ca="1">IFERROR(INDEX(Source!$A$1:$A$250,SMALL(IF(--(Source!$B$1:$B$250=$O386)*--(Source!$E$1:$E$250=$Q$3)*--(Source!$D$1:$D$250=Pyramid!$Q386),ROW(Source!$B$1:$B$250),FALSE),X$3)),"")</f>
        <v/>
      </c>
      <c r="Y386" s="5">
        <f t="shared" ca="1" si="18"/>
        <v>0</v>
      </c>
    </row>
    <row r="387" spans="3:25">
      <c r="C387">
        <v>383</v>
      </c>
      <c r="D387" s="5">
        <f t="shared" ca="1" si="16"/>
        <v>0</v>
      </c>
      <c r="E387" t="str">
        <f t="array" aca="1" ref="E387" ca="1">IFERROR(INDEX(Source!$A$1:$A$250,SMALL(IF(--(Source!$B$1:$B$250=$O387)*--(Source!$E$1:$E$250=$M$3)*--(Source!$D$1:$D$250=Pyramid!$M387),ROW(Source!$B$1:$B$250),FALSE),E$3)),"")</f>
        <v/>
      </c>
      <c r="F387" t="str">
        <f t="array" aca="1" ref="F387" ca="1">IFERROR(INDEX(Source!$A$1:$A$250,SMALL(IF(--(Source!$B$1:$B$250=$O387)*--(Source!$E$1:$E$250=$M$3)*--(Source!$D$1:$D$250=Pyramid!$M387),ROW(Source!$B$1:$B$250),FALSE),F$3)),"")</f>
        <v/>
      </c>
      <c r="G387" t="str">
        <f t="array" aca="1" ref="G387" ca="1">IFERROR(INDEX(Source!$A$1:$A$250,SMALL(IF(--(Source!$B$1:$B$250=$O387)*--(Source!$E$1:$E$250=$M$3)*--(Source!$D$1:$D$250=Pyramid!$M387),ROW(Source!$B$1:$B$250),FALSE),G$3)),"")</f>
        <v/>
      </c>
      <c r="H387" t="str">
        <f t="array" aca="1" ref="H387" ca="1">IFERROR(INDEX(Source!$A$1:$A$250,SMALL(IF(--(Source!$B$1:$B$250=$O387)*--(Source!$E$1:$E$250=$M$3)*--(Source!$D$1:$D$250=Pyramid!$M387),ROW(Source!$B$1:$B$250),FALSE),H$3)),"")</f>
        <v/>
      </c>
      <c r="I387" t="str">
        <f t="array" aca="1" ref="I387" ca="1">IFERROR(INDEX(Source!$A$1:$A$250,SMALL(IF(--(Source!$B$1:$B$250=$O387)*--(Source!$E$1:$E$250=$M$3)*--(Source!$D$1:$D$250=Pyramid!$M387),ROW(Source!$B$1:$B$250),FALSE),I$3)),"")</f>
        <v/>
      </c>
      <c r="J387" t="str">
        <f t="array" aca="1" ref="J387" ca="1">IFERROR(INDEX(Source!$A$1:$A$250,SMALL(IF(--(Source!$B$1:$B$250=$O387)*--(Source!$E$1:$E$250=$M$3)*--(Source!$D$1:$D$250=Pyramid!$M387),ROW(Source!$B$1:$B$250),FALSE),J$3)),"")</f>
        <v/>
      </c>
      <c r="K387" t="str">
        <f t="array" aca="1" ref="K387" ca="1">IFERROR(INDEX(Source!$A$1:$A$250,SMALL(IF(--(Source!$B$1:$B$250=$O387)*--(Source!$E$1:$E$250=$M$3)*--(Source!$D$1:$D$250=Pyramid!$M387),ROW(Source!$B$1:$B$250),FALSE),K$3)),"")</f>
        <v/>
      </c>
      <c r="L387" t="str">
        <f t="array" aca="1" ref="L387" ca="1">IFERROR(INDEX(Source!$A$1:$A$250,SMALL(IF(--(Source!$B$1:$B$250=$O387)*--(Source!$E$1:$E$250=$M$3)*--(Source!$D$1:$D$250=Pyramid!$M387),ROW(Source!$B$1:$B$250),FALSE),L$3)),"")</f>
        <v/>
      </c>
      <c r="M387" t="str">
        <f t="shared" si="17"/>
        <v>29/9/2016</v>
      </c>
      <c r="N387">
        <f ca="1">COUNTIFS(Source!B:B,Pyramid!$O387,Source!$D:$D,Pyramid!$M387,Source!$E:$E,Pyramid!$M$3)</f>
        <v>0</v>
      </c>
      <c r="O387">
        <f ca="1">OFFSET(Sheet2!$N$3,INT(C387/5),)</f>
        <v>24400</v>
      </c>
      <c r="P387">
        <f ca="1">COUNTIFS(Source!B:B,Pyramid!$O387,Source!D:D,Pyramid!$Q387,Source!$E:$E,Pyramid!$Q$3)</f>
        <v>0</v>
      </c>
      <c r="Q387" t="str">
        <f t="shared" si="17"/>
        <v>29/9/2016</v>
      </c>
      <c r="R387" t="str">
        <f t="array" aca="1" ref="R387" ca="1">IFERROR(INDEX(Source!$A$1:$A$250,SMALL(IF(--(Source!$B$1:$B$250=$O387)*--(Source!$E$1:$E$250=$Q$3)*--(Source!$D$1:$D$250=Pyramid!$Q387),ROW(Source!$B$1:$B$250),FALSE),R$3)),"")</f>
        <v/>
      </c>
      <c r="S387" t="str">
        <f t="array" aca="1" ref="S387" ca="1">IFERROR(INDEX(Source!$A$1:$A$250,SMALL(IF(--(Source!$B$1:$B$250=$O387)*--(Source!$E$1:$E$250=$Q$3)*--(Source!$D$1:$D$250=Pyramid!$Q387),ROW(Source!$B$1:$B$250),FALSE),S$3)),"")</f>
        <v/>
      </c>
      <c r="T387" t="str">
        <f t="array" aca="1" ref="T387" ca="1">IFERROR(INDEX(Source!$A$1:$A$250,SMALL(IF(--(Source!$B$1:$B$250=$O387)*--(Source!$E$1:$E$250=$Q$3)*--(Source!$D$1:$D$250=Pyramid!$Q387),ROW(Source!$B$1:$B$250),FALSE),T$3)),"")</f>
        <v/>
      </c>
      <c r="U387" t="str">
        <f t="array" aca="1" ref="U387" ca="1">IFERROR(INDEX(Source!$A$1:$A$250,SMALL(IF(--(Source!$B$1:$B$250=$O387)*--(Source!$E$1:$E$250=$Q$3)*--(Source!$D$1:$D$250=Pyramid!$Q387),ROW(Source!$B$1:$B$250),FALSE),U$3)),"")</f>
        <v/>
      </c>
      <c r="V387" t="str">
        <f t="array" aca="1" ref="V387" ca="1">IFERROR(INDEX(Source!$A$1:$A$250,SMALL(IF(--(Source!$B$1:$B$250=$O387)*--(Source!$E$1:$E$250=$Q$3)*--(Source!$D$1:$D$250=Pyramid!$Q387),ROW(Source!$B$1:$B$250),FALSE),V$3)),"")</f>
        <v/>
      </c>
      <c r="W387" t="str">
        <f t="array" aca="1" ref="W387" ca="1">IFERROR(INDEX(Source!$A$1:$A$250,SMALL(IF(--(Source!$B$1:$B$250=$O387)*--(Source!$E$1:$E$250=$Q$3)*--(Source!$D$1:$D$250=Pyramid!$Q387),ROW(Source!$B$1:$B$250),FALSE),W$3)),"")</f>
        <v/>
      </c>
      <c r="X387" t="str">
        <f t="array" aca="1" ref="X387" ca="1">IFERROR(INDEX(Source!$A$1:$A$250,SMALL(IF(--(Source!$B$1:$B$250=$O387)*--(Source!$E$1:$E$250=$Q$3)*--(Source!$D$1:$D$250=Pyramid!$Q387),ROW(Source!$B$1:$B$250),FALSE),X$3)),"")</f>
        <v/>
      </c>
      <c r="Y387" s="5">
        <f t="shared" ca="1" si="18"/>
        <v>0</v>
      </c>
    </row>
    <row r="388" spans="3:25">
      <c r="C388">
        <v>384</v>
      </c>
      <c r="D388" s="5">
        <f t="shared" ca="1" si="16"/>
        <v>0</v>
      </c>
      <c r="E388" t="str">
        <f t="array" aca="1" ref="E388" ca="1">IFERROR(INDEX(Source!$A$1:$A$250,SMALL(IF(--(Source!$B$1:$B$250=$O388)*--(Source!$E$1:$E$250=$M$3)*--(Source!$D$1:$D$250=Pyramid!$M388),ROW(Source!$B$1:$B$250),FALSE),E$3)),"")</f>
        <v/>
      </c>
      <c r="F388" t="str">
        <f t="array" aca="1" ref="F388" ca="1">IFERROR(INDEX(Source!$A$1:$A$250,SMALL(IF(--(Source!$B$1:$B$250=$O388)*--(Source!$E$1:$E$250=$M$3)*--(Source!$D$1:$D$250=Pyramid!$M388),ROW(Source!$B$1:$B$250),FALSE),F$3)),"")</f>
        <v/>
      </c>
      <c r="G388" t="str">
        <f t="array" aca="1" ref="G388" ca="1">IFERROR(INDEX(Source!$A$1:$A$250,SMALL(IF(--(Source!$B$1:$B$250=$O388)*--(Source!$E$1:$E$250=$M$3)*--(Source!$D$1:$D$250=Pyramid!$M388),ROW(Source!$B$1:$B$250),FALSE),G$3)),"")</f>
        <v/>
      </c>
      <c r="H388" t="str">
        <f t="array" aca="1" ref="H388" ca="1">IFERROR(INDEX(Source!$A$1:$A$250,SMALL(IF(--(Source!$B$1:$B$250=$O388)*--(Source!$E$1:$E$250=$M$3)*--(Source!$D$1:$D$250=Pyramid!$M388),ROW(Source!$B$1:$B$250),FALSE),H$3)),"")</f>
        <v/>
      </c>
      <c r="I388" t="str">
        <f t="array" aca="1" ref="I388" ca="1">IFERROR(INDEX(Source!$A$1:$A$250,SMALL(IF(--(Source!$B$1:$B$250=$O388)*--(Source!$E$1:$E$250=$M$3)*--(Source!$D$1:$D$250=Pyramid!$M388),ROW(Source!$B$1:$B$250),FALSE),I$3)),"")</f>
        <v/>
      </c>
      <c r="J388" t="str">
        <f t="array" aca="1" ref="J388" ca="1">IFERROR(INDEX(Source!$A$1:$A$250,SMALL(IF(--(Source!$B$1:$B$250=$O388)*--(Source!$E$1:$E$250=$M$3)*--(Source!$D$1:$D$250=Pyramid!$M388),ROW(Source!$B$1:$B$250),FALSE),J$3)),"")</f>
        <v/>
      </c>
      <c r="K388" t="str">
        <f t="array" aca="1" ref="K388" ca="1">IFERROR(INDEX(Source!$A$1:$A$250,SMALL(IF(--(Source!$B$1:$B$250=$O388)*--(Source!$E$1:$E$250=$M$3)*--(Source!$D$1:$D$250=Pyramid!$M388),ROW(Source!$B$1:$B$250),FALSE),K$3)),"")</f>
        <v/>
      </c>
      <c r="L388" t="str">
        <f t="array" aca="1" ref="L388" ca="1">IFERROR(INDEX(Source!$A$1:$A$250,SMALL(IF(--(Source!$B$1:$B$250=$O388)*--(Source!$E$1:$E$250=$M$3)*--(Source!$D$1:$D$250=Pyramid!$M388),ROW(Source!$B$1:$B$250),FALSE),L$3)),"")</f>
        <v/>
      </c>
      <c r="M388" t="str">
        <f t="shared" si="17"/>
        <v>28/10/2016</v>
      </c>
      <c r="N388">
        <f ca="1">COUNTIFS(Source!B:B,Pyramid!$O388,Source!$D:$D,Pyramid!$M388,Source!$E:$E,Pyramid!$M$3)</f>
        <v>0</v>
      </c>
      <c r="O388">
        <f ca="1">OFFSET(Sheet2!$N$3,INT(C388/5),)</f>
        <v>24400</v>
      </c>
      <c r="P388">
        <f ca="1">COUNTIFS(Source!B:B,Pyramid!$O388,Source!D:D,Pyramid!$Q388,Source!$E:$E,Pyramid!$Q$3)</f>
        <v>0</v>
      </c>
      <c r="Q388" t="str">
        <f t="shared" si="17"/>
        <v>28/10/2016</v>
      </c>
      <c r="R388" t="str">
        <f t="array" aca="1" ref="R388" ca="1">IFERROR(INDEX(Source!$A$1:$A$250,SMALL(IF(--(Source!$B$1:$B$250=$O388)*--(Source!$E$1:$E$250=$Q$3)*--(Source!$D$1:$D$250=Pyramid!$Q388),ROW(Source!$B$1:$B$250),FALSE),R$3)),"")</f>
        <v/>
      </c>
      <c r="S388" t="str">
        <f t="array" aca="1" ref="S388" ca="1">IFERROR(INDEX(Source!$A$1:$A$250,SMALL(IF(--(Source!$B$1:$B$250=$O388)*--(Source!$E$1:$E$250=$Q$3)*--(Source!$D$1:$D$250=Pyramid!$Q388),ROW(Source!$B$1:$B$250),FALSE),S$3)),"")</f>
        <v/>
      </c>
      <c r="T388" t="str">
        <f t="array" aca="1" ref="T388" ca="1">IFERROR(INDEX(Source!$A$1:$A$250,SMALL(IF(--(Source!$B$1:$B$250=$O388)*--(Source!$E$1:$E$250=$Q$3)*--(Source!$D$1:$D$250=Pyramid!$Q388),ROW(Source!$B$1:$B$250),FALSE),T$3)),"")</f>
        <v/>
      </c>
      <c r="U388" t="str">
        <f t="array" aca="1" ref="U388" ca="1">IFERROR(INDEX(Source!$A$1:$A$250,SMALL(IF(--(Source!$B$1:$B$250=$O388)*--(Source!$E$1:$E$250=$Q$3)*--(Source!$D$1:$D$250=Pyramid!$Q388),ROW(Source!$B$1:$B$250),FALSE),U$3)),"")</f>
        <v/>
      </c>
      <c r="V388" t="str">
        <f t="array" aca="1" ref="V388" ca="1">IFERROR(INDEX(Source!$A$1:$A$250,SMALL(IF(--(Source!$B$1:$B$250=$O388)*--(Source!$E$1:$E$250=$Q$3)*--(Source!$D$1:$D$250=Pyramid!$Q388),ROW(Source!$B$1:$B$250),FALSE),V$3)),"")</f>
        <v/>
      </c>
      <c r="W388" t="str">
        <f t="array" aca="1" ref="W388" ca="1">IFERROR(INDEX(Source!$A$1:$A$250,SMALL(IF(--(Source!$B$1:$B$250=$O388)*--(Source!$E$1:$E$250=$Q$3)*--(Source!$D$1:$D$250=Pyramid!$Q388),ROW(Source!$B$1:$B$250),FALSE),W$3)),"")</f>
        <v/>
      </c>
      <c r="X388" t="str">
        <f t="array" aca="1" ref="X388" ca="1">IFERROR(INDEX(Source!$A$1:$A$250,SMALL(IF(--(Source!$B$1:$B$250=$O388)*--(Source!$E$1:$E$250=$Q$3)*--(Source!$D$1:$D$250=Pyramid!$Q388),ROW(Source!$B$1:$B$250),FALSE),X$3)),"")</f>
        <v/>
      </c>
      <c r="Y388" s="5">
        <f t="shared" ca="1" si="18"/>
        <v>0</v>
      </c>
    </row>
    <row r="389" spans="3:25">
      <c r="C389">
        <v>385</v>
      </c>
      <c r="D389" s="5">
        <f t="shared" ref="D389:D418" ca="1" si="19">SUMPRODUCT(--(E389:L389&lt;&gt;""))-N389</f>
        <v>0</v>
      </c>
      <c r="E389" t="str">
        <f t="array" aca="1" ref="E389" ca="1">IFERROR(INDEX(Source!$A$1:$A$250,SMALL(IF(--(Source!$B$1:$B$250=$O389)*--(Source!$E$1:$E$250=$M$3)*--(Source!$D$1:$D$250=Pyramid!$M389),ROW(Source!$B$1:$B$250),FALSE),E$3)),"")</f>
        <v/>
      </c>
      <c r="F389" t="str">
        <f t="array" aca="1" ref="F389" ca="1">IFERROR(INDEX(Source!$A$1:$A$250,SMALL(IF(--(Source!$B$1:$B$250=$O389)*--(Source!$E$1:$E$250=$M$3)*--(Source!$D$1:$D$250=Pyramid!$M389),ROW(Source!$B$1:$B$250),FALSE),F$3)),"")</f>
        <v/>
      </c>
      <c r="G389" t="str">
        <f t="array" aca="1" ref="G389" ca="1">IFERROR(INDEX(Source!$A$1:$A$250,SMALL(IF(--(Source!$B$1:$B$250=$O389)*--(Source!$E$1:$E$250=$M$3)*--(Source!$D$1:$D$250=Pyramid!$M389),ROW(Source!$B$1:$B$250),FALSE),G$3)),"")</f>
        <v/>
      </c>
      <c r="H389" t="str">
        <f t="array" aca="1" ref="H389" ca="1">IFERROR(INDEX(Source!$A$1:$A$250,SMALL(IF(--(Source!$B$1:$B$250=$O389)*--(Source!$E$1:$E$250=$M$3)*--(Source!$D$1:$D$250=Pyramid!$M389),ROW(Source!$B$1:$B$250),FALSE),H$3)),"")</f>
        <v/>
      </c>
      <c r="I389" t="str">
        <f t="array" aca="1" ref="I389" ca="1">IFERROR(INDEX(Source!$A$1:$A$250,SMALL(IF(--(Source!$B$1:$B$250=$O389)*--(Source!$E$1:$E$250=$M$3)*--(Source!$D$1:$D$250=Pyramid!$M389),ROW(Source!$B$1:$B$250),FALSE),I$3)),"")</f>
        <v/>
      </c>
      <c r="J389" t="str">
        <f t="array" aca="1" ref="J389" ca="1">IFERROR(INDEX(Source!$A$1:$A$250,SMALL(IF(--(Source!$B$1:$B$250=$O389)*--(Source!$E$1:$E$250=$M$3)*--(Source!$D$1:$D$250=Pyramid!$M389),ROW(Source!$B$1:$B$250),FALSE),J$3)),"")</f>
        <v/>
      </c>
      <c r="K389" t="str">
        <f t="array" aca="1" ref="K389" ca="1">IFERROR(INDEX(Source!$A$1:$A$250,SMALL(IF(--(Source!$B$1:$B$250=$O389)*--(Source!$E$1:$E$250=$M$3)*--(Source!$D$1:$D$250=Pyramid!$M389),ROW(Source!$B$1:$B$250),FALSE),K$3)),"")</f>
        <v/>
      </c>
      <c r="L389" t="str">
        <f t="array" aca="1" ref="L389" ca="1">IFERROR(INDEX(Source!$A$1:$A$250,SMALL(IF(--(Source!$B$1:$B$250=$O389)*--(Source!$E$1:$E$250=$M$3)*--(Source!$D$1:$D$250=Pyramid!$M389),ROW(Source!$B$1:$B$250),FALSE),L$3)),"")</f>
        <v/>
      </c>
      <c r="M389" t="str">
        <f t="shared" ref="M389:Q418" si="20">INDEX($A$4:$A$8,MOD($C389,5)+1)</f>
        <v>29/6/2016</v>
      </c>
      <c r="N389">
        <f ca="1">COUNTIFS(Source!B:B,Pyramid!$O389,Source!$D:$D,Pyramid!$M389,Source!$E:$E,Pyramid!$M$3)</f>
        <v>0</v>
      </c>
      <c r="O389">
        <f ca="1">OFFSET(Sheet2!$N$3,INT(C389/5),)</f>
        <v>24500</v>
      </c>
      <c r="P389">
        <f ca="1">COUNTIFS(Source!B:B,Pyramid!$O389,Source!D:D,Pyramid!$Q389,Source!$E:$E,Pyramid!$Q$3)</f>
        <v>0</v>
      </c>
      <c r="Q389" t="str">
        <f t="shared" si="20"/>
        <v>29/6/2016</v>
      </c>
      <c r="R389" t="str">
        <f t="array" aca="1" ref="R389" ca="1">IFERROR(INDEX(Source!$A$1:$A$250,SMALL(IF(--(Source!$B$1:$B$250=$O389)*--(Source!$E$1:$E$250=$Q$3)*--(Source!$D$1:$D$250=Pyramid!$Q389),ROW(Source!$B$1:$B$250),FALSE),R$3)),"")</f>
        <v/>
      </c>
      <c r="S389" t="str">
        <f t="array" aca="1" ref="S389" ca="1">IFERROR(INDEX(Source!$A$1:$A$250,SMALL(IF(--(Source!$B$1:$B$250=$O389)*--(Source!$E$1:$E$250=$Q$3)*--(Source!$D$1:$D$250=Pyramid!$Q389),ROW(Source!$B$1:$B$250),FALSE),S$3)),"")</f>
        <v/>
      </c>
      <c r="T389" t="str">
        <f t="array" aca="1" ref="T389" ca="1">IFERROR(INDEX(Source!$A$1:$A$250,SMALL(IF(--(Source!$B$1:$B$250=$O389)*--(Source!$E$1:$E$250=$Q$3)*--(Source!$D$1:$D$250=Pyramid!$Q389),ROW(Source!$B$1:$B$250),FALSE),T$3)),"")</f>
        <v/>
      </c>
      <c r="U389" t="str">
        <f t="array" aca="1" ref="U389" ca="1">IFERROR(INDEX(Source!$A$1:$A$250,SMALL(IF(--(Source!$B$1:$B$250=$O389)*--(Source!$E$1:$E$250=$Q$3)*--(Source!$D$1:$D$250=Pyramid!$Q389),ROW(Source!$B$1:$B$250),FALSE),U$3)),"")</f>
        <v/>
      </c>
      <c r="V389" t="str">
        <f t="array" aca="1" ref="V389" ca="1">IFERROR(INDEX(Source!$A$1:$A$250,SMALL(IF(--(Source!$B$1:$B$250=$O389)*--(Source!$E$1:$E$250=$Q$3)*--(Source!$D$1:$D$250=Pyramid!$Q389),ROW(Source!$B$1:$B$250),FALSE),V$3)),"")</f>
        <v/>
      </c>
      <c r="W389" t="str">
        <f t="array" aca="1" ref="W389" ca="1">IFERROR(INDEX(Source!$A$1:$A$250,SMALL(IF(--(Source!$B$1:$B$250=$O389)*--(Source!$E$1:$E$250=$Q$3)*--(Source!$D$1:$D$250=Pyramid!$Q389),ROW(Source!$B$1:$B$250),FALSE),W$3)),"")</f>
        <v/>
      </c>
      <c r="X389" t="str">
        <f t="array" aca="1" ref="X389" ca="1">IFERROR(INDEX(Source!$A$1:$A$250,SMALL(IF(--(Source!$B$1:$B$250=$O389)*--(Source!$E$1:$E$250=$Q$3)*--(Source!$D$1:$D$250=Pyramid!$Q389),ROW(Source!$B$1:$B$250),FALSE),X$3)),"")</f>
        <v/>
      </c>
      <c r="Y389" s="5">
        <f t="shared" ref="Y389:Y418" ca="1" si="21">SUMPRODUCT(--(R389:X389&lt;&gt;""))-P389</f>
        <v>0</v>
      </c>
    </row>
    <row r="390" spans="3:25">
      <c r="C390">
        <v>386</v>
      </c>
      <c r="D390" s="5">
        <f t="shared" ca="1" si="19"/>
        <v>0</v>
      </c>
      <c r="E390" t="str">
        <f t="array" aca="1" ref="E390" ca="1">IFERROR(INDEX(Source!$A$1:$A$250,SMALL(IF(--(Source!$B$1:$B$250=$O390)*--(Source!$E$1:$E$250=$M$3)*--(Source!$D$1:$D$250=Pyramid!$M390),ROW(Source!$B$1:$B$250),FALSE),E$3)),"")</f>
        <v/>
      </c>
      <c r="F390" t="str">
        <f t="array" aca="1" ref="F390" ca="1">IFERROR(INDEX(Source!$A$1:$A$250,SMALL(IF(--(Source!$B$1:$B$250=$O390)*--(Source!$E$1:$E$250=$M$3)*--(Source!$D$1:$D$250=Pyramid!$M390),ROW(Source!$B$1:$B$250),FALSE),F$3)),"")</f>
        <v/>
      </c>
      <c r="G390" t="str">
        <f t="array" aca="1" ref="G390" ca="1">IFERROR(INDEX(Source!$A$1:$A$250,SMALL(IF(--(Source!$B$1:$B$250=$O390)*--(Source!$E$1:$E$250=$M$3)*--(Source!$D$1:$D$250=Pyramid!$M390),ROW(Source!$B$1:$B$250),FALSE),G$3)),"")</f>
        <v/>
      </c>
      <c r="H390" t="str">
        <f t="array" aca="1" ref="H390" ca="1">IFERROR(INDEX(Source!$A$1:$A$250,SMALL(IF(--(Source!$B$1:$B$250=$O390)*--(Source!$E$1:$E$250=$M$3)*--(Source!$D$1:$D$250=Pyramid!$M390),ROW(Source!$B$1:$B$250),FALSE),H$3)),"")</f>
        <v/>
      </c>
      <c r="I390" t="str">
        <f t="array" aca="1" ref="I390" ca="1">IFERROR(INDEX(Source!$A$1:$A$250,SMALL(IF(--(Source!$B$1:$B$250=$O390)*--(Source!$E$1:$E$250=$M$3)*--(Source!$D$1:$D$250=Pyramid!$M390),ROW(Source!$B$1:$B$250),FALSE),I$3)),"")</f>
        <v/>
      </c>
      <c r="J390" t="str">
        <f t="array" aca="1" ref="J390" ca="1">IFERROR(INDEX(Source!$A$1:$A$250,SMALL(IF(--(Source!$B$1:$B$250=$O390)*--(Source!$E$1:$E$250=$M$3)*--(Source!$D$1:$D$250=Pyramid!$M390),ROW(Source!$B$1:$B$250),FALSE),J$3)),"")</f>
        <v/>
      </c>
      <c r="K390" t="str">
        <f t="array" aca="1" ref="K390" ca="1">IFERROR(INDEX(Source!$A$1:$A$250,SMALL(IF(--(Source!$B$1:$B$250=$O390)*--(Source!$E$1:$E$250=$M$3)*--(Source!$D$1:$D$250=Pyramid!$M390),ROW(Source!$B$1:$B$250),FALSE),K$3)),"")</f>
        <v/>
      </c>
      <c r="L390" t="str">
        <f t="array" aca="1" ref="L390" ca="1">IFERROR(INDEX(Source!$A$1:$A$250,SMALL(IF(--(Source!$B$1:$B$250=$O390)*--(Source!$E$1:$E$250=$M$3)*--(Source!$D$1:$D$250=Pyramid!$M390),ROW(Source!$B$1:$B$250),FALSE),L$3)),"")</f>
        <v/>
      </c>
      <c r="M390" t="str">
        <f t="shared" si="20"/>
        <v>28/7/2016</v>
      </c>
      <c r="N390">
        <f ca="1">COUNTIFS(Source!B:B,Pyramid!$O390,Source!$D:$D,Pyramid!$M390,Source!$E:$E,Pyramid!$M$3)</f>
        <v>0</v>
      </c>
      <c r="O390">
        <f ca="1">OFFSET(Sheet2!$N$3,INT(C390/5),)</f>
        <v>24500</v>
      </c>
      <c r="P390">
        <f ca="1">COUNTIFS(Source!B:B,Pyramid!$O390,Source!D:D,Pyramid!$Q390,Source!$E:$E,Pyramid!$Q$3)</f>
        <v>0</v>
      </c>
      <c r="Q390" t="str">
        <f t="shared" si="20"/>
        <v>28/7/2016</v>
      </c>
      <c r="R390" t="str">
        <f t="array" aca="1" ref="R390" ca="1">IFERROR(INDEX(Source!$A$1:$A$250,SMALL(IF(--(Source!$B$1:$B$250=$O390)*--(Source!$E$1:$E$250=$Q$3)*--(Source!$D$1:$D$250=Pyramid!$Q390),ROW(Source!$B$1:$B$250),FALSE),R$3)),"")</f>
        <v/>
      </c>
      <c r="S390" t="str">
        <f t="array" aca="1" ref="S390" ca="1">IFERROR(INDEX(Source!$A$1:$A$250,SMALL(IF(--(Source!$B$1:$B$250=$O390)*--(Source!$E$1:$E$250=$Q$3)*--(Source!$D$1:$D$250=Pyramid!$Q390),ROW(Source!$B$1:$B$250),FALSE),S$3)),"")</f>
        <v/>
      </c>
      <c r="T390" t="str">
        <f t="array" aca="1" ref="T390" ca="1">IFERROR(INDEX(Source!$A$1:$A$250,SMALL(IF(--(Source!$B$1:$B$250=$O390)*--(Source!$E$1:$E$250=$Q$3)*--(Source!$D$1:$D$250=Pyramid!$Q390),ROW(Source!$B$1:$B$250),FALSE),T$3)),"")</f>
        <v/>
      </c>
      <c r="U390" t="str">
        <f t="array" aca="1" ref="U390" ca="1">IFERROR(INDEX(Source!$A$1:$A$250,SMALL(IF(--(Source!$B$1:$B$250=$O390)*--(Source!$E$1:$E$250=$Q$3)*--(Source!$D$1:$D$250=Pyramid!$Q390),ROW(Source!$B$1:$B$250),FALSE),U$3)),"")</f>
        <v/>
      </c>
      <c r="V390" t="str">
        <f t="array" aca="1" ref="V390" ca="1">IFERROR(INDEX(Source!$A$1:$A$250,SMALL(IF(--(Source!$B$1:$B$250=$O390)*--(Source!$E$1:$E$250=$Q$3)*--(Source!$D$1:$D$250=Pyramid!$Q390),ROW(Source!$B$1:$B$250),FALSE),V$3)),"")</f>
        <v/>
      </c>
      <c r="W390" t="str">
        <f t="array" aca="1" ref="W390" ca="1">IFERROR(INDEX(Source!$A$1:$A$250,SMALL(IF(--(Source!$B$1:$B$250=$O390)*--(Source!$E$1:$E$250=$Q$3)*--(Source!$D$1:$D$250=Pyramid!$Q390),ROW(Source!$B$1:$B$250),FALSE),W$3)),"")</f>
        <v/>
      </c>
      <c r="X390" t="str">
        <f t="array" aca="1" ref="X390" ca="1">IFERROR(INDEX(Source!$A$1:$A$250,SMALL(IF(--(Source!$B$1:$B$250=$O390)*--(Source!$E$1:$E$250=$Q$3)*--(Source!$D$1:$D$250=Pyramid!$Q390),ROW(Source!$B$1:$B$250),FALSE),X$3)),"")</f>
        <v/>
      </c>
      <c r="Y390" s="5">
        <f t="shared" ca="1" si="21"/>
        <v>0</v>
      </c>
    </row>
    <row r="391" spans="3:25">
      <c r="C391">
        <v>387</v>
      </c>
      <c r="D391" s="5">
        <f t="shared" ca="1" si="19"/>
        <v>0</v>
      </c>
      <c r="E391" t="str">
        <f t="array" aca="1" ref="E391" ca="1">IFERROR(INDEX(Source!$A$1:$A$250,SMALL(IF(--(Source!$B$1:$B$250=$O391)*--(Source!$E$1:$E$250=$M$3)*--(Source!$D$1:$D$250=Pyramid!$M391),ROW(Source!$B$1:$B$250),FALSE),E$3)),"")</f>
        <v/>
      </c>
      <c r="F391" t="str">
        <f t="array" aca="1" ref="F391" ca="1">IFERROR(INDEX(Source!$A$1:$A$250,SMALL(IF(--(Source!$B$1:$B$250=$O391)*--(Source!$E$1:$E$250=$M$3)*--(Source!$D$1:$D$250=Pyramid!$M391),ROW(Source!$B$1:$B$250),FALSE),F$3)),"")</f>
        <v/>
      </c>
      <c r="G391" t="str">
        <f t="array" aca="1" ref="G391" ca="1">IFERROR(INDEX(Source!$A$1:$A$250,SMALL(IF(--(Source!$B$1:$B$250=$O391)*--(Source!$E$1:$E$250=$M$3)*--(Source!$D$1:$D$250=Pyramid!$M391),ROW(Source!$B$1:$B$250),FALSE),G$3)),"")</f>
        <v/>
      </c>
      <c r="H391" t="str">
        <f t="array" aca="1" ref="H391" ca="1">IFERROR(INDEX(Source!$A$1:$A$250,SMALL(IF(--(Source!$B$1:$B$250=$O391)*--(Source!$E$1:$E$250=$M$3)*--(Source!$D$1:$D$250=Pyramid!$M391),ROW(Source!$B$1:$B$250),FALSE),H$3)),"")</f>
        <v/>
      </c>
      <c r="I391" t="str">
        <f t="array" aca="1" ref="I391" ca="1">IFERROR(INDEX(Source!$A$1:$A$250,SMALL(IF(--(Source!$B$1:$B$250=$O391)*--(Source!$E$1:$E$250=$M$3)*--(Source!$D$1:$D$250=Pyramid!$M391),ROW(Source!$B$1:$B$250),FALSE),I$3)),"")</f>
        <v/>
      </c>
      <c r="J391" t="str">
        <f t="array" aca="1" ref="J391" ca="1">IFERROR(INDEX(Source!$A$1:$A$250,SMALL(IF(--(Source!$B$1:$B$250=$O391)*--(Source!$E$1:$E$250=$M$3)*--(Source!$D$1:$D$250=Pyramid!$M391),ROW(Source!$B$1:$B$250),FALSE),J$3)),"")</f>
        <v/>
      </c>
      <c r="K391" t="str">
        <f t="array" aca="1" ref="K391" ca="1">IFERROR(INDEX(Source!$A$1:$A$250,SMALL(IF(--(Source!$B$1:$B$250=$O391)*--(Source!$E$1:$E$250=$M$3)*--(Source!$D$1:$D$250=Pyramid!$M391),ROW(Source!$B$1:$B$250),FALSE),K$3)),"")</f>
        <v/>
      </c>
      <c r="L391" t="str">
        <f t="array" aca="1" ref="L391" ca="1">IFERROR(INDEX(Source!$A$1:$A$250,SMALL(IF(--(Source!$B$1:$B$250=$O391)*--(Source!$E$1:$E$250=$M$3)*--(Source!$D$1:$D$250=Pyramid!$M391),ROW(Source!$B$1:$B$250),FALSE),L$3)),"")</f>
        <v/>
      </c>
      <c r="M391" t="str">
        <f t="shared" si="20"/>
        <v>30/8/2016</v>
      </c>
      <c r="N391">
        <f ca="1">COUNTIFS(Source!B:B,Pyramid!$O391,Source!$D:$D,Pyramid!$M391,Source!$E:$E,Pyramid!$M$3)</f>
        <v>0</v>
      </c>
      <c r="O391">
        <f ca="1">OFFSET(Sheet2!$N$3,INT(C391/5),)</f>
        <v>24500</v>
      </c>
      <c r="P391">
        <f ca="1">COUNTIFS(Source!B:B,Pyramid!$O391,Source!D:D,Pyramid!$Q391,Source!$E:$E,Pyramid!$Q$3)</f>
        <v>0</v>
      </c>
      <c r="Q391" t="str">
        <f t="shared" si="20"/>
        <v>30/8/2016</v>
      </c>
      <c r="R391" t="str">
        <f t="array" aca="1" ref="R391" ca="1">IFERROR(INDEX(Source!$A$1:$A$250,SMALL(IF(--(Source!$B$1:$B$250=$O391)*--(Source!$E$1:$E$250=$Q$3)*--(Source!$D$1:$D$250=Pyramid!$Q391),ROW(Source!$B$1:$B$250),FALSE),R$3)),"")</f>
        <v/>
      </c>
      <c r="S391" t="str">
        <f t="array" aca="1" ref="S391" ca="1">IFERROR(INDEX(Source!$A$1:$A$250,SMALL(IF(--(Source!$B$1:$B$250=$O391)*--(Source!$E$1:$E$250=$Q$3)*--(Source!$D$1:$D$250=Pyramid!$Q391),ROW(Source!$B$1:$B$250),FALSE),S$3)),"")</f>
        <v/>
      </c>
      <c r="T391" t="str">
        <f t="array" aca="1" ref="T391" ca="1">IFERROR(INDEX(Source!$A$1:$A$250,SMALL(IF(--(Source!$B$1:$B$250=$O391)*--(Source!$E$1:$E$250=$Q$3)*--(Source!$D$1:$D$250=Pyramid!$Q391),ROW(Source!$B$1:$B$250),FALSE),T$3)),"")</f>
        <v/>
      </c>
      <c r="U391" t="str">
        <f t="array" aca="1" ref="U391" ca="1">IFERROR(INDEX(Source!$A$1:$A$250,SMALL(IF(--(Source!$B$1:$B$250=$O391)*--(Source!$E$1:$E$250=$Q$3)*--(Source!$D$1:$D$250=Pyramid!$Q391),ROW(Source!$B$1:$B$250),FALSE),U$3)),"")</f>
        <v/>
      </c>
      <c r="V391" t="str">
        <f t="array" aca="1" ref="V391" ca="1">IFERROR(INDEX(Source!$A$1:$A$250,SMALL(IF(--(Source!$B$1:$B$250=$O391)*--(Source!$E$1:$E$250=$Q$3)*--(Source!$D$1:$D$250=Pyramid!$Q391),ROW(Source!$B$1:$B$250),FALSE),V$3)),"")</f>
        <v/>
      </c>
      <c r="W391" t="str">
        <f t="array" aca="1" ref="W391" ca="1">IFERROR(INDEX(Source!$A$1:$A$250,SMALL(IF(--(Source!$B$1:$B$250=$O391)*--(Source!$E$1:$E$250=$Q$3)*--(Source!$D$1:$D$250=Pyramid!$Q391),ROW(Source!$B$1:$B$250),FALSE),W$3)),"")</f>
        <v/>
      </c>
      <c r="X391" t="str">
        <f t="array" aca="1" ref="X391" ca="1">IFERROR(INDEX(Source!$A$1:$A$250,SMALL(IF(--(Source!$B$1:$B$250=$O391)*--(Source!$E$1:$E$250=$Q$3)*--(Source!$D$1:$D$250=Pyramid!$Q391),ROW(Source!$B$1:$B$250),FALSE),X$3)),"")</f>
        <v/>
      </c>
      <c r="Y391" s="5">
        <f t="shared" ca="1" si="21"/>
        <v>0</v>
      </c>
    </row>
    <row r="392" spans="3:25">
      <c r="C392">
        <v>388</v>
      </c>
      <c r="D392" s="5">
        <f t="shared" ca="1" si="19"/>
        <v>0</v>
      </c>
      <c r="E392" t="str">
        <f t="array" aca="1" ref="E392" ca="1">IFERROR(INDEX(Source!$A$1:$A$250,SMALL(IF(--(Source!$B$1:$B$250=$O392)*--(Source!$E$1:$E$250=$M$3)*--(Source!$D$1:$D$250=Pyramid!$M392),ROW(Source!$B$1:$B$250),FALSE),E$3)),"")</f>
        <v/>
      </c>
      <c r="F392" t="str">
        <f t="array" aca="1" ref="F392" ca="1">IFERROR(INDEX(Source!$A$1:$A$250,SMALL(IF(--(Source!$B$1:$B$250=$O392)*--(Source!$E$1:$E$250=$M$3)*--(Source!$D$1:$D$250=Pyramid!$M392),ROW(Source!$B$1:$B$250),FALSE),F$3)),"")</f>
        <v/>
      </c>
      <c r="G392" t="str">
        <f t="array" aca="1" ref="G392" ca="1">IFERROR(INDEX(Source!$A$1:$A$250,SMALL(IF(--(Source!$B$1:$B$250=$O392)*--(Source!$E$1:$E$250=$M$3)*--(Source!$D$1:$D$250=Pyramid!$M392),ROW(Source!$B$1:$B$250),FALSE),G$3)),"")</f>
        <v/>
      </c>
      <c r="H392" t="str">
        <f t="array" aca="1" ref="H392" ca="1">IFERROR(INDEX(Source!$A$1:$A$250,SMALL(IF(--(Source!$B$1:$B$250=$O392)*--(Source!$E$1:$E$250=$M$3)*--(Source!$D$1:$D$250=Pyramid!$M392),ROW(Source!$B$1:$B$250),FALSE),H$3)),"")</f>
        <v/>
      </c>
      <c r="I392" t="str">
        <f t="array" aca="1" ref="I392" ca="1">IFERROR(INDEX(Source!$A$1:$A$250,SMALL(IF(--(Source!$B$1:$B$250=$O392)*--(Source!$E$1:$E$250=$M$3)*--(Source!$D$1:$D$250=Pyramid!$M392),ROW(Source!$B$1:$B$250),FALSE),I$3)),"")</f>
        <v/>
      </c>
      <c r="J392" t="str">
        <f t="array" aca="1" ref="J392" ca="1">IFERROR(INDEX(Source!$A$1:$A$250,SMALL(IF(--(Source!$B$1:$B$250=$O392)*--(Source!$E$1:$E$250=$M$3)*--(Source!$D$1:$D$250=Pyramid!$M392),ROW(Source!$B$1:$B$250),FALSE),J$3)),"")</f>
        <v/>
      </c>
      <c r="K392" t="str">
        <f t="array" aca="1" ref="K392" ca="1">IFERROR(INDEX(Source!$A$1:$A$250,SMALL(IF(--(Source!$B$1:$B$250=$O392)*--(Source!$E$1:$E$250=$M$3)*--(Source!$D$1:$D$250=Pyramid!$M392),ROW(Source!$B$1:$B$250),FALSE),K$3)),"")</f>
        <v/>
      </c>
      <c r="L392" t="str">
        <f t="array" aca="1" ref="L392" ca="1">IFERROR(INDEX(Source!$A$1:$A$250,SMALL(IF(--(Source!$B$1:$B$250=$O392)*--(Source!$E$1:$E$250=$M$3)*--(Source!$D$1:$D$250=Pyramid!$M392),ROW(Source!$B$1:$B$250),FALSE),L$3)),"")</f>
        <v/>
      </c>
      <c r="M392" t="str">
        <f t="shared" si="20"/>
        <v>29/9/2016</v>
      </c>
      <c r="N392">
        <f ca="1">COUNTIFS(Source!B:B,Pyramid!$O392,Source!$D:$D,Pyramid!$M392,Source!$E:$E,Pyramid!$M$3)</f>
        <v>0</v>
      </c>
      <c r="O392">
        <f ca="1">OFFSET(Sheet2!$N$3,INT(C392/5),)</f>
        <v>24500</v>
      </c>
      <c r="P392">
        <f ca="1">COUNTIFS(Source!B:B,Pyramid!$O392,Source!D:D,Pyramid!$Q392,Source!$E:$E,Pyramid!$Q$3)</f>
        <v>0</v>
      </c>
      <c r="Q392" t="str">
        <f t="shared" si="20"/>
        <v>29/9/2016</v>
      </c>
      <c r="R392" t="str">
        <f t="array" aca="1" ref="R392" ca="1">IFERROR(INDEX(Source!$A$1:$A$250,SMALL(IF(--(Source!$B$1:$B$250=$O392)*--(Source!$E$1:$E$250=$Q$3)*--(Source!$D$1:$D$250=Pyramid!$Q392),ROW(Source!$B$1:$B$250),FALSE),R$3)),"")</f>
        <v/>
      </c>
      <c r="S392" t="str">
        <f t="array" aca="1" ref="S392" ca="1">IFERROR(INDEX(Source!$A$1:$A$250,SMALL(IF(--(Source!$B$1:$B$250=$O392)*--(Source!$E$1:$E$250=$Q$3)*--(Source!$D$1:$D$250=Pyramid!$Q392),ROW(Source!$B$1:$B$250),FALSE),S$3)),"")</f>
        <v/>
      </c>
      <c r="T392" t="str">
        <f t="array" aca="1" ref="T392" ca="1">IFERROR(INDEX(Source!$A$1:$A$250,SMALL(IF(--(Source!$B$1:$B$250=$O392)*--(Source!$E$1:$E$250=$Q$3)*--(Source!$D$1:$D$250=Pyramid!$Q392),ROW(Source!$B$1:$B$250),FALSE),T$3)),"")</f>
        <v/>
      </c>
      <c r="U392" t="str">
        <f t="array" aca="1" ref="U392" ca="1">IFERROR(INDEX(Source!$A$1:$A$250,SMALL(IF(--(Source!$B$1:$B$250=$O392)*--(Source!$E$1:$E$250=$Q$3)*--(Source!$D$1:$D$250=Pyramid!$Q392),ROW(Source!$B$1:$B$250),FALSE),U$3)),"")</f>
        <v/>
      </c>
      <c r="V392" t="str">
        <f t="array" aca="1" ref="V392" ca="1">IFERROR(INDEX(Source!$A$1:$A$250,SMALL(IF(--(Source!$B$1:$B$250=$O392)*--(Source!$E$1:$E$250=$Q$3)*--(Source!$D$1:$D$250=Pyramid!$Q392),ROW(Source!$B$1:$B$250),FALSE),V$3)),"")</f>
        <v/>
      </c>
      <c r="W392" t="str">
        <f t="array" aca="1" ref="W392" ca="1">IFERROR(INDEX(Source!$A$1:$A$250,SMALL(IF(--(Source!$B$1:$B$250=$O392)*--(Source!$E$1:$E$250=$Q$3)*--(Source!$D$1:$D$250=Pyramid!$Q392),ROW(Source!$B$1:$B$250),FALSE),W$3)),"")</f>
        <v/>
      </c>
      <c r="X392" t="str">
        <f t="array" aca="1" ref="X392" ca="1">IFERROR(INDEX(Source!$A$1:$A$250,SMALL(IF(--(Source!$B$1:$B$250=$O392)*--(Source!$E$1:$E$250=$Q$3)*--(Source!$D$1:$D$250=Pyramid!$Q392),ROW(Source!$B$1:$B$250),FALSE),X$3)),"")</f>
        <v/>
      </c>
      <c r="Y392" s="5">
        <f t="shared" ca="1" si="21"/>
        <v>0</v>
      </c>
    </row>
    <row r="393" spans="3:25">
      <c r="C393">
        <v>389</v>
      </c>
      <c r="D393" s="5">
        <f t="shared" ca="1" si="19"/>
        <v>0</v>
      </c>
      <c r="E393" t="str">
        <f t="array" aca="1" ref="E393" ca="1">IFERROR(INDEX(Source!$A$1:$A$250,SMALL(IF(--(Source!$B$1:$B$250=$O393)*--(Source!$E$1:$E$250=$M$3)*--(Source!$D$1:$D$250=Pyramid!$M393),ROW(Source!$B$1:$B$250),FALSE),E$3)),"")</f>
        <v/>
      </c>
      <c r="F393" t="str">
        <f t="array" aca="1" ref="F393" ca="1">IFERROR(INDEX(Source!$A$1:$A$250,SMALL(IF(--(Source!$B$1:$B$250=$O393)*--(Source!$E$1:$E$250=$M$3)*--(Source!$D$1:$D$250=Pyramid!$M393),ROW(Source!$B$1:$B$250),FALSE),F$3)),"")</f>
        <v/>
      </c>
      <c r="G393" t="str">
        <f t="array" aca="1" ref="G393" ca="1">IFERROR(INDEX(Source!$A$1:$A$250,SMALL(IF(--(Source!$B$1:$B$250=$O393)*--(Source!$E$1:$E$250=$M$3)*--(Source!$D$1:$D$250=Pyramid!$M393),ROW(Source!$B$1:$B$250),FALSE),G$3)),"")</f>
        <v/>
      </c>
      <c r="H393" t="str">
        <f t="array" aca="1" ref="H393" ca="1">IFERROR(INDEX(Source!$A$1:$A$250,SMALL(IF(--(Source!$B$1:$B$250=$O393)*--(Source!$E$1:$E$250=$M$3)*--(Source!$D$1:$D$250=Pyramid!$M393),ROW(Source!$B$1:$B$250),FALSE),H$3)),"")</f>
        <v/>
      </c>
      <c r="I393" t="str">
        <f t="array" aca="1" ref="I393" ca="1">IFERROR(INDEX(Source!$A$1:$A$250,SMALL(IF(--(Source!$B$1:$B$250=$O393)*--(Source!$E$1:$E$250=$M$3)*--(Source!$D$1:$D$250=Pyramid!$M393),ROW(Source!$B$1:$B$250),FALSE),I$3)),"")</f>
        <v/>
      </c>
      <c r="J393" t="str">
        <f t="array" aca="1" ref="J393" ca="1">IFERROR(INDEX(Source!$A$1:$A$250,SMALL(IF(--(Source!$B$1:$B$250=$O393)*--(Source!$E$1:$E$250=$M$3)*--(Source!$D$1:$D$250=Pyramid!$M393),ROW(Source!$B$1:$B$250),FALSE),J$3)),"")</f>
        <v/>
      </c>
      <c r="K393" t="str">
        <f t="array" aca="1" ref="K393" ca="1">IFERROR(INDEX(Source!$A$1:$A$250,SMALL(IF(--(Source!$B$1:$B$250=$O393)*--(Source!$E$1:$E$250=$M$3)*--(Source!$D$1:$D$250=Pyramid!$M393),ROW(Source!$B$1:$B$250),FALSE),K$3)),"")</f>
        <v/>
      </c>
      <c r="L393" t="str">
        <f t="array" aca="1" ref="L393" ca="1">IFERROR(INDEX(Source!$A$1:$A$250,SMALL(IF(--(Source!$B$1:$B$250=$O393)*--(Source!$E$1:$E$250=$M$3)*--(Source!$D$1:$D$250=Pyramid!$M393),ROW(Source!$B$1:$B$250),FALSE),L$3)),"")</f>
        <v/>
      </c>
      <c r="M393" t="str">
        <f t="shared" si="20"/>
        <v>28/10/2016</v>
      </c>
      <c r="N393">
        <f ca="1">COUNTIFS(Source!B:B,Pyramid!$O393,Source!$D:$D,Pyramid!$M393,Source!$E:$E,Pyramid!$M$3)</f>
        <v>0</v>
      </c>
      <c r="O393">
        <f ca="1">OFFSET(Sheet2!$N$3,INT(C393/5),)</f>
        <v>24500</v>
      </c>
      <c r="P393">
        <f ca="1">COUNTIFS(Source!B:B,Pyramid!$O393,Source!D:D,Pyramid!$Q393,Source!$E:$E,Pyramid!$Q$3)</f>
        <v>0</v>
      </c>
      <c r="Q393" t="str">
        <f t="shared" si="20"/>
        <v>28/10/2016</v>
      </c>
      <c r="R393" t="str">
        <f t="array" aca="1" ref="R393" ca="1">IFERROR(INDEX(Source!$A$1:$A$250,SMALL(IF(--(Source!$B$1:$B$250=$O393)*--(Source!$E$1:$E$250=$Q$3)*--(Source!$D$1:$D$250=Pyramid!$Q393),ROW(Source!$B$1:$B$250),FALSE),R$3)),"")</f>
        <v/>
      </c>
      <c r="S393" t="str">
        <f t="array" aca="1" ref="S393" ca="1">IFERROR(INDEX(Source!$A$1:$A$250,SMALL(IF(--(Source!$B$1:$B$250=$O393)*--(Source!$E$1:$E$250=$Q$3)*--(Source!$D$1:$D$250=Pyramid!$Q393),ROW(Source!$B$1:$B$250),FALSE),S$3)),"")</f>
        <v/>
      </c>
      <c r="T393" t="str">
        <f t="array" aca="1" ref="T393" ca="1">IFERROR(INDEX(Source!$A$1:$A$250,SMALL(IF(--(Source!$B$1:$B$250=$O393)*--(Source!$E$1:$E$250=$Q$3)*--(Source!$D$1:$D$250=Pyramid!$Q393),ROW(Source!$B$1:$B$250),FALSE),T$3)),"")</f>
        <v/>
      </c>
      <c r="U393" t="str">
        <f t="array" aca="1" ref="U393" ca="1">IFERROR(INDEX(Source!$A$1:$A$250,SMALL(IF(--(Source!$B$1:$B$250=$O393)*--(Source!$E$1:$E$250=$Q$3)*--(Source!$D$1:$D$250=Pyramid!$Q393),ROW(Source!$B$1:$B$250),FALSE),U$3)),"")</f>
        <v/>
      </c>
      <c r="V393" t="str">
        <f t="array" aca="1" ref="V393" ca="1">IFERROR(INDEX(Source!$A$1:$A$250,SMALL(IF(--(Source!$B$1:$B$250=$O393)*--(Source!$E$1:$E$250=$Q$3)*--(Source!$D$1:$D$250=Pyramid!$Q393),ROW(Source!$B$1:$B$250),FALSE),V$3)),"")</f>
        <v/>
      </c>
      <c r="W393" t="str">
        <f t="array" aca="1" ref="W393" ca="1">IFERROR(INDEX(Source!$A$1:$A$250,SMALL(IF(--(Source!$B$1:$B$250=$O393)*--(Source!$E$1:$E$250=$Q$3)*--(Source!$D$1:$D$250=Pyramid!$Q393),ROW(Source!$B$1:$B$250),FALSE),W$3)),"")</f>
        <v/>
      </c>
      <c r="X393" t="str">
        <f t="array" aca="1" ref="X393" ca="1">IFERROR(INDEX(Source!$A$1:$A$250,SMALL(IF(--(Source!$B$1:$B$250=$O393)*--(Source!$E$1:$E$250=$Q$3)*--(Source!$D$1:$D$250=Pyramid!$Q393),ROW(Source!$B$1:$B$250),FALSE),X$3)),"")</f>
        <v/>
      </c>
      <c r="Y393" s="5">
        <f t="shared" ca="1" si="21"/>
        <v>0</v>
      </c>
    </row>
    <row r="394" spans="3:25">
      <c r="C394">
        <v>390</v>
      </c>
      <c r="D394" s="5">
        <f t="shared" ca="1" si="19"/>
        <v>0</v>
      </c>
      <c r="E394" t="str">
        <f t="array" aca="1" ref="E394" ca="1">IFERROR(INDEX(Source!$A$1:$A$250,SMALL(IF(--(Source!$B$1:$B$250=$O394)*--(Source!$E$1:$E$250=$M$3)*--(Source!$D$1:$D$250=Pyramid!$M394),ROW(Source!$B$1:$B$250),FALSE),E$3)),"")</f>
        <v/>
      </c>
      <c r="F394" t="str">
        <f t="array" aca="1" ref="F394" ca="1">IFERROR(INDEX(Source!$A$1:$A$250,SMALL(IF(--(Source!$B$1:$B$250=$O394)*--(Source!$E$1:$E$250=$M$3)*--(Source!$D$1:$D$250=Pyramid!$M394),ROW(Source!$B$1:$B$250),FALSE),F$3)),"")</f>
        <v/>
      </c>
      <c r="G394" t="str">
        <f t="array" aca="1" ref="G394" ca="1">IFERROR(INDEX(Source!$A$1:$A$250,SMALL(IF(--(Source!$B$1:$B$250=$O394)*--(Source!$E$1:$E$250=$M$3)*--(Source!$D$1:$D$250=Pyramid!$M394),ROW(Source!$B$1:$B$250),FALSE),G$3)),"")</f>
        <v/>
      </c>
      <c r="H394" t="str">
        <f t="array" aca="1" ref="H394" ca="1">IFERROR(INDEX(Source!$A$1:$A$250,SMALL(IF(--(Source!$B$1:$B$250=$O394)*--(Source!$E$1:$E$250=$M$3)*--(Source!$D$1:$D$250=Pyramid!$M394),ROW(Source!$B$1:$B$250),FALSE),H$3)),"")</f>
        <v/>
      </c>
      <c r="I394" t="str">
        <f t="array" aca="1" ref="I394" ca="1">IFERROR(INDEX(Source!$A$1:$A$250,SMALL(IF(--(Source!$B$1:$B$250=$O394)*--(Source!$E$1:$E$250=$M$3)*--(Source!$D$1:$D$250=Pyramid!$M394),ROW(Source!$B$1:$B$250),FALSE),I$3)),"")</f>
        <v/>
      </c>
      <c r="J394" t="str">
        <f t="array" aca="1" ref="J394" ca="1">IFERROR(INDEX(Source!$A$1:$A$250,SMALL(IF(--(Source!$B$1:$B$250=$O394)*--(Source!$E$1:$E$250=$M$3)*--(Source!$D$1:$D$250=Pyramid!$M394),ROW(Source!$B$1:$B$250),FALSE),J$3)),"")</f>
        <v/>
      </c>
      <c r="K394" t="str">
        <f t="array" aca="1" ref="K394" ca="1">IFERROR(INDEX(Source!$A$1:$A$250,SMALL(IF(--(Source!$B$1:$B$250=$O394)*--(Source!$E$1:$E$250=$M$3)*--(Source!$D$1:$D$250=Pyramid!$M394),ROW(Source!$B$1:$B$250),FALSE),K$3)),"")</f>
        <v/>
      </c>
      <c r="L394" t="str">
        <f t="array" aca="1" ref="L394" ca="1">IFERROR(INDEX(Source!$A$1:$A$250,SMALL(IF(--(Source!$B$1:$B$250=$O394)*--(Source!$E$1:$E$250=$M$3)*--(Source!$D$1:$D$250=Pyramid!$M394),ROW(Source!$B$1:$B$250),FALSE),L$3)),"")</f>
        <v/>
      </c>
      <c r="M394" t="str">
        <f t="shared" si="20"/>
        <v>29/6/2016</v>
      </c>
      <c r="N394">
        <f ca="1">COUNTIFS(Source!B:B,Pyramid!$O394,Source!$D:$D,Pyramid!$M394,Source!$E:$E,Pyramid!$M$3)</f>
        <v>0</v>
      </c>
      <c r="O394">
        <f ca="1">OFFSET(Sheet2!$N$3,INT(C394/5),)</f>
        <v>24518</v>
      </c>
      <c r="P394">
        <f ca="1">COUNTIFS(Source!B:B,Pyramid!$O394,Source!D:D,Pyramid!$Q394,Source!$E:$E,Pyramid!$Q$3)</f>
        <v>0</v>
      </c>
      <c r="Q394" t="str">
        <f t="shared" si="20"/>
        <v>29/6/2016</v>
      </c>
      <c r="R394" t="str">
        <f t="array" aca="1" ref="R394" ca="1">IFERROR(INDEX(Source!$A$1:$A$250,SMALL(IF(--(Source!$B$1:$B$250=$O394)*--(Source!$E$1:$E$250=$Q$3)*--(Source!$D$1:$D$250=Pyramid!$Q394),ROW(Source!$B$1:$B$250),FALSE),R$3)),"")</f>
        <v/>
      </c>
      <c r="S394" t="str">
        <f t="array" aca="1" ref="S394" ca="1">IFERROR(INDEX(Source!$A$1:$A$250,SMALL(IF(--(Source!$B$1:$B$250=$O394)*--(Source!$E$1:$E$250=$Q$3)*--(Source!$D$1:$D$250=Pyramid!$Q394),ROW(Source!$B$1:$B$250),FALSE),S$3)),"")</f>
        <v/>
      </c>
      <c r="T394" t="str">
        <f t="array" aca="1" ref="T394" ca="1">IFERROR(INDEX(Source!$A$1:$A$250,SMALL(IF(--(Source!$B$1:$B$250=$O394)*--(Source!$E$1:$E$250=$Q$3)*--(Source!$D$1:$D$250=Pyramid!$Q394),ROW(Source!$B$1:$B$250),FALSE),T$3)),"")</f>
        <v/>
      </c>
      <c r="U394" t="str">
        <f t="array" aca="1" ref="U394" ca="1">IFERROR(INDEX(Source!$A$1:$A$250,SMALL(IF(--(Source!$B$1:$B$250=$O394)*--(Source!$E$1:$E$250=$Q$3)*--(Source!$D$1:$D$250=Pyramid!$Q394),ROW(Source!$B$1:$B$250),FALSE),U$3)),"")</f>
        <v/>
      </c>
      <c r="V394" t="str">
        <f t="array" aca="1" ref="V394" ca="1">IFERROR(INDEX(Source!$A$1:$A$250,SMALL(IF(--(Source!$B$1:$B$250=$O394)*--(Source!$E$1:$E$250=$Q$3)*--(Source!$D$1:$D$250=Pyramid!$Q394),ROW(Source!$B$1:$B$250),FALSE),V$3)),"")</f>
        <v/>
      </c>
      <c r="W394" t="str">
        <f t="array" aca="1" ref="W394" ca="1">IFERROR(INDEX(Source!$A$1:$A$250,SMALL(IF(--(Source!$B$1:$B$250=$O394)*--(Source!$E$1:$E$250=$Q$3)*--(Source!$D$1:$D$250=Pyramid!$Q394),ROW(Source!$B$1:$B$250),FALSE),W$3)),"")</f>
        <v/>
      </c>
      <c r="X394" t="str">
        <f t="array" aca="1" ref="X394" ca="1">IFERROR(INDEX(Source!$A$1:$A$250,SMALL(IF(--(Source!$B$1:$B$250=$O394)*--(Source!$E$1:$E$250=$Q$3)*--(Source!$D$1:$D$250=Pyramid!$Q394),ROW(Source!$B$1:$B$250),FALSE),X$3)),"")</f>
        <v/>
      </c>
      <c r="Y394" s="5">
        <f t="shared" ca="1" si="21"/>
        <v>0</v>
      </c>
    </row>
    <row r="395" spans="3:25">
      <c r="C395">
        <v>391</v>
      </c>
      <c r="D395" s="5">
        <f t="shared" ca="1" si="19"/>
        <v>0</v>
      </c>
      <c r="E395" t="str">
        <f t="array" aca="1" ref="E395" ca="1">IFERROR(INDEX(Source!$A$1:$A$250,SMALL(IF(--(Source!$B$1:$B$250=$O395)*--(Source!$E$1:$E$250=$M$3)*--(Source!$D$1:$D$250=Pyramid!$M395),ROW(Source!$B$1:$B$250),FALSE),E$3)),"")</f>
        <v/>
      </c>
      <c r="F395" t="str">
        <f t="array" aca="1" ref="F395" ca="1">IFERROR(INDEX(Source!$A$1:$A$250,SMALL(IF(--(Source!$B$1:$B$250=$O395)*--(Source!$E$1:$E$250=$M$3)*--(Source!$D$1:$D$250=Pyramid!$M395),ROW(Source!$B$1:$B$250),FALSE),F$3)),"")</f>
        <v/>
      </c>
      <c r="G395" t="str">
        <f t="array" aca="1" ref="G395" ca="1">IFERROR(INDEX(Source!$A$1:$A$250,SMALL(IF(--(Source!$B$1:$B$250=$O395)*--(Source!$E$1:$E$250=$M$3)*--(Source!$D$1:$D$250=Pyramid!$M395),ROW(Source!$B$1:$B$250),FALSE),G$3)),"")</f>
        <v/>
      </c>
      <c r="H395" t="str">
        <f t="array" aca="1" ref="H395" ca="1">IFERROR(INDEX(Source!$A$1:$A$250,SMALL(IF(--(Source!$B$1:$B$250=$O395)*--(Source!$E$1:$E$250=$M$3)*--(Source!$D$1:$D$250=Pyramid!$M395),ROW(Source!$B$1:$B$250),FALSE),H$3)),"")</f>
        <v/>
      </c>
      <c r="I395" t="str">
        <f t="array" aca="1" ref="I395" ca="1">IFERROR(INDEX(Source!$A$1:$A$250,SMALL(IF(--(Source!$B$1:$B$250=$O395)*--(Source!$E$1:$E$250=$M$3)*--(Source!$D$1:$D$250=Pyramid!$M395),ROW(Source!$B$1:$B$250),FALSE),I$3)),"")</f>
        <v/>
      </c>
      <c r="J395" t="str">
        <f t="array" aca="1" ref="J395" ca="1">IFERROR(INDEX(Source!$A$1:$A$250,SMALL(IF(--(Source!$B$1:$B$250=$O395)*--(Source!$E$1:$E$250=$M$3)*--(Source!$D$1:$D$250=Pyramid!$M395),ROW(Source!$B$1:$B$250),FALSE),J$3)),"")</f>
        <v/>
      </c>
      <c r="K395" t="str">
        <f t="array" aca="1" ref="K395" ca="1">IFERROR(INDEX(Source!$A$1:$A$250,SMALL(IF(--(Source!$B$1:$B$250=$O395)*--(Source!$E$1:$E$250=$M$3)*--(Source!$D$1:$D$250=Pyramid!$M395),ROW(Source!$B$1:$B$250),FALSE),K$3)),"")</f>
        <v/>
      </c>
      <c r="L395" t="str">
        <f t="array" aca="1" ref="L395" ca="1">IFERROR(INDEX(Source!$A$1:$A$250,SMALL(IF(--(Source!$B$1:$B$250=$O395)*--(Source!$E$1:$E$250=$M$3)*--(Source!$D$1:$D$250=Pyramid!$M395),ROW(Source!$B$1:$B$250),FALSE),L$3)),"")</f>
        <v/>
      </c>
      <c r="M395" t="str">
        <f t="shared" si="20"/>
        <v>28/7/2016</v>
      </c>
      <c r="N395">
        <f ca="1">COUNTIFS(Source!B:B,Pyramid!$O395,Source!$D:$D,Pyramid!$M395,Source!$E:$E,Pyramid!$M$3)</f>
        <v>0</v>
      </c>
      <c r="O395">
        <f ca="1">OFFSET(Sheet2!$N$3,INT(C395/5),)</f>
        <v>24518</v>
      </c>
      <c r="P395">
        <f ca="1">COUNTIFS(Source!B:B,Pyramid!$O395,Source!D:D,Pyramid!$Q395,Source!$E:$E,Pyramid!$Q$3)</f>
        <v>0</v>
      </c>
      <c r="Q395" t="str">
        <f t="shared" si="20"/>
        <v>28/7/2016</v>
      </c>
      <c r="R395" t="str">
        <f t="array" aca="1" ref="R395" ca="1">IFERROR(INDEX(Source!$A$1:$A$250,SMALL(IF(--(Source!$B$1:$B$250=$O395)*--(Source!$E$1:$E$250=$Q$3)*--(Source!$D$1:$D$250=Pyramid!$Q395),ROW(Source!$B$1:$B$250),FALSE),R$3)),"")</f>
        <v/>
      </c>
      <c r="S395" t="str">
        <f t="array" aca="1" ref="S395" ca="1">IFERROR(INDEX(Source!$A$1:$A$250,SMALL(IF(--(Source!$B$1:$B$250=$O395)*--(Source!$E$1:$E$250=$Q$3)*--(Source!$D$1:$D$250=Pyramid!$Q395),ROW(Source!$B$1:$B$250),FALSE),S$3)),"")</f>
        <v/>
      </c>
      <c r="T395" t="str">
        <f t="array" aca="1" ref="T395" ca="1">IFERROR(INDEX(Source!$A$1:$A$250,SMALL(IF(--(Source!$B$1:$B$250=$O395)*--(Source!$E$1:$E$250=$Q$3)*--(Source!$D$1:$D$250=Pyramid!$Q395),ROW(Source!$B$1:$B$250),FALSE),T$3)),"")</f>
        <v/>
      </c>
      <c r="U395" t="str">
        <f t="array" aca="1" ref="U395" ca="1">IFERROR(INDEX(Source!$A$1:$A$250,SMALL(IF(--(Source!$B$1:$B$250=$O395)*--(Source!$E$1:$E$250=$Q$3)*--(Source!$D$1:$D$250=Pyramid!$Q395),ROW(Source!$B$1:$B$250),FALSE),U$3)),"")</f>
        <v/>
      </c>
      <c r="V395" t="str">
        <f t="array" aca="1" ref="V395" ca="1">IFERROR(INDEX(Source!$A$1:$A$250,SMALL(IF(--(Source!$B$1:$B$250=$O395)*--(Source!$E$1:$E$250=$Q$3)*--(Source!$D$1:$D$250=Pyramid!$Q395),ROW(Source!$B$1:$B$250),FALSE),V$3)),"")</f>
        <v/>
      </c>
      <c r="W395" t="str">
        <f t="array" aca="1" ref="W395" ca="1">IFERROR(INDEX(Source!$A$1:$A$250,SMALL(IF(--(Source!$B$1:$B$250=$O395)*--(Source!$E$1:$E$250=$Q$3)*--(Source!$D$1:$D$250=Pyramid!$Q395),ROW(Source!$B$1:$B$250),FALSE),W$3)),"")</f>
        <v/>
      </c>
      <c r="X395" t="str">
        <f t="array" aca="1" ref="X395" ca="1">IFERROR(INDEX(Source!$A$1:$A$250,SMALL(IF(--(Source!$B$1:$B$250=$O395)*--(Source!$E$1:$E$250=$Q$3)*--(Source!$D$1:$D$250=Pyramid!$Q395),ROW(Source!$B$1:$B$250),FALSE),X$3)),"")</f>
        <v/>
      </c>
      <c r="Y395" s="5">
        <f t="shared" ca="1" si="21"/>
        <v>0</v>
      </c>
    </row>
    <row r="396" spans="3:25">
      <c r="C396">
        <v>392</v>
      </c>
      <c r="D396" s="5">
        <f t="shared" ca="1" si="19"/>
        <v>0</v>
      </c>
      <c r="E396" t="str">
        <f t="array" aca="1" ref="E396" ca="1">IFERROR(INDEX(Source!$A$1:$A$250,SMALL(IF(--(Source!$B$1:$B$250=$O396)*--(Source!$E$1:$E$250=$M$3)*--(Source!$D$1:$D$250=Pyramid!$M396),ROW(Source!$B$1:$B$250),FALSE),E$3)),"")</f>
        <v/>
      </c>
      <c r="F396" t="str">
        <f t="array" aca="1" ref="F396" ca="1">IFERROR(INDEX(Source!$A$1:$A$250,SMALL(IF(--(Source!$B$1:$B$250=$O396)*--(Source!$E$1:$E$250=$M$3)*--(Source!$D$1:$D$250=Pyramid!$M396),ROW(Source!$B$1:$B$250),FALSE),F$3)),"")</f>
        <v/>
      </c>
      <c r="G396" t="str">
        <f t="array" aca="1" ref="G396" ca="1">IFERROR(INDEX(Source!$A$1:$A$250,SMALL(IF(--(Source!$B$1:$B$250=$O396)*--(Source!$E$1:$E$250=$M$3)*--(Source!$D$1:$D$250=Pyramid!$M396),ROW(Source!$B$1:$B$250),FALSE),G$3)),"")</f>
        <v/>
      </c>
      <c r="H396" t="str">
        <f t="array" aca="1" ref="H396" ca="1">IFERROR(INDEX(Source!$A$1:$A$250,SMALL(IF(--(Source!$B$1:$B$250=$O396)*--(Source!$E$1:$E$250=$M$3)*--(Source!$D$1:$D$250=Pyramid!$M396),ROW(Source!$B$1:$B$250),FALSE),H$3)),"")</f>
        <v/>
      </c>
      <c r="I396" t="str">
        <f t="array" aca="1" ref="I396" ca="1">IFERROR(INDEX(Source!$A$1:$A$250,SMALL(IF(--(Source!$B$1:$B$250=$O396)*--(Source!$E$1:$E$250=$M$3)*--(Source!$D$1:$D$250=Pyramid!$M396),ROW(Source!$B$1:$B$250),FALSE),I$3)),"")</f>
        <v/>
      </c>
      <c r="J396" t="str">
        <f t="array" aca="1" ref="J396" ca="1">IFERROR(INDEX(Source!$A$1:$A$250,SMALL(IF(--(Source!$B$1:$B$250=$O396)*--(Source!$E$1:$E$250=$M$3)*--(Source!$D$1:$D$250=Pyramid!$M396),ROW(Source!$B$1:$B$250),FALSE),J$3)),"")</f>
        <v/>
      </c>
      <c r="K396" t="str">
        <f t="array" aca="1" ref="K396" ca="1">IFERROR(INDEX(Source!$A$1:$A$250,SMALL(IF(--(Source!$B$1:$B$250=$O396)*--(Source!$E$1:$E$250=$M$3)*--(Source!$D$1:$D$250=Pyramid!$M396),ROW(Source!$B$1:$B$250),FALSE),K$3)),"")</f>
        <v/>
      </c>
      <c r="L396" t="str">
        <f t="array" aca="1" ref="L396" ca="1">IFERROR(INDEX(Source!$A$1:$A$250,SMALL(IF(--(Source!$B$1:$B$250=$O396)*--(Source!$E$1:$E$250=$M$3)*--(Source!$D$1:$D$250=Pyramid!$M396),ROW(Source!$B$1:$B$250),FALSE),L$3)),"")</f>
        <v/>
      </c>
      <c r="M396" t="str">
        <f t="shared" si="20"/>
        <v>30/8/2016</v>
      </c>
      <c r="N396">
        <f ca="1">COUNTIFS(Source!B:B,Pyramid!$O396,Source!$D:$D,Pyramid!$M396,Source!$E:$E,Pyramid!$M$3)</f>
        <v>0</v>
      </c>
      <c r="O396">
        <f ca="1">OFFSET(Sheet2!$N$3,INT(C396/5),)</f>
        <v>24518</v>
      </c>
      <c r="P396">
        <f ca="1">COUNTIFS(Source!B:B,Pyramid!$O396,Source!D:D,Pyramid!$Q396,Source!$E:$E,Pyramid!$Q$3)</f>
        <v>0</v>
      </c>
      <c r="Q396" t="str">
        <f t="shared" si="20"/>
        <v>30/8/2016</v>
      </c>
      <c r="R396" t="str">
        <f t="array" aca="1" ref="R396" ca="1">IFERROR(INDEX(Source!$A$1:$A$250,SMALL(IF(--(Source!$B$1:$B$250=$O396)*--(Source!$E$1:$E$250=$Q$3)*--(Source!$D$1:$D$250=Pyramid!$Q396),ROW(Source!$B$1:$B$250),FALSE),R$3)),"")</f>
        <v/>
      </c>
      <c r="S396" t="str">
        <f t="array" aca="1" ref="S396" ca="1">IFERROR(INDEX(Source!$A$1:$A$250,SMALL(IF(--(Source!$B$1:$B$250=$O396)*--(Source!$E$1:$E$250=$Q$3)*--(Source!$D$1:$D$250=Pyramid!$Q396),ROW(Source!$B$1:$B$250),FALSE),S$3)),"")</f>
        <v/>
      </c>
      <c r="T396" t="str">
        <f t="array" aca="1" ref="T396" ca="1">IFERROR(INDEX(Source!$A$1:$A$250,SMALL(IF(--(Source!$B$1:$B$250=$O396)*--(Source!$E$1:$E$250=$Q$3)*--(Source!$D$1:$D$250=Pyramid!$Q396),ROW(Source!$B$1:$B$250),FALSE),T$3)),"")</f>
        <v/>
      </c>
      <c r="U396" t="str">
        <f t="array" aca="1" ref="U396" ca="1">IFERROR(INDEX(Source!$A$1:$A$250,SMALL(IF(--(Source!$B$1:$B$250=$O396)*--(Source!$E$1:$E$250=$Q$3)*--(Source!$D$1:$D$250=Pyramid!$Q396),ROW(Source!$B$1:$B$250),FALSE),U$3)),"")</f>
        <v/>
      </c>
      <c r="V396" t="str">
        <f t="array" aca="1" ref="V396" ca="1">IFERROR(INDEX(Source!$A$1:$A$250,SMALL(IF(--(Source!$B$1:$B$250=$O396)*--(Source!$E$1:$E$250=$Q$3)*--(Source!$D$1:$D$250=Pyramid!$Q396),ROW(Source!$B$1:$B$250),FALSE),V$3)),"")</f>
        <v/>
      </c>
      <c r="W396" t="str">
        <f t="array" aca="1" ref="W396" ca="1">IFERROR(INDEX(Source!$A$1:$A$250,SMALL(IF(--(Source!$B$1:$B$250=$O396)*--(Source!$E$1:$E$250=$Q$3)*--(Source!$D$1:$D$250=Pyramid!$Q396),ROW(Source!$B$1:$B$250),FALSE),W$3)),"")</f>
        <v/>
      </c>
      <c r="X396" t="str">
        <f t="array" aca="1" ref="X396" ca="1">IFERROR(INDEX(Source!$A$1:$A$250,SMALL(IF(--(Source!$B$1:$B$250=$O396)*--(Source!$E$1:$E$250=$Q$3)*--(Source!$D$1:$D$250=Pyramid!$Q396),ROW(Source!$B$1:$B$250),FALSE),X$3)),"")</f>
        <v/>
      </c>
      <c r="Y396" s="5">
        <f t="shared" ca="1" si="21"/>
        <v>0</v>
      </c>
    </row>
    <row r="397" spans="3:25">
      <c r="C397">
        <v>393</v>
      </c>
      <c r="D397" s="5">
        <f t="shared" ca="1" si="19"/>
        <v>0</v>
      </c>
      <c r="E397" t="str">
        <f t="array" aca="1" ref="E397" ca="1">IFERROR(INDEX(Source!$A$1:$A$250,SMALL(IF(--(Source!$B$1:$B$250=$O397)*--(Source!$E$1:$E$250=$M$3)*--(Source!$D$1:$D$250=Pyramid!$M397),ROW(Source!$B$1:$B$250),FALSE),E$3)),"")</f>
        <v/>
      </c>
      <c r="F397" t="str">
        <f t="array" aca="1" ref="F397" ca="1">IFERROR(INDEX(Source!$A$1:$A$250,SMALL(IF(--(Source!$B$1:$B$250=$O397)*--(Source!$E$1:$E$250=$M$3)*--(Source!$D$1:$D$250=Pyramid!$M397),ROW(Source!$B$1:$B$250),FALSE),F$3)),"")</f>
        <v/>
      </c>
      <c r="G397" t="str">
        <f t="array" aca="1" ref="G397" ca="1">IFERROR(INDEX(Source!$A$1:$A$250,SMALL(IF(--(Source!$B$1:$B$250=$O397)*--(Source!$E$1:$E$250=$M$3)*--(Source!$D$1:$D$250=Pyramid!$M397),ROW(Source!$B$1:$B$250),FALSE),G$3)),"")</f>
        <v/>
      </c>
      <c r="H397" t="str">
        <f t="array" aca="1" ref="H397" ca="1">IFERROR(INDEX(Source!$A$1:$A$250,SMALL(IF(--(Source!$B$1:$B$250=$O397)*--(Source!$E$1:$E$250=$M$3)*--(Source!$D$1:$D$250=Pyramid!$M397),ROW(Source!$B$1:$B$250),FALSE),H$3)),"")</f>
        <v/>
      </c>
      <c r="I397" t="str">
        <f t="array" aca="1" ref="I397" ca="1">IFERROR(INDEX(Source!$A$1:$A$250,SMALL(IF(--(Source!$B$1:$B$250=$O397)*--(Source!$E$1:$E$250=$M$3)*--(Source!$D$1:$D$250=Pyramid!$M397),ROW(Source!$B$1:$B$250),FALSE),I$3)),"")</f>
        <v/>
      </c>
      <c r="J397" t="str">
        <f t="array" aca="1" ref="J397" ca="1">IFERROR(INDEX(Source!$A$1:$A$250,SMALL(IF(--(Source!$B$1:$B$250=$O397)*--(Source!$E$1:$E$250=$M$3)*--(Source!$D$1:$D$250=Pyramid!$M397),ROW(Source!$B$1:$B$250),FALSE),J$3)),"")</f>
        <v/>
      </c>
      <c r="K397" t="str">
        <f t="array" aca="1" ref="K397" ca="1">IFERROR(INDEX(Source!$A$1:$A$250,SMALL(IF(--(Source!$B$1:$B$250=$O397)*--(Source!$E$1:$E$250=$M$3)*--(Source!$D$1:$D$250=Pyramid!$M397),ROW(Source!$B$1:$B$250),FALSE),K$3)),"")</f>
        <v/>
      </c>
      <c r="L397" t="str">
        <f t="array" aca="1" ref="L397" ca="1">IFERROR(INDEX(Source!$A$1:$A$250,SMALL(IF(--(Source!$B$1:$B$250=$O397)*--(Source!$E$1:$E$250=$M$3)*--(Source!$D$1:$D$250=Pyramid!$M397),ROW(Source!$B$1:$B$250),FALSE),L$3)),"")</f>
        <v/>
      </c>
      <c r="M397" t="str">
        <f t="shared" si="20"/>
        <v>29/9/2016</v>
      </c>
      <c r="N397">
        <f ca="1">COUNTIFS(Source!B:B,Pyramid!$O397,Source!$D:$D,Pyramid!$M397,Source!$E:$E,Pyramid!$M$3)</f>
        <v>0</v>
      </c>
      <c r="O397">
        <f ca="1">OFFSET(Sheet2!$N$3,INT(C397/5),)</f>
        <v>24518</v>
      </c>
      <c r="P397">
        <f ca="1">COUNTIFS(Source!B:B,Pyramid!$O397,Source!D:D,Pyramid!$Q397,Source!$E:$E,Pyramid!$Q$3)</f>
        <v>0</v>
      </c>
      <c r="Q397" t="str">
        <f t="shared" si="20"/>
        <v>29/9/2016</v>
      </c>
      <c r="R397" t="str">
        <f t="array" aca="1" ref="R397" ca="1">IFERROR(INDEX(Source!$A$1:$A$250,SMALL(IF(--(Source!$B$1:$B$250=$O397)*--(Source!$E$1:$E$250=$Q$3)*--(Source!$D$1:$D$250=Pyramid!$Q397),ROW(Source!$B$1:$B$250),FALSE),R$3)),"")</f>
        <v/>
      </c>
      <c r="S397" t="str">
        <f t="array" aca="1" ref="S397" ca="1">IFERROR(INDEX(Source!$A$1:$A$250,SMALL(IF(--(Source!$B$1:$B$250=$O397)*--(Source!$E$1:$E$250=$Q$3)*--(Source!$D$1:$D$250=Pyramid!$Q397),ROW(Source!$B$1:$B$250),FALSE),S$3)),"")</f>
        <v/>
      </c>
      <c r="T397" t="str">
        <f t="array" aca="1" ref="T397" ca="1">IFERROR(INDEX(Source!$A$1:$A$250,SMALL(IF(--(Source!$B$1:$B$250=$O397)*--(Source!$E$1:$E$250=$Q$3)*--(Source!$D$1:$D$250=Pyramid!$Q397),ROW(Source!$B$1:$B$250),FALSE),T$3)),"")</f>
        <v/>
      </c>
      <c r="U397" t="str">
        <f t="array" aca="1" ref="U397" ca="1">IFERROR(INDEX(Source!$A$1:$A$250,SMALL(IF(--(Source!$B$1:$B$250=$O397)*--(Source!$E$1:$E$250=$Q$3)*--(Source!$D$1:$D$250=Pyramid!$Q397),ROW(Source!$B$1:$B$250),FALSE),U$3)),"")</f>
        <v/>
      </c>
      <c r="V397" t="str">
        <f t="array" aca="1" ref="V397" ca="1">IFERROR(INDEX(Source!$A$1:$A$250,SMALL(IF(--(Source!$B$1:$B$250=$O397)*--(Source!$E$1:$E$250=$Q$3)*--(Source!$D$1:$D$250=Pyramid!$Q397),ROW(Source!$B$1:$B$250),FALSE),V$3)),"")</f>
        <v/>
      </c>
      <c r="W397" t="str">
        <f t="array" aca="1" ref="W397" ca="1">IFERROR(INDEX(Source!$A$1:$A$250,SMALL(IF(--(Source!$B$1:$B$250=$O397)*--(Source!$E$1:$E$250=$Q$3)*--(Source!$D$1:$D$250=Pyramid!$Q397),ROW(Source!$B$1:$B$250),FALSE),W$3)),"")</f>
        <v/>
      </c>
      <c r="X397" t="str">
        <f t="array" aca="1" ref="X397" ca="1">IFERROR(INDEX(Source!$A$1:$A$250,SMALL(IF(--(Source!$B$1:$B$250=$O397)*--(Source!$E$1:$E$250=$Q$3)*--(Source!$D$1:$D$250=Pyramid!$Q397),ROW(Source!$B$1:$B$250),FALSE),X$3)),"")</f>
        <v/>
      </c>
      <c r="Y397" s="5">
        <f t="shared" ca="1" si="21"/>
        <v>0</v>
      </c>
    </row>
    <row r="398" spans="3:25">
      <c r="C398">
        <v>394</v>
      </c>
      <c r="D398" s="5">
        <f t="shared" ca="1" si="19"/>
        <v>0</v>
      </c>
      <c r="E398" t="str">
        <f t="array" aca="1" ref="E398" ca="1">IFERROR(INDEX(Source!$A$1:$A$250,SMALL(IF(--(Source!$B$1:$B$250=$O398)*--(Source!$E$1:$E$250=$M$3)*--(Source!$D$1:$D$250=Pyramid!$M398),ROW(Source!$B$1:$B$250),FALSE),E$3)),"")</f>
        <v/>
      </c>
      <c r="F398" t="str">
        <f t="array" aca="1" ref="F398" ca="1">IFERROR(INDEX(Source!$A$1:$A$250,SMALL(IF(--(Source!$B$1:$B$250=$O398)*--(Source!$E$1:$E$250=$M$3)*--(Source!$D$1:$D$250=Pyramid!$M398),ROW(Source!$B$1:$B$250),FALSE),F$3)),"")</f>
        <v/>
      </c>
      <c r="G398" t="str">
        <f t="array" aca="1" ref="G398" ca="1">IFERROR(INDEX(Source!$A$1:$A$250,SMALL(IF(--(Source!$B$1:$B$250=$O398)*--(Source!$E$1:$E$250=$M$3)*--(Source!$D$1:$D$250=Pyramid!$M398),ROW(Source!$B$1:$B$250),FALSE),G$3)),"")</f>
        <v/>
      </c>
      <c r="H398" t="str">
        <f t="array" aca="1" ref="H398" ca="1">IFERROR(INDEX(Source!$A$1:$A$250,SMALL(IF(--(Source!$B$1:$B$250=$O398)*--(Source!$E$1:$E$250=$M$3)*--(Source!$D$1:$D$250=Pyramid!$M398),ROW(Source!$B$1:$B$250),FALSE),H$3)),"")</f>
        <v/>
      </c>
      <c r="I398" t="str">
        <f t="array" aca="1" ref="I398" ca="1">IFERROR(INDEX(Source!$A$1:$A$250,SMALL(IF(--(Source!$B$1:$B$250=$O398)*--(Source!$E$1:$E$250=$M$3)*--(Source!$D$1:$D$250=Pyramid!$M398),ROW(Source!$B$1:$B$250),FALSE),I$3)),"")</f>
        <v/>
      </c>
      <c r="J398" t="str">
        <f t="array" aca="1" ref="J398" ca="1">IFERROR(INDEX(Source!$A$1:$A$250,SMALL(IF(--(Source!$B$1:$B$250=$O398)*--(Source!$E$1:$E$250=$M$3)*--(Source!$D$1:$D$250=Pyramid!$M398),ROW(Source!$B$1:$B$250),FALSE),J$3)),"")</f>
        <v/>
      </c>
      <c r="K398" t="str">
        <f t="array" aca="1" ref="K398" ca="1">IFERROR(INDEX(Source!$A$1:$A$250,SMALL(IF(--(Source!$B$1:$B$250=$O398)*--(Source!$E$1:$E$250=$M$3)*--(Source!$D$1:$D$250=Pyramid!$M398),ROW(Source!$B$1:$B$250),FALSE),K$3)),"")</f>
        <v/>
      </c>
      <c r="L398" t="str">
        <f t="array" aca="1" ref="L398" ca="1">IFERROR(INDEX(Source!$A$1:$A$250,SMALL(IF(--(Source!$B$1:$B$250=$O398)*--(Source!$E$1:$E$250=$M$3)*--(Source!$D$1:$D$250=Pyramid!$M398),ROW(Source!$B$1:$B$250),FALSE),L$3)),"")</f>
        <v/>
      </c>
      <c r="M398" t="str">
        <f t="shared" si="20"/>
        <v>28/10/2016</v>
      </c>
      <c r="N398">
        <f ca="1">COUNTIFS(Source!B:B,Pyramid!$O398,Source!$D:$D,Pyramid!$M398,Source!$E:$E,Pyramid!$M$3)</f>
        <v>0</v>
      </c>
      <c r="O398">
        <f ca="1">OFFSET(Sheet2!$N$3,INT(C398/5),)</f>
        <v>24518</v>
      </c>
      <c r="P398">
        <f ca="1">COUNTIFS(Source!B:B,Pyramid!$O398,Source!D:D,Pyramid!$Q398,Source!$E:$E,Pyramid!$Q$3)</f>
        <v>0</v>
      </c>
      <c r="Q398" t="str">
        <f t="shared" si="20"/>
        <v>28/10/2016</v>
      </c>
      <c r="R398" t="str">
        <f t="array" aca="1" ref="R398" ca="1">IFERROR(INDEX(Source!$A$1:$A$250,SMALL(IF(--(Source!$B$1:$B$250=$O398)*--(Source!$E$1:$E$250=$Q$3)*--(Source!$D$1:$D$250=Pyramid!$Q398),ROW(Source!$B$1:$B$250),FALSE),R$3)),"")</f>
        <v/>
      </c>
      <c r="S398" t="str">
        <f t="array" aca="1" ref="S398" ca="1">IFERROR(INDEX(Source!$A$1:$A$250,SMALL(IF(--(Source!$B$1:$B$250=$O398)*--(Source!$E$1:$E$250=$Q$3)*--(Source!$D$1:$D$250=Pyramid!$Q398),ROW(Source!$B$1:$B$250),FALSE),S$3)),"")</f>
        <v/>
      </c>
      <c r="T398" t="str">
        <f t="array" aca="1" ref="T398" ca="1">IFERROR(INDEX(Source!$A$1:$A$250,SMALL(IF(--(Source!$B$1:$B$250=$O398)*--(Source!$E$1:$E$250=$Q$3)*--(Source!$D$1:$D$250=Pyramid!$Q398),ROW(Source!$B$1:$B$250),FALSE),T$3)),"")</f>
        <v/>
      </c>
      <c r="U398" t="str">
        <f t="array" aca="1" ref="U398" ca="1">IFERROR(INDEX(Source!$A$1:$A$250,SMALL(IF(--(Source!$B$1:$B$250=$O398)*--(Source!$E$1:$E$250=$Q$3)*--(Source!$D$1:$D$250=Pyramid!$Q398),ROW(Source!$B$1:$B$250),FALSE),U$3)),"")</f>
        <v/>
      </c>
      <c r="V398" t="str">
        <f t="array" aca="1" ref="V398" ca="1">IFERROR(INDEX(Source!$A$1:$A$250,SMALL(IF(--(Source!$B$1:$B$250=$O398)*--(Source!$E$1:$E$250=$Q$3)*--(Source!$D$1:$D$250=Pyramid!$Q398),ROW(Source!$B$1:$B$250),FALSE),V$3)),"")</f>
        <v/>
      </c>
      <c r="W398" t="str">
        <f t="array" aca="1" ref="W398" ca="1">IFERROR(INDEX(Source!$A$1:$A$250,SMALL(IF(--(Source!$B$1:$B$250=$O398)*--(Source!$E$1:$E$250=$Q$3)*--(Source!$D$1:$D$250=Pyramid!$Q398),ROW(Source!$B$1:$B$250),FALSE),W$3)),"")</f>
        <v/>
      </c>
      <c r="X398" t="str">
        <f t="array" aca="1" ref="X398" ca="1">IFERROR(INDEX(Source!$A$1:$A$250,SMALL(IF(--(Source!$B$1:$B$250=$O398)*--(Source!$E$1:$E$250=$Q$3)*--(Source!$D$1:$D$250=Pyramid!$Q398),ROW(Source!$B$1:$B$250),FALSE),X$3)),"")</f>
        <v/>
      </c>
      <c r="Y398" s="5">
        <f t="shared" ca="1" si="21"/>
        <v>0</v>
      </c>
    </row>
    <row r="399" spans="3:25">
      <c r="C399">
        <v>395</v>
      </c>
      <c r="D399" s="5">
        <f t="shared" ca="1" si="19"/>
        <v>0</v>
      </c>
      <c r="E399" t="str">
        <f t="array" aca="1" ref="E399" ca="1">IFERROR(INDEX(Source!$A$1:$A$250,SMALL(IF(--(Source!$B$1:$B$250=$O399)*--(Source!$E$1:$E$250=$M$3)*--(Source!$D$1:$D$250=Pyramid!$M399),ROW(Source!$B$1:$B$250),FALSE),E$3)),"")</f>
        <v/>
      </c>
      <c r="F399" t="str">
        <f t="array" aca="1" ref="F399" ca="1">IFERROR(INDEX(Source!$A$1:$A$250,SMALL(IF(--(Source!$B$1:$B$250=$O399)*--(Source!$E$1:$E$250=$M$3)*--(Source!$D$1:$D$250=Pyramid!$M399),ROW(Source!$B$1:$B$250),FALSE),F$3)),"")</f>
        <v/>
      </c>
      <c r="G399" t="str">
        <f t="array" aca="1" ref="G399" ca="1">IFERROR(INDEX(Source!$A$1:$A$250,SMALL(IF(--(Source!$B$1:$B$250=$O399)*--(Source!$E$1:$E$250=$M$3)*--(Source!$D$1:$D$250=Pyramid!$M399),ROW(Source!$B$1:$B$250),FALSE),G$3)),"")</f>
        <v/>
      </c>
      <c r="H399" t="str">
        <f t="array" aca="1" ref="H399" ca="1">IFERROR(INDEX(Source!$A$1:$A$250,SMALL(IF(--(Source!$B$1:$B$250=$O399)*--(Source!$E$1:$E$250=$M$3)*--(Source!$D$1:$D$250=Pyramid!$M399),ROW(Source!$B$1:$B$250),FALSE),H$3)),"")</f>
        <v/>
      </c>
      <c r="I399" t="str">
        <f t="array" aca="1" ref="I399" ca="1">IFERROR(INDEX(Source!$A$1:$A$250,SMALL(IF(--(Source!$B$1:$B$250=$O399)*--(Source!$E$1:$E$250=$M$3)*--(Source!$D$1:$D$250=Pyramid!$M399),ROW(Source!$B$1:$B$250),FALSE),I$3)),"")</f>
        <v>18766 HK Equity</v>
      </c>
      <c r="J399" t="str">
        <f t="array" aca="1" ref="J399" ca="1">IFERROR(INDEX(Source!$A$1:$A$250,SMALL(IF(--(Source!$B$1:$B$250=$O399)*--(Source!$E$1:$E$250=$M$3)*--(Source!$D$1:$D$250=Pyramid!$M399),ROW(Source!$B$1:$B$250),FALSE),J$3)),"")</f>
        <v>21852 HK Equity</v>
      </c>
      <c r="K399" t="str">
        <f t="array" aca="1" ref="K399" ca="1">IFERROR(INDEX(Source!$A$1:$A$250,SMALL(IF(--(Source!$B$1:$B$250=$O399)*--(Source!$E$1:$E$250=$M$3)*--(Source!$D$1:$D$250=Pyramid!$M399),ROW(Source!$B$1:$B$250),FALSE),K$3)),"")</f>
        <v>20588 HK Equity</v>
      </c>
      <c r="L399" t="str">
        <f t="array" aca="1" ref="L399" ca="1">IFERROR(INDEX(Source!$A$1:$A$250,SMALL(IF(--(Source!$B$1:$B$250=$O399)*--(Source!$E$1:$E$250=$M$3)*--(Source!$D$1:$D$250=Pyramid!$M399),ROW(Source!$B$1:$B$250),FALSE),L$3)),"")</f>
        <v>14950 HK Equity</v>
      </c>
      <c r="M399" t="str">
        <f t="shared" si="20"/>
        <v>29/6/2016</v>
      </c>
      <c r="N399">
        <f ca="1">COUNTIFS(Source!B:B,Pyramid!$O399,Source!$D:$D,Pyramid!$M399,Source!$E:$E,Pyramid!$M$3)</f>
        <v>4</v>
      </c>
      <c r="O399">
        <f ca="1">OFFSET(Sheet2!$N$3,INT(C399/5),)</f>
        <v>25000</v>
      </c>
      <c r="P399">
        <f ca="1">COUNTIFS(Source!B:B,Pyramid!$O399,Source!D:D,Pyramid!$Q399,Source!$E:$E,Pyramid!$Q$3)</f>
        <v>0</v>
      </c>
      <c r="Q399" t="str">
        <f t="shared" si="20"/>
        <v>29/6/2016</v>
      </c>
      <c r="R399" t="str">
        <f t="array" aca="1" ref="R399" ca="1">IFERROR(INDEX(Source!$A$1:$A$250,SMALL(IF(--(Source!$B$1:$B$250=$O399)*--(Source!$E$1:$E$250=$Q$3)*--(Source!$D$1:$D$250=Pyramid!$Q399),ROW(Source!$B$1:$B$250),FALSE),R$3)),"")</f>
        <v/>
      </c>
      <c r="S399" t="str">
        <f t="array" aca="1" ref="S399" ca="1">IFERROR(INDEX(Source!$A$1:$A$250,SMALL(IF(--(Source!$B$1:$B$250=$O399)*--(Source!$E$1:$E$250=$Q$3)*--(Source!$D$1:$D$250=Pyramid!$Q399),ROW(Source!$B$1:$B$250),FALSE),S$3)),"")</f>
        <v/>
      </c>
      <c r="T399" t="str">
        <f t="array" aca="1" ref="T399" ca="1">IFERROR(INDEX(Source!$A$1:$A$250,SMALL(IF(--(Source!$B$1:$B$250=$O399)*--(Source!$E$1:$E$250=$Q$3)*--(Source!$D$1:$D$250=Pyramid!$Q399),ROW(Source!$B$1:$B$250),FALSE),T$3)),"")</f>
        <v/>
      </c>
      <c r="U399" t="str">
        <f t="array" aca="1" ref="U399" ca="1">IFERROR(INDEX(Source!$A$1:$A$250,SMALL(IF(--(Source!$B$1:$B$250=$O399)*--(Source!$E$1:$E$250=$Q$3)*--(Source!$D$1:$D$250=Pyramid!$Q399),ROW(Source!$B$1:$B$250),FALSE),U$3)),"")</f>
        <v/>
      </c>
      <c r="V399" t="str">
        <f t="array" aca="1" ref="V399" ca="1">IFERROR(INDEX(Source!$A$1:$A$250,SMALL(IF(--(Source!$B$1:$B$250=$O399)*--(Source!$E$1:$E$250=$Q$3)*--(Source!$D$1:$D$250=Pyramid!$Q399),ROW(Source!$B$1:$B$250),FALSE),V$3)),"")</f>
        <v/>
      </c>
      <c r="W399" t="str">
        <f t="array" aca="1" ref="W399" ca="1">IFERROR(INDEX(Source!$A$1:$A$250,SMALL(IF(--(Source!$B$1:$B$250=$O399)*--(Source!$E$1:$E$250=$Q$3)*--(Source!$D$1:$D$250=Pyramid!$Q399),ROW(Source!$B$1:$B$250),FALSE),W$3)),"")</f>
        <v/>
      </c>
      <c r="X399" t="str">
        <f t="array" aca="1" ref="X399" ca="1">IFERROR(INDEX(Source!$A$1:$A$250,SMALL(IF(--(Source!$B$1:$B$250=$O399)*--(Source!$E$1:$E$250=$Q$3)*--(Source!$D$1:$D$250=Pyramid!$Q399),ROW(Source!$B$1:$B$250),FALSE),X$3)),"")</f>
        <v/>
      </c>
      <c r="Y399" s="5">
        <f t="shared" ca="1" si="21"/>
        <v>0</v>
      </c>
    </row>
    <row r="400" spans="3:25">
      <c r="C400">
        <v>396</v>
      </c>
      <c r="D400" s="5">
        <f t="shared" ca="1" si="19"/>
        <v>0</v>
      </c>
      <c r="E400" t="str">
        <f t="array" aca="1" ref="E400" ca="1">IFERROR(INDEX(Source!$A$1:$A$250,SMALL(IF(--(Source!$B$1:$B$250=$O400)*--(Source!$E$1:$E$250=$M$3)*--(Source!$D$1:$D$250=Pyramid!$M400),ROW(Source!$B$1:$B$250),FALSE),E$3)),"")</f>
        <v/>
      </c>
      <c r="F400" t="str">
        <f t="array" aca="1" ref="F400" ca="1">IFERROR(INDEX(Source!$A$1:$A$250,SMALL(IF(--(Source!$B$1:$B$250=$O400)*--(Source!$E$1:$E$250=$M$3)*--(Source!$D$1:$D$250=Pyramid!$M400),ROW(Source!$B$1:$B$250),FALSE),F$3)),"")</f>
        <v/>
      </c>
      <c r="G400" t="str">
        <f t="array" aca="1" ref="G400" ca="1">IFERROR(INDEX(Source!$A$1:$A$250,SMALL(IF(--(Source!$B$1:$B$250=$O400)*--(Source!$E$1:$E$250=$M$3)*--(Source!$D$1:$D$250=Pyramid!$M400),ROW(Source!$B$1:$B$250),FALSE),G$3)),"")</f>
        <v/>
      </c>
      <c r="H400" t="str">
        <f t="array" aca="1" ref="H400" ca="1">IFERROR(INDEX(Source!$A$1:$A$250,SMALL(IF(--(Source!$B$1:$B$250=$O400)*--(Source!$E$1:$E$250=$M$3)*--(Source!$D$1:$D$250=Pyramid!$M400),ROW(Source!$B$1:$B$250),FALSE),H$3)),"")</f>
        <v/>
      </c>
      <c r="I400" t="str">
        <f t="array" aca="1" ref="I400" ca="1">IFERROR(INDEX(Source!$A$1:$A$250,SMALL(IF(--(Source!$B$1:$B$250=$O400)*--(Source!$E$1:$E$250=$M$3)*--(Source!$D$1:$D$250=Pyramid!$M400),ROW(Source!$B$1:$B$250),FALSE),I$3)),"")</f>
        <v/>
      </c>
      <c r="J400" t="str">
        <f t="array" aca="1" ref="J400" ca="1">IFERROR(INDEX(Source!$A$1:$A$250,SMALL(IF(--(Source!$B$1:$B$250=$O400)*--(Source!$E$1:$E$250=$M$3)*--(Source!$D$1:$D$250=Pyramid!$M400),ROW(Source!$B$1:$B$250),FALSE),J$3)),"")</f>
        <v/>
      </c>
      <c r="K400" t="str">
        <f t="array" aca="1" ref="K400" ca="1">IFERROR(INDEX(Source!$A$1:$A$250,SMALL(IF(--(Source!$B$1:$B$250=$O400)*--(Source!$E$1:$E$250=$M$3)*--(Source!$D$1:$D$250=Pyramid!$M400),ROW(Source!$B$1:$B$250),FALSE),K$3)),"")</f>
        <v/>
      </c>
      <c r="L400" t="str">
        <f t="array" aca="1" ref="L400" ca="1">IFERROR(INDEX(Source!$A$1:$A$250,SMALL(IF(--(Source!$B$1:$B$250=$O400)*--(Source!$E$1:$E$250=$M$3)*--(Source!$D$1:$D$250=Pyramid!$M400),ROW(Source!$B$1:$B$250),FALSE),L$3)),"")</f>
        <v/>
      </c>
      <c r="M400" t="str">
        <f t="shared" si="20"/>
        <v>28/7/2016</v>
      </c>
      <c r="N400">
        <f ca="1">COUNTIFS(Source!B:B,Pyramid!$O400,Source!$D:$D,Pyramid!$M400,Source!$E:$E,Pyramid!$M$3)</f>
        <v>0</v>
      </c>
      <c r="O400">
        <f ca="1">OFFSET(Sheet2!$N$3,INT(C400/5),)</f>
        <v>25000</v>
      </c>
      <c r="P400">
        <f ca="1">COUNTIFS(Source!B:B,Pyramid!$O400,Source!D:D,Pyramid!$Q400,Source!$E:$E,Pyramid!$Q$3)</f>
        <v>1</v>
      </c>
      <c r="Q400" t="str">
        <f t="shared" si="20"/>
        <v>28/7/2016</v>
      </c>
      <c r="R400" t="str">
        <f t="array" aca="1" ref="R400" ca="1">IFERROR(INDEX(Source!$A$1:$A$250,SMALL(IF(--(Source!$B$1:$B$250=$O400)*--(Source!$E$1:$E$250=$Q$3)*--(Source!$D$1:$D$250=Pyramid!$Q400),ROW(Source!$B$1:$B$250),FALSE),R$3)),"")</f>
        <v>22799 HK Equity</v>
      </c>
      <c r="S400" t="str">
        <f t="array" aca="1" ref="S400" ca="1">IFERROR(INDEX(Source!$A$1:$A$250,SMALL(IF(--(Source!$B$1:$B$250=$O400)*--(Source!$E$1:$E$250=$Q$3)*--(Source!$D$1:$D$250=Pyramid!$Q400),ROW(Source!$B$1:$B$250),FALSE),S$3)),"")</f>
        <v/>
      </c>
      <c r="T400" t="str">
        <f t="array" aca="1" ref="T400" ca="1">IFERROR(INDEX(Source!$A$1:$A$250,SMALL(IF(--(Source!$B$1:$B$250=$O400)*--(Source!$E$1:$E$250=$Q$3)*--(Source!$D$1:$D$250=Pyramid!$Q400),ROW(Source!$B$1:$B$250),FALSE),T$3)),"")</f>
        <v/>
      </c>
      <c r="U400" t="str">
        <f t="array" aca="1" ref="U400" ca="1">IFERROR(INDEX(Source!$A$1:$A$250,SMALL(IF(--(Source!$B$1:$B$250=$O400)*--(Source!$E$1:$E$250=$Q$3)*--(Source!$D$1:$D$250=Pyramid!$Q400),ROW(Source!$B$1:$B$250),FALSE),U$3)),"")</f>
        <v/>
      </c>
      <c r="V400" t="str">
        <f t="array" aca="1" ref="V400" ca="1">IFERROR(INDEX(Source!$A$1:$A$250,SMALL(IF(--(Source!$B$1:$B$250=$O400)*--(Source!$E$1:$E$250=$Q$3)*--(Source!$D$1:$D$250=Pyramid!$Q400),ROW(Source!$B$1:$B$250),FALSE),V$3)),"")</f>
        <v/>
      </c>
      <c r="W400" t="str">
        <f t="array" aca="1" ref="W400" ca="1">IFERROR(INDEX(Source!$A$1:$A$250,SMALL(IF(--(Source!$B$1:$B$250=$O400)*--(Source!$E$1:$E$250=$Q$3)*--(Source!$D$1:$D$250=Pyramid!$Q400),ROW(Source!$B$1:$B$250),FALSE),W$3)),"")</f>
        <v/>
      </c>
      <c r="X400" t="str">
        <f t="array" aca="1" ref="X400" ca="1">IFERROR(INDEX(Source!$A$1:$A$250,SMALL(IF(--(Source!$B$1:$B$250=$O400)*--(Source!$E$1:$E$250=$Q$3)*--(Source!$D$1:$D$250=Pyramid!$Q400),ROW(Source!$B$1:$B$250),FALSE),X$3)),"")</f>
        <v/>
      </c>
      <c r="Y400" s="5">
        <f t="shared" ca="1" si="21"/>
        <v>0</v>
      </c>
    </row>
    <row r="401" spans="3:25">
      <c r="C401">
        <v>397</v>
      </c>
      <c r="D401" s="5">
        <f t="shared" ca="1" si="19"/>
        <v>0</v>
      </c>
      <c r="E401" t="str">
        <f t="array" aca="1" ref="E401" ca="1">IFERROR(INDEX(Source!$A$1:$A$250,SMALL(IF(--(Source!$B$1:$B$250=$O401)*--(Source!$E$1:$E$250=$M$3)*--(Source!$D$1:$D$250=Pyramid!$M401),ROW(Source!$B$1:$B$250),FALSE),E$3)),"")</f>
        <v/>
      </c>
      <c r="F401" t="str">
        <f t="array" aca="1" ref="F401" ca="1">IFERROR(INDEX(Source!$A$1:$A$250,SMALL(IF(--(Source!$B$1:$B$250=$O401)*--(Source!$E$1:$E$250=$M$3)*--(Source!$D$1:$D$250=Pyramid!$M401),ROW(Source!$B$1:$B$250),FALSE),F$3)),"")</f>
        <v/>
      </c>
      <c r="G401" t="str">
        <f t="array" aca="1" ref="G401" ca="1">IFERROR(INDEX(Source!$A$1:$A$250,SMALL(IF(--(Source!$B$1:$B$250=$O401)*--(Source!$E$1:$E$250=$M$3)*--(Source!$D$1:$D$250=Pyramid!$M401),ROW(Source!$B$1:$B$250),FALSE),G$3)),"")</f>
        <v/>
      </c>
      <c r="H401" t="str">
        <f t="array" aca="1" ref="H401" ca="1">IFERROR(INDEX(Source!$A$1:$A$250,SMALL(IF(--(Source!$B$1:$B$250=$O401)*--(Source!$E$1:$E$250=$M$3)*--(Source!$D$1:$D$250=Pyramid!$M401),ROW(Source!$B$1:$B$250),FALSE),H$3)),"")</f>
        <v/>
      </c>
      <c r="I401" t="str">
        <f t="array" aca="1" ref="I401" ca="1">IFERROR(INDEX(Source!$A$1:$A$250,SMALL(IF(--(Source!$B$1:$B$250=$O401)*--(Source!$E$1:$E$250=$M$3)*--(Source!$D$1:$D$250=Pyramid!$M401),ROW(Source!$B$1:$B$250),FALSE),I$3)),"")</f>
        <v/>
      </c>
      <c r="J401" t="str">
        <f t="array" aca="1" ref="J401" ca="1">IFERROR(INDEX(Source!$A$1:$A$250,SMALL(IF(--(Source!$B$1:$B$250=$O401)*--(Source!$E$1:$E$250=$M$3)*--(Source!$D$1:$D$250=Pyramid!$M401),ROW(Source!$B$1:$B$250),FALSE),J$3)),"")</f>
        <v/>
      </c>
      <c r="K401" t="str">
        <f t="array" aca="1" ref="K401" ca="1">IFERROR(INDEX(Source!$A$1:$A$250,SMALL(IF(--(Source!$B$1:$B$250=$O401)*--(Source!$E$1:$E$250=$M$3)*--(Source!$D$1:$D$250=Pyramid!$M401),ROW(Source!$B$1:$B$250),FALSE),K$3)),"")</f>
        <v/>
      </c>
      <c r="L401" t="str">
        <f t="array" aca="1" ref="L401" ca="1">IFERROR(INDEX(Source!$A$1:$A$250,SMALL(IF(--(Source!$B$1:$B$250=$O401)*--(Source!$E$1:$E$250=$M$3)*--(Source!$D$1:$D$250=Pyramid!$M401),ROW(Source!$B$1:$B$250),FALSE),L$3)),"")</f>
        <v/>
      </c>
      <c r="M401" t="str">
        <f t="shared" si="20"/>
        <v>30/8/2016</v>
      </c>
      <c r="N401">
        <f ca="1">COUNTIFS(Source!B:B,Pyramid!$O401,Source!$D:$D,Pyramid!$M401,Source!$E:$E,Pyramid!$M$3)</f>
        <v>0</v>
      </c>
      <c r="O401">
        <f ca="1">OFFSET(Sheet2!$N$3,INT(C401/5),)</f>
        <v>25000</v>
      </c>
      <c r="P401">
        <f ca="1">COUNTIFS(Source!B:B,Pyramid!$O401,Source!D:D,Pyramid!$Q401,Source!$E:$E,Pyramid!$Q$3)</f>
        <v>0</v>
      </c>
      <c r="Q401" t="str">
        <f t="shared" si="20"/>
        <v>30/8/2016</v>
      </c>
      <c r="R401" t="str">
        <f t="array" aca="1" ref="R401" ca="1">IFERROR(INDEX(Source!$A$1:$A$250,SMALL(IF(--(Source!$B$1:$B$250=$O401)*--(Source!$E$1:$E$250=$Q$3)*--(Source!$D$1:$D$250=Pyramid!$Q401),ROW(Source!$B$1:$B$250),FALSE),R$3)),"")</f>
        <v/>
      </c>
      <c r="S401" t="str">
        <f t="array" aca="1" ref="S401" ca="1">IFERROR(INDEX(Source!$A$1:$A$250,SMALL(IF(--(Source!$B$1:$B$250=$O401)*--(Source!$E$1:$E$250=$Q$3)*--(Source!$D$1:$D$250=Pyramid!$Q401),ROW(Source!$B$1:$B$250),FALSE),S$3)),"")</f>
        <v/>
      </c>
      <c r="T401" t="str">
        <f t="array" aca="1" ref="T401" ca="1">IFERROR(INDEX(Source!$A$1:$A$250,SMALL(IF(--(Source!$B$1:$B$250=$O401)*--(Source!$E$1:$E$250=$Q$3)*--(Source!$D$1:$D$250=Pyramid!$Q401),ROW(Source!$B$1:$B$250),FALSE),T$3)),"")</f>
        <v/>
      </c>
      <c r="U401" t="str">
        <f t="array" aca="1" ref="U401" ca="1">IFERROR(INDEX(Source!$A$1:$A$250,SMALL(IF(--(Source!$B$1:$B$250=$O401)*--(Source!$E$1:$E$250=$Q$3)*--(Source!$D$1:$D$250=Pyramid!$Q401),ROW(Source!$B$1:$B$250),FALSE),U$3)),"")</f>
        <v/>
      </c>
      <c r="V401" t="str">
        <f t="array" aca="1" ref="V401" ca="1">IFERROR(INDEX(Source!$A$1:$A$250,SMALL(IF(--(Source!$B$1:$B$250=$O401)*--(Source!$E$1:$E$250=$Q$3)*--(Source!$D$1:$D$250=Pyramid!$Q401),ROW(Source!$B$1:$B$250),FALSE),V$3)),"")</f>
        <v/>
      </c>
      <c r="W401" t="str">
        <f t="array" aca="1" ref="W401" ca="1">IFERROR(INDEX(Source!$A$1:$A$250,SMALL(IF(--(Source!$B$1:$B$250=$O401)*--(Source!$E$1:$E$250=$Q$3)*--(Source!$D$1:$D$250=Pyramid!$Q401),ROW(Source!$B$1:$B$250),FALSE),W$3)),"")</f>
        <v/>
      </c>
      <c r="X401" t="str">
        <f t="array" aca="1" ref="X401" ca="1">IFERROR(INDEX(Source!$A$1:$A$250,SMALL(IF(--(Source!$B$1:$B$250=$O401)*--(Source!$E$1:$E$250=$Q$3)*--(Source!$D$1:$D$250=Pyramid!$Q401),ROW(Source!$B$1:$B$250),FALSE),X$3)),"")</f>
        <v/>
      </c>
      <c r="Y401" s="5">
        <f t="shared" ca="1" si="21"/>
        <v>0</v>
      </c>
    </row>
    <row r="402" spans="3:25">
      <c r="C402">
        <v>398</v>
      </c>
      <c r="D402" s="5">
        <f t="shared" ca="1" si="19"/>
        <v>0</v>
      </c>
      <c r="E402" t="str">
        <f t="array" aca="1" ref="E402" ca="1">IFERROR(INDEX(Source!$A$1:$A$250,SMALL(IF(--(Source!$B$1:$B$250=$O402)*--(Source!$E$1:$E$250=$M$3)*--(Source!$D$1:$D$250=Pyramid!$M402),ROW(Source!$B$1:$B$250),FALSE),E$3)),"")</f>
        <v/>
      </c>
      <c r="F402" t="str">
        <f t="array" aca="1" ref="F402" ca="1">IFERROR(INDEX(Source!$A$1:$A$250,SMALL(IF(--(Source!$B$1:$B$250=$O402)*--(Source!$E$1:$E$250=$M$3)*--(Source!$D$1:$D$250=Pyramid!$M402),ROW(Source!$B$1:$B$250),FALSE),F$3)),"")</f>
        <v/>
      </c>
      <c r="G402" t="str">
        <f t="array" aca="1" ref="G402" ca="1">IFERROR(INDEX(Source!$A$1:$A$250,SMALL(IF(--(Source!$B$1:$B$250=$O402)*--(Source!$E$1:$E$250=$M$3)*--(Source!$D$1:$D$250=Pyramid!$M402),ROW(Source!$B$1:$B$250),FALSE),G$3)),"")</f>
        <v/>
      </c>
      <c r="H402" t="str">
        <f t="array" aca="1" ref="H402" ca="1">IFERROR(INDEX(Source!$A$1:$A$250,SMALL(IF(--(Source!$B$1:$B$250=$O402)*--(Source!$E$1:$E$250=$M$3)*--(Source!$D$1:$D$250=Pyramid!$M402),ROW(Source!$B$1:$B$250),FALSE),H$3)),"")</f>
        <v/>
      </c>
      <c r="I402" t="str">
        <f t="array" aca="1" ref="I402" ca="1">IFERROR(INDEX(Source!$A$1:$A$250,SMALL(IF(--(Source!$B$1:$B$250=$O402)*--(Source!$E$1:$E$250=$M$3)*--(Source!$D$1:$D$250=Pyramid!$M402),ROW(Source!$B$1:$B$250),FALSE),I$3)),"")</f>
        <v/>
      </c>
      <c r="J402" t="str">
        <f t="array" aca="1" ref="J402" ca="1">IFERROR(INDEX(Source!$A$1:$A$250,SMALL(IF(--(Source!$B$1:$B$250=$O402)*--(Source!$E$1:$E$250=$M$3)*--(Source!$D$1:$D$250=Pyramid!$M402),ROW(Source!$B$1:$B$250),FALSE),J$3)),"")</f>
        <v/>
      </c>
      <c r="K402" t="str">
        <f t="array" aca="1" ref="K402" ca="1">IFERROR(INDEX(Source!$A$1:$A$250,SMALL(IF(--(Source!$B$1:$B$250=$O402)*--(Source!$E$1:$E$250=$M$3)*--(Source!$D$1:$D$250=Pyramid!$M402),ROW(Source!$B$1:$B$250),FALSE),K$3)),"")</f>
        <v/>
      </c>
      <c r="L402" t="str">
        <f t="array" aca="1" ref="L402" ca="1">IFERROR(INDEX(Source!$A$1:$A$250,SMALL(IF(--(Source!$B$1:$B$250=$O402)*--(Source!$E$1:$E$250=$M$3)*--(Source!$D$1:$D$250=Pyramid!$M402),ROW(Source!$B$1:$B$250),FALSE),L$3)),"")</f>
        <v/>
      </c>
      <c r="M402" t="str">
        <f t="shared" si="20"/>
        <v>29/9/2016</v>
      </c>
      <c r="N402">
        <f ca="1">COUNTIFS(Source!B:B,Pyramid!$O402,Source!$D:$D,Pyramid!$M402,Source!$E:$E,Pyramid!$M$3)</f>
        <v>0</v>
      </c>
      <c r="O402">
        <f ca="1">OFFSET(Sheet2!$N$3,INT(C402/5),)</f>
        <v>25000</v>
      </c>
      <c r="P402">
        <f ca="1">COUNTIFS(Source!B:B,Pyramid!$O402,Source!D:D,Pyramid!$Q402,Source!$E:$E,Pyramid!$Q$3)</f>
        <v>0</v>
      </c>
      <c r="Q402" t="str">
        <f t="shared" si="20"/>
        <v>29/9/2016</v>
      </c>
      <c r="R402" t="str">
        <f t="array" aca="1" ref="R402" ca="1">IFERROR(INDEX(Source!$A$1:$A$250,SMALL(IF(--(Source!$B$1:$B$250=$O402)*--(Source!$E$1:$E$250=$Q$3)*--(Source!$D$1:$D$250=Pyramid!$Q402),ROW(Source!$B$1:$B$250),FALSE),R$3)),"")</f>
        <v/>
      </c>
      <c r="S402" t="str">
        <f t="array" aca="1" ref="S402" ca="1">IFERROR(INDEX(Source!$A$1:$A$250,SMALL(IF(--(Source!$B$1:$B$250=$O402)*--(Source!$E$1:$E$250=$Q$3)*--(Source!$D$1:$D$250=Pyramid!$Q402),ROW(Source!$B$1:$B$250),FALSE),S$3)),"")</f>
        <v/>
      </c>
      <c r="T402" t="str">
        <f t="array" aca="1" ref="T402" ca="1">IFERROR(INDEX(Source!$A$1:$A$250,SMALL(IF(--(Source!$B$1:$B$250=$O402)*--(Source!$E$1:$E$250=$Q$3)*--(Source!$D$1:$D$250=Pyramid!$Q402),ROW(Source!$B$1:$B$250),FALSE),T$3)),"")</f>
        <v/>
      </c>
      <c r="U402" t="str">
        <f t="array" aca="1" ref="U402" ca="1">IFERROR(INDEX(Source!$A$1:$A$250,SMALL(IF(--(Source!$B$1:$B$250=$O402)*--(Source!$E$1:$E$250=$Q$3)*--(Source!$D$1:$D$250=Pyramid!$Q402),ROW(Source!$B$1:$B$250),FALSE),U$3)),"")</f>
        <v/>
      </c>
      <c r="V402" t="str">
        <f t="array" aca="1" ref="V402" ca="1">IFERROR(INDEX(Source!$A$1:$A$250,SMALL(IF(--(Source!$B$1:$B$250=$O402)*--(Source!$E$1:$E$250=$Q$3)*--(Source!$D$1:$D$250=Pyramid!$Q402),ROW(Source!$B$1:$B$250),FALSE),V$3)),"")</f>
        <v/>
      </c>
      <c r="W402" t="str">
        <f t="array" aca="1" ref="W402" ca="1">IFERROR(INDEX(Source!$A$1:$A$250,SMALL(IF(--(Source!$B$1:$B$250=$O402)*--(Source!$E$1:$E$250=$Q$3)*--(Source!$D$1:$D$250=Pyramid!$Q402),ROW(Source!$B$1:$B$250),FALSE),W$3)),"")</f>
        <v/>
      </c>
      <c r="X402" t="str">
        <f t="array" aca="1" ref="X402" ca="1">IFERROR(INDEX(Source!$A$1:$A$250,SMALL(IF(--(Source!$B$1:$B$250=$O402)*--(Source!$E$1:$E$250=$Q$3)*--(Source!$D$1:$D$250=Pyramid!$Q402),ROW(Source!$B$1:$B$250),FALSE),X$3)),"")</f>
        <v/>
      </c>
      <c r="Y402" s="5">
        <f t="shared" ca="1" si="21"/>
        <v>0</v>
      </c>
    </row>
    <row r="403" spans="3:25">
      <c r="C403">
        <v>399</v>
      </c>
      <c r="D403" s="5">
        <f t="shared" ca="1" si="19"/>
        <v>0</v>
      </c>
      <c r="E403" t="str">
        <f t="array" aca="1" ref="E403" ca="1">IFERROR(INDEX(Source!$A$1:$A$250,SMALL(IF(--(Source!$B$1:$B$250=$O403)*--(Source!$E$1:$E$250=$M$3)*--(Source!$D$1:$D$250=Pyramid!$M403),ROW(Source!$B$1:$B$250),FALSE),E$3)),"")</f>
        <v/>
      </c>
      <c r="F403" t="str">
        <f t="array" aca="1" ref="F403" ca="1">IFERROR(INDEX(Source!$A$1:$A$250,SMALL(IF(--(Source!$B$1:$B$250=$O403)*--(Source!$E$1:$E$250=$M$3)*--(Source!$D$1:$D$250=Pyramid!$M403),ROW(Source!$B$1:$B$250),FALSE),F$3)),"")</f>
        <v/>
      </c>
      <c r="G403" t="str">
        <f t="array" aca="1" ref="G403" ca="1">IFERROR(INDEX(Source!$A$1:$A$250,SMALL(IF(--(Source!$B$1:$B$250=$O403)*--(Source!$E$1:$E$250=$M$3)*--(Source!$D$1:$D$250=Pyramid!$M403),ROW(Source!$B$1:$B$250),FALSE),G$3)),"")</f>
        <v/>
      </c>
      <c r="H403" t="str">
        <f t="array" aca="1" ref="H403" ca="1">IFERROR(INDEX(Source!$A$1:$A$250,SMALL(IF(--(Source!$B$1:$B$250=$O403)*--(Source!$E$1:$E$250=$M$3)*--(Source!$D$1:$D$250=Pyramid!$M403),ROW(Source!$B$1:$B$250),FALSE),H$3)),"")</f>
        <v/>
      </c>
      <c r="I403" t="str">
        <f t="array" aca="1" ref="I403" ca="1">IFERROR(INDEX(Source!$A$1:$A$250,SMALL(IF(--(Source!$B$1:$B$250=$O403)*--(Source!$E$1:$E$250=$M$3)*--(Source!$D$1:$D$250=Pyramid!$M403),ROW(Source!$B$1:$B$250),FALSE),I$3)),"")</f>
        <v/>
      </c>
      <c r="J403" t="str">
        <f t="array" aca="1" ref="J403" ca="1">IFERROR(INDEX(Source!$A$1:$A$250,SMALL(IF(--(Source!$B$1:$B$250=$O403)*--(Source!$E$1:$E$250=$M$3)*--(Source!$D$1:$D$250=Pyramid!$M403),ROW(Source!$B$1:$B$250),FALSE),J$3)),"")</f>
        <v/>
      </c>
      <c r="K403" t="str">
        <f t="array" aca="1" ref="K403" ca="1">IFERROR(INDEX(Source!$A$1:$A$250,SMALL(IF(--(Source!$B$1:$B$250=$O403)*--(Source!$E$1:$E$250=$M$3)*--(Source!$D$1:$D$250=Pyramid!$M403),ROW(Source!$B$1:$B$250),FALSE),K$3)),"")</f>
        <v/>
      </c>
      <c r="L403" t="str">
        <f t="array" aca="1" ref="L403" ca="1">IFERROR(INDEX(Source!$A$1:$A$250,SMALL(IF(--(Source!$B$1:$B$250=$O403)*--(Source!$E$1:$E$250=$M$3)*--(Source!$D$1:$D$250=Pyramid!$M403),ROW(Source!$B$1:$B$250),FALSE),L$3)),"")</f>
        <v/>
      </c>
      <c r="M403" t="str">
        <f t="shared" si="20"/>
        <v>28/10/2016</v>
      </c>
      <c r="N403">
        <f ca="1">COUNTIFS(Source!B:B,Pyramid!$O403,Source!$D:$D,Pyramid!$M403,Source!$E:$E,Pyramid!$M$3)</f>
        <v>0</v>
      </c>
      <c r="O403">
        <f ca="1">OFFSET(Sheet2!$N$3,INT(C403/5),)</f>
        <v>25000</v>
      </c>
      <c r="P403">
        <f ca="1">COUNTIFS(Source!B:B,Pyramid!$O403,Source!D:D,Pyramid!$Q403,Source!$E:$E,Pyramid!$Q$3)</f>
        <v>0</v>
      </c>
      <c r="Q403" t="str">
        <f t="shared" si="20"/>
        <v>28/10/2016</v>
      </c>
      <c r="R403" t="str">
        <f t="array" aca="1" ref="R403" ca="1">IFERROR(INDEX(Source!$A$1:$A$250,SMALL(IF(--(Source!$B$1:$B$250=$O403)*--(Source!$E$1:$E$250=$Q$3)*--(Source!$D$1:$D$250=Pyramid!$Q403),ROW(Source!$B$1:$B$250),FALSE),R$3)),"")</f>
        <v/>
      </c>
      <c r="S403" t="str">
        <f t="array" aca="1" ref="S403" ca="1">IFERROR(INDEX(Source!$A$1:$A$250,SMALL(IF(--(Source!$B$1:$B$250=$O403)*--(Source!$E$1:$E$250=$Q$3)*--(Source!$D$1:$D$250=Pyramid!$Q403),ROW(Source!$B$1:$B$250),FALSE),S$3)),"")</f>
        <v/>
      </c>
      <c r="T403" t="str">
        <f t="array" aca="1" ref="T403" ca="1">IFERROR(INDEX(Source!$A$1:$A$250,SMALL(IF(--(Source!$B$1:$B$250=$O403)*--(Source!$E$1:$E$250=$Q$3)*--(Source!$D$1:$D$250=Pyramid!$Q403),ROW(Source!$B$1:$B$250),FALSE),T$3)),"")</f>
        <v/>
      </c>
      <c r="U403" t="str">
        <f t="array" aca="1" ref="U403" ca="1">IFERROR(INDEX(Source!$A$1:$A$250,SMALL(IF(--(Source!$B$1:$B$250=$O403)*--(Source!$E$1:$E$250=$Q$3)*--(Source!$D$1:$D$250=Pyramid!$Q403),ROW(Source!$B$1:$B$250),FALSE),U$3)),"")</f>
        <v/>
      </c>
      <c r="V403" t="str">
        <f t="array" aca="1" ref="V403" ca="1">IFERROR(INDEX(Source!$A$1:$A$250,SMALL(IF(--(Source!$B$1:$B$250=$O403)*--(Source!$E$1:$E$250=$Q$3)*--(Source!$D$1:$D$250=Pyramid!$Q403),ROW(Source!$B$1:$B$250),FALSE),V$3)),"")</f>
        <v/>
      </c>
      <c r="W403" t="str">
        <f t="array" aca="1" ref="W403" ca="1">IFERROR(INDEX(Source!$A$1:$A$250,SMALL(IF(--(Source!$B$1:$B$250=$O403)*--(Source!$E$1:$E$250=$Q$3)*--(Source!$D$1:$D$250=Pyramid!$Q403),ROW(Source!$B$1:$B$250),FALSE),W$3)),"")</f>
        <v/>
      </c>
      <c r="X403" t="str">
        <f t="array" aca="1" ref="X403" ca="1">IFERROR(INDEX(Source!$A$1:$A$250,SMALL(IF(--(Source!$B$1:$B$250=$O403)*--(Source!$E$1:$E$250=$Q$3)*--(Source!$D$1:$D$250=Pyramid!$Q403),ROW(Source!$B$1:$B$250),FALSE),X$3)),"")</f>
        <v/>
      </c>
      <c r="Y403" s="5">
        <f t="shared" ca="1" si="21"/>
        <v>0</v>
      </c>
    </row>
    <row r="404" spans="3:25">
      <c r="C404">
        <v>400</v>
      </c>
      <c r="D404" s="5">
        <f t="shared" ca="1" si="19"/>
        <v>0</v>
      </c>
      <c r="E404" t="str">
        <f t="array" aca="1" ref="E404" ca="1">IFERROR(INDEX(Source!$A$1:$A$250,SMALL(IF(--(Source!$B$1:$B$250=$O404)*--(Source!$E$1:$E$250=$M$3)*--(Source!$D$1:$D$250=Pyramid!$M404),ROW(Source!$B$1:$B$250),FALSE),E$3)),"")</f>
        <v/>
      </c>
      <c r="F404" t="str">
        <f t="array" aca="1" ref="F404" ca="1">IFERROR(INDEX(Source!$A$1:$A$250,SMALL(IF(--(Source!$B$1:$B$250=$O404)*--(Source!$E$1:$E$250=$M$3)*--(Source!$D$1:$D$250=Pyramid!$M404),ROW(Source!$B$1:$B$250),FALSE),F$3)),"")</f>
        <v/>
      </c>
      <c r="G404" t="str">
        <f t="array" aca="1" ref="G404" ca="1">IFERROR(INDEX(Source!$A$1:$A$250,SMALL(IF(--(Source!$B$1:$B$250=$O404)*--(Source!$E$1:$E$250=$M$3)*--(Source!$D$1:$D$250=Pyramid!$M404),ROW(Source!$B$1:$B$250),FALSE),G$3)),"")</f>
        <v/>
      </c>
      <c r="H404" t="str">
        <f t="array" aca="1" ref="H404" ca="1">IFERROR(INDEX(Source!$A$1:$A$250,SMALL(IF(--(Source!$B$1:$B$250=$O404)*--(Source!$E$1:$E$250=$M$3)*--(Source!$D$1:$D$250=Pyramid!$M404),ROW(Source!$B$1:$B$250),FALSE),H$3)),"")</f>
        <v/>
      </c>
      <c r="I404" t="str">
        <f t="array" aca="1" ref="I404" ca="1">IFERROR(INDEX(Source!$A$1:$A$250,SMALL(IF(--(Source!$B$1:$B$250=$O404)*--(Source!$E$1:$E$250=$M$3)*--(Source!$D$1:$D$250=Pyramid!$M404),ROW(Source!$B$1:$B$250),FALSE),I$3)),"")</f>
        <v/>
      </c>
      <c r="J404" t="str">
        <f t="array" aca="1" ref="J404" ca="1">IFERROR(INDEX(Source!$A$1:$A$250,SMALL(IF(--(Source!$B$1:$B$250=$O404)*--(Source!$E$1:$E$250=$M$3)*--(Source!$D$1:$D$250=Pyramid!$M404),ROW(Source!$B$1:$B$250),FALSE),J$3)),"")</f>
        <v/>
      </c>
      <c r="K404" t="str">
        <f t="array" aca="1" ref="K404" ca="1">IFERROR(INDEX(Source!$A$1:$A$250,SMALL(IF(--(Source!$B$1:$B$250=$O404)*--(Source!$E$1:$E$250=$M$3)*--(Source!$D$1:$D$250=Pyramid!$M404),ROW(Source!$B$1:$B$250),FALSE),K$3)),"")</f>
        <v/>
      </c>
      <c r="L404" t="str">
        <f t="array" aca="1" ref="L404" ca="1">IFERROR(INDEX(Source!$A$1:$A$250,SMALL(IF(--(Source!$B$1:$B$250=$O404)*--(Source!$E$1:$E$250=$M$3)*--(Source!$D$1:$D$250=Pyramid!$M404),ROW(Source!$B$1:$B$250),FALSE),L$3)),"")</f>
        <v>18856 HK Equity</v>
      </c>
      <c r="M404" t="str">
        <f t="shared" si="20"/>
        <v>29/6/2016</v>
      </c>
      <c r="N404">
        <f ca="1">COUNTIFS(Source!B:B,Pyramid!$O404,Source!$D:$D,Pyramid!$M404,Source!$E:$E,Pyramid!$M$3)</f>
        <v>1</v>
      </c>
      <c r="O404">
        <f ca="1">OFFSET(Sheet2!$N$3,INT(C404/5),)</f>
        <v>25118</v>
      </c>
      <c r="P404">
        <f ca="1">COUNTIFS(Source!B:B,Pyramid!$O404,Source!D:D,Pyramid!$Q404,Source!$E:$E,Pyramid!$Q$3)</f>
        <v>0</v>
      </c>
      <c r="Q404" t="str">
        <f t="shared" si="20"/>
        <v>29/6/2016</v>
      </c>
      <c r="R404" t="str">
        <f t="array" aca="1" ref="R404" ca="1">IFERROR(INDEX(Source!$A$1:$A$250,SMALL(IF(--(Source!$B$1:$B$250=$O404)*--(Source!$E$1:$E$250=$Q$3)*--(Source!$D$1:$D$250=Pyramid!$Q404),ROW(Source!$B$1:$B$250),FALSE),R$3)),"")</f>
        <v/>
      </c>
      <c r="S404" t="str">
        <f t="array" aca="1" ref="S404" ca="1">IFERROR(INDEX(Source!$A$1:$A$250,SMALL(IF(--(Source!$B$1:$B$250=$O404)*--(Source!$E$1:$E$250=$Q$3)*--(Source!$D$1:$D$250=Pyramid!$Q404),ROW(Source!$B$1:$B$250),FALSE),S$3)),"")</f>
        <v/>
      </c>
      <c r="T404" t="str">
        <f t="array" aca="1" ref="T404" ca="1">IFERROR(INDEX(Source!$A$1:$A$250,SMALL(IF(--(Source!$B$1:$B$250=$O404)*--(Source!$E$1:$E$250=$Q$3)*--(Source!$D$1:$D$250=Pyramid!$Q404),ROW(Source!$B$1:$B$250),FALSE),T$3)),"")</f>
        <v/>
      </c>
      <c r="U404" t="str">
        <f t="array" aca="1" ref="U404" ca="1">IFERROR(INDEX(Source!$A$1:$A$250,SMALL(IF(--(Source!$B$1:$B$250=$O404)*--(Source!$E$1:$E$250=$Q$3)*--(Source!$D$1:$D$250=Pyramid!$Q404),ROW(Source!$B$1:$B$250),FALSE),U$3)),"")</f>
        <v/>
      </c>
      <c r="V404" t="str">
        <f t="array" aca="1" ref="V404" ca="1">IFERROR(INDEX(Source!$A$1:$A$250,SMALL(IF(--(Source!$B$1:$B$250=$O404)*--(Source!$E$1:$E$250=$Q$3)*--(Source!$D$1:$D$250=Pyramid!$Q404),ROW(Source!$B$1:$B$250),FALSE),V$3)),"")</f>
        <v/>
      </c>
      <c r="W404" t="str">
        <f t="array" aca="1" ref="W404" ca="1">IFERROR(INDEX(Source!$A$1:$A$250,SMALL(IF(--(Source!$B$1:$B$250=$O404)*--(Source!$E$1:$E$250=$Q$3)*--(Source!$D$1:$D$250=Pyramid!$Q404),ROW(Source!$B$1:$B$250),FALSE),W$3)),"")</f>
        <v/>
      </c>
      <c r="X404" t="str">
        <f t="array" aca="1" ref="X404" ca="1">IFERROR(INDEX(Source!$A$1:$A$250,SMALL(IF(--(Source!$B$1:$B$250=$O404)*--(Source!$E$1:$E$250=$Q$3)*--(Source!$D$1:$D$250=Pyramid!$Q404),ROW(Source!$B$1:$B$250),FALSE),X$3)),"")</f>
        <v/>
      </c>
      <c r="Y404" s="5">
        <f t="shared" ca="1" si="21"/>
        <v>0</v>
      </c>
    </row>
    <row r="405" spans="3:25">
      <c r="C405">
        <v>401</v>
      </c>
      <c r="D405" s="5">
        <f t="shared" ca="1" si="19"/>
        <v>0</v>
      </c>
      <c r="E405" t="str">
        <f t="array" aca="1" ref="E405" ca="1">IFERROR(INDEX(Source!$A$1:$A$250,SMALL(IF(--(Source!$B$1:$B$250=$O405)*--(Source!$E$1:$E$250=$M$3)*--(Source!$D$1:$D$250=Pyramid!$M405),ROW(Source!$B$1:$B$250),FALSE),E$3)),"")</f>
        <v/>
      </c>
      <c r="F405" t="str">
        <f t="array" aca="1" ref="F405" ca="1">IFERROR(INDEX(Source!$A$1:$A$250,SMALL(IF(--(Source!$B$1:$B$250=$O405)*--(Source!$E$1:$E$250=$M$3)*--(Source!$D$1:$D$250=Pyramid!$M405),ROW(Source!$B$1:$B$250),FALSE),F$3)),"")</f>
        <v/>
      </c>
      <c r="G405" t="str">
        <f t="array" aca="1" ref="G405" ca="1">IFERROR(INDEX(Source!$A$1:$A$250,SMALL(IF(--(Source!$B$1:$B$250=$O405)*--(Source!$E$1:$E$250=$M$3)*--(Source!$D$1:$D$250=Pyramid!$M405),ROW(Source!$B$1:$B$250),FALSE),G$3)),"")</f>
        <v/>
      </c>
      <c r="H405" t="str">
        <f t="array" aca="1" ref="H405" ca="1">IFERROR(INDEX(Source!$A$1:$A$250,SMALL(IF(--(Source!$B$1:$B$250=$O405)*--(Source!$E$1:$E$250=$M$3)*--(Source!$D$1:$D$250=Pyramid!$M405),ROW(Source!$B$1:$B$250),FALSE),H$3)),"")</f>
        <v/>
      </c>
      <c r="I405" t="str">
        <f t="array" aca="1" ref="I405" ca="1">IFERROR(INDEX(Source!$A$1:$A$250,SMALL(IF(--(Source!$B$1:$B$250=$O405)*--(Source!$E$1:$E$250=$M$3)*--(Source!$D$1:$D$250=Pyramid!$M405),ROW(Source!$B$1:$B$250),FALSE),I$3)),"")</f>
        <v/>
      </c>
      <c r="J405" t="str">
        <f t="array" aca="1" ref="J405" ca="1">IFERROR(INDEX(Source!$A$1:$A$250,SMALL(IF(--(Source!$B$1:$B$250=$O405)*--(Source!$E$1:$E$250=$M$3)*--(Source!$D$1:$D$250=Pyramid!$M405),ROW(Source!$B$1:$B$250),FALSE),J$3)),"")</f>
        <v/>
      </c>
      <c r="K405" t="str">
        <f t="array" aca="1" ref="K405" ca="1">IFERROR(INDEX(Source!$A$1:$A$250,SMALL(IF(--(Source!$B$1:$B$250=$O405)*--(Source!$E$1:$E$250=$M$3)*--(Source!$D$1:$D$250=Pyramid!$M405),ROW(Source!$B$1:$B$250),FALSE),K$3)),"")</f>
        <v/>
      </c>
      <c r="L405" t="str">
        <f t="array" aca="1" ref="L405" ca="1">IFERROR(INDEX(Source!$A$1:$A$250,SMALL(IF(--(Source!$B$1:$B$250=$O405)*--(Source!$E$1:$E$250=$M$3)*--(Source!$D$1:$D$250=Pyramid!$M405),ROW(Source!$B$1:$B$250),FALSE),L$3)),"")</f>
        <v/>
      </c>
      <c r="M405" t="str">
        <f t="shared" si="20"/>
        <v>28/7/2016</v>
      </c>
      <c r="N405">
        <f ca="1">COUNTIFS(Source!B:B,Pyramid!$O405,Source!$D:$D,Pyramid!$M405,Source!$E:$E,Pyramid!$M$3)</f>
        <v>0</v>
      </c>
      <c r="O405">
        <f ca="1">OFFSET(Sheet2!$N$3,INT(C405/5),)</f>
        <v>25118</v>
      </c>
      <c r="P405">
        <f ca="1">COUNTIFS(Source!B:B,Pyramid!$O405,Source!D:D,Pyramid!$Q405,Source!$E:$E,Pyramid!$Q$3)</f>
        <v>0</v>
      </c>
      <c r="Q405" t="str">
        <f t="shared" si="20"/>
        <v>28/7/2016</v>
      </c>
      <c r="R405" t="str">
        <f t="array" aca="1" ref="R405" ca="1">IFERROR(INDEX(Source!$A$1:$A$250,SMALL(IF(--(Source!$B$1:$B$250=$O405)*--(Source!$E$1:$E$250=$Q$3)*--(Source!$D$1:$D$250=Pyramid!$Q405),ROW(Source!$B$1:$B$250),FALSE),R$3)),"")</f>
        <v/>
      </c>
      <c r="S405" t="str">
        <f t="array" aca="1" ref="S405" ca="1">IFERROR(INDEX(Source!$A$1:$A$250,SMALL(IF(--(Source!$B$1:$B$250=$O405)*--(Source!$E$1:$E$250=$Q$3)*--(Source!$D$1:$D$250=Pyramid!$Q405),ROW(Source!$B$1:$B$250),FALSE),S$3)),"")</f>
        <v/>
      </c>
      <c r="T405" t="str">
        <f t="array" aca="1" ref="T405" ca="1">IFERROR(INDEX(Source!$A$1:$A$250,SMALL(IF(--(Source!$B$1:$B$250=$O405)*--(Source!$E$1:$E$250=$Q$3)*--(Source!$D$1:$D$250=Pyramid!$Q405),ROW(Source!$B$1:$B$250),FALSE),T$3)),"")</f>
        <v/>
      </c>
      <c r="U405" t="str">
        <f t="array" aca="1" ref="U405" ca="1">IFERROR(INDEX(Source!$A$1:$A$250,SMALL(IF(--(Source!$B$1:$B$250=$O405)*--(Source!$E$1:$E$250=$Q$3)*--(Source!$D$1:$D$250=Pyramid!$Q405),ROW(Source!$B$1:$B$250),FALSE),U$3)),"")</f>
        <v/>
      </c>
      <c r="V405" t="str">
        <f t="array" aca="1" ref="V405" ca="1">IFERROR(INDEX(Source!$A$1:$A$250,SMALL(IF(--(Source!$B$1:$B$250=$O405)*--(Source!$E$1:$E$250=$Q$3)*--(Source!$D$1:$D$250=Pyramid!$Q405),ROW(Source!$B$1:$B$250),FALSE),V$3)),"")</f>
        <v/>
      </c>
      <c r="W405" t="str">
        <f t="array" aca="1" ref="W405" ca="1">IFERROR(INDEX(Source!$A$1:$A$250,SMALL(IF(--(Source!$B$1:$B$250=$O405)*--(Source!$E$1:$E$250=$Q$3)*--(Source!$D$1:$D$250=Pyramid!$Q405),ROW(Source!$B$1:$B$250),FALSE),W$3)),"")</f>
        <v/>
      </c>
      <c r="X405" t="str">
        <f t="array" aca="1" ref="X405" ca="1">IFERROR(INDEX(Source!$A$1:$A$250,SMALL(IF(--(Source!$B$1:$B$250=$O405)*--(Source!$E$1:$E$250=$Q$3)*--(Source!$D$1:$D$250=Pyramid!$Q405),ROW(Source!$B$1:$B$250),FALSE),X$3)),"")</f>
        <v/>
      </c>
      <c r="Y405" s="5">
        <f t="shared" ca="1" si="21"/>
        <v>0</v>
      </c>
    </row>
    <row r="406" spans="3:25">
      <c r="C406">
        <v>402</v>
      </c>
      <c r="D406" s="5">
        <f t="shared" ca="1" si="19"/>
        <v>0</v>
      </c>
      <c r="E406" t="str">
        <f t="array" aca="1" ref="E406" ca="1">IFERROR(INDEX(Source!$A$1:$A$250,SMALL(IF(--(Source!$B$1:$B$250=$O406)*--(Source!$E$1:$E$250=$M$3)*--(Source!$D$1:$D$250=Pyramid!$M406),ROW(Source!$B$1:$B$250),FALSE),E$3)),"")</f>
        <v/>
      </c>
      <c r="F406" t="str">
        <f t="array" aca="1" ref="F406" ca="1">IFERROR(INDEX(Source!$A$1:$A$250,SMALL(IF(--(Source!$B$1:$B$250=$O406)*--(Source!$E$1:$E$250=$M$3)*--(Source!$D$1:$D$250=Pyramid!$M406),ROW(Source!$B$1:$B$250),FALSE),F$3)),"")</f>
        <v/>
      </c>
      <c r="G406" t="str">
        <f t="array" aca="1" ref="G406" ca="1">IFERROR(INDEX(Source!$A$1:$A$250,SMALL(IF(--(Source!$B$1:$B$250=$O406)*--(Source!$E$1:$E$250=$M$3)*--(Source!$D$1:$D$250=Pyramid!$M406),ROW(Source!$B$1:$B$250),FALSE),G$3)),"")</f>
        <v/>
      </c>
      <c r="H406" t="str">
        <f t="array" aca="1" ref="H406" ca="1">IFERROR(INDEX(Source!$A$1:$A$250,SMALL(IF(--(Source!$B$1:$B$250=$O406)*--(Source!$E$1:$E$250=$M$3)*--(Source!$D$1:$D$250=Pyramid!$M406),ROW(Source!$B$1:$B$250),FALSE),H$3)),"")</f>
        <v/>
      </c>
      <c r="I406" t="str">
        <f t="array" aca="1" ref="I406" ca="1">IFERROR(INDEX(Source!$A$1:$A$250,SMALL(IF(--(Source!$B$1:$B$250=$O406)*--(Source!$E$1:$E$250=$M$3)*--(Source!$D$1:$D$250=Pyramid!$M406),ROW(Source!$B$1:$B$250),FALSE),I$3)),"")</f>
        <v/>
      </c>
      <c r="J406" t="str">
        <f t="array" aca="1" ref="J406" ca="1">IFERROR(INDEX(Source!$A$1:$A$250,SMALL(IF(--(Source!$B$1:$B$250=$O406)*--(Source!$E$1:$E$250=$M$3)*--(Source!$D$1:$D$250=Pyramid!$M406),ROW(Source!$B$1:$B$250),FALSE),J$3)),"")</f>
        <v/>
      </c>
      <c r="K406" t="str">
        <f t="array" aca="1" ref="K406" ca="1">IFERROR(INDEX(Source!$A$1:$A$250,SMALL(IF(--(Source!$B$1:$B$250=$O406)*--(Source!$E$1:$E$250=$M$3)*--(Source!$D$1:$D$250=Pyramid!$M406),ROW(Source!$B$1:$B$250),FALSE),K$3)),"")</f>
        <v/>
      </c>
      <c r="L406" t="str">
        <f t="array" aca="1" ref="L406" ca="1">IFERROR(INDEX(Source!$A$1:$A$250,SMALL(IF(--(Source!$B$1:$B$250=$O406)*--(Source!$E$1:$E$250=$M$3)*--(Source!$D$1:$D$250=Pyramid!$M406),ROW(Source!$B$1:$B$250),FALSE),L$3)),"")</f>
        <v/>
      </c>
      <c r="M406" t="str">
        <f t="shared" si="20"/>
        <v>30/8/2016</v>
      </c>
      <c r="N406">
        <f ca="1">COUNTIFS(Source!B:B,Pyramid!$O406,Source!$D:$D,Pyramid!$M406,Source!$E:$E,Pyramid!$M$3)</f>
        <v>0</v>
      </c>
      <c r="O406">
        <f ca="1">OFFSET(Sheet2!$N$3,INT(C406/5),)</f>
        <v>25118</v>
      </c>
      <c r="P406">
        <f ca="1">COUNTIFS(Source!B:B,Pyramid!$O406,Source!D:D,Pyramid!$Q406,Source!$E:$E,Pyramid!$Q$3)</f>
        <v>0</v>
      </c>
      <c r="Q406" t="str">
        <f t="shared" si="20"/>
        <v>30/8/2016</v>
      </c>
      <c r="R406" t="str">
        <f t="array" aca="1" ref="R406" ca="1">IFERROR(INDEX(Source!$A$1:$A$250,SMALL(IF(--(Source!$B$1:$B$250=$O406)*--(Source!$E$1:$E$250=$Q$3)*--(Source!$D$1:$D$250=Pyramid!$Q406),ROW(Source!$B$1:$B$250),FALSE),R$3)),"")</f>
        <v/>
      </c>
      <c r="S406" t="str">
        <f t="array" aca="1" ref="S406" ca="1">IFERROR(INDEX(Source!$A$1:$A$250,SMALL(IF(--(Source!$B$1:$B$250=$O406)*--(Source!$E$1:$E$250=$Q$3)*--(Source!$D$1:$D$250=Pyramid!$Q406),ROW(Source!$B$1:$B$250),FALSE),S$3)),"")</f>
        <v/>
      </c>
      <c r="T406" t="str">
        <f t="array" aca="1" ref="T406" ca="1">IFERROR(INDEX(Source!$A$1:$A$250,SMALL(IF(--(Source!$B$1:$B$250=$O406)*--(Source!$E$1:$E$250=$Q$3)*--(Source!$D$1:$D$250=Pyramid!$Q406),ROW(Source!$B$1:$B$250),FALSE),T$3)),"")</f>
        <v/>
      </c>
      <c r="U406" t="str">
        <f t="array" aca="1" ref="U406" ca="1">IFERROR(INDEX(Source!$A$1:$A$250,SMALL(IF(--(Source!$B$1:$B$250=$O406)*--(Source!$E$1:$E$250=$Q$3)*--(Source!$D$1:$D$250=Pyramid!$Q406),ROW(Source!$B$1:$B$250),FALSE),U$3)),"")</f>
        <v/>
      </c>
      <c r="V406" t="str">
        <f t="array" aca="1" ref="V406" ca="1">IFERROR(INDEX(Source!$A$1:$A$250,SMALL(IF(--(Source!$B$1:$B$250=$O406)*--(Source!$E$1:$E$250=$Q$3)*--(Source!$D$1:$D$250=Pyramid!$Q406),ROW(Source!$B$1:$B$250),FALSE),V$3)),"")</f>
        <v/>
      </c>
      <c r="W406" t="str">
        <f t="array" aca="1" ref="W406" ca="1">IFERROR(INDEX(Source!$A$1:$A$250,SMALL(IF(--(Source!$B$1:$B$250=$O406)*--(Source!$E$1:$E$250=$Q$3)*--(Source!$D$1:$D$250=Pyramid!$Q406),ROW(Source!$B$1:$B$250),FALSE),W$3)),"")</f>
        <v/>
      </c>
      <c r="X406" t="str">
        <f t="array" aca="1" ref="X406" ca="1">IFERROR(INDEX(Source!$A$1:$A$250,SMALL(IF(--(Source!$B$1:$B$250=$O406)*--(Source!$E$1:$E$250=$Q$3)*--(Source!$D$1:$D$250=Pyramid!$Q406),ROW(Source!$B$1:$B$250),FALSE),X$3)),"")</f>
        <v/>
      </c>
      <c r="Y406" s="5">
        <f t="shared" ca="1" si="21"/>
        <v>0</v>
      </c>
    </row>
    <row r="407" spans="3:25">
      <c r="C407">
        <v>403</v>
      </c>
      <c r="D407" s="5">
        <f t="shared" ca="1" si="19"/>
        <v>0</v>
      </c>
      <c r="E407" t="str">
        <f t="array" aca="1" ref="E407" ca="1">IFERROR(INDEX(Source!$A$1:$A$250,SMALL(IF(--(Source!$B$1:$B$250=$O407)*--(Source!$E$1:$E$250=$M$3)*--(Source!$D$1:$D$250=Pyramid!$M407),ROW(Source!$B$1:$B$250),FALSE),E$3)),"")</f>
        <v/>
      </c>
      <c r="F407" t="str">
        <f t="array" aca="1" ref="F407" ca="1">IFERROR(INDEX(Source!$A$1:$A$250,SMALL(IF(--(Source!$B$1:$B$250=$O407)*--(Source!$E$1:$E$250=$M$3)*--(Source!$D$1:$D$250=Pyramid!$M407),ROW(Source!$B$1:$B$250),FALSE),F$3)),"")</f>
        <v/>
      </c>
      <c r="G407" t="str">
        <f t="array" aca="1" ref="G407" ca="1">IFERROR(INDEX(Source!$A$1:$A$250,SMALL(IF(--(Source!$B$1:$B$250=$O407)*--(Source!$E$1:$E$250=$M$3)*--(Source!$D$1:$D$250=Pyramid!$M407),ROW(Source!$B$1:$B$250),FALSE),G$3)),"")</f>
        <v/>
      </c>
      <c r="H407" t="str">
        <f t="array" aca="1" ref="H407" ca="1">IFERROR(INDEX(Source!$A$1:$A$250,SMALL(IF(--(Source!$B$1:$B$250=$O407)*--(Source!$E$1:$E$250=$M$3)*--(Source!$D$1:$D$250=Pyramid!$M407),ROW(Source!$B$1:$B$250),FALSE),H$3)),"")</f>
        <v/>
      </c>
      <c r="I407" t="str">
        <f t="array" aca="1" ref="I407" ca="1">IFERROR(INDEX(Source!$A$1:$A$250,SMALL(IF(--(Source!$B$1:$B$250=$O407)*--(Source!$E$1:$E$250=$M$3)*--(Source!$D$1:$D$250=Pyramid!$M407),ROW(Source!$B$1:$B$250),FALSE),I$3)),"")</f>
        <v/>
      </c>
      <c r="J407" t="str">
        <f t="array" aca="1" ref="J407" ca="1">IFERROR(INDEX(Source!$A$1:$A$250,SMALL(IF(--(Source!$B$1:$B$250=$O407)*--(Source!$E$1:$E$250=$M$3)*--(Source!$D$1:$D$250=Pyramid!$M407),ROW(Source!$B$1:$B$250),FALSE),J$3)),"")</f>
        <v/>
      </c>
      <c r="K407" t="str">
        <f t="array" aca="1" ref="K407" ca="1">IFERROR(INDEX(Source!$A$1:$A$250,SMALL(IF(--(Source!$B$1:$B$250=$O407)*--(Source!$E$1:$E$250=$M$3)*--(Source!$D$1:$D$250=Pyramid!$M407),ROW(Source!$B$1:$B$250),FALSE),K$3)),"")</f>
        <v/>
      </c>
      <c r="L407" t="str">
        <f t="array" aca="1" ref="L407" ca="1">IFERROR(INDEX(Source!$A$1:$A$250,SMALL(IF(--(Source!$B$1:$B$250=$O407)*--(Source!$E$1:$E$250=$M$3)*--(Source!$D$1:$D$250=Pyramid!$M407),ROW(Source!$B$1:$B$250),FALSE),L$3)),"")</f>
        <v/>
      </c>
      <c r="M407" t="str">
        <f t="shared" si="20"/>
        <v>29/9/2016</v>
      </c>
      <c r="N407">
        <f ca="1">COUNTIFS(Source!B:B,Pyramid!$O407,Source!$D:$D,Pyramid!$M407,Source!$E:$E,Pyramid!$M$3)</f>
        <v>0</v>
      </c>
      <c r="O407">
        <f ca="1">OFFSET(Sheet2!$N$3,INT(C407/5),)</f>
        <v>25118</v>
      </c>
      <c r="P407">
        <f ca="1">COUNTIFS(Source!B:B,Pyramid!$O407,Source!D:D,Pyramid!$Q407,Source!$E:$E,Pyramid!$Q$3)</f>
        <v>0</v>
      </c>
      <c r="Q407" t="str">
        <f t="shared" si="20"/>
        <v>29/9/2016</v>
      </c>
      <c r="R407" t="str">
        <f t="array" aca="1" ref="R407" ca="1">IFERROR(INDEX(Source!$A$1:$A$250,SMALL(IF(--(Source!$B$1:$B$250=$O407)*--(Source!$E$1:$E$250=$Q$3)*--(Source!$D$1:$D$250=Pyramid!$Q407),ROW(Source!$B$1:$B$250),FALSE),R$3)),"")</f>
        <v/>
      </c>
      <c r="S407" t="str">
        <f t="array" aca="1" ref="S407" ca="1">IFERROR(INDEX(Source!$A$1:$A$250,SMALL(IF(--(Source!$B$1:$B$250=$O407)*--(Source!$E$1:$E$250=$Q$3)*--(Source!$D$1:$D$250=Pyramid!$Q407),ROW(Source!$B$1:$B$250),FALSE),S$3)),"")</f>
        <v/>
      </c>
      <c r="T407" t="str">
        <f t="array" aca="1" ref="T407" ca="1">IFERROR(INDEX(Source!$A$1:$A$250,SMALL(IF(--(Source!$B$1:$B$250=$O407)*--(Source!$E$1:$E$250=$Q$3)*--(Source!$D$1:$D$250=Pyramid!$Q407),ROW(Source!$B$1:$B$250),FALSE),T$3)),"")</f>
        <v/>
      </c>
      <c r="U407" t="str">
        <f t="array" aca="1" ref="U407" ca="1">IFERROR(INDEX(Source!$A$1:$A$250,SMALL(IF(--(Source!$B$1:$B$250=$O407)*--(Source!$E$1:$E$250=$Q$3)*--(Source!$D$1:$D$250=Pyramid!$Q407),ROW(Source!$B$1:$B$250),FALSE),U$3)),"")</f>
        <v/>
      </c>
      <c r="V407" t="str">
        <f t="array" aca="1" ref="V407" ca="1">IFERROR(INDEX(Source!$A$1:$A$250,SMALL(IF(--(Source!$B$1:$B$250=$O407)*--(Source!$E$1:$E$250=$Q$3)*--(Source!$D$1:$D$250=Pyramid!$Q407),ROW(Source!$B$1:$B$250),FALSE),V$3)),"")</f>
        <v/>
      </c>
      <c r="W407" t="str">
        <f t="array" aca="1" ref="W407" ca="1">IFERROR(INDEX(Source!$A$1:$A$250,SMALL(IF(--(Source!$B$1:$B$250=$O407)*--(Source!$E$1:$E$250=$Q$3)*--(Source!$D$1:$D$250=Pyramid!$Q407),ROW(Source!$B$1:$B$250),FALSE),W$3)),"")</f>
        <v/>
      </c>
      <c r="X407" t="str">
        <f t="array" aca="1" ref="X407" ca="1">IFERROR(INDEX(Source!$A$1:$A$250,SMALL(IF(--(Source!$B$1:$B$250=$O407)*--(Source!$E$1:$E$250=$Q$3)*--(Source!$D$1:$D$250=Pyramid!$Q407),ROW(Source!$B$1:$B$250),FALSE),X$3)),"")</f>
        <v/>
      </c>
      <c r="Y407" s="5">
        <f t="shared" ca="1" si="21"/>
        <v>0</v>
      </c>
    </row>
    <row r="408" spans="3:25">
      <c r="C408">
        <v>404</v>
      </c>
      <c r="D408" s="5">
        <f t="shared" ca="1" si="19"/>
        <v>0</v>
      </c>
      <c r="E408" t="str">
        <f t="array" aca="1" ref="E408" ca="1">IFERROR(INDEX(Source!$A$1:$A$250,SMALL(IF(--(Source!$B$1:$B$250=$O408)*--(Source!$E$1:$E$250=$M$3)*--(Source!$D$1:$D$250=Pyramid!$M408),ROW(Source!$B$1:$B$250),FALSE),E$3)),"")</f>
        <v/>
      </c>
      <c r="F408" t="str">
        <f t="array" aca="1" ref="F408" ca="1">IFERROR(INDEX(Source!$A$1:$A$250,SMALL(IF(--(Source!$B$1:$B$250=$O408)*--(Source!$E$1:$E$250=$M$3)*--(Source!$D$1:$D$250=Pyramid!$M408),ROW(Source!$B$1:$B$250),FALSE),F$3)),"")</f>
        <v/>
      </c>
      <c r="G408" t="str">
        <f t="array" aca="1" ref="G408" ca="1">IFERROR(INDEX(Source!$A$1:$A$250,SMALL(IF(--(Source!$B$1:$B$250=$O408)*--(Source!$E$1:$E$250=$M$3)*--(Source!$D$1:$D$250=Pyramid!$M408),ROW(Source!$B$1:$B$250),FALSE),G$3)),"")</f>
        <v/>
      </c>
      <c r="H408" t="str">
        <f t="array" aca="1" ref="H408" ca="1">IFERROR(INDEX(Source!$A$1:$A$250,SMALL(IF(--(Source!$B$1:$B$250=$O408)*--(Source!$E$1:$E$250=$M$3)*--(Source!$D$1:$D$250=Pyramid!$M408),ROW(Source!$B$1:$B$250),FALSE),H$3)),"")</f>
        <v/>
      </c>
      <c r="I408" t="str">
        <f t="array" aca="1" ref="I408" ca="1">IFERROR(INDEX(Source!$A$1:$A$250,SMALL(IF(--(Source!$B$1:$B$250=$O408)*--(Source!$E$1:$E$250=$M$3)*--(Source!$D$1:$D$250=Pyramid!$M408),ROW(Source!$B$1:$B$250),FALSE),I$3)),"")</f>
        <v/>
      </c>
      <c r="J408" t="str">
        <f t="array" aca="1" ref="J408" ca="1">IFERROR(INDEX(Source!$A$1:$A$250,SMALL(IF(--(Source!$B$1:$B$250=$O408)*--(Source!$E$1:$E$250=$M$3)*--(Source!$D$1:$D$250=Pyramid!$M408),ROW(Source!$B$1:$B$250),FALSE),J$3)),"")</f>
        <v/>
      </c>
      <c r="K408" t="str">
        <f t="array" aca="1" ref="K408" ca="1">IFERROR(INDEX(Source!$A$1:$A$250,SMALL(IF(--(Source!$B$1:$B$250=$O408)*--(Source!$E$1:$E$250=$M$3)*--(Source!$D$1:$D$250=Pyramid!$M408),ROW(Source!$B$1:$B$250),FALSE),K$3)),"")</f>
        <v/>
      </c>
      <c r="L408" t="str">
        <f t="array" aca="1" ref="L408" ca="1">IFERROR(INDEX(Source!$A$1:$A$250,SMALL(IF(--(Source!$B$1:$B$250=$O408)*--(Source!$E$1:$E$250=$M$3)*--(Source!$D$1:$D$250=Pyramid!$M408),ROW(Source!$B$1:$B$250),FALSE),L$3)),"")</f>
        <v/>
      </c>
      <c r="M408" t="str">
        <f t="shared" si="20"/>
        <v>28/10/2016</v>
      </c>
      <c r="N408">
        <f ca="1">COUNTIFS(Source!B:B,Pyramid!$O408,Source!$D:$D,Pyramid!$M408,Source!$E:$E,Pyramid!$M$3)</f>
        <v>0</v>
      </c>
      <c r="O408">
        <f ca="1">OFFSET(Sheet2!$N$3,INT(C408/5),)</f>
        <v>25118</v>
      </c>
      <c r="P408">
        <f ca="1">COUNTIFS(Source!B:B,Pyramid!$O408,Source!D:D,Pyramid!$Q408,Source!$E:$E,Pyramid!$Q$3)</f>
        <v>0</v>
      </c>
      <c r="Q408" t="str">
        <f t="shared" si="20"/>
        <v>28/10/2016</v>
      </c>
      <c r="R408" t="str">
        <f t="array" aca="1" ref="R408" ca="1">IFERROR(INDEX(Source!$A$1:$A$250,SMALL(IF(--(Source!$B$1:$B$250=$O408)*--(Source!$E$1:$E$250=$Q$3)*--(Source!$D$1:$D$250=Pyramid!$Q408),ROW(Source!$B$1:$B$250),FALSE),R$3)),"")</f>
        <v/>
      </c>
      <c r="S408" t="str">
        <f t="array" aca="1" ref="S408" ca="1">IFERROR(INDEX(Source!$A$1:$A$250,SMALL(IF(--(Source!$B$1:$B$250=$O408)*--(Source!$E$1:$E$250=$Q$3)*--(Source!$D$1:$D$250=Pyramid!$Q408),ROW(Source!$B$1:$B$250),FALSE),S$3)),"")</f>
        <v/>
      </c>
      <c r="T408" t="str">
        <f t="array" aca="1" ref="T408" ca="1">IFERROR(INDEX(Source!$A$1:$A$250,SMALL(IF(--(Source!$B$1:$B$250=$O408)*--(Source!$E$1:$E$250=$Q$3)*--(Source!$D$1:$D$250=Pyramid!$Q408),ROW(Source!$B$1:$B$250),FALSE),T$3)),"")</f>
        <v/>
      </c>
      <c r="U408" t="str">
        <f t="array" aca="1" ref="U408" ca="1">IFERROR(INDEX(Source!$A$1:$A$250,SMALL(IF(--(Source!$B$1:$B$250=$O408)*--(Source!$E$1:$E$250=$Q$3)*--(Source!$D$1:$D$250=Pyramid!$Q408),ROW(Source!$B$1:$B$250),FALSE),U$3)),"")</f>
        <v/>
      </c>
      <c r="V408" t="str">
        <f t="array" aca="1" ref="V408" ca="1">IFERROR(INDEX(Source!$A$1:$A$250,SMALL(IF(--(Source!$B$1:$B$250=$O408)*--(Source!$E$1:$E$250=$Q$3)*--(Source!$D$1:$D$250=Pyramid!$Q408),ROW(Source!$B$1:$B$250),FALSE),V$3)),"")</f>
        <v/>
      </c>
      <c r="W408" t="str">
        <f t="array" aca="1" ref="W408" ca="1">IFERROR(INDEX(Source!$A$1:$A$250,SMALL(IF(--(Source!$B$1:$B$250=$O408)*--(Source!$E$1:$E$250=$Q$3)*--(Source!$D$1:$D$250=Pyramid!$Q408),ROW(Source!$B$1:$B$250),FALSE),W$3)),"")</f>
        <v/>
      </c>
      <c r="X408" t="str">
        <f t="array" aca="1" ref="X408" ca="1">IFERROR(INDEX(Source!$A$1:$A$250,SMALL(IF(--(Source!$B$1:$B$250=$O408)*--(Source!$E$1:$E$250=$Q$3)*--(Source!$D$1:$D$250=Pyramid!$Q408),ROW(Source!$B$1:$B$250),FALSE),X$3)),"")</f>
        <v/>
      </c>
      <c r="Y408" s="5">
        <f t="shared" ca="1" si="21"/>
        <v>0</v>
      </c>
    </row>
    <row r="409" spans="3:25">
      <c r="C409">
        <v>405</v>
      </c>
      <c r="D409" s="5">
        <f t="shared" ca="1" si="19"/>
        <v>0</v>
      </c>
      <c r="E409" t="str">
        <f t="array" aca="1" ref="E409" ca="1">IFERROR(INDEX(Source!$A$1:$A$250,SMALL(IF(--(Source!$B$1:$B$250=$O409)*--(Source!$E$1:$E$250=$M$3)*--(Source!$D$1:$D$250=Pyramid!$M409),ROW(Source!$B$1:$B$250),FALSE),E$3)),"")</f>
        <v/>
      </c>
      <c r="F409" t="str">
        <f t="array" aca="1" ref="F409" ca="1">IFERROR(INDEX(Source!$A$1:$A$250,SMALL(IF(--(Source!$B$1:$B$250=$O409)*--(Source!$E$1:$E$250=$M$3)*--(Source!$D$1:$D$250=Pyramid!$M409),ROW(Source!$B$1:$B$250),FALSE),F$3)),"")</f>
        <v/>
      </c>
      <c r="G409" t="str">
        <f t="array" aca="1" ref="G409" ca="1">IFERROR(INDEX(Source!$A$1:$A$250,SMALL(IF(--(Source!$B$1:$B$250=$O409)*--(Source!$E$1:$E$250=$M$3)*--(Source!$D$1:$D$250=Pyramid!$M409),ROW(Source!$B$1:$B$250),FALSE),G$3)),"")</f>
        <v/>
      </c>
      <c r="H409" t="str">
        <f t="array" aca="1" ref="H409" ca="1">IFERROR(INDEX(Source!$A$1:$A$250,SMALL(IF(--(Source!$B$1:$B$250=$O409)*--(Source!$E$1:$E$250=$M$3)*--(Source!$D$1:$D$250=Pyramid!$M409),ROW(Source!$B$1:$B$250),FALSE),H$3)),"")</f>
        <v/>
      </c>
      <c r="I409" t="str">
        <f t="array" aca="1" ref="I409" ca="1">IFERROR(INDEX(Source!$A$1:$A$250,SMALL(IF(--(Source!$B$1:$B$250=$O409)*--(Source!$E$1:$E$250=$M$3)*--(Source!$D$1:$D$250=Pyramid!$M409),ROW(Source!$B$1:$B$250),FALSE),I$3)),"")</f>
        <v/>
      </c>
      <c r="J409" t="str">
        <f t="array" aca="1" ref="J409" ca="1">IFERROR(INDEX(Source!$A$1:$A$250,SMALL(IF(--(Source!$B$1:$B$250=$O409)*--(Source!$E$1:$E$250=$M$3)*--(Source!$D$1:$D$250=Pyramid!$M409),ROW(Source!$B$1:$B$250),FALSE),J$3)),"")</f>
        <v/>
      </c>
      <c r="K409" t="str">
        <f t="array" aca="1" ref="K409" ca="1">IFERROR(INDEX(Source!$A$1:$A$250,SMALL(IF(--(Source!$B$1:$B$250=$O409)*--(Source!$E$1:$E$250=$M$3)*--(Source!$D$1:$D$250=Pyramid!$M409),ROW(Source!$B$1:$B$250),FALSE),K$3)),"")</f>
        <v/>
      </c>
      <c r="L409" t="str">
        <f t="array" aca="1" ref="L409" ca="1">IFERROR(INDEX(Source!$A$1:$A$250,SMALL(IF(--(Source!$B$1:$B$250=$O409)*--(Source!$E$1:$E$250=$M$3)*--(Source!$D$1:$D$250=Pyramid!$M409),ROW(Source!$B$1:$B$250),FALSE),L$3)),"")</f>
        <v>23970 HK Equity</v>
      </c>
      <c r="M409" t="str">
        <f t="shared" si="20"/>
        <v>29/6/2016</v>
      </c>
      <c r="N409">
        <f ca="1">COUNTIFS(Source!B:B,Pyramid!$O409,Source!$D:$D,Pyramid!$M409,Source!$E:$E,Pyramid!$M$3)</f>
        <v>1</v>
      </c>
      <c r="O409">
        <f ca="1">OFFSET(Sheet2!$N$3,INT(C409/5),)</f>
        <v>25288</v>
      </c>
      <c r="P409">
        <f ca="1">COUNTIFS(Source!B:B,Pyramid!$O409,Source!D:D,Pyramid!$Q409,Source!$E:$E,Pyramid!$Q$3)</f>
        <v>0</v>
      </c>
      <c r="Q409" t="str">
        <f t="shared" si="20"/>
        <v>29/6/2016</v>
      </c>
      <c r="R409" t="str">
        <f t="array" aca="1" ref="R409" ca="1">IFERROR(INDEX(Source!$A$1:$A$250,SMALL(IF(--(Source!$B$1:$B$250=$O409)*--(Source!$E$1:$E$250=$Q$3)*--(Source!$D$1:$D$250=Pyramid!$Q409),ROW(Source!$B$1:$B$250),FALSE),R$3)),"")</f>
        <v/>
      </c>
      <c r="S409" t="str">
        <f t="array" aca="1" ref="S409" ca="1">IFERROR(INDEX(Source!$A$1:$A$250,SMALL(IF(--(Source!$B$1:$B$250=$O409)*--(Source!$E$1:$E$250=$Q$3)*--(Source!$D$1:$D$250=Pyramid!$Q409),ROW(Source!$B$1:$B$250),FALSE),S$3)),"")</f>
        <v/>
      </c>
      <c r="T409" t="str">
        <f t="array" aca="1" ref="T409" ca="1">IFERROR(INDEX(Source!$A$1:$A$250,SMALL(IF(--(Source!$B$1:$B$250=$O409)*--(Source!$E$1:$E$250=$Q$3)*--(Source!$D$1:$D$250=Pyramid!$Q409),ROW(Source!$B$1:$B$250),FALSE),T$3)),"")</f>
        <v/>
      </c>
      <c r="U409" t="str">
        <f t="array" aca="1" ref="U409" ca="1">IFERROR(INDEX(Source!$A$1:$A$250,SMALL(IF(--(Source!$B$1:$B$250=$O409)*--(Source!$E$1:$E$250=$Q$3)*--(Source!$D$1:$D$250=Pyramid!$Q409),ROW(Source!$B$1:$B$250),FALSE),U$3)),"")</f>
        <v/>
      </c>
      <c r="V409" t="str">
        <f t="array" aca="1" ref="V409" ca="1">IFERROR(INDEX(Source!$A$1:$A$250,SMALL(IF(--(Source!$B$1:$B$250=$O409)*--(Source!$E$1:$E$250=$Q$3)*--(Source!$D$1:$D$250=Pyramid!$Q409),ROW(Source!$B$1:$B$250),FALSE),V$3)),"")</f>
        <v/>
      </c>
      <c r="W409" t="str">
        <f t="array" aca="1" ref="W409" ca="1">IFERROR(INDEX(Source!$A$1:$A$250,SMALL(IF(--(Source!$B$1:$B$250=$O409)*--(Source!$E$1:$E$250=$Q$3)*--(Source!$D$1:$D$250=Pyramid!$Q409),ROW(Source!$B$1:$B$250),FALSE),W$3)),"")</f>
        <v/>
      </c>
      <c r="X409" t="str">
        <f t="array" aca="1" ref="X409" ca="1">IFERROR(INDEX(Source!$A$1:$A$250,SMALL(IF(--(Source!$B$1:$B$250=$O409)*--(Source!$E$1:$E$250=$Q$3)*--(Source!$D$1:$D$250=Pyramid!$Q409),ROW(Source!$B$1:$B$250),FALSE),X$3)),"")</f>
        <v/>
      </c>
      <c r="Y409" s="5">
        <f t="shared" ca="1" si="21"/>
        <v>0</v>
      </c>
    </row>
    <row r="410" spans="3:25">
      <c r="C410">
        <v>406</v>
      </c>
      <c r="D410" s="5">
        <f t="shared" ca="1" si="19"/>
        <v>0</v>
      </c>
      <c r="E410" t="str">
        <f t="array" aca="1" ref="E410" ca="1">IFERROR(INDEX(Source!$A$1:$A$250,SMALL(IF(--(Source!$B$1:$B$250=$O410)*--(Source!$E$1:$E$250=$M$3)*--(Source!$D$1:$D$250=Pyramid!$M410),ROW(Source!$B$1:$B$250),FALSE),E$3)),"")</f>
        <v/>
      </c>
      <c r="F410" t="str">
        <f t="array" aca="1" ref="F410" ca="1">IFERROR(INDEX(Source!$A$1:$A$250,SMALL(IF(--(Source!$B$1:$B$250=$O410)*--(Source!$E$1:$E$250=$M$3)*--(Source!$D$1:$D$250=Pyramid!$M410),ROW(Source!$B$1:$B$250),FALSE),F$3)),"")</f>
        <v/>
      </c>
      <c r="G410" t="str">
        <f t="array" aca="1" ref="G410" ca="1">IFERROR(INDEX(Source!$A$1:$A$250,SMALL(IF(--(Source!$B$1:$B$250=$O410)*--(Source!$E$1:$E$250=$M$3)*--(Source!$D$1:$D$250=Pyramid!$M410),ROW(Source!$B$1:$B$250),FALSE),G$3)),"")</f>
        <v/>
      </c>
      <c r="H410" t="str">
        <f t="array" aca="1" ref="H410" ca="1">IFERROR(INDEX(Source!$A$1:$A$250,SMALL(IF(--(Source!$B$1:$B$250=$O410)*--(Source!$E$1:$E$250=$M$3)*--(Source!$D$1:$D$250=Pyramid!$M410),ROW(Source!$B$1:$B$250),FALSE),H$3)),"")</f>
        <v/>
      </c>
      <c r="I410" t="str">
        <f t="array" aca="1" ref="I410" ca="1">IFERROR(INDEX(Source!$A$1:$A$250,SMALL(IF(--(Source!$B$1:$B$250=$O410)*--(Source!$E$1:$E$250=$M$3)*--(Source!$D$1:$D$250=Pyramid!$M410),ROW(Source!$B$1:$B$250),FALSE),I$3)),"")</f>
        <v/>
      </c>
      <c r="J410" t="str">
        <f t="array" aca="1" ref="J410" ca="1">IFERROR(INDEX(Source!$A$1:$A$250,SMALL(IF(--(Source!$B$1:$B$250=$O410)*--(Source!$E$1:$E$250=$M$3)*--(Source!$D$1:$D$250=Pyramid!$M410),ROW(Source!$B$1:$B$250),FALSE),J$3)),"")</f>
        <v/>
      </c>
      <c r="K410" t="str">
        <f t="array" aca="1" ref="K410" ca="1">IFERROR(INDEX(Source!$A$1:$A$250,SMALL(IF(--(Source!$B$1:$B$250=$O410)*--(Source!$E$1:$E$250=$M$3)*--(Source!$D$1:$D$250=Pyramid!$M410),ROW(Source!$B$1:$B$250),FALSE),K$3)),"")</f>
        <v/>
      </c>
      <c r="L410" t="str">
        <f t="array" aca="1" ref="L410" ca="1">IFERROR(INDEX(Source!$A$1:$A$250,SMALL(IF(--(Source!$B$1:$B$250=$O410)*--(Source!$E$1:$E$250=$M$3)*--(Source!$D$1:$D$250=Pyramid!$M410),ROW(Source!$B$1:$B$250),FALSE),L$3)),"")</f>
        <v/>
      </c>
      <c r="M410" t="str">
        <f t="shared" si="20"/>
        <v>28/7/2016</v>
      </c>
      <c r="N410">
        <f ca="1">COUNTIFS(Source!B:B,Pyramid!$O410,Source!$D:$D,Pyramid!$M410,Source!$E:$E,Pyramid!$M$3)</f>
        <v>0</v>
      </c>
      <c r="O410">
        <f ca="1">OFFSET(Sheet2!$N$3,INT(C410/5),)</f>
        <v>25288</v>
      </c>
      <c r="P410">
        <f ca="1">COUNTIFS(Source!B:B,Pyramid!$O410,Source!D:D,Pyramid!$Q410,Source!$E:$E,Pyramid!$Q$3)</f>
        <v>0</v>
      </c>
      <c r="Q410" t="str">
        <f t="shared" si="20"/>
        <v>28/7/2016</v>
      </c>
      <c r="R410" t="str">
        <f t="array" aca="1" ref="R410" ca="1">IFERROR(INDEX(Source!$A$1:$A$250,SMALL(IF(--(Source!$B$1:$B$250=$O410)*--(Source!$E$1:$E$250=$Q$3)*--(Source!$D$1:$D$250=Pyramid!$Q410),ROW(Source!$B$1:$B$250),FALSE),R$3)),"")</f>
        <v/>
      </c>
      <c r="S410" t="str">
        <f t="array" aca="1" ref="S410" ca="1">IFERROR(INDEX(Source!$A$1:$A$250,SMALL(IF(--(Source!$B$1:$B$250=$O410)*--(Source!$E$1:$E$250=$Q$3)*--(Source!$D$1:$D$250=Pyramid!$Q410),ROW(Source!$B$1:$B$250),FALSE),S$3)),"")</f>
        <v/>
      </c>
      <c r="T410" t="str">
        <f t="array" aca="1" ref="T410" ca="1">IFERROR(INDEX(Source!$A$1:$A$250,SMALL(IF(--(Source!$B$1:$B$250=$O410)*--(Source!$E$1:$E$250=$Q$3)*--(Source!$D$1:$D$250=Pyramid!$Q410),ROW(Source!$B$1:$B$250),FALSE),T$3)),"")</f>
        <v/>
      </c>
      <c r="U410" t="str">
        <f t="array" aca="1" ref="U410" ca="1">IFERROR(INDEX(Source!$A$1:$A$250,SMALL(IF(--(Source!$B$1:$B$250=$O410)*--(Source!$E$1:$E$250=$Q$3)*--(Source!$D$1:$D$250=Pyramid!$Q410),ROW(Source!$B$1:$B$250),FALSE),U$3)),"")</f>
        <v/>
      </c>
      <c r="V410" t="str">
        <f t="array" aca="1" ref="V410" ca="1">IFERROR(INDEX(Source!$A$1:$A$250,SMALL(IF(--(Source!$B$1:$B$250=$O410)*--(Source!$E$1:$E$250=$Q$3)*--(Source!$D$1:$D$250=Pyramid!$Q410),ROW(Source!$B$1:$B$250),FALSE),V$3)),"")</f>
        <v/>
      </c>
      <c r="W410" t="str">
        <f t="array" aca="1" ref="W410" ca="1">IFERROR(INDEX(Source!$A$1:$A$250,SMALL(IF(--(Source!$B$1:$B$250=$O410)*--(Source!$E$1:$E$250=$Q$3)*--(Source!$D$1:$D$250=Pyramid!$Q410),ROW(Source!$B$1:$B$250),FALSE),W$3)),"")</f>
        <v/>
      </c>
      <c r="X410" t="str">
        <f t="array" aca="1" ref="X410" ca="1">IFERROR(INDEX(Source!$A$1:$A$250,SMALL(IF(--(Source!$B$1:$B$250=$O410)*--(Source!$E$1:$E$250=$Q$3)*--(Source!$D$1:$D$250=Pyramid!$Q410),ROW(Source!$B$1:$B$250),FALSE),X$3)),"")</f>
        <v/>
      </c>
      <c r="Y410" s="5">
        <f t="shared" ca="1" si="21"/>
        <v>0</v>
      </c>
    </row>
    <row r="411" spans="3:25">
      <c r="C411">
        <v>407</v>
      </c>
      <c r="D411" s="5">
        <f t="shared" ca="1" si="19"/>
        <v>0</v>
      </c>
      <c r="E411" t="str">
        <f t="array" aca="1" ref="E411" ca="1">IFERROR(INDEX(Source!$A$1:$A$250,SMALL(IF(--(Source!$B$1:$B$250=$O411)*--(Source!$E$1:$E$250=$M$3)*--(Source!$D$1:$D$250=Pyramid!$M411),ROW(Source!$B$1:$B$250),FALSE),E$3)),"")</f>
        <v/>
      </c>
      <c r="F411" t="str">
        <f t="array" aca="1" ref="F411" ca="1">IFERROR(INDEX(Source!$A$1:$A$250,SMALL(IF(--(Source!$B$1:$B$250=$O411)*--(Source!$E$1:$E$250=$M$3)*--(Source!$D$1:$D$250=Pyramid!$M411),ROW(Source!$B$1:$B$250),FALSE),F$3)),"")</f>
        <v/>
      </c>
      <c r="G411" t="str">
        <f t="array" aca="1" ref="G411" ca="1">IFERROR(INDEX(Source!$A$1:$A$250,SMALL(IF(--(Source!$B$1:$B$250=$O411)*--(Source!$E$1:$E$250=$M$3)*--(Source!$D$1:$D$250=Pyramid!$M411),ROW(Source!$B$1:$B$250),FALSE),G$3)),"")</f>
        <v/>
      </c>
      <c r="H411" t="str">
        <f t="array" aca="1" ref="H411" ca="1">IFERROR(INDEX(Source!$A$1:$A$250,SMALL(IF(--(Source!$B$1:$B$250=$O411)*--(Source!$E$1:$E$250=$M$3)*--(Source!$D$1:$D$250=Pyramid!$M411),ROW(Source!$B$1:$B$250),FALSE),H$3)),"")</f>
        <v/>
      </c>
      <c r="I411" t="str">
        <f t="array" aca="1" ref="I411" ca="1">IFERROR(INDEX(Source!$A$1:$A$250,SMALL(IF(--(Source!$B$1:$B$250=$O411)*--(Source!$E$1:$E$250=$M$3)*--(Source!$D$1:$D$250=Pyramid!$M411),ROW(Source!$B$1:$B$250),FALSE),I$3)),"")</f>
        <v/>
      </c>
      <c r="J411" t="str">
        <f t="array" aca="1" ref="J411" ca="1">IFERROR(INDEX(Source!$A$1:$A$250,SMALL(IF(--(Source!$B$1:$B$250=$O411)*--(Source!$E$1:$E$250=$M$3)*--(Source!$D$1:$D$250=Pyramid!$M411),ROW(Source!$B$1:$B$250),FALSE),J$3)),"")</f>
        <v/>
      </c>
      <c r="K411" t="str">
        <f t="array" aca="1" ref="K411" ca="1">IFERROR(INDEX(Source!$A$1:$A$250,SMALL(IF(--(Source!$B$1:$B$250=$O411)*--(Source!$E$1:$E$250=$M$3)*--(Source!$D$1:$D$250=Pyramid!$M411),ROW(Source!$B$1:$B$250),FALSE),K$3)),"")</f>
        <v/>
      </c>
      <c r="L411" t="str">
        <f t="array" aca="1" ref="L411" ca="1">IFERROR(INDEX(Source!$A$1:$A$250,SMALL(IF(--(Source!$B$1:$B$250=$O411)*--(Source!$E$1:$E$250=$M$3)*--(Source!$D$1:$D$250=Pyramid!$M411),ROW(Source!$B$1:$B$250),FALSE),L$3)),"")</f>
        <v/>
      </c>
      <c r="M411" t="str">
        <f t="shared" si="20"/>
        <v>30/8/2016</v>
      </c>
      <c r="N411">
        <f ca="1">COUNTIFS(Source!B:B,Pyramid!$O411,Source!$D:$D,Pyramid!$M411,Source!$E:$E,Pyramid!$M$3)</f>
        <v>0</v>
      </c>
      <c r="O411">
        <f ca="1">OFFSET(Sheet2!$N$3,INT(C411/5),)</f>
        <v>25288</v>
      </c>
      <c r="P411">
        <f ca="1">COUNTIFS(Source!B:B,Pyramid!$O411,Source!D:D,Pyramid!$Q411,Source!$E:$E,Pyramid!$Q$3)</f>
        <v>0</v>
      </c>
      <c r="Q411" t="str">
        <f t="shared" si="20"/>
        <v>30/8/2016</v>
      </c>
      <c r="R411" t="str">
        <f t="array" aca="1" ref="R411" ca="1">IFERROR(INDEX(Source!$A$1:$A$250,SMALL(IF(--(Source!$B$1:$B$250=$O411)*--(Source!$E$1:$E$250=$Q$3)*--(Source!$D$1:$D$250=Pyramid!$Q411),ROW(Source!$B$1:$B$250),FALSE),R$3)),"")</f>
        <v/>
      </c>
      <c r="S411" t="str">
        <f t="array" aca="1" ref="S411" ca="1">IFERROR(INDEX(Source!$A$1:$A$250,SMALL(IF(--(Source!$B$1:$B$250=$O411)*--(Source!$E$1:$E$250=$Q$3)*--(Source!$D$1:$D$250=Pyramid!$Q411),ROW(Source!$B$1:$B$250),FALSE),S$3)),"")</f>
        <v/>
      </c>
      <c r="T411" t="str">
        <f t="array" aca="1" ref="T411" ca="1">IFERROR(INDEX(Source!$A$1:$A$250,SMALL(IF(--(Source!$B$1:$B$250=$O411)*--(Source!$E$1:$E$250=$Q$3)*--(Source!$D$1:$D$250=Pyramid!$Q411),ROW(Source!$B$1:$B$250),FALSE),T$3)),"")</f>
        <v/>
      </c>
      <c r="U411" t="str">
        <f t="array" aca="1" ref="U411" ca="1">IFERROR(INDEX(Source!$A$1:$A$250,SMALL(IF(--(Source!$B$1:$B$250=$O411)*--(Source!$E$1:$E$250=$Q$3)*--(Source!$D$1:$D$250=Pyramid!$Q411),ROW(Source!$B$1:$B$250),FALSE),U$3)),"")</f>
        <v/>
      </c>
      <c r="V411" t="str">
        <f t="array" aca="1" ref="V411" ca="1">IFERROR(INDEX(Source!$A$1:$A$250,SMALL(IF(--(Source!$B$1:$B$250=$O411)*--(Source!$E$1:$E$250=$Q$3)*--(Source!$D$1:$D$250=Pyramid!$Q411),ROW(Source!$B$1:$B$250),FALSE),V$3)),"")</f>
        <v/>
      </c>
      <c r="W411" t="str">
        <f t="array" aca="1" ref="W411" ca="1">IFERROR(INDEX(Source!$A$1:$A$250,SMALL(IF(--(Source!$B$1:$B$250=$O411)*--(Source!$E$1:$E$250=$Q$3)*--(Source!$D$1:$D$250=Pyramid!$Q411),ROW(Source!$B$1:$B$250),FALSE),W$3)),"")</f>
        <v/>
      </c>
      <c r="X411" t="str">
        <f t="array" aca="1" ref="X411" ca="1">IFERROR(INDEX(Source!$A$1:$A$250,SMALL(IF(--(Source!$B$1:$B$250=$O411)*--(Source!$E$1:$E$250=$Q$3)*--(Source!$D$1:$D$250=Pyramid!$Q411),ROW(Source!$B$1:$B$250),FALSE),X$3)),"")</f>
        <v/>
      </c>
      <c r="Y411" s="5">
        <f t="shared" ca="1" si="21"/>
        <v>0</v>
      </c>
    </row>
    <row r="412" spans="3:25">
      <c r="C412">
        <v>408</v>
      </c>
      <c r="D412" s="5">
        <f t="shared" ca="1" si="19"/>
        <v>0</v>
      </c>
      <c r="E412" t="str">
        <f t="array" aca="1" ref="E412" ca="1">IFERROR(INDEX(Source!$A$1:$A$250,SMALL(IF(--(Source!$B$1:$B$250=$O412)*--(Source!$E$1:$E$250=$M$3)*--(Source!$D$1:$D$250=Pyramid!$M412),ROW(Source!$B$1:$B$250),FALSE),E$3)),"")</f>
        <v/>
      </c>
      <c r="F412" t="str">
        <f t="array" aca="1" ref="F412" ca="1">IFERROR(INDEX(Source!$A$1:$A$250,SMALL(IF(--(Source!$B$1:$B$250=$O412)*--(Source!$E$1:$E$250=$M$3)*--(Source!$D$1:$D$250=Pyramid!$M412),ROW(Source!$B$1:$B$250),FALSE),F$3)),"")</f>
        <v/>
      </c>
      <c r="G412" t="str">
        <f t="array" aca="1" ref="G412" ca="1">IFERROR(INDEX(Source!$A$1:$A$250,SMALL(IF(--(Source!$B$1:$B$250=$O412)*--(Source!$E$1:$E$250=$M$3)*--(Source!$D$1:$D$250=Pyramid!$M412),ROW(Source!$B$1:$B$250),FALSE),G$3)),"")</f>
        <v/>
      </c>
      <c r="H412" t="str">
        <f t="array" aca="1" ref="H412" ca="1">IFERROR(INDEX(Source!$A$1:$A$250,SMALL(IF(--(Source!$B$1:$B$250=$O412)*--(Source!$E$1:$E$250=$M$3)*--(Source!$D$1:$D$250=Pyramid!$M412),ROW(Source!$B$1:$B$250),FALSE),H$3)),"")</f>
        <v/>
      </c>
      <c r="I412" t="str">
        <f t="array" aca="1" ref="I412" ca="1">IFERROR(INDEX(Source!$A$1:$A$250,SMALL(IF(--(Source!$B$1:$B$250=$O412)*--(Source!$E$1:$E$250=$M$3)*--(Source!$D$1:$D$250=Pyramid!$M412),ROW(Source!$B$1:$B$250),FALSE),I$3)),"")</f>
        <v/>
      </c>
      <c r="J412" t="str">
        <f t="array" aca="1" ref="J412" ca="1">IFERROR(INDEX(Source!$A$1:$A$250,SMALL(IF(--(Source!$B$1:$B$250=$O412)*--(Source!$E$1:$E$250=$M$3)*--(Source!$D$1:$D$250=Pyramid!$M412),ROW(Source!$B$1:$B$250),FALSE),J$3)),"")</f>
        <v/>
      </c>
      <c r="K412" t="str">
        <f t="array" aca="1" ref="K412" ca="1">IFERROR(INDEX(Source!$A$1:$A$250,SMALL(IF(--(Source!$B$1:$B$250=$O412)*--(Source!$E$1:$E$250=$M$3)*--(Source!$D$1:$D$250=Pyramid!$M412),ROW(Source!$B$1:$B$250),FALSE),K$3)),"")</f>
        <v/>
      </c>
      <c r="L412" t="str">
        <f t="array" aca="1" ref="L412" ca="1">IFERROR(INDEX(Source!$A$1:$A$250,SMALL(IF(--(Source!$B$1:$B$250=$O412)*--(Source!$E$1:$E$250=$M$3)*--(Source!$D$1:$D$250=Pyramid!$M412),ROW(Source!$B$1:$B$250),FALSE),L$3)),"")</f>
        <v/>
      </c>
      <c r="M412" t="str">
        <f t="shared" si="20"/>
        <v>29/9/2016</v>
      </c>
      <c r="N412">
        <f ca="1">COUNTIFS(Source!B:B,Pyramid!$O412,Source!$D:$D,Pyramid!$M412,Source!$E:$E,Pyramid!$M$3)</f>
        <v>0</v>
      </c>
      <c r="O412">
        <f ca="1">OFFSET(Sheet2!$N$3,INT(C412/5),)</f>
        <v>25288</v>
      </c>
      <c r="P412">
        <f ca="1">COUNTIFS(Source!B:B,Pyramid!$O412,Source!D:D,Pyramid!$Q412,Source!$E:$E,Pyramid!$Q$3)</f>
        <v>0</v>
      </c>
      <c r="Q412" t="str">
        <f t="shared" si="20"/>
        <v>29/9/2016</v>
      </c>
      <c r="R412" t="str">
        <f t="array" aca="1" ref="R412" ca="1">IFERROR(INDEX(Source!$A$1:$A$250,SMALL(IF(--(Source!$B$1:$B$250=$O412)*--(Source!$E$1:$E$250=$Q$3)*--(Source!$D$1:$D$250=Pyramid!$Q412),ROW(Source!$B$1:$B$250),FALSE),R$3)),"")</f>
        <v/>
      </c>
      <c r="S412" t="str">
        <f t="array" aca="1" ref="S412" ca="1">IFERROR(INDEX(Source!$A$1:$A$250,SMALL(IF(--(Source!$B$1:$B$250=$O412)*--(Source!$E$1:$E$250=$Q$3)*--(Source!$D$1:$D$250=Pyramid!$Q412),ROW(Source!$B$1:$B$250),FALSE),S$3)),"")</f>
        <v/>
      </c>
      <c r="T412" t="str">
        <f t="array" aca="1" ref="T412" ca="1">IFERROR(INDEX(Source!$A$1:$A$250,SMALL(IF(--(Source!$B$1:$B$250=$O412)*--(Source!$E$1:$E$250=$Q$3)*--(Source!$D$1:$D$250=Pyramid!$Q412),ROW(Source!$B$1:$B$250),FALSE),T$3)),"")</f>
        <v/>
      </c>
      <c r="U412" t="str">
        <f t="array" aca="1" ref="U412" ca="1">IFERROR(INDEX(Source!$A$1:$A$250,SMALL(IF(--(Source!$B$1:$B$250=$O412)*--(Source!$E$1:$E$250=$Q$3)*--(Source!$D$1:$D$250=Pyramid!$Q412),ROW(Source!$B$1:$B$250),FALSE),U$3)),"")</f>
        <v/>
      </c>
      <c r="V412" t="str">
        <f t="array" aca="1" ref="V412" ca="1">IFERROR(INDEX(Source!$A$1:$A$250,SMALL(IF(--(Source!$B$1:$B$250=$O412)*--(Source!$E$1:$E$250=$Q$3)*--(Source!$D$1:$D$250=Pyramid!$Q412),ROW(Source!$B$1:$B$250),FALSE),V$3)),"")</f>
        <v/>
      </c>
      <c r="W412" t="str">
        <f t="array" aca="1" ref="W412" ca="1">IFERROR(INDEX(Source!$A$1:$A$250,SMALL(IF(--(Source!$B$1:$B$250=$O412)*--(Source!$E$1:$E$250=$Q$3)*--(Source!$D$1:$D$250=Pyramid!$Q412),ROW(Source!$B$1:$B$250),FALSE),W$3)),"")</f>
        <v/>
      </c>
      <c r="X412" t="str">
        <f t="array" aca="1" ref="X412" ca="1">IFERROR(INDEX(Source!$A$1:$A$250,SMALL(IF(--(Source!$B$1:$B$250=$O412)*--(Source!$E$1:$E$250=$Q$3)*--(Source!$D$1:$D$250=Pyramid!$Q412),ROW(Source!$B$1:$B$250),FALSE),X$3)),"")</f>
        <v/>
      </c>
      <c r="Y412" s="5">
        <f t="shared" ca="1" si="21"/>
        <v>0</v>
      </c>
    </row>
    <row r="413" spans="3:25">
      <c r="C413">
        <v>409</v>
      </c>
      <c r="D413" s="5">
        <f t="shared" ca="1" si="19"/>
        <v>0</v>
      </c>
      <c r="E413" t="str">
        <f t="array" aca="1" ref="E413" ca="1">IFERROR(INDEX(Source!$A$1:$A$250,SMALL(IF(--(Source!$B$1:$B$250=$O413)*--(Source!$E$1:$E$250=$M$3)*--(Source!$D$1:$D$250=Pyramid!$M413),ROW(Source!$B$1:$B$250),FALSE),E$3)),"")</f>
        <v/>
      </c>
      <c r="F413" t="str">
        <f t="array" aca="1" ref="F413" ca="1">IFERROR(INDEX(Source!$A$1:$A$250,SMALL(IF(--(Source!$B$1:$B$250=$O413)*--(Source!$E$1:$E$250=$M$3)*--(Source!$D$1:$D$250=Pyramid!$M413),ROW(Source!$B$1:$B$250),FALSE),F$3)),"")</f>
        <v/>
      </c>
      <c r="G413" t="str">
        <f t="array" aca="1" ref="G413" ca="1">IFERROR(INDEX(Source!$A$1:$A$250,SMALL(IF(--(Source!$B$1:$B$250=$O413)*--(Source!$E$1:$E$250=$M$3)*--(Source!$D$1:$D$250=Pyramid!$M413),ROW(Source!$B$1:$B$250),FALSE),G$3)),"")</f>
        <v/>
      </c>
      <c r="H413" t="str">
        <f t="array" aca="1" ref="H413" ca="1">IFERROR(INDEX(Source!$A$1:$A$250,SMALL(IF(--(Source!$B$1:$B$250=$O413)*--(Source!$E$1:$E$250=$M$3)*--(Source!$D$1:$D$250=Pyramid!$M413),ROW(Source!$B$1:$B$250),FALSE),H$3)),"")</f>
        <v/>
      </c>
      <c r="I413" t="str">
        <f t="array" aca="1" ref="I413" ca="1">IFERROR(INDEX(Source!$A$1:$A$250,SMALL(IF(--(Source!$B$1:$B$250=$O413)*--(Source!$E$1:$E$250=$M$3)*--(Source!$D$1:$D$250=Pyramid!$M413),ROW(Source!$B$1:$B$250),FALSE),I$3)),"")</f>
        <v/>
      </c>
      <c r="J413" t="str">
        <f t="array" aca="1" ref="J413" ca="1">IFERROR(INDEX(Source!$A$1:$A$250,SMALL(IF(--(Source!$B$1:$B$250=$O413)*--(Source!$E$1:$E$250=$M$3)*--(Source!$D$1:$D$250=Pyramid!$M413),ROW(Source!$B$1:$B$250),FALSE),J$3)),"")</f>
        <v/>
      </c>
      <c r="K413" t="str">
        <f t="array" aca="1" ref="K413" ca="1">IFERROR(INDEX(Source!$A$1:$A$250,SMALL(IF(--(Source!$B$1:$B$250=$O413)*--(Source!$E$1:$E$250=$M$3)*--(Source!$D$1:$D$250=Pyramid!$M413),ROW(Source!$B$1:$B$250),FALSE),K$3)),"")</f>
        <v/>
      </c>
      <c r="L413" t="str">
        <f t="array" aca="1" ref="L413" ca="1">IFERROR(INDEX(Source!$A$1:$A$250,SMALL(IF(--(Source!$B$1:$B$250=$O413)*--(Source!$E$1:$E$250=$M$3)*--(Source!$D$1:$D$250=Pyramid!$M413),ROW(Source!$B$1:$B$250),FALSE),L$3)),"")</f>
        <v/>
      </c>
      <c r="M413" t="str">
        <f t="shared" si="20"/>
        <v>28/10/2016</v>
      </c>
      <c r="N413">
        <f ca="1">COUNTIFS(Source!B:B,Pyramid!$O413,Source!$D:$D,Pyramid!$M413,Source!$E:$E,Pyramid!$M$3)</f>
        <v>0</v>
      </c>
      <c r="O413">
        <f ca="1">OFFSET(Sheet2!$N$3,INT(C413/5),)</f>
        <v>25288</v>
      </c>
      <c r="P413">
        <f ca="1">COUNTIFS(Source!B:B,Pyramid!$O413,Source!D:D,Pyramid!$Q413,Source!$E:$E,Pyramid!$Q$3)</f>
        <v>0</v>
      </c>
      <c r="Q413" t="str">
        <f t="shared" si="20"/>
        <v>28/10/2016</v>
      </c>
      <c r="R413" t="str">
        <f t="array" aca="1" ref="R413" ca="1">IFERROR(INDEX(Source!$A$1:$A$250,SMALL(IF(--(Source!$B$1:$B$250=$O413)*--(Source!$E$1:$E$250=$Q$3)*--(Source!$D$1:$D$250=Pyramid!$Q413),ROW(Source!$B$1:$B$250),FALSE),R$3)),"")</f>
        <v/>
      </c>
      <c r="S413" t="str">
        <f t="array" aca="1" ref="S413" ca="1">IFERROR(INDEX(Source!$A$1:$A$250,SMALL(IF(--(Source!$B$1:$B$250=$O413)*--(Source!$E$1:$E$250=$Q$3)*--(Source!$D$1:$D$250=Pyramid!$Q413),ROW(Source!$B$1:$B$250),FALSE),S$3)),"")</f>
        <v/>
      </c>
      <c r="T413" t="str">
        <f t="array" aca="1" ref="T413" ca="1">IFERROR(INDEX(Source!$A$1:$A$250,SMALL(IF(--(Source!$B$1:$B$250=$O413)*--(Source!$E$1:$E$250=$Q$3)*--(Source!$D$1:$D$250=Pyramid!$Q413),ROW(Source!$B$1:$B$250),FALSE),T$3)),"")</f>
        <v/>
      </c>
      <c r="U413" t="str">
        <f t="array" aca="1" ref="U413" ca="1">IFERROR(INDEX(Source!$A$1:$A$250,SMALL(IF(--(Source!$B$1:$B$250=$O413)*--(Source!$E$1:$E$250=$Q$3)*--(Source!$D$1:$D$250=Pyramid!$Q413),ROW(Source!$B$1:$B$250),FALSE),U$3)),"")</f>
        <v/>
      </c>
      <c r="V413" t="str">
        <f t="array" aca="1" ref="V413" ca="1">IFERROR(INDEX(Source!$A$1:$A$250,SMALL(IF(--(Source!$B$1:$B$250=$O413)*--(Source!$E$1:$E$250=$Q$3)*--(Source!$D$1:$D$250=Pyramid!$Q413),ROW(Source!$B$1:$B$250),FALSE),V$3)),"")</f>
        <v/>
      </c>
      <c r="W413" t="str">
        <f t="array" aca="1" ref="W413" ca="1">IFERROR(INDEX(Source!$A$1:$A$250,SMALL(IF(--(Source!$B$1:$B$250=$O413)*--(Source!$E$1:$E$250=$Q$3)*--(Source!$D$1:$D$250=Pyramid!$Q413),ROW(Source!$B$1:$B$250),FALSE),W$3)),"")</f>
        <v/>
      </c>
      <c r="X413" t="str">
        <f t="array" aca="1" ref="X413" ca="1">IFERROR(INDEX(Source!$A$1:$A$250,SMALL(IF(--(Source!$B$1:$B$250=$O413)*--(Source!$E$1:$E$250=$Q$3)*--(Source!$D$1:$D$250=Pyramid!$Q413),ROW(Source!$B$1:$B$250),FALSE),X$3)),"")</f>
        <v/>
      </c>
      <c r="Y413" s="5">
        <f t="shared" ca="1" si="21"/>
        <v>0</v>
      </c>
    </row>
    <row r="414" spans="3:25">
      <c r="C414">
        <v>410</v>
      </c>
      <c r="D414" s="5">
        <f t="shared" ca="1" si="19"/>
        <v>0</v>
      </c>
      <c r="E414" t="str">
        <f t="array" aca="1" ref="E414" ca="1">IFERROR(INDEX(Source!$A$1:$A$250,SMALL(IF(--(Source!$B$1:$B$250=$O414)*--(Source!$E$1:$E$250=$M$3)*--(Source!$D$1:$D$250=Pyramid!$M414),ROW(Source!$B$1:$B$250),FALSE),E$3)),"")</f>
        <v/>
      </c>
      <c r="F414" t="str">
        <f t="array" aca="1" ref="F414" ca="1">IFERROR(INDEX(Source!$A$1:$A$250,SMALL(IF(--(Source!$B$1:$B$250=$O414)*--(Source!$E$1:$E$250=$M$3)*--(Source!$D$1:$D$250=Pyramid!$M414),ROW(Source!$B$1:$B$250),FALSE),F$3)),"")</f>
        <v/>
      </c>
      <c r="G414" t="str">
        <f t="array" aca="1" ref="G414" ca="1">IFERROR(INDEX(Source!$A$1:$A$250,SMALL(IF(--(Source!$B$1:$B$250=$O414)*--(Source!$E$1:$E$250=$M$3)*--(Source!$D$1:$D$250=Pyramid!$M414),ROW(Source!$B$1:$B$250),FALSE),G$3)),"")</f>
        <v/>
      </c>
      <c r="H414" t="str">
        <f t="array" aca="1" ref="H414" ca="1">IFERROR(INDEX(Source!$A$1:$A$250,SMALL(IF(--(Source!$B$1:$B$250=$O414)*--(Source!$E$1:$E$250=$M$3)*--(Source!$D$1:$D$250=Pyramid!$M414),ROW(Source!$B$1:$B$250),FALSE),H$3)),"")</f>
        <v/>
      </c>
      <c r="I414" t="str">
        <f t="array" aca="1" ref="I414" ca="1">IFERROR(INDEX(Source!$A$1:$A$250,SMALL(IF(--(Source!$B$1:$B$250=$O414)*--(Source!$E$1:$E$250=$M$3)*--(Source!$D$1:$D$250=Pyramid!$M414),ROW(Source!$B$1:$B$250),FALSE),I$3)),"")</f>
        <v/>
      </c>
      <c r="J414" t="str">
        <f t="array" aca="1" ref="J414" ca="1">IFERROR(INDEX(Source!$A$1:$A$250,SMALL(IF(--(Source!$B$1:$B$250=$O414)*--(Source!$E$1:$E$250=$M$3)*--(Source!$D$1:$D$250=Pyramid!$M414),ROW(Source!$B$1:$B$250),FALSE),J$3)),"")</f>
        <v/>
      </c>
      <c r="K414" t="str">
        <f t="array" aca="1" ref="K414" ca="1">IFERROR(INDEX(Source!$A$1:$A$250,SMALL(IF(--(Source!$B$1:$B$250=$O414)*--(Source!$E$1:$E$250=$M$3)*--(Source!$D$1:$D$250=Pyramid!$M414),ROW(Source!$B$1:$B$250),FALSE),K$3)),"")</f>
        <v/>
      </c>
      <c r="L414" t="str">
        <f t="array" aca="1" ref="L414" ca="1">IFERROR(INDEX(Source!$A$1:$A$250,SMALL(IF(--(Source!$B$1:$B$250=$O414)*--(Source!$E$1:$E$250=$M$3)*--(Source!$D$1:$D$250=Pyramid!$M414),ROW(Source!$B$1:$B$250),FALSE),L$3)),"")</f>
        <v>20513 HK Equity</v>
      </c>
      <c r="M414" t="str">
        <f t="shared" si="20"/>
        <v>29/6/2016</v>
      </c>
      <c r="N414">
        <f ca="1">COUNTIFS(Source!B:B,Pyramid!$O414,Source!$D:$D,Pyramid!$M414,Source!$E:$E,Pyramid!$M$3)</f>
        <v>1</v>
      </c>
      <c r="O414">
        <f ca="1">OFFSET(Sheet2!$N$3,INT(C414/5),)</f>
        <v>25400</v>
      </c>
      <c r="P414">
        <f ca="1">COUNTIFS(Source!B:B,Pyramid!$O414,Source!D:D,Pyramid!$Q414,Source!$E:$E,Pyramid!$Q$3)</f>
        <v>0</v>
      </c>
      <c r="Q414" t="str">
        <f t="shared" si="20"/>
        <v>29/6/2016</v>
      </c>
      <c r="R414" t="str">
        <f t="array" aca="1" ref="R414" ca="1">IFERROR(INDEX(Source!$A$1:$A$250,SMALL(IF(--(Source!$B$1:$B$250=$O414)*--(Source!$E$1:$E$250=$Q$3)*--(Source!$D$1:$D$250=Pyramid!$Q414),ROW(Source!$B$1:$B$250),FALSE),R$3)),"")</f>
        <v/>
      </c>
      <c r="S414" t="str">
        <f t="array" aca="1" ref="S414" ca="1">IFERROR(INDEX(Source!$A$1:$A$250,SMALL(IF(--(Source!$B$1:$B$250=$O414)*--(Source!$E$1:$E$250=$Q$3)*--(Source!$D$1:$D$250=Pyramid!$Q414),ROW(Source!$B$1:$B$250),FALSE),S$3)),"")</f>
        <v/>
      </c>
      <c r="T414" t="str">
        <f t="array" aca="1" ref="T414" ca="1">IFERROR(INDEX(Source!$A$1:$A$250,SMALL(IF(--(Source!$B$1:$B$250=$O414)*--(Source!$E$1:$E$250=$Q$3)*--(Source!$D$1:$D$250=Pyramid!$Q414),ROW(Source!$B$1:$B$250),FALSE),T$3)),"")</f>
        <v/>
      </c>
      <c r="U414" t="str">
        <f t="array" aca="1" ref="U414" ca="1">IFERROR(INDEX(Source!$A$1:$A$250,SMALL(IF(--(Source!$B$1:$B$250=$O414)*--(Source!$E$1:$E$250=$Q$3)*--(Source!$D$1:$D$250=Pyramid!$Q414),ROW(Source!$B$1:$B$250),FALSE),U$3)),"")</f>
        <v/>
      </c>
      <c r="V414" t="str">
        <f t="array" aca="1" ref="V414" ca="1">IFERROR(INDEX(Source!$A$1:$A$250,SMALL(IF(--(Source!$B$1:$B$250=$O414)*--(Source!$E$1:$E$250=$Q$3)*--(Source!$D$1:$D$250=Pyramid!$Q414),ROW(Source!$B$1:$B$250),FALSE),V$3)),"")</f>
        <v/>
      </c>
      <c r="W414" t="str">
        <f t="array" aca="1" ref="W414" ca="1">IFERROR(INDEX(Source!$A$1:$A$250,SMALL(IF(--(Source!$B$1:$B$250=$O414)*--(Source!$E$1:$E$250=$Q$3)*--(Source!$D$1:$D$250=Pyramid!$Q414),ROW(Source!$B$1:$B$250),FALSE),W$3)),"")</f>
        <v/>
      </c>
      <c r="X414" t="str">
        <f t="array" aca="1" ref="X414" ca="1">IFERROR(INDEX(Source!$A$1:$A$250,SMALL(IF(--(Source!$B$1:$B$250=$O414)*--(Source!$E$1:$E$250=$Q$3)*--(Source!$D$1:$D$250=Pyramid!$Q414),ROW(Source!$B$1:$B$250),FALSE),X$3)),"")</f>
        <v/>
      </c>
      <c r="Y414" s="5">
        <f t="shared" ca="1" si="21"/>
        <v>0</v>
      </c>
    </row>
    <row r="415" spans="3:25">
      <c r="C415">
        <v>411</v>
      </c>
      <c r="D415" s="5">
        <f t="shared" ca="1" si="19"/>
        <v>0</v>
      </c>
      <c r="E415" t="str">
        <f t="array" aca="1" ref="E415" ca="1">IFERROR(INDEX(Source!$A$1:$A$250,SMALL(IF(--(Source!$B$1:$B$250=$O415)*--(Source!$E$1:$E$250=$M$3)*--(Source!$D$1:$D$250=Pyramid!$M415),ROW(Source!$B$1:$B$250),FALSE),E$3)),"")</f>
        <v/>
      </c>
      <c r="F415" t="str">
        <f t="array" aca="1" ref="F415" ca="1">IFERROR(INDEX(Source!$A$1:$A$250,SMALL(IF(--(Source!$B$1:$B$250=$O415)*--(Source!$E$1:$E$250=$M$3)*--(Source!$D$1:$D$250=Pyramid!$M415),ROW(Source!$B$1:$B$250),FALSE),F$3)),"")</f>
        <v/>
      </c>
      <c r="G415" t="str">
        <f t="array" aca="1" ref="G415" ca="1">IFERROR(INDEX(Source!$A$1:$A$250,SMALL(IF(--(Source!$B$1:$B$250=$O415)*--(Source!$E$1:$E$250=$M$3)*--(Source!$D$1:$D$250=Pyramid!$M415),ROW(Source!$B$1:$B$250),FALSE),G$3)),"")</f>
        <v/>
      </c>
      <c r="H415" t="str">
        <f t="array" aca="1" ref="H415" ca="1">IFERROR(INDEX(Source!$A$1:$A$250,SMALL(IF(--(Source!$B$1:$B$250=$O415)*--(Source!$E$1:$E$250=$M$3)*--(Source!$D$1:$D$250=Pyramid!$M415),ROW(Source!$B$1:$B$250),FALSE),H$3)),"")</f>
        <v/>
      </c>
      <c r="I415" t="str">
        <f t="array" aca="1" ref="I415" ca="1">IFERROR(INDEX(Source!$A$1:$A$250,SMALL(IF(--(Source!$B$1:$B$250=$O415)*--(Source!$E$1:$E$250=$M$3)*--(Source!$D$1:$D$250=Pyramid!$M415),ROW(Source!$B$1:$B$250),FALSE),I$3)),"")</f>
        <v/>
      </c>
      <c r="J415" t="str">
        <f t="array" aca="1" ref="J415" ca="1">IFERROR(INDEX(Source!$A$1:$A$250,SMALL(IF(--(Source!$B$1:$B$250=$O415)*--(Source!$E$1:$E$250=$M$3)*--(Source!$D$1:$D$250=Pyramid!$M415),ROW(Source!$B$1:$B$250),FALSE),J$3)),"")</f>
        <v/>
      </c>
      <c r="K415" t="str">
        <f t="array" aca="1" ref="K415" ca="1">IFERROR(INDEX(Source!$A$1:$A$250,SMALL(IF(--(Source!$B$1:$B$250=$O415)*--(Source!$E$1:$E$250=$M$3)*--(Source!$D$1:$D$250=Pyramid!$M415),ROW(Source!$B$1:$B$250),FALSE),K$3)),"")</f>
        <v/>
      </c>
      <c r="L415" t="str">
        <f t="array" aca="1" ref="L415" ca="1">IFERROR(INDEX(Source!$A$1:$A$250,SMALL(IF(--(Source!$B$1:$B$250=$O415)*--(Source!$E$1:$E$250=$M$3)*--(Source!$D$1:$D$250=Pyramid!$M415),ROW(Source!$B$1:$B$250),FALSE),L$3)),"")</f>
        <v/>
      </c>
      <c r="M415" t="str">
        <f t="shared" si="20"/>
        <v>28/7/2016</v>
      </c>
      <c r="N415">
        <f ca="1">COUNTIFS(Source!B:B,Pyramid!$O415,Source!$D:$D,Pyramid!$M415,Source!$E:$E,Pyramid!$M$3)</f>
        <v>0</v>
      </c>
      <c r="O415">
        <f ca="1">OFFSET(Sheet2!$N$3,INT(C415/5),)</f>
        <v>25400</v>
      </c>
      <c r="P415">
        <f ca="1">COUNTIFS(Source!B:B,Pyramid!$O415,Source!D:D,Pyramid!$Q415,Source!$E:$E,Pyramid!$Q$3)</f>
        <v>0</v>
      </c>
      <c r="Q415" t="str">
        <f t="shared" si="20"/>
        <v>28/7/2016</v>
      </c>
      <c r="R415" t="str">
        <f t="array" aca="1" ref="R415" ca="1">IFERROR(INDEX(Source!$A$1:$A$250,SMALL(IF(--(Source!$B$1:$B$250=$O415)*--(Source!$E$1:$E$250=$Q$3)*--(Source!$D$1:$D$250=Pyramid!$Q415),ROW(Source!$B$1:$B$250),FALSE),R$3)),"")</f>
        <v/>
      </c>
      <c r="S415" t="str">
        <f t="array" aca="1" ref="S415" ca="1">IFERROR(INDEX(Source!$A$1:$A$250,SMALL(IF(--(Source!$B$1:$B$250=$O415)*--(Source!$E$1:$E$250=$Q$3)*--(Source!$D$1:$D$250=Pyramid!$Q415),ROW(Source!$B$1:$B$250),FALSE),S$3)),"")</f>
        <v/>
      </c>
      <c r="T415" t="str">
        <f t="array" aca="1" ref="T415" ca="1">IFERROR(INDEX(Source!$A$1:$A$250,SMALL(IF(--(Source!$B$1:$B$250=$O415)*--(Source!$E$1:$E$250=$Q$3)*--(Source!$D$1:$D$250=Pyramid!$Q415),ROW(Source!$B$1:$B$250),FALSE),T$3)),"")</f>
        <v/>
      </c>
      <c r="U415" t="str">
        <f t="array" aca="1" ref="U415" ca="1">IFERROR(INDEX(Source!$A$1:$A$250,SMALL(IF(--(Source!$B$1:$B$250=$O415)*--(Source!$E$1:$E$250=$Q$3)*--(Source!$D$1:$D$250=Pyramid!$Q415),ROW(Source!$B$1:$B$250),FALSE),U$3)),"")</f>
        <v/>
      </c>
      <c r="V415" t="str">
        <f t="array" aca="1" ref="V415" ca="1">IFERROR(INDEX(Source!$A$1:$A$250,SMALL(IF(--(Source!$B$1:$B$250=$O415)*--(Source!$E$1:$E$250=$Q$3)*--(Source!$D$1:$D$250=Pyramid!$Q415),ROW(Source!$B$1:$B$250),FALSE),V$3)),"")</f>
        <v/>
      </c>
      <c r="W415" t="str">
        <f t="array" aca="1" ref="W415" ca="1">IFERROR(INDEX(Source!$A$1:$A$250,SMALL(IF(--(Source!$B$1:$B$250=$O415)*--(Source!$E$1:$E$250=$Q$3)*--(Source!$D$1:$D$250=Pyramid!$Q415),ROW(Source!$B$1:$B$250),FALSE),W$3)),"")</f>
        <v/>
      </c>
      <c r="X415" t="str">
        <f t="array" aca="1" ref="X415" ca="1">IFERROR(INDEX(Source!$A$1:$A$250,SMALL(IF(--(Source!$B$1:$B$250=$O415)*--(Source!$E$1:$E$250=$Q$3)*--(Source!$D$1:$D$250=Pyramid!$Q415),ROW(Source!$B$1:$B$250),FALSE),X$3)),"")</f>
        <v/>
      </c>
      <c r="Y415" s="5">
        <f t="shared" ca="1" si="21"/>
        <v>0</v>
      </c>
    </row>
    <row r="416" spans="3:25">
      <c r="C416">
        <v>412</v>
      </c>
      <c r="D416" s="5">
        <f t="shared" ca="1" si="19"/>
        <v>0</v>
      </c>
      <c r="E416" t="str">
        <f t="array" aca="1" ref="E416" ca="1">IFERROR(INDEX(Source!$A$1:$A$250,SMALL(IF(--(Source!$B$1:$B$250=$O416)*--(Source!$E$1:$E$250=$M$3)*--(Source!$D$1:$D$250=Pyramid!$M416),ROW(Source!$B$1:$B$250),FALSE),E$3)),"")</f>
        <v/>
      </c>
      <c r="F416" t="str">
        <f t="array" aca="1" ref="F416" ca="1">IFERROR(INDEX(Source!$A$1:$A$250,SMALL(IF(--(Source!$B$1:$B$250=$O416)*--(Source!$E$1:$E$250=$M$3)*--(Source!$D$1:$D$250=Pyramid!$M416),ROW(Source!$B$1:$B$250),FALSE),F$3)),"")</f>
        <v/>
      </c>
      <c r="G416" t="str">
        <f t="array" aca="1" ref="G416" ca="1">IFERROR(INDEX(Source!$A$1:$A$250,SMALL(IF(--(Source!$B$1:$B$250=$O416)*--(Source!$E$1:$E$250=$M$3)*--(Source!$D$1:$D$250=Pyramid!$M416),ROW(Source!$B$1:$B$250),FALSE),G$3)),"")</f>
        <v/>
      </c>
      <c r="H416" t="str">
        <f t="array" aca="1" ref="H416" ca="1">IFERROR(INDEX(Source!$A$1:$A$250,SMALL(IF(--(Source!$B$1:$B$250=$O416)*--(Source!$E$1:$E$250=$M$3)*--(Source!$D$1:$D$250=Pyramid!$M416),ROW(Source!$B$1:$B$250),FALSE),H$3)),"")</f>
        <v/>
      </c>
      <c r="I416" t="str">
        <f t="array" aca="1" ref="I416" ca="1">IFERROR(INDEX(Source!$A$1:$A$250,SMALL(IF(--(Source!$B$1:$B$250=$O416)*--(Source!$E$1:$E$250=$M$3)*--(Source!$D$1:$D$250=Pyramid!$M416),ROW(Source!$B$1:$B$250),FALSE),I$3)),"")</f>
        <v/>
      </c>
      <c r="J416" t="str">
        <f t="array" aca="1" ref="J416" ca="1">IFERROR(INDEX(Source!$A$1:$A$250,SMALL(IF(--(Source!$B$1:$B$250=$O416)*--(Source!$E$1:$E$250=$M$3)*--(Source!$D$1:$D$250=Pyramid!$M416),ROW(Source!$B$1:$B$250),FALSE),J$3)),"")</f>
        <v/>
      </c>
      <c r="K416" t="str">
        <f t="array" aca="1" ref="K416" ca="1">IFERROR(INDEX(Source!$A$1:$A$250,SMALL(IF(--(Source!$B$1:$B$250=$O416)*--(Source!$E$1:$E$250=$M$3)*--(Source!$D$1:$D$250=Pyramid!$M416),ROW(Source!$B$1:$B$250),FALSE),K$3)),"")</f>
        <v/>
      </c>
      <c r="L416" t="str">
        <f t="array" aca="1" ref="L416" ca="1">IFERROR(INDEX(Source!$A$1:$A$250,SMALL(IF(--(Source!$B$1:$B$250=$O416)*--(Source!$E$1:$E$250=$M$3)*--(Source!$D$1:$D$250=Pyramid!$M416),ROW(Source!$B$1:$B$250),FALSE),L$3)),"")</f>
        <v/>
      </c>
      <c r="M416" t="str">
        <f t="shared" si="20"/>
        <v>30/8/2016</v>
      </c>
      <c r="N416">
        <f ca="1">COUNTIFS(Source!B:B,Pyramid!$O416,Source!$D:$D,Pyramid!$M416,Source!$E:$E,Pyramid!$M$3)</f>
        <v>0</v>
      </c>
      <c r="O416">
        <f ca="1">OFFSET(Sheet2!$N$3,INT(C416/5),)</f>
        <v>25400</v>
      </c>
      <c r="P416">
        <f ca="1">COUNTIFS(Source!B:B,Pyramid!$O416,Source!D:D,Pyramid!$Q416,Source!$E:$E,Pyramid!$Q$3)</f>
        <v>0</v>
      </c>
      <c r="Q416" t="str">
        <f t="shared" si="20"/>
        <v>30/8/2016</v>
      </c>
      <c r="R416" t="str">
        <f t="array" aca="1" ref="R416" ca="1">IFERROR(INDEX(Source!$A$1:$A$250,SMALL(IF(--(Source!$B$1:$B$250=$O416)*--(Source!$E$1:$E$250=$Q$3)*--(Source!$D$1:$D$250=Pyramid!$Q416),ROW(Source!$B$1:$B$250),FALSE),R$3)),"")</f>
        <v/>
      </c>
      <c r="S416" t="str">
        <f t="array" aca="1" ref="S416" ca="1">IFERROR(INDEX(Source!$A$1:$A$250,SMALL(IF(--(Source!$B$1:$B$250=$O416)*--(Source!$E$1:$E$250=$Q$3)*--(Source!$D$1:$D$250=Pyramid!$Q416),ROW(Source!$B$1:$B$250),FALSE),S$3)),"")</f>
        <v/>
      </c>
      <c r="T416" t="str">
        <f t="array" aca="1" ref="T416" ca="1">IFERROR(INDEX(Source!$A$1:$A$250,SMALL(IF(--(Source!$B$1:$B$250=$O416)*--(Source!$E$1:$E$250=$Q$3)*--(Source!$D$1:$D$250=Pyramid!$Q416),ROW(Source!$B$1:$B$250),FALSE),T$3)),"")</f>
        <v/>
      </c>
      <c r="U416" t="str">
        <f t="array" aca="1" ref="U416" ca="1">IFERROR(INDEX(Source!$A$1:$A$250,SMALL(IF(--(Source!$B$1:$B$250=$O416)*--(Source!$E$1:$E$250=$Q$3)*--(Source!$D$1:$D$250=Pyramid!$Q416),ROW(Source!$B$1:$B$250),FALSE),U$3)),"")</f>
        <v/>
      </c>
      <c r="V416" t="str">
        <f t="array" aca="1" ref="V416" ca="1">IFERROR(INDEX(Source!$A$1:$A$250,SMALL(IF(--(Source!$B$1:$B$250=$O416)*--(Source!$E$1:$E$250=$Q$3)*--(Source!$D$1:$D$250=Pyramid!$Q416),ROW(Source!$B$1:$B$250),FALSE),V$3)),"")</f>
        <v/>
      </c>
      <c r="W416" t="str">
        <f t="array" aca="1" ref="W416" ca="1">IFERROR(INDEX(Source!$A$1:$A$250,SMALL(IF(--(Source!$B$1:$B$250=$O416)*--(Source!$E$1:$E$250=$Q$3)*--(Source!$D$1:$D$250=Pyramid!$Q416),ROW(Source!$B$1:$B$250),FALSE),W$3)),"")</f>
        <v/>
      </c>
      <c r="X416" t="str">
        <f t="array" aca="1" ref="X416" ca="1">IFERROR(INDEX(Source!$A$1:$A$250,SMALL(IF(--(Source!$B$1:$B$250=$O416)*--(Source!$E$1:$E$250=$Q$3)*--(Source!$D$1:$D$250=Pyramid!$Q416),ROW(Source!$B$1:$B$250),FALSE),X$3)),"")</f>
        <v/>
      </c>
      <c r="Y416" s="5">
        <f t="shared" ca="1" si="21"/>
        <v>0</v>
      </c>
    </row>
    <row r="417" spans="3:25">
      <c r="C417">
        <v>413</v>
      </c>
      <c r="D417" s="5">
        <f t="shared" ca="1" si="19"/>
        <v>0</v>
      </c>
      <c r="E417" t="str">
        <f t="array" aca="1" ref="E417" ca="1">IFERROR(INDEX(Source!$A$1:$A$250,SMALL(IF(--(Source!$B$1:$B$250=$O417)*--(Source!$E$1:$E$250=$M$3)*--(Source!$D$1:$D$250=Pyramid!$M417),ROW(Source!$B$1:$B$250),FALSE),E$3)),"")</f>
        <v/>
      </c>
      <c r="F417" t="str">
        <f t="array" aca="1" ref="F417" ca="1">IFERROR(INDEX(Source!$A$1:$A$250,SMALL(IF(--(Source!$B$1:$B$250=$O417)*--(Source!$E$1:$E$250=$M$3)*--(Source!$D$1:$D$250=Pyramid!$M417),ROW(Source!$B$1:$B$250),FALSE),F$3)),"")</f>
        <v/>
      </c>
      <c r="G417" t="str">
        <f t="array" aca="1" ref="G417" ca="1">IFERROR(INDEX(Source!$A$1:$A$250,SMALL(IF(--(Source!$B$1:$B$250=$O417)*--(Source!$E$1:$E$250=$M$3)*--(Source!$D$1:$D$250=Pyramid!$M417),ROW(Source!$B$1:$B$250),FALSE),G$3)),"")</f>
        <v/>
      </c>
      <c r="H417" t="str">
        <f t="array" aca="1" ref="H417" ca="1">IFERROR(INDEX(Source!$A$1:$A$250,SMALL(IF(--(Source!$B$1:$B$250=$O417)*--(Source!$E$1:$E$250=$M$3)*--(Source!$D$1:$D$250=Pyramid!$M417),ROW(Source!$B$1:$B$250),FALSE),H$3)),"")</f>
        <v/>
      </c>
      <c r="I417" t="str">
        <f t="array" aca="1" ref="I417" ca="1">IFERROR(INDEX(Source!$A$1:$A$250,SMALL(IF(--(Source!$B$1:$B$250=$O417)*--(Source!$E$1:$E$250=$M$3)*--(Source!$D$1:$D$250=Pyramid!$M417),ROW(Source!$B$1:$B$250),FALSE),I$3)),"")</f>
        <v/>
      </c>
      <c r="J417" t="str">
        <f t="array" aca="1" ref="J417" ca="1">IFERROR(INDEX(Source!$A$1:$A$250,SMALL(IF(--(Source!$B$1:$B$250=$O417)*--(Source!$E$1:$E$250=$M$3)*--(Source!$D$1:$D$250=Pyramid!$M417),ROW(Source!$B$1:$B$250),FALSE),J$3)),"")</f>
        <v/>
      </c>
      <c r="K417" t="str">
        <f t="array" aca="1" ref="K417" ca="1">IFERROR(INDEX(Source!$A$1:$A$250,SMALL(IF(--(Source!$B$1:$B$250=$O417)*--(Source!$E$1:$E$250=$M$3)*--(Source!$D$1:$D$250=Pyramid!$M417),ROW(Source!$B$1:$B$250),FALSE),K$3)),"")</f>
        <v/>
      </c>
      <c r="L417" t="str">
        <f t="array" aca="1" ref="L417" ca="1">IFERROR(INDEX(Source!$A$1:$A$250,SMALL(IF(--(Source!$B$1:$B$250=$O417)*--(Source!$E$1:$E$250=$M$3)*--(Source!$D$1:$D$250=Pyramid!$M417),ROW(Source!$B$1:$B$250),FALSE),L$3)),"")</f>
        <v/>
      </c>
      <c r="M417" t="str">
        <f t="shared" si="20"/>
        <v>29/9/2016</v>
      </c>
      <c r="N417">
        <f ca="1">COUNTIFS(Source!B:B,Pyramid!$O417,Source!$D:$D,Pyramid!$M417,Source!$E:$E,Pyramid!$M$3)</f>
        <v>0</v>
      </c>
      <c r="O417">
        <f ca="1">OFFSET(Sheet2!$N$3,INT(C417/5),)</f>
        <v>25400</v>
      </c>
      <c r="P417">
        <f ca="1">COUNTIFS(Source!B:B,Pyramid!$O417,Source!D:D,Pyramid!$Q417,Source!$E:$E,Pyramid!$Q$3)</f>
        <v>0</v>
      </c>
      <c r="Q417" t="str">
        <f t="shared" si="20"/>
        <v>29/9/2016</v>
      </c>
      <c r="R417" t="str">
        <f t="array" aca="1" ref="R417" ca="1">IFERROR(INDEX(Source!$A$1:$A$250,SMALL(IF(--(Source!$B$1:$B$250=$O417)*--(Source!$E$1:$E$250=$Q$3)*--(Source!$D$1:$D$250=Pyramid!$Q417),ROW(Source!$B$1:$B$250),FALSE),R$3)),"")</f>
        <v/>
      </c>
      <c r="S417" t="str">
        <f t="array" aca="1" ref="S417" ca="1">IFERROR(INDEX(Source!$A$1:$A$250,SMALL(IF(--(Source!$B$1:$B$250=$O417)*--(Source!$E$1:$E$250=$Q$3)*--(Source!$D$1:$D$250=Pyramid!$Q417),ROW(Source!$B$1:$B$250),FALSE),S$3)),"")</f>
        <v/>
      </c>
      <c r="T417" t="str">
        <f t="array" aca="1" ref="T417" ca="1">IFERROR(INDEX(Source!$A$1:$A$250,SMALL(IF(--(Source!$B$1:$B$250=$O417)*--(Source!$E$1:$E$250=$Q$3)*--(Source!$D$1:$D$250=Pyramid!$Q417),ROW(Source!$B$1:$B$250),FALSE),T$3)),"")</f>
        <v/>
      </c>
      <c r="U417" t="str">
        <f t="array" aca="1" ref="U417" ca="1">IFERROR(INDEX(Source!$A$1:$A$250,SMALL(IF(--(Source!$B$1:$B$250=$O417)*--(Source!$E$1:$E$250=$Q$3)*--(Source!$D$1:$D$250=Pyramid!$Q417),ROW(Source!$B$1:$B$250),FALSE),U$3)),"")</f>
        <v/>
      </c>
      <c r="V417" t="str">
        <f t="array" aca="1" ref="V417" ca="1">IFERROR(INDEX(Source!$A$1:$A$250,SMALL(IF(--(Source!$B$1:$B$250=$O417)*--(Source!$E$1:$E$250=$Q$3)*--(Source!$D$1:$D$250=Pyramid!$Q417),ROW(Source!$B$1:$B$250),FALSE),V$3)),"")</f>
        <v/>
      </c>
      <c r="W417" t="str">
        <f t="array" aca="1" ref="W417" ca="1">IFERROR(INDEX(Source!$A$1:$A$250,SMALL(IF(--(Source!$B$1:$B$250=$O417)*--(Source!$E$1:$E$250=$Q$3)*--(Source!$D$1:$D$250=Pyramid!$Q417),ROW(Source!$B$1:$B$250),FALSE),W$3)),"")</f>
        <v/>
      </c>
      <c r="X417" t="str">
        <f t="array" aca="1" ref="X417" ca="1">IFERROR(INDEX(Source!$A$1:$A$250,SMALL(IF(--(Source!$B$1:$B$250=$O417)*--(Source!$E$1:$E$250=$Q$3)*--(Source!$D$1:$D$250=Pyramid!$Q417),ROW(Source!$B$1:$B$250),FALSE),X$3)),"")</f>
        <v/>
      </c>
      <c r="Y417" s="5">
        <f t="shared" ca="1" si="21"/>
        <v>0</v>
      </c>
    </row>
    <row r="418" spans="3:25">
      <c r="C418">
        <v>414</v>
      </c>
      <c r="D418" s="5">
        <f t="shared" ca="1" si="19"/>
        <v>0</v>
      </c>
      <c r="E418" t="str">
        <f t="array" aca="1" ref="E418" ca="1">IFERROR(INDEX(Source!$A$1:$A$250,SMALL(IF(--(Source!$B$1:$B$250=$O418)*--(Source!$E$1:$E$250=$M$3)*--(Source!$D$1:$D$250=Pyramid!$M418),ROW(Source!$B$1:$B$250),FALSE),E$3)),"")</f>
        <v/>
      </c>
      <c r="F418" t="str">
        <f t="array" aca="1" ref="F418" ca="1">IFERROR(INDEX(Source!$A$1:$A$250,SMALL(IF(--(Source!$B$1:$B$250=$O418)*--(Source!$E$1:$E$250=$M$3)*--(Source!$D$1:$D$250=Pyramid!$M418),ROW(Source!$B$1:$B$250),FALSE),F$3)),"")</f>
        <v/>
      </c>
      <c r="G418" t="str">
        <f t="array" aca="1" ref="G418" ca="1">IFERROR(INDEX(Source!$A$1:$A$250,SMALL(IF(--(Source!$B$1:$B$250=$O418)*--(Source!$E$1:$E$250=$M$3)*--(Source!$D$1:$D$250=Pyramid!$M418),ROW(Source!$B$1:$B$250),FALSE),G$3)),"")</f>
        <v/>
      </c>
      <c r="H418" t="str">
        <f t="array" aca="1" ref="H418" ca="1">IFERROR(INDEX(Source!$A$1:$A$250,SMALL(IF(--(Source!$B$1:$B$250=$O418)*--(Source!$E$1:$E$250=$M$3)*--(Source!$D$1:$D$250=Pyramid!$M418),ROW(Source!$B$1:$B$250),FALSE),H$3)),"")</f>
        <v/>
      </c>
      <c r="I418" t="str">
        <f t="array" aca="1" ref="I418" ca="1">IFERROR(INDEX(Source!$A$1:$A$250,SMALL(IF(--(Source!$B$1:$B$250=$O418)*--(Source!$E$1:$E$250=$M$3)*--(Source!$D$1:$D$250=Pyramid!$M418),ROW(Source!$B$1:$B$250),FALSE),I$3)),"")</f>
        <v/>
      </c>
      <c r="J418" t="str">
        <f t="array" aca="1" ref="J418" ca="1">IFERROR(INDEX(Source!$A$1:$A$250,SMALL(IF(--(Source!$B$1:$B$250=$O418)*--(Source!$E$1:$E$250=$M$3)*--(Source!$D$1:$D$250=Pyramid!$M418),ROW(Source!$B$1:$B$250),FALSE),J$3)),"")</f>
        <v/>
      </c>
      <c r="K418" t="str">
        <f t="array" aca="1" ref="K418" ca="1">IFERROR(INDEX(Source!$A$1:$A$250,SMALL(IF(--(Source!$B$1:$B$250=$O418)*--(Source!$E$1:$E$250=$M$3)*--(Source!$D$1:$D$250=Pyramid!$M418),ROW(Source!$B$1:$B$250),FALSE),K$3)),"")</f>
        <v/>
      </c>
      <c r="L418" t="str">
        <f t="array" aca="1" ref="L418" ca="1">IFERROR(INDEX(Source!$A$1:$A$250,SMALL(IF(--(Source!$B$1:$B$250=$O418)*--(Source!$E$1:$E$250=$M$3)*--(Source!$D$1:$D$250=Pyramid!$M418),ROW(Source!$B$1:$B$250),FALSE),L$3)),"")</f>
        <v/>
      </c>
      <c r="M418" t="str">
        <f t="shared" si="20"/>
        <v>28/10/2016</v>
      </c>
      <c r="N418">
        <f ca="1">COUNTIFS(Source!B:B,Pyramid!$O418,Source!$D:$D,Pyramid!$M418,Source!$E:$E,Pyramid!$M$3)</f>
        <v>0</v>
      </c>
      <c r="O418">
        <f ca="1">OFFSET(Sheet2!$N$3,INT(C418/5),)</f>
        <v>25400</v>
      </c>
      <c r="P418">
        <f ca="1">COUNTIFS(Source!B:B,Pyramid!$O418,Source!D:D,Pyramid!$Q418,Source!$E:$E,Pyramid!$Q$3)</f>
        <v>0</v>
      </c>
      <c r="Q418" t="str">
        <f t="shared" si="20"/>
        <v>28/10/2016</v>
      </c>
      <c r="R418" t="str">
        <f t="array" aca="1" ref="R418" ca="1">IFERROR(INDEX(Source!$A$1:$A$250,SMALL(IF(--(Source!$B$1:$B$250=$O418)*--(Source!$E$1:$E$250=$Q$3)*--(Source!$D$1:$D$250=Pyramid!$Q418),ROW(Source!$B$1:$B$250),FALSE),R$3)),"")</f>
        <v/>
      </c>
      <c r="S418" t="str">
        <f t="array" aca="1" ref="S418" ca="1">IFERROR(INDEX(Source!$A$1:$A$250,SMALL(IF(--(Source!$B$1:$B$250=$O418)*--(Source!$E$1:$E$250=$Q$3)*--(Source!$D$1:$D$250=Pyramid!$Q418),ROW(Source!$B$1:$B$250),FALSE),S$3)),"")</f>
        <v/>
      </c>
      <c r="T418" t="str">
        <f t="array" aca="1" ref="T418" ca="1">IFERROR(INDEX(Source!$A$1:$A$250,SMALL(IF(--(Source!$B$1:$B$250=$O418)*--(Source!$E$1:$E$250=$Q$3)*--(Source!$D$1:$D$250=Pyramid!$Q418),ROW(Source!$B$1:$B$250),FALSE),T$3)),"")</f>
        <v/>
      </c>
      <c r="U418" t="str">
        <f t="array" aca="1" ref="U418" ca="1">IFERROR(INDEX(Source!$A$1:$A$250,SMALL(IF(--(Source!$B$1:$B$250=$O418)*--(Source!$E$1:$E$250=$Q$3)*--(Source!$D$1:$D$250=Pyramid!$Q418),ROW(Source!$B$1:$B$250),FALSE),U$3)),"")</f>
        <v/>
      </c>
      <c r="V418" t="str">
        <f t="array" aca="1" ref="V418" ca="1">IFERROR(INDEX(Source!$A$1:$A$250,SMALL(IF(--(Source!$B$1:$B$250=$O418)*--(Source!$E$1:$E$250=$Q$3)*--(Source!$D$1:$D$250=Pyramid!$Q418),ROW(Source!$B$1:$B$250),FALSE),V$3)),"")</f>
        <v/>
      </c>
      <c r="W418" t="str">
        <f t="array" aca="1" ref="W418" ca="1">IFERROR(INDEX(Source!$A$1:$A$250,SMALL(IF(--(Source!$B$1:$B$250=$O418)*--(Source!$E$1:$E$250=$Q$3)*--(Source!$D$1:$D$250=Pyramid!$Q418),ROW(Source!$B$1:$B$250),FALSE),W$3)),"")</f>
        <v/>
      </c>
      <c r="X418" t="str">
        <f t="array" aca="1" ref="X418" ca="1">IFERROR(INDEX(Source!$A$1:$A$250,SMALL(IF(--(Source!$B$1:$B$250=$O418)*--(Source!$E$1:$E$250=$Q$3)*--(Source!$D$1:$D$250=Pyramid!$Q418),ROW(Source!$B$1:$B$250),FALSE),X$3)),"")</f>
        <v/>
      </c>
      <c r="Y418" s="5">
        <f t="shared" ca="1" si="2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"/>
  <sheetViews>
    <sheetView tabSelected="1" workbookViewId="0">
      <selection activeCell="K1" sqref="K1"/>
    </sheetView>
  </sheetViews>
  <sheetFormatPr defaultRowHeight="15"/>
  <sheetData>
    <row r="1" spans="1:20">
      <c r="A1" t="s">
        <v>274</v>
      </c>
      <c r="B1" t="s">
        <v>273</v>
      </c>
      <c r="C1" t="s">
        <v>272</v>
      </c>
      <c r="D1" t="s">
        <v>271</v>
      </c>
      <c r="E1" t="s">
        <v>270</v>
      </c>
      <c r="F1" t="s">
        <v>269</v>
      </c>
      <c r="G1" t="s">
        <v>268</v>
      </c>
      <c r="H1" t="s">
        <v>267</v>
      </c>
      <c r="I1" t="s">
        <v>259</v>
      </c>
      <c r="J1" t="s">
        <v>257</v>
      </c>
      <c r="K1" t="s">
        <v>252</v>
      </c>
      <c r="L1" t="s">
        <v>256</v>
      </c>
      <c r="M1" t="s">
        <v>258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</row>
    <row r="2" spans="1:20">
      <c r="A2" t="str">
        <f ca="1">Pyramid!E4</f>
        <v/>
      </c>
      <c r="B2" t="str">
        <f ca="1">Pyramid!F4</f>
        <v/>
      </c>
      <c r="C2" t="str">
        <f ca="1">Pyramid!G4</f>
        <v/>
      </c>
      <c r="D2" t="str">
        <f ca="1">Pyramid!H4</f>
        <v/>
      </c>
      <c r="E2" t="str">
        <f ca="1">Pyramid!I4</f>
        <v/>
      </c>
      <c r="F2" t="str">
        <f ca="1">Pyramid!J4</f>
        <v/>
      </c>
      <c r="G2" t="str">
        <f ca="1">Pyramid!K4</f>
        <v/>
      </c>
      <c r="H2" t="str">
        <f ca="1">Pyramid!L4</f>
        <v/>
      </c>
      <c r="I2" t="str">
        <f>Pyramid!M4</f>
        <v>29/6/2016</v>
      </c>
      <c r="J2">
        <f ca="1">Pyramid!N4</f>
        <v>0</v>
      </c>
      <c r="K2">
        <f ca="1">Pyramid!O4</f>
        <v>16888</v>
      </c>
      <c r="L2">
        <f ca="1">Pyramid!P4</f>
        <v>0</v>
      </c>
      <c r="M2" t="str">
        <f>Pyramid!Q4</f>
        <v>29/6/2016</v>
      </c>
      <c r="N2" t="str">
        <f ca="1">Pyramid!R4</f>
        <v/>
      </c>
      <c r="O2" t="str">
        <f ca="1">Pyramid!S4</f>
        <v/>
      </c>
      <c r="P2" t="str">
        <f ca="1">Pyramid!T4</f>
        <v/>
      </c>
      <c r="Q2" t="str">
        <f ca="1">Pyramid!U4</f>
        <v/>
      </c>
      <c r="R2" t="str">
        <f ca="1">Pyramid!V4</f>
        <v/>
      </c>
      <c r="S2" t="str">
        <f ca="1">Pyramid!W4</f>
        <v/>
      </c>
      <c r="T2" t="str">
        <f ca="1">Pyramid!X4</f>
        <v/>
      </c>
    </row>
    <row r="3" spans="1:20">
      <c r="A3" t="str">
        <f ca="1">Pyramid!E5</f>
        <v/>
      </c>
      <c r="B3" t="str">
        <f ca="1">Pyramid!F5</f>
        <v/>
      </c>
      <c r="C3" t="str">
        <f ca="1">Pyramid!G5</f>
        <v/>
      </c>
      <c r="D3" t="str">
        <f ca="1">Pyramid!H5</f>
        <v/>
      </c>
      <c r="E3" t="str">
        <f ca="1">Pyramid!I5</f>
        <v/>
      </c>
      <c r="F3" t="str">
        <f ca="1">Pyramid!J5</f>
        <v/>
      </c>
      <c r="G3" t="str">
        <f ca="1">Pyramid!K5</f>
        <v/>
      </c>
      <c r="H3" t="str">
        <f ca="1">Pyramid!L5</f>
        <v/>
      </c>
      <c r="I3" t="str">
        <f>Pyramid!M5</f>
        <v>28/7/2016</v>
      </c>
      <c r="J3">
        <f ca="1">Pyramid!N5</f>
        <v>0</v>
      </c>
      <c r="K3">
        <f ca="1">Pyramid!O5</f>
        <v>16888</v>
      </c>
      <c r="L3">
        <f ca="1">Pyramid!P5</f>
        <v>0</v>
      </c>
      <c r="M3" t="str">
        <f>Pyramid!Q5</f>
        <v>28/7/2016</v>
      </c>
      <c r="N3" t="str">
        <f ca="1">Pyramid!R5</f>
        <v/>
      </c>
      <c r="O3" t="str">
        <f ca="1">Pyramid!S5</f>
        <v/>
      </c>
      <c r="P3" t="str">
        <f ca="1">Pyramid!T5</f>
        <v/>
      </c>
      <c r="Q3" t="str">
        <f ca="1">Pyramid!U5</f>
        <v/>
      </c>
      <c r="R3" t="str">
        <f ca="1">Pyramid!V5</f>
        <v/>
      </c>
      <c r="S3" t="str">
        <f ca="1">Pyramid!W5</f>
        <v/>
      </c>
      <c r="T3" t="str">
        <f ca="1">Pyramid!X5</f>
        <v/>
      </c>
    </row>
    <row r="4" spans="1:20">
      <c r="A4" t="str">
        <f ca="1">Pyramid!E6</f>
        <v/>
      </c>
      <c r="B4" t="str">
        <f ca="1">Pyramid!F6</f>
        <v/>
      </c>
      <c r="C4" t="str">
        <f ca="1">Pyramid!G6</f>
        <v/>
      </c>
      <c r="D4" t="str">
        <f ca="1">Pyramid!H6</f>
        <v/>
      </c>
      <c r="E4" t="str">
        <f ca="1">Pyramid!I6</f>
        <v/>
      </c>
      <c r="F4" t="str">
        <f ca="1">Pyramid!J6</f>
        <v/>
      </c>
      <c r="G4" t="str">
        <f ca="1">Pyramid!K6</f>
        <v/>
      </c>
      <c r="H4" t="str">
        <f ca="1">Pyramid!L6</f>
        <v/>
      </c>
      <c r="I4" t="str">
        <f>Pyramid!M6</f>
        <v>30/8/2016</v>
      </c>
      <c r="J4">
        <f ca="1">Pyramid!N6</f>
        <v>0</v>
      </c>
      <c r="K4">
        <f ca="1">Pyramid!O6</f>
        <v>16888</v>
      </c>
      <c r="L4">
        <f ca="1">Pyramid!P6</f>
        <v>0</v>
      </c>
      <c r="M4" t="str">
        <f>Pyramid!Q6</f>
        <v>30/8/2016</v>
      </c>
      <c r="N4" t="str">
        <f ca="1">Pyramid!R6</f>
        <v/>
      </c>
      <c r="O4" t="str">
        <f ca="1">Pyramid!S6</f>
        <v/>
      </c>
      <c r="P4" t="str">
        <f ca="1">Pyramid!T6</f>
        <v/>
      </c>
      <c r="Q4" t="str">
        <f ca="1">Pyramid!U6</f>
        <v/>
      </c>
      <c r="R4" t="str">
        <f ca="1">Pyramid!V6</f>
        <v/>
      </c>
      <c r="S4" t="str">
        <f ca="1">Pyramid!W6</f>
        <v/>
      </c>
      <c r="T4" t="str">
        <f ca="1">Pyramid!X6</f>
        <v/>
      </c>
    </row>
    <row r="5" spans="1:20">
      <c r="A5" t="str">
        <f ca="1">Pyramid!E7</f>
        <v/>
      </c>
      <c r="B5" t="str">
        <f ca="1">Pyramid!F7</f>
        <v/>
      </c>
      <c r="C5" t="str">
        <f ca="1">Pyramid!G7</f>
        <v/>
      </c>
      <c r="D5" t="str">
        <f ca="1">Pyramid!H7</f>
        <v/>
      </c>
      <c r="E5" t="str">
        <f ca="1">Pyramid!I7</f>
        <v/>
      </c>
      <c r="F5" t="str">
        <f ca="1">Pyramid!J7</f>
        <v/>
      </c>
      <c r="G5" t="str">
        <f ca="1">Pyramid!K7</f>
        <v/>
      </c>
      <c r="H5" t="str">
        <f ca="1">Pyramid!L7</f>
        <v/>
      </c>
      <c r="I5" t="str">
        <f>Pyramid!M7</f>
        <v>29/9/2016</v>
      </c>
      <c r="J5">
        <f ca="1">Pyramid!N7</f>
        <v>0</v>
      </c>
      <c r="K5">
        <f ca="1">Pyramid!O7</f>
        <v>16888</v>
      </c>
      <c r="L5">
        <f ca="1">Pyramid!P7</f>
        <v>1</v>
      </c>
      <c r="M5" t="str">
        <f>Pyramid!Q7</f>
        <v>29/9/2016</v>
      </c>
      <c r="N5" t="str">
        <f ca="1">Pyramid!R7</f>
        <v>25969 HK Equity</v>
      </c>
      <c r="O5" t="str">
        <f ca="1">Pyramid!S7</f>
        <v/>
      </c>
      <c r="P5" t="str">
        <f ca="1">Pyramid!T7</f>
        <v/>
      </c>
      <c r="Q5" t="str">
        <f ca="1">Pyramid!U7</f>
        <v/>
      </c>
      <c r="R5" t="str">
        <f ca="1">Pyramid!V7</f>
        <v/>
      </c>
      <c r="S5" t="str">
        <f ca="1">Pyramid!W7</f>
        <v/>
      </c>
      <c r="T5" t="str">
        <f ca="1">Pyramid!X7</f>
        <v/>
      </c>
    </row>
    <row r="6" spans="1:20">
      <c r="A6" t="str">
        <f ca="1">Pyramid!E8</f>
        <v/>
      </c>
      <c r="B6" t="str">
        <f ca="1">Pyramid!F8</f>
        <v/>
      </c>
      <c r="C6" t="str">
        <f ca="1">Pyramid!G8</f>
        <v/>
      </c>
      <c r="D6" t="str">
        <f ca="1">Pyramid!H8</f>
        <v/>
      </c>
      <c r="E6" t="str">
        <f ca="1">Pyramid!I8</f>
        <v/>
      </c>
      <c r="F6" t="str">
        <f ca="1">Pyramid!J8</f>
        <v/>
      </c>
      <c r="G6" t="str">
        <f ca="1">Pyramid!K8</f>
        <v/>
      </c>
      <c r="H6" t="str">
        <f ca="1">Pyramid!L8</f>
        <v/>
      </c>
      <c r="I6" t="str">
        <f>Pyramid!M8</f>
        <v>28/10/2016</v>
      </c>
      <c r="J6">
        <f ca="1">Pyramid!N8</f>
        <v>0</v>
      </c>
      <c r="K6">
        <f ca="1">Pyramid!O8</f>
        <v>16888</v>
      </c>
      <c r="L6">
        <f ca="1">Pyramid!P8</f>
        <v>0</v>
      </c>
      <c r="M6" t="str">
        <f>Pyramid!Q8</f>
        <v>28/10/2016</v>
      </c>
      <c r="N6" t="str">
        <f ca="1">Pyramid!R8</f>
        <v/>
      </c>
      <c r="O6" t="str">
        <f ca="1">Pyramid!S8</f>
        <v/>
      </c>
      <c r="P6" t="str">
        <f ca="1">Pyramid!T8</f>
        <v/>
      </c>
      <c r="Q6" t="str">
        <f ca="1">Pyramid!U8</f>
        <v/>
      </c>
      <c r="R6" t="str">
        <f ca="1">Pyramid!V8</f>
        <v/>
      </c>
      <c r="S6" t="str">
        <f ca="1">Pyramid!W8</f>
        <v/>
      </c>
      <c r="T6" t="str">
        <f ca="1">Pyramid!X8</f>
        <v/>
      </c>
    </row>
    <row r="7" spans="1:20">
      <c r="A7" t="str">
        <f ca="1">Pyramid!E9</f>
        <v/>
      </c>
      <c r="B7" t="str">
        <f ca="1">Pyramid!F9</f>
        <v/>
      </c>
      <c r="C7" t="str">
        <f ca="1">Pyramid!G9</f>
        <v/>
      </c>
      <c r="D7" t="str">
        <f ca="1">Pyramid!H9</f>
        <v/>
      </c>
      <c r="E7" t="str">
        <f ca="1">Pyramid!I9</f>
        <v/>
      </c>
      <c r="F7" t="str">
        <f ca="1">Pyramid!J9</f>
        <v/>
      </c>
      <c r="G7" t="str">
        <f ca="1">Pyramid!K9</f>
        <v/>
      </c>
      <c r="H7" t="str">
        <f ca="1">Pyramid!L9</f>
        <v/>
      </c>
      <c r="I7" t="str">
        <f>Pyramid!M9</f>
        <v>29/6/2016</v>
      </c>
      <c r="J7">
        <f ca="1">Pyramid!N9</f>
        <v>0</v>
      </c>
      <c r="K7">
        <f ca="1">Pyramid!O9</f>
        <v>17000</v>
      </c>
      <c r="L7">
        <f ca="1">Pyramid!P9</f>
        <v>0</v>
      </c>
      <c r="M7" t="str">
        <f>Pyramid!Q9</f>
        <v>29/6/2016</v>
      </c>
      <c r="N7" t="str">
        <f ca="1">Pyramid!R9</f>
        <v/>
      </c>
      <c r="O7" t="str">
        <f ca="1">Pyramid!S9</f>
        <v/>
      </c>
      <c r="P7" t="str">
        <f ca="1">Pyramid!T9</f>
        <v/>
      </c>
      <c r="Q7" t="str">
        <f ca="1">Pyramid!U9</f>
        <v/>
      </c>
      <c r="R7" t="str">
        <f ca="1">Pyramid!V9</f>
        <v/>
      </c>
      <c r="S7" t="str">
        <f ca="1">Pyramid!W9</f>
        <v/>
      </c>
      <c r="T7" t="str">
        <f ca="1">Pyramid!X9</f>
        <v/>
      </c>
    </row>
    <row r="8" spans="1:20">
      <c r="A8" t="str">
        <f ca="1">Pyramid!E10</f>
        <v/>
      </c>
      <c r="B8" t="str">
        <f ca="1">Pyramid!F10</f>
        <v/>
      </c>
      <c r="C8" t="str">
        <f ca="1">Pyramid!G10</f>
        <v/>
      </c>
      <c r="D8" t="str">
        <f ca="1">Pyramid!H10</f>
        <v/>
      </c>
      <c r="E8" t="str">
        <f ca="1">Pyramid!I10</f>
        <v/>
      </c>
      <c r="F8" t="str">
        <f ca="1">Pyramid!J10</f>
        <v/>
      </c>
      <c r="G8" t="str">
        <f ca="1">Pyramid!K10</f>
        <v/>
      </c>
      <c r="H8" t="str">
        <f ca="1">Pyramid!L10</f>
        <v/>
      </c>
      <c r="I8" t="str">
        <f>Pyramid!M10</f>
        <v>28/7/2016</v>
      </c>
      <c r="J8">
        <f ca="1">Pyramid!N10</f>
        <v>0</v>
      </c>
      <c r="K8">
        <f ca="1">Pyramid!O10</f>
        <v>17000</v>
      </c>
      <c r="L8">
        <f ca="1">Pyramid!P10</f>
        <v>0</v>
      </c>
      <c r="M8" t="str">
        <f>Pyramid!Q10</f>
        <v>28/7/2016</v>
      </c>
      <c r="N8" t="str">
        <f ca="1">Pyramid!R10</f>
        <v/>
      </c>
      <c r="O8" t="str">
        <f ca="1">Pyramid!S10</f>
        <v/>
      </c>
      <c r="P8" t="str">
        <f ca="1">Pyramid!T10</f>
        <v/>
      </c>
      <c r="Q8" t="str">
        <f ca="1">Pyramid!U10</f>
        <v/>
      </c>
      <c r="R8" t="str">
        <f ca="1">Pyramid!V10</f>
        <v/>
      </c>
      <c r="S8" t="str">
        <f ca="1">Pyramid!W10</f>
        <v/>
      </c>
      <c r="T8" t="str">
        <f ca="1">Pyramid!X10</f>
        <v/>
      </c>
    </row>
    <row r="9" spans="1:20">
      <c r="A9" t="str">
        <f ca="1">Pyramid!E11</f>
        <v/>
      </c>
      <c r="B9" t="str">
        <f ca="1">Pyramid!F11</f>
        <v/>
      </c>
      <c r="C9" t="str">
        <f ca="1">Pyramid!G11</f>
        <v/>
      </c>
      <c r="D9" t="str">
        <f ca="1">Pyramid!H11</f>
        <v/>
      </c>
      <c r="E9" t="str">
        <f ca="1">Pyramid!I11</f>
        <v/>
      </c>
      <c r="F9" t="str">
        <f ca="1">Pyramid!J11</f>
        <v/>
      </c>
      <c r="G9" t="str">
        <f ca="1">Pyramid!K11</f>
        <v/>
      </c>
      <c r="H9" t="str">
        <f ca="1">Pyramid!L11</f>
        <v/>
      </c>
      <c r="I9" t="str">
        <f>Pyramid!M11</f>
        <v>30/8/2016</v>
      </c>
      <c r="J9">
        <f ca="1">Pyramid!N11</f>
        <v>0</v>
      </c>
      <c r="K9">
        <f ca="1">Pyramid!O11</f>
        <v>17000</v>
      </c>
      <c r="L9">
        <f ca="1">Pyramid!P11</f>
        <v>0</v>
      </c>
      <c r="M9" t="str">
        <f>Pyramid!Q11</f>
        <v>30/8/2016</v>
      </c>
      <c r="N9" t="str">
        <f ca="1">Pyramid!R11</f>
        <v/>
      </c>
      <c r="O9" t="str">
        <f ca="1">Pyramid!S11</f>
        <v/>
      </c>
      <c r="P9" t="str">
        <f ca="1">Pyramid!T11</f>
        <v/>
      </c>
      <c r="Q9" t="str">
        <f ca="1">Pyramid!U11</f>
        <v/>
      </c>
      <c r="R9" t="str">
        <f ca="1">Pyramid!V11</f>
        <v/>
      </c>
      <c r="S9" t="str">
        <f ca="1">Pyramid!W11</f>
        <v/>
      </c>
      <c r="T9" t="str">
        <f ca="1">Pyramid!X11</f>
        <v/>
      </c>
    </row>
    <row r="10" spans="1:20">
      <c r="A10" t="str">
        <f ca="1">Pyramid!E12</f>
        <v/>
      </c>
      <c r="B10" t="str">
        <f ca="1">Pyramid!F12</f>
        <v/>
      </c>
      <c r="C10" t="str">
        <f ca="1">Pyramid!G12</f>
        <v/>
      </c>
      <c r="D10" t="str">
        <f ca="1">Pyramid!H12</f>
        <v/>
      </c>
      <c r="E10" t="str">
        <f ca="1">Pyramid!I12</f>
        <v/>
      </c>
      <c r="F10" t="str">
        <f ca="1">Pyramid!J12</f>
        <v/>
      </c>
      <c r="G10" t="str">
        <f ca="1">Pyramid!K12</f>
        <v/>
      </c>
      <c r="H10" t="str">
        <f ca="1">Pyramid!L12</f>
        <v/>
      </c>
      <c r="I10" t="str">
        <f>Pyramid!M12</f>
        <v>29/9/2016</v>
      </c>
      <c r="J10">
        <f ca="1">Pyramid!N12</f>
        <v>0</v>
      </c>
      <c r="K10">
        <f ca="1">Pyramid!O12</f>
        <v>17000</v>
      </c>
      <c r="L10">
        <f ca="1">Pyramid!P12</f>
        <v>3</v>
      </c>
      <c r="M10" t="str">
        <f>Pyramid!Q12</f>
        <v>29/9/2016</v>
      </c>
      <c r="N10" t="str">
        <f ca="1">Pyramid!R12</f>
        <v>26399 HK Equity</v>
      </c>
      <c r="O10" t="str">
        <f ca="1">Pyramid!S12</f>
        <v>26444 HK Equity</v>
      </c>
      <c r="P10" t="str">
        <f ca="1">Pyramid!T12</f>
        <v>26106 HK Equity</v>
      </c>
      <c r="Q10" t="str">
        <f ca="1">Pyramid!U12</f>
        <v/>
      </c>
      <c r="R10" t="str">
        <f ca="1">Pyramid!V12</f>
        <v/>
      </c>
      <c r="S10" t="str">
        <f ca="1">Pyramid!W12</f>
        <v/>
      </c>
      <c r="T10" t="str">
        <f ca="1">Pyramid!X12</f>
        <v/>
      </c>
    </row>
    <row r="11" spans="1:20">
      <c r="A11" t="str">
        <f ca="1">Pyramid!E13</f>
        <v/>
      </c>
      <c r="B11" t="str">
        <f ca="1">Pyramid!F13</f>
        <v/>
      </c>
      <c r="C11" t="str">
        <f ca="1">Pyramid!G13</f>
        <v/>
      </c>
      <c r="D11" t="str">
        <f ca="1">Pyramid!H13</f>
        <v/>
      </c>
      <c r="E11" t="str">
        <f ca="1">Pyramid!I13</f>
        <v/>
      </c>
      <c r="F11" t="str">
        <f ca="1">Pyramid!J13</f>
        <v/>
      </c>
      <c r="G11" t="str">
        <f ca="1">Pyramid!K13</f>
        <v/>
      </c>
      <c r="H11" t="str">
        <f ca="1">Pyramid!L13</f>
        <v/>
      </c>
      <c r="I11" t="str">
        <f>Pyramid!M13</f>
        <v>28/10/2016</v>
      </c>
      <c r="J11">
        <f ca="1">Pyramid!N13</f>
        <v>0</v>
      </c>
      <c r="K11">
        <f ca="1">Pyramid!O13</f>
        <v>17000</v>
      </c>
      <c r="L11">
        <f ca="1">Pyramid!P13</f>
        <v>1</v>
      </c>
      <c r="M11" t="str">
        <f>Pyramid!Q13</f>
        <v>28/10/2016</v>
      </c>
      <c r="N11" t="str">
        <f ca="1">Pyramid!R13</f>
        <v>26155 HK Equity</v>
      </c>
      <c r="O11" t="str">
        <f ca="1">Pyramid!S13</f>
        <v/>
      </c>
      <c r="P11" t="str">
        <f ca="1">Pyramid!T13</f>
        <v/>
      </c>
      <c r="Q11" t="str">
        <f ca="1">Pyramid!U13</f>
        <v/>
      </c>
      <c r="R11" t="str">
        <f ca="1">Pyramid!V13</f>
        <v/>
      </c>
      <c r="S11" t="str">
        <f ca="1">Pyramid!W13</f>
        <v/>
      </c>
      <c r="T11" t="str">
        <f ca="1">Pyramid!X13</f>
        <v/>
      </c>
    </row>
    <row r="12" spans="1:20">
      <c r="A12" t="str">
        <f ca="1">Pyramid!E14</f>
        <v/>
      </c>
      <c r="B12" t="str">
        <f ca="1">Pyramid!F14</f>
        <v/>
      </c>
      <c r="C12" t="str">
        <f ca="1">Pyramid!G14</f>
        <v/>
      </c>
      <c r="D12" t="str">
        <f ca="1">Pyramid!H14</f>
        <v/>
      </c>
      <c r="E12" t="str">
        <f ca="1">Pyramid!I14</f>
        <v/>
      </c>
      <c r="F12" t="str">
        <f ca="1">Pyramid!J14</f>
        <v/>
      </c>
      <c r="G12" t="str">
        <f ca="1">Pyramid!K14</f>
        <v/>
      </c>
      <c r="H12" t="str">
        <f ca="1">Pyramid!L14</f>
        <v/>
      </c>
      <c r="I12" t="str">
        <f>Pyramid!M14</f>
        <v>29/6/2016</v>
      </c>
      <c r="J12">
        <f ca="1">Pyramid!N14</f>
        <v>0</v>
      </c>
      <c r="K12">
        <f ca="1">Pyramid!O14</f>
        <v>17200</v>
      </c>
      <c r="L12">
        <f ca="1">Pyramid!P14</f>
        <v>0</v>
      </c>
      <c r="M12" t="str">
        <f>Pyramid!Q14</f>
        <v>29/6/2016</v>
      </c>
      <c r="N12" t="str">
        <f ca="1">Pyramid!R14</f>
        <v/>
      </c>
      <c r="O12" t="str">
        <f ca="1">Pyramid!S14</f>
        <v/>
      </c>
      <c r="P12" t="str">
        <f ca="1">Pyramid!T14</f>
        <v/>
      </c>
      <c r="Q12" t="str">
        <f ca="1">Pyramid!U14</f>
        <v/>
      </c>
      <c r="R12" t="str">
        <f ca="1">Pyramid!V14</f>
        <v/>
      </c>
      <c r="S12" t="str">
        <f ca="1">Pyramid!W14</f>
        <v/>
      </c>
      <c r="T12" t="str">
        <f ca="1">Pyramid!X14</f>
        <v/>
      </c>
    </row>
    <row r="13" spans="1:20">
      <c r="A13" t="str">
        <f ca="1">Pyramid!E15</f>
        <v/>
      </c>
      <c r="B13" t="str">
        <f ca="1">Pyramid!F15</f>
        <v/>
      </c>
      <c r="C13" t="str">
        <f ca="1">Pyramid!G15</f>
        <v/>
      </c>
      <c r="D13" t="str">
        <f ca="1">Pyramid!H15</f>
        <v/>
      </c>
      <c r="E13" t="str">
        <f ca="1">Pyramid!I15</f>
        <v/>
      </c>
      <c r="F13" t="str">
        <f ca="1">Pyramid!J15</f>
        <v/>
      </c>
      <c r="G13" t="str">
        <f ca="1">Pyramid!K15</f>
        <v/>
      </c>
      <c r="H13" t="str">
        <f ca="1">Pyramid!L15</f>
        <v/>
      </c>
      <c r="I13" t="str">
        <f>Pyramid!M15</f>
        <v>28/7/2016</v>
      </c>
      <c r="J13">
        <f ca="1">Pyramid!N15</f>
        <v>0</v>
      </c>
      <c r="K13">
        <f ca="1">Pyramid!O15</f>
        <v>17200</v>
      </c>
      <c r="L13">
        <f ca="1">Pyramid!P15</f>
        <v>0</v>
      </c>
      <c r="M13" t="str">
        <f>Pyramid!Q15</f>
        <v>28/7/2016</v>
      </c>
      <c r="N13" t="str">
        <f ca="1">Pyramid!R15</f>
        <v/>
      </c>
      <c r="O13" t="str">
        <f ca="1">Pyramid!S15</f>
        <v/>
      </c>
      <c r="P13" t="str">
        <f ca="1">Pyramid!T15</f>
        <v/>
      </c>
      <c r="Q13" t="str">
        <f ca="1">Pyramid!U15</f>
        <v/>
      </c>
      <c r="R13" t="str">
        <f ca="1">Pyramid!V15</f>
        <v/>
      </c>
      <c r="S13" t="str">
        <f ca="1">Pyramid!W15</f>
        <v/>
      </c>
      <c r="T13" t="str">
        <f ca="1">Pyramid!X15</f>
        <v/>
      </c>
    </row>
    <row r="14" spans="1:20">
      <c r="A14" t="str">
        <f ca="1">Pyramid!E16</f>
        <v/>
      </c>
      <c r="B14" t="str">
        <f ca="1">Pyramid!F16</f>
        <v/>
      </c>
      <c r="C14" t="str">
        <f ca="1">Pyramid!G16</f>
        <v/>
      </c>
      <c r="D14" t="str">
        <f ca="1">Pyramid!H16</f>
        <v/>
      </c>
      <c r="E14" t="str">
        <f ca="1">Pyramid!I16</f>
        <v/>
      </c>
      <c r="F14" t="str">
        <f ca="1">Pyramid!J16</f>
        <v/>
      </c>
      <c r="G14" t="str">
        <f ca="1">Pyramid!K16</f>
        <v/>
      </c>
      <c r="H14" t="str">
        <f ca="1">Pyramid!L16</f>
        <v/>
      </c>
      <c r="I14" t="str">
        <f>Pyramid!M16</f>
        <v>30/8/2016</v>
      </c>
      <c r="J14">
        <f ca="1">Pyramid!N16</f>
        <v>0</v>
      </c>
      <c r="K14">
        <f ca="1">Pyramid!O16</f>
        <v>17200</v>
      </c>
      <c r="L14">
        <f ca="1">Pyramid!P16</f>
        <v>0</v>
      </c>
      <c r="M14" t="str">
        <f>Pyramid!Q16</f>
        <v>30/8/2016</v>
      </c>
      <c r="N14" t="str">
        <f ca="1">Pyramid!R16</f>
        <v/>
      </c>
      <c r="O14" t="str">
        <f ca="1">Pyramid!S16</f>
        <v/>
      </c>
      <c r="P14" t="str">
        <f ca="1">Pyramid!T16</f>
        <v/>
      </c>
      <c r="Q14" t="str">
        <f ca="1">Pyramid!U16</f>
        <v/>
      </c>
      <c r="R14" t="str">
        <f ca="1">Pyramid!V16</f>
        <v/>
      </c>
      <c r="S14" t="str">
        <f ca="1">Pyramid!W16</f>
        <v/>
      </c>
      <c r="T14" t="str">
        <f ca="1">Pyramid!X16</f>
        <v/>
      </c>
    </row>
    <row r="15" spans="1:20">
      <c r="A15" t="str">
        <f ca="1">Pyramid!E17</f>
        <v/>
      </c>
      <c r="B15" t="str">
        <f ca="1">Pyramid!F17</f>
        <v/>
      </c>
      <c r="C15" t="str">
        <f ca="1">Pyramid!G17</f>
        <v/>
      </c>
      <c r="D15" t="str">
        <f ca="1">Pyramid!H17</f>
        <v/>
      </c>
      <c r="E15" t="str">
        <f ca="1">Pyramid!I17</f>
        <v/>
      </c>
      <c r="F15" t="str">
        <f ca="1">Pyramid!J17</f>
        <v/>
      </c>
      <c r="G15" t="str">
        <f ca="1">Pyramid!K17</f>
        <v/>
      </c>
      <c r="H15" t="str">
        <f ca="1">Pyramid!L17</f>
        <v/>
      </c>
      <c r="I15" t="str">
        <f>Pyramid!M17</f>
        <v>29/9/2016</v>
      </c>
      <c r="J15">
        <f ca="1">Pyramid!N17</f>
        <v>0</v>
      </c>
      <c r="K15">
        <f ca="1">Pyramid!O17</f>
        <v>17200</v>
      </c>
      <c r="L15">
        <f ca="1">Pyramid!P17</f>
        <v>1</v>
      </c>
      <c r="M15" t="str">
        <f>Pyramid!Q17</f>
        <v>29/9/2016</v>
      </c>
      <c r="N15" t="str">
        <f ca="1">Pyramid!R17</f>
        <v>26037 HK Equity</v>
      </c>
      <c r="O15" t="str">
        <f ca="1">Pyramid!S17</f>
        <v/>
      </c>
      <c r="P15" t="str">
        <f ca="1">Pyramid!T17</f>
        <v/>
      </c>
      <c r="Q15" t="str">
        <f ca="1">Pyramid!U17</f>
        <v/>
      </c>
      <c r="R15" t="str">
        <f ca="1">Pyramid!V17</f>
        <v/>
      </c>
      <c r="S15" t="str">
        <f ca="1">Pyramid!W17</f>
        <v/>
      </c>
      <c r="T15" t="str">
        <f ca="1">Pyramid!X17</f>
        <v/>
      </c>
    </row>
    <row r="16" spans="1:20">
      <c r="A16" t="str">
        <f ca="1">Pyramid!E18</f>
        <v/>
      </c>
      <c r="B16" t="str">
        <f ca="1">Pyramid!F18</f>
        <v/>
      </c>
      <c r="C16" t="str">
        <f ca="1">Pyramid!G18</f>
        <v/>
      </c>
      <c r="D16" t="str">
        <f ca="1">Pyramid!H18</f>
        <v/>
      </c>
      <c r="E16" t="str">
        <f ca="1">Pyramid!I18</f>
        <v/>
      </c>
      <c r="F16" t="str">
        <f ca="1">Pyramid!J18</f>
        <v/>
      </c>
      <c r="G16" t="str">
        <f ca="1">Pyramid!K18</f>
        <v/>
      </c>
      <c r="H16" t="str">
        <f ca="1">Pyramid!L18</f>
        <v>26020 HK Equity</v>
      </c>
      <c r="I16" t="str">
        <f>Pyramid!M18</f>
        <v>28/10/2016</v>
      </c>
      <c r="J16">
        <f ca="1">Pyramid!N18</f>
        <v>1</v>
      </c>
      <c r="K16">
        <f ca="1">Pyramid!O18</f>
        <v>17200</v>
      </c>
      <c r="L16">
        <f ca="1">Pyramid!P18</f>
        <v>0</v>
      </c>
      <c r="M16" t="str">
        <f>Pyramid!Q18</f>
        <v>28/10/2016</v>
      </c>
      <c r="N16" t="str">
        <f ca="1">Pyramid!R18</f>
        <v/>
      </c>
      <c r="O16" t="str">
        <f ca="1">Pyramid!S18</f>
        <v/>
      </c>
      <c r="P16" t="str">
        <f ca="1">Pyramid!T18</f>
        <v/>
      </c>
      <c r="Q16" t="str">
        <f ca="1">Pyramid!U18</f>
        <v/>
      </c>
      <c r="R16" t="str">
        <f ca="1">Pyramid!V18</f>
        <v/>
      </c>
      <c r="S16" t="str">
        <f ca="1">Pyramid!W18</f>
        <v/>
      </c>
      <c r="T16" t="str">
        <f ca="1">Pyramid!X18</f>
        <v/>
      </c>
    </row>
    <row r="17" spans="1:20">
      <c r="A17" t="str">
        <f ca="1">Pyramid!E19</f>
        <v/>
      </c>
      <c r="B17" t="str">
        <f ca="1">Pyramid!F19</f>
        <v/>
      </c>
      <c r="C17" t="str">
        <f ca="1">Pyramid!G19</f>
        <v/>
      </c>
      <c r="D17" t="str">
        <f ca="1">Pyramid!H19</f>
        <v/>
      </c>
      <c r="E17" t="str">
        <f ca="1">Pyramid!I19</f>
        <v/>
      </c>
      <c r="F17" t="str">
        <f ca="1">Pyramid!J19</f>
        <v/>
      </c>
      <c r="G17" t="str">
        <f ca="1">Pyramid!K19</f>
        <v/>
      </c>
      <c r="H17" t="str">
        <f ca="1">Pyramid!L19</f>
        <v/>
      </c>
      <c r="I17" t="str">
        <f>Pyramid!M19</f>
        <v>29/6/2016</v>
      </c>
      <c r="J17">
        <f ca="1">Pyramid!N19</f>
        <v>0</v>
      </c>
      <c r="K17">
        <f ca="1">Pyramid!O19</f>
        <v>17448</v>
      </c>
      <c r="L17">
        <f ca="1">Pyramid!P19</f>
        <v>0</v>
      </c>
      <c r="M17" t="str">
        <f>Pyramid!Q19</f>
        <v>29/6/2016</v>
      </c>
      <c r="N17" t="str">
        <f ca="1">Pyramid!R19</f>
        <v/>
      </c>
      <c r="O17" t="str">
        <f ca="1">Pyramid!S19</f>
        <v/>
      </c>
      <c r="P17" t="str">
        <f ca="1">Pyramid!T19</f>
        <v/>
      </c>
      <c r="Q17" t="str">
        <f ca="1">Pyramid!U19</f>
        <v/>
      </c>
      <c r="R17" t="str">
        <f ca="1">Pyramid!V19</f>
        <v/>
      </c>
      <c r="S17" t="str">
        <f ca="1">Pyramid!W19</f>
        <v/>
      </c>
      <c r="T17" t="str">
        <f ca="1">Pyramid!X19</f>
        <v/>
      </c>
    </row>
    <row r="18" spans="1:20">
      <c r="A18" t="str">
        <f ca="1">Pyramid!E20</f>
        <v/>
      </c>
      <c r="B18" t="str">
        <f ca="1">Pyramid!F20</f>
        <v/>
      </c>
      <c r="C18" t="str">
        <f ca="1">Pyramid!G20</f>
        <v/>
      </c>
      <c r="D18" t="str">
        <f ca="1">Pyramid!H20</f>
        <v/>
      </c>
      <c r="E18" t="str">
        <f ca="1">Pyramid!I20</f>
        <v/>
      </c>
      <c r="F18" t="str">
        <f ca="1">Pyramid!J20</f>
        <v/>
      </c>
      <c r="G18" t="str">
        <f ca="1">Pyramid!K20</f>
        <v/>
      </c>
      <c r="H18" t="str">
        <f ca="1">Pyramid!L20</f>
        <v/>
      </c>
      <c r="I18" t="str">
        <f>Pyramid!M20</f>
        <v>28/7/2016</v>
      </c>
      <c r="J18">
        <f ca="1">Pyramid!N20</f>
        <v>0</v>
      </c>
      <c r="K18">
        <f ca="1">Pyramid!O20</f>
        <v>17448</v>
      </c>
      <c r="L18">
        <f ca="1">Pyramid!P20</f>
        <v>0</v>
      </c>
      <c r="M18" t="str">
        <f>Pyramid!Q20</f>
        <v>28/7/2016</v>
      </c>
      <c r="N18" t="str">
        <f ca="1">Pyramid!R20</f>
        <v/>
      </c>
      <c r="O18" t="str">
        <f ca="1">Pyramid!S20</f>
        <v/>
      </c>
      <c r="P18" t="str">
        <f ca="1">Pyramid!T20</f>
        <v/>
      </c>
      <c r="Q18" t="str">
        <f ca="1">Pyramid!U20</f>
        <v/>
      </c>
      <c r="R18" t="str">
        <f ca="1">Pyramid!V20</f>
        <v/>
      </c>
      <c r="S18" t="str">
        <f ca="1">Pyramid!W20</f>
        <v/>
      </c>
      <c r="T18" t="str">
        <f ca="1">Pyramid!X20</f>
        <v/>
      </c>
    </row>
    <row r="19" spans="1:20">
      <c r="A19" t="str">
        <f ca="1">Pyramid!E21</f>
        <v/>
      </c>
      <c r="B19" t="str">
        <f ca="1">Pyramid!F21</f>
        <v/>
      </c>
      <c r="C19" t="str">
        <f ca="1">Pyramid!G21</f>
        <v/>
      </c>
      <c r="D19" t="str">
        <f ca="1">Pyramid!H21</f>
        <v/>
      </c>
      <c r="E19" t="str">
        <f ca="1">Pyramid!I21</f>
        <v/>
      </c>
      <c r="F19" t="str">
        <f ca="1">Pyramid!J21</f>
        <v/>
      </c>
      <c r="G19" t="str">
        <f ca="1">Pyramid!K21</f>
        <v/>
      </c>
      <c r="H19" t="str">
        <f ca="1">Pyramid!L21</f>
        <v/>
      </c>
      <c r="I19" t="str">
        <f>Pyramid!M21</f>
        <v>30/8/2016</v>
      </c>
      <c r="J19">
        <f ca="1">Pyramid!N21</f>
        <v>0</v>
      </c>
      <c r="K19">
        <f ca="1">Pyramid!O21</f>
        <v>17448</v>
      </c>
      <c r="L19">
        <f ca="1">Pyramid!P21</f>
        <v>0</v>
      </c>
      <c r="M19" t="str">
        <f>Pyramid!Q21</f>
        <v>30/8/2016</v>
      </c>
      <c r="N19" t="str">
        <f ca="1">Pyramid!R21</f>
        <v/>
      </c>
      <c r="O19" t="str">
        <f ca="1">Pyramid!S21</f>
        <v/>
      </c>
      <c r="P19" t="str">
        <f ca="1">Pyramid!T21</f>
        <v/>
      </c>
      <c r="Q19" t="str">
        <f ca="1">Pyramid!U21</f>
        <v/>
      </c>
      <c r="R19" t="str">
        <f ca="1">Pyramid!V21</f>
        <v/>
      </c>
      <c r="S19" t="str">
        <f ca="1">Pyramid!W21</f>
        <v/>
      </c>
      <c r="T19" t="str">
        <f ca="1">Pyramid!X21</f>
        <v/>
      </c>
    </row>
    <row r="20" spans="1:20">
      <c r="A20" t="str">
        <f ca="1">Pyramid!E22</f>
        <v/>
      </c>
      <c r="B20" t="str">
        <f ca="1">Pyramid!F22</f>
        <v/>
      </c>
      <c r="C20" t="str">
        <f ca="1">Pyramid!G22</f>
        <v/>
      </c>
      <c r="D20" t="str">
        <f ca="1">Pyramid!H22</f>
        <v/>
      </c>
      <c r="E20" t="str">
        <f ca="1">Pyramid!I22</f>
        <v/>
      </c>
      <c r="F20" t="str">
        <f ca="1">Pyramid!J22</f>
        <v/>
      </c>
      <c r="G20" t="str">
        <f ca="1">Pyramid!K22</f>
        <v/>
      </c>
      <c r="H20" t="str">
        <f ca="1">Pyramid!L22</f>
        <v/>
      </c>
      <c r="I20" t="str">
        <f>Pyramid!M22</f>
        <v>29/9/2016</v>
      </c>
      <c r="J20">
        <f ca="1">Pyramid!N22</f>
        <v>0</v>
      </c>
      <c r="K20">
        <f ca="1">Pyramid!O22</f>
        <v>17448</v>
      </c>
      <c r="L20">
        <f ca="1">Pyramid!P22</f>
        <v>1</v>
      </c>
      <c r="M20" t="str">
        <f>Pyramid!Q22</f>
        <v>29/9/2016</v>
      </c>
      <c r="N20" t="str">
        <f ca="1">Pyramid!R22</f>
        <v>26485 HK Equity</v>
      </c>
      <c r="O20" t="str">
        <f ca="1">Pyramid!S22</f>
        <v/>
      </c>
      <c r="P20" t="str">
        <f ca="1">Pyramid!T22</f>
        <v/>
      </c>
      <c r="Q20" t="str">
        <f ca="1">Pyramid!U22</f>
        <v/>
      </c>
      <c r="R20" t="str">
        <f ca="1">Pyramid!V22</f>
        <v/>
      </c>
      <c r="S20" t="str">
        <f ca="1">Pyramid!W22</f>
        <v/>
      </c>
      <c r="T20" t="str">
        <f ca="1">Pyramid!X22</f>
        <v/>
      </c>
    </row>
    <row r="21" spans="1:20">
      <c r="A21" t="str">
        <f ca="1">Pyramid!E23</f>
        <v/>
      </c>
      <c r="B21" t="str">
        <f ca="1">Pyramid!F23</f>
        <v/>
      </c>
      <c r="C21" t="str">
        <f ca="1">Pyramid!G23</f>
        <v/>
      </c>
      <c r="D21" t="str">
        <f ca="1">Pyramid!H23</f>
        <v/>
      </c>
      <c r="E21" t="str">
        <f ca="1">Pyramid!I23</f>
        <v/>
      </c>
      <c r="F21" t="str">
        <f ca="1">Pyramid!J23</f>
        <v/>
      </c>
      <c r="G21" t="str">
        <f ca="1">Pyramid!K23</f>
        <v/>
      </c>
      <c r="H21" t="str">
        <f ca="1">Pyramid!L23</f>
        <v/>
      </c>
      <c r="I21" t="str">
        <f>Pyramid!M23</f>
        <v>28/10/2016</v>
      </c>
      <c r="J21">
        <f ca="1">Pyramid!N23</f>
        <v>0</v>
      </c>
      <c r="K21">
        <f ca="1">Pyramid!O23</f>
        <v>17448</v>
      </c>
      <c r="L21">
        <f ca="1">Pyramid!P23</f>
        <v>0</v>
      </c>
      <c r="M21" t="str">
        <f>Pyramid!Q23</f>
        <v>28/10/2016</v>
      </c>
      <c r="N21" t="str">
        <f ca="1">Pyramid!R23</f>
        <v/>
      </c>
      <c r="O21" t="str">
        <f ca="1">Pyramid!S23</f>
        <v/>
      </c>
      <c r="P21" t="str">
        <f ca="1">Pyramid!T23</f>
        <v/>
      </c>
      <c r="Q21" t="str">
        <f ca="1">Pyramid!U23</f>
        <v/>
      </c>
      <c r="R21" t="str">
        <f ca="1">Pyramid!V23</f>
        <v/>
      </c>
      <c r="S21" t="str">
        <f ca="1">Pyramid!W23</f>
        <v/>
      </c>
      <c r="T21" t="str">
        <f ca="1">Pyramid!X23</f>
        <v/>
      </c>
    </row>
    <row r="22" spans="1:20">
      <c r="A22" t="str">
        <f ca="1">Pyramid!E24</f>
        <v/>
      </c>
      <c r="B22" t="str">
        <f ca="1">Pyramid!F24</f>
        <v/>
      </c>
      <c r="C22" t="str">
        <f ca="1">Pyramid!G24</f>
        <v/>
      </c>
      <c r="D22" t="str">
        <f ca="1">Pyramid!H24</f>
        <v/>
      </c>
      <c r="E22" t="str">
        <f ca="1">Pyramid!I24</f>
        <v/>
      </c>
      <c r="F22" t="str">
        <f ca="1">Pyramid!J24</f>
        <v/>
      </c>
      <c r="G22" t="str">
        <f ca="1">Pyramid!K24</f>
        <v/>
      </c>
      <c r="H22" t="str">
        <f ca="1">Pyramid!L24</f>
        <v/>
      </c>
      <c r="I22" t="str">
        <f>Pyramid!M24</f>
        <v>29/6/2016</v>
      </c>
      <c r="J22">
        <f ca="1">Pyramid!N24</f>
        <v>0</v>
      </c>
      <c r="K22">
        <f ca="1">Pyramid!O24</f>
        <v>17500</v>
      </c>
      <c r="L22">
        <f ca="1">Pyramid!P24</f>
        <v>0</v>
      </c>
      <c r="M22" t="str">
        <f>Pyramid!Q24</f>
        <v>29/6/2016</v>
      </c>
      <c r="N22" t="str">
        <f ca="1">Pyramid!R24</f>
        <v/>
      </c>
      <c r="O22" t="str">
        <f ca="1">Pyramid!S24</f>
        <v/>
      </c>
      <c r="P22" t="str">
        <f ca="1">Pyramid!T24</f>
        <v/>
      </c>
      <c r="Q22" t="str">
        <f ca="1">Pyramid!U24</f>
        <v/>
      </c>
      <c r="R22" t="str">
        <f ca="1">Pyramid!V24</f>
        <v/>
      </c>
      <c r="S22" t="str">
        <f ca="1">Pyramid!W24</f>
        <v/>
      </c>
      <c r="T22" t="str">
        <f ca="1">Pyramid!X24</f>
        <v/>
      </c>
    </row>
    <row r="23" spans="1:20">
      <c r="A23" t="str">
        <f ca="1">Pyramid!E25</f>
        <v/>
      </c>
      <c r="B23" t="str">
        <f ca="1">Pyramid!F25</f>
        <v/>
      </c>
      <c r="C23" t="str">
        <f ca="1">Pyramid!G25</f>
        <v/>
      </c>
      <c r="D23" t="str">
        <f ca="1">Pyramid!H25</f>
        <v/>
      </c>
      <c r="E23" t="str">
        <f ca="1">Pyramid!I25</f>
        <v/>
      </c>
      <c r="F23" t="str">
        <f ca="1">Pyramid!J25</f>
        <v/>
      </c>
      <c r="G23" t="str">
        <f ca="1">Pyramid!K25</f>
        <v/>
      </c>
      <c r="H23" t="str">
        <f ca="1">Pyramid!L25</f>
        <v/>
      </c>
      <c r="I23" t="str">
        <f>Pyramid!M25</f>
        <v>28/7/2016</v>
      </c>
      <c r="J23">
        <f ca="1">Pyramid!N25</f>
        <v>0</v>
      </c>
      <c r="K23">
        <f ca="1">Pyramid!O25</f>
        <v>17500</v>
      </c>
      <c r="L23">
        <f ca="1">Pyramid!P25</f>
        <v>0</v>
      </c>
      <c r="M23" t="str">
        <f>Pyramid!Q25</f>
        <v>28/7/2016</v>
      </c>
      <c r="N23" t="str">
        <f ca="1">Pyramid!R25</f>
        <v/>
      </c>
      <c r="O23" t="str">
        <f ca="1">Pyramid!S25</f>
        <v/>
      </c>
      <c r="P23" t="str">
        <f ca="1">Pyramid!T25</f>
        <v/>
      </c>
      <c r="Q23" t="str">
        <f ca="1">Pyramid!U25</f>
        <v/>
      </c>
      <c r="R23" t="str">
        <f ca="1">Pyramid!V25</f>
        <v/>
      </c>
      <c r="S23" t="str">
        <f ca="1">Pyramid!W25</f>
        <v/>
      </c>
      <c r="T23" t="str">
        <f ca="1">Pyramid!X25</f>
        <v/>
      </c>
    </row>
    <row r="24" spans="1:20">
      <c r="A24" t="str">
        <f ca="1">Pyramid!E26</f>
        <v/>
      </c>
      <c r="B24" t="str">
        <f ca="1">Pyramid!F26</f>
        <v/>
      </c>
      <c r="C24" t="str">
        <f ca="1">Pyramid!G26</f>
        <v/>
      </c>
      <c r="D24" t="str">
        <f ca="1">Pyramid!H26</f>
        <v/>
      </c>
      <c r="E24" t="str">
        <f ca="1">Pyramid!I26</f>
        <v/>
      </c>
      <c r="F24" t="str">
        <f ca="1">Pyramid!J26</f>
        <v/>
      </c>
      <c r="G24" t="str">
        <f ca="1">Pyramid!K26</f>
        <v/>
      </c>
      <c r="H24" t="str">
        <f ca="1">Pyramid!L26</f>
        <v/>
      </c>
      <c r="I24" t="str">
        <f>Pyramid!M26</f>
        <v>30/8/2016</v>
      </c>
      <c r="J24">
        <f ca="1">Pyramid!N26</f>
        <v>0</v>
      </c>
      <c r="K24">
        <f ca="1">Pyramid!O26</f>
        <v>17500</v>
      </c>
      <c r="L24">
        <f ca="1">Pyramid!P26</f>
        <v>0</v>
      </c>
      <c r="M24" t="str">
        <f>Pyramid!Q26</f>
        <v>30/8/2016</v>
      </c>
      <c r="N24" t="str">
        <f ca="1">Pyramid!R26</f>
        <v/>
      </c>
      <c r="O24" t="str">
        <f ca="1">Pyramid!S26</f>
        <v/>
      </c>
      <c r="P24" t="str">
        <f ca="1">Pyramid!T26</f>
        <v/>
      </c>
      <c r="Q24" t="str">
        <f ca="1">Pyramid!U26</f>
        <v/>
      </c>
      <c r="R24" t="str">
        <f ca="1">Pyramid!V26</f>
        <v/>
      </c>
      <c r="S24" t="str">
        <f ca="1">Pyramid!W26</f>
        <v/>
      </c>
      <c r="T24" t="str">
        <f ca="1">Pyramid!X26</f>
        <v/>
      </c>
    </row>
    <row r="25" spans="1:20">
      <c r="A25" t="str">
        <f ca="1">Pyramid!E27</f>
        <v/>
      </c>
      <c r="B25" t="str">
        <f ca="1">Pyramid!F27</f>
        <v/>
      </c>
      <c r="C25" t="str">
        <f ca="1">Pyramid!G27</f>
        <v/>
      </c>
      <c r="D25" t="str">
        <f ca="1">Pyramid!H27</f>
        <v/>
      </c>
      <c r="E25" t="str">
        <f ca="1">Pyramid!I27</f>
        <v/>
      </c>
      <c r="F25" t="str">
        <f ca="1">Pyramid!J27</f>
        <v/>
      </c>
      <c r="G25" t="str">
        <f ca="1">Pyramid!K27</f>
        <v/>
      </c>
      <c r="H25" t="str">
        <f ca="1">Pyramid!L27</f>
        <v/>
      </c>
      <c r="I25" t="str">
        <f>Pyramid!M27</f>
        <v>29/9/2016</v>
      </c>
      <c r="J25">
        <f ca="1">Pyramid!N27</f>
        <v>0</v>
      </c>
      <c r="K25">
        <f ca="1">Pyramid!O27</f>
        <v>17500</v>
      </c>
      <c r="L25">
        <f ca="1">Pyramid!P27</f>
        <v>2</v>
      </c>
      <c r="M25" t="str">
        <f>Pyramid!Q27</f>
        <v>29/9/2016</v>
      </c>
      <c r="N25" t="str">
        <f ca="1">Pyramid!R27</f>
        <v>26540 HK Equity</v>
      </c>
      <c r="O25" t="str">
        <f ca="1">Pyramid!S27</f>
        <v>25916 HK Equity</v>
      </c>
      <c r="P25" t="str">
        <f ca="1">Pyramid!T27</f>
        <v/>
      </c>
      <c r="Q25" t="str">
        <f ca="1">Pyramid!U27</f>
        <v/>
      </c>
      <c r="R25" t="str">
        <f ca="1">Pyramid!V27</f>
        <v/>
      </c>
      <c r="S25" t="str">
        <f ca="1">Pyramid!W27</f>
        <v/>
      </c>
      <c r="T25" t="str">
        <f ca="1">Pyramid!X27</f>
        <v/>
      </c>
    </row>
    <row r="26" spans="1:20">
      <c r="A26" t="str">
        <f ca="1">Pyramid!E28</f>
        <v/>
      </c>
      <c r="B26" t="str">
        <f ca="1">Pyramid!F28</f>
        <v/>
      </c>
      <c r="C26" t="str">
        <f ca="1">Pyramid!G28</f>
        <v/>
      </c>
      <c r="D26" t="str">
        <f ca="1">Pyramid!H28</f>
        <v/>
      </c>
      <c r="E26" t="str">
        <f ca="1">Pyramid!I28</f>
        <v/>
      </c>
      <c r="F26" t="str">
        <f ca="1">Pyramid!J28</f>
        <v/>
      </c>
      <c r="G26" t="str">
        <f ca="1">Pyramid!K28</f>
        <v/>
      </c>
      <c r="H26" t="str">
        <f ca="1">Pyramid!L28</f>
        <v/>
      </c>
      <c r="I26" t="str">
        <f>Pyramid!M28</f>
        <v>28/10/2016</v>
      </c>
      <c r="J26">
        <f ca="1">Pyramid!N28</f>
        <v>0</v>
      </c>
      <c r="K26">
        <f ca="1">Pyramid!O28</f>
        <v>17500</v>
      </c>
      <c r="L26">
        <f ca="1">Pyramid!P28</f>
        <v>0</v>
      </c>
      <c r="M26" t="str">
        <f>Pyramid!Q28</f>
        <v>28/10/2016</v>
      </c>
      <c r="N26" t="str">
        <f ca="1">Pyramid!R28</f>
        <v/>
      </c>
      <c r="O26" t="str">
        <f ca="1">Pyramid!S28</f>
        <v/>
      </c>
      <c r="P26" t="str">
        <f ca="1">Pyramid!T28</f>
        <v/>
      </c>
      <c r="Q26" t="str">
        <f ca="1">Pyramid!U28</f>
        <v/>
      </c>
      <c r="R26" t="str">
        <f ca="1">Pyramid!V28</f>
        <v/>
      </c>
      <c r="S26" t="str">
        <f ca="1">Pyramid!W28</f>
        <v/>
      </c>
      <c r="T26" t="str">
        <f ca="1">Pyramid!X28</f>
        <v/>
      </c>
    </row>
    <row r="27" spans="1:20">
      <c r="A27" t="str">
        <f ca="1">Pyramid!E29</f>
        <v/>
      </c>
      <c r="B27" t="str">
        <f ca="1">Pyramid!F29</f>
        <v/>
      </c>
      <c r="C27" t="str">
        <f ca="1">Pyramid!G29</f>
        <v/>
      </c>
      <c r="D27" t="str">
        <f ca="1">Pyramid!H29</f>
        <v/>
      </c>
      <c r="E27" t="str">
        <f ca="1">Pyramid!I29</f>
        <v/>
      </c>
      <c r="F27" t="str">
        <f ca="1">Pyramid!J29</f>
        <v/>
      </c>
      <c r="G27" t="str">
        <f ca="1">Pyramid!K29</f>
        <v/>
      </c>
      <c r="H27" t="str">
        <f ca="1">Pyramid!L29</f>
        <v/>
      </c>
      <c r="I27" t="str">
        <f>Pyramid!M29</f>
        <v>29/6/2016</v>
      </c>
      <c r="J27">
        <f ca="1">Pyramid!N29</f>
        <v>0</v>
      </c>
      <c r="K27">
        <f ca="1">Pyramid!O29</f>
        <v>17600</v>
      </c>
      <c r="L27">
        <f ca="1">Pyramid!P29</f>
        <v>0</v>
      </c>
      <c r="M27" t="str">
        <f>Pyramid!Q29</f>
        <v>29/6/2016</v>
      </c>
      <c r="N27" t="str">
        <f ca="1">Pyramid!R29</f>
        <v/>
      </c>
      <c r="O27" t="str">
        <f ca="1">Pyramid!S29</f>
        <v/>
      </c>
      <c r="P27" t="str">
        <f ca="1">Pyramid!T29</f>
        <v/>
      </c>
      <c r="Q27" t="str">
        <f ca="1">Pyramid!U29</f>
        <v/>
      </c>
      <c r="R27" t="str">
        <f ca="1">Pyramid!V29</f>
        <v/>
      </c>
      <c r="S27" t="str">
        <f ca="1">Pyramid!W29</f>
        <v/>
      </c>
      <c r="T27" t="str">
        <f ca="1">Pyramid!X29</f>
        <v/>
      </c>
    </row>
    <row r="28" spans="1:20">
      <c r="A28" t="str">
        <f ca="1">Pyramid!E30</f>
        <v/>
      </c>
      <c r="B28" t="str">
        <f ca="1">Pyramid!F30</f>
        <v/>
      </c>
      <c r="C28" t="str">
        <f ca="1">Pyramid!G30</f>
        <v/>
      </c>
      <c r="D28" t="str">
        <f ca="1">Pyramid!H30</f>
        <v/>
      </c>
      <c r="E28" t="str">
        <f ca="1">Pyramid!I30</f>
        <v/>
      </c>
      <c r="F28" t="str">
        <f ca="1">Pyramid!J30</f>
        <v/>
      </c>
      <c r="G28" t="str">
        <f ca="1">Pyramid!K30</f>
        <v/>
      </c>
      <c r="H28" t="str">
        <f ca="1">Pyramid!L30</f>
        <v/>
      </c>
      <c r="I28" t="str">
        <f>Pyramid!M30</f>
        <v>28/7/2016</v>
      </c>
      <c r="J28">
        <f ca="1">Pyramid!N30</f>
        <v>0</v>
      </c>
      <c r="K28">
        <f ca="1">Pyramid!O30</f>
        <v>17600</v>
      </c>
      <c r="L28">
        <f ca="1">Pyramid!P30</f>
        <v>0</v>
      </c>
      <c r="M28" t="str">
        <f>Pyramid!Q30</f>
        <v>28/7/2016</v>
      </c>
      <c r="N28" t="str">
        <f ca="1">Pyramid!R30</f>
        <v/>
      </c>
      <c r="O28" t="str">
        <f ca="1">Pyramid!S30</f>
        <v/>
      </c>
      <c r="P28" t="str">
        <f ca="1">Pyramid!T30</f>
        <v/>
      </c>
      <c r="Q28" t="str">
        <f ca="1">Pyramid!U30</f>
        <v/>
      </c>
      <c r="R28" t="str">
        <f ca="1">Pyramid!V30</f>
        <v/>
      </c>
      <c r="S28" t="str">
        <f ca="1">Pyramid!W30</f>
        <v/>
      </c>
      <c r="T28" t="str">
        <f ca="1">Pyramid!X30</f>
        <v/>
      </c>
    </row>
    <row r="29" spans="1:20">
      <c r="A29" t="str">
        <f ca="1">Pyramid!E31</f>
        <v/>
      </c>
      <c r="B29" t="str">
        <f ca="1">Pyramid!F31</f>
        <v/>
      </c>
      <c r="C29" t="str">
        <f ca="1">Pyramid!G31</f>
        <v/>
      </c>
      <c r="D29" t="str">
        <f ca="1">Pyramid!H31</f>
        <v/>
      </c>
      <c r="E29" t="str">
        <f ca="1">Pyramid!I31</f>
        <v/>
      </c>
      <c r="F29" t="str">
        <f ca="1">Pyramid!J31</f>
        <v/>
      </c>
      <c r="G29" t="str">
        <f ca="1">Pyramid!K31</f>
        <v/>
      </c>
      <c r="H29" t="str">
        <f ca="1">Pyramid!L31</f>
        <v/>
      </c>
      <c r="I29" t="str">
        <f>Pyramid!M31</f>
        <v>30/8/2016</v>
      </c>
      <c r="J29">
        <f ca="1">Pyramid!N31</f>
        <v>0</v>
      </c>
      <c r="K29">
        <f ca="1">Pyramid!O31</f>
        <v>17600</v>
      </c>
      <c r="L29">
        <f ca="1">Pyramid!P31</f>
        <v>2</v>
      </c>
      <c r="M29" t="str">
        <f>Pyramid!Q31</f>
        <v>30/8/2016</v>
      </c>
      <c r="N29" t="str">
        <f ca="1">Pyramid!R31</f>
        <v>26036 HK Equity</v>
      </c>
      <c r="O29" t="str">
        <f ca="1">Pyramid!S31</f>
        <v>26320 HK Equity</v>
      </c>
      <c r="P29" t="str">
        <f ca="1">Pyramid!T31</f>
        <v/>
      </c>
      <c r="Q29" t="str">
        <f ca="1">Pyramid!U31</f>
        <v/>
      </c>
      <c r="R29" t="str">
        <f ca="1">Pyramid!V31</f>
        <v/>
      </c>
      <c r="S29" t="str">
        <f ca="1">Pyramid!W31</f>
        <v/>
      </c>
      <c r="T29" t="str">
        <f ca="1">Pyramid!X31</f>
        <v/>
      </c>
    </row>
    <row r="30" spans="1:20">
      <c r="A30" t="str">
        <f ca="1">Pyramid!E32</f>
        <v/>
      </c>
      <c r="B30" t="str">
        <f ca="1">Pyramid!F32</f>
        <v/>
      </c>
      <c r="C30" t="str">
        <f ca="1">Pyramid!G32</f>
        <v/>
      </c>
      <c r="D30" t="str">
        <f ca="1">Pyramid!H32</f>
        <v/>
      </c>
      <c r="E30" t="str">
        <f ca="1">Pyramid!I32</f>
        <v/>
      </c>
      <c r="F30" t="str">
        <f ca="1">Pyramid!J32</f>
        <v/>
      </c>
      <c r="G30" t="str">
        <f ca="1">Pyramid!K32</f>
        <v/>
      </c>
      <c r="H30" t="str">
        <f ca="1">Pyramid!L32</f>
        <v/>
      </c>
      <c r="I30" t="str">
        <f>Pyramid!M32</f>
        <v>29/9/2016</v>
      </c>
      <c r="J30">
        <f ca="1">Pyramid!N32</f>
        <v>0</v>
      </c>
      <c r="K30">
        <f ca="1">Pyramid!O32</f>
        <v>17600</v>
      </c>
      <c r="L30">
        <f ca="1">Pyramid!P32</f>
        <v>1</v>
      </c>
      <c r="M30" t="str">
        <f>Pyramid!Q32</f>
        <v>29/9/2016</v>
      </c>
      <c r="N30" t="str">
        <f ca="1">Pyramid!R32</f>
        <v>25625 HK Equity</v>
      </c>
      <c r="O30" t="str">
        <f ca="1">Pyramid!S32</f>
        <v/>
      </c>
      <c r="P30" t="str">
        <f ca="1">Pyramid!T32</f>
        <v/>
      </c>
      <c r="Q30" t="str">
        <f ca="1">Pyramid!U32</f>
        <v/>
      </c>
      <c r="R30" t="str">
        <f ca="1">Pyramid!V32</f>
        <v/>
      </c>
      <c r="S30" t="str">
        <f ca="1">Pyramid!W32</f>
        <v/>
      </c>
      <c r="T30" t="str">
        <f ca="1">Pyramid!X32</f>
        <v/>
      </c>
    </row>
    <row r="31" spans="1:20">
      <c r="A31" t="str">
        <f ca="1">Pyramid!E33</f>
        <v/>
      </c>
      <c r="B31" t="str">
        <f ca="1">Pyramid!F33</f>
        <v/>
      </c>
      <c r="C31" t="str">
        <f ca="1">Pyramid!G33</f>
        <v/>
      </c>
      <c r="D31" t="str">
        <f ca="1">Pyramid!H33</f>
        <v/>
      </c>
      <c r="E31" t="str">
        <f ca="1">Pyramid!I33</f>
        <v/>
      </c>
      <c r="F31" t="str">
        <f ca="1">Pyramid!J33</f>
        <v/>
      </c>
      <c r="G31" t="str">
        <f ca="1">Pyramid!K33</f>
        <v/>
      </c>
      <c r="H31" t="str">
        <f ca="1">Pyramid!L33</f>
        <v/>
      </c>
      <c r="I31" t="str">
        <f>Pyramid!M33</f>
        <v>28/10/2016</v>
      </c>
      <c r="J31">
        <f ca="1">Pyramid!N33</f>
        <v>0</v>
      </c>
      <c r="K31">
        <f ca="1">Pyramid!O33</f>
        <v>17600</v>
      </c>
      <c r="L31">
        <f ca="1">Pyramid!P33</f>
        <v>0</v>
      </c>
      <c r="M31" t="str">
        <f>Pyramid!Q33</f>
        <v>28/10/2016</v>
      </c>
      <c r="N31" t="str">
        <f ca="1">Pyramid!R33</f>
        <v/>
      </c>
      <c r="O31" t="str">
        <f ca="1">Pyramid!S33</f>
        <v/>
      </c>
      <c r="P31" t="str">
        <f ca="1">Pyramid!T33</f>
        <v/>
      </c>
      <c r="Q31" t="str">
        <f ca="1">Pyramid!U33</f>
        <v/>
      </c>
      <c r="R31" t="str">
        <f ca="1">Pyramid!V33</f>
        <v/>
      </c>
      <c r="S31" t="str">
        <f ca="1">Pyramid!W33</f>
        <v/>
      </c>
      <c r="T31" t="str">
        <f ca="1">Pyramid!X33</f>
        <v/>
      </c>
    </row>
    <row r="32" spans="1:20">
      <c r="A32" t="str">
        <f ca="1">Pyramid!E34</f>
        <v/>
      </c>
      <c r="B32" t="str">
        <f ca="1">Pyramid!F34</f>
        <v/>
      </c>
      <c r="C32" t="str">
        <f ca="1">Pyramid!G34</f>
        <v/>
      </c>
      <c r="D32" t="str">
        <f ca="1">Pyramid!H34</f>
        <v/>
      </c>
      <c r="E32" t="str">
        <f ca="1">Pyramid!I34</f>
        <v/>
      </c>
      <c r="F32" t="str">
        <f ca="1">Pyramid!J34</f>
        <v/>
      </c>
      <c r="G32" t="str">
        <f ca="1">Pyramid!K34</f>
        <v/>
      </c>
      <c r="H32" t="str">
        <f ca="1">Pyramid!L34</f>
        <v/>
      </c>
      <c r="I32" t="str">
        <f>Pyramid!M34</f>
        <v>29/6/2016</v>
      </c>
      <c r="J32">
        <f ca="1">Pyramid!N34</f>
        <v>0</v>
      </c>
      <c r="K32">
        <f ca="1">Pyramid!O34</f>
        <v>17800</v>
      </c>
      <c r="L32">
        <f ca="1">Pyramid!P34</f>
        <v>0</v>
      </c>
      <c r="M32" t="str">
        <f>Pyramid!Q34</f>
        <v>29/6/2016</v>
      </c>
      <c r="N32" t="str">
        <f ca="1">Pyramid!R34</f>
        <v/>
      </c>
      <c r="O32" t="str">
        <f ca="1">Pyramid!S34</f>
        <v/>
      </c>
      <c r="P32" t="str">
        <f ca="1">Pyramid!T34</f>
        <v/>
      </c>
      <c r="Q32" t="str">
        <f ca="1">Pyramid!U34</f>
        <v/>
      </c>
      <c r="R32" t="str">
        <f ca="1">Pyramid!V34</f>
        <v/>
      </c>
      <c r="S32" t="str">
        <f ca="1">Pyramid!W34</f>
        <v/>
      </c>
      <c r="T32" t="str">
        <f ca="1">Pyramid!X34</f>
        <v/>
      </c>
    </row>
    <row r="33" spans="1:20">
      <c r="A33" t="str">
        <f ca="1">Pyramid!E35</f>
        <v/>
      </c>
      <c r="B33" t="str">
        <f ca="1">Pyramid!F35</f>
        <v/>
      </c>
      <c r="C33" t="str">
        <f ca="1">Pyramid!G35</f>
        <v/>
      </c>
      <c r="D33" t="str">
        <f ca="1">Pyramid!H35</f>
        <v/>
      </c>
      <c r="E33" t="str">
        <f ca="1">Pyramid!I35</f>
        <v/>
      </c>
      <c r="F33" t="str">
        <f ca="1">Pyramid!J35</f>
        <v/>
      </c>
      <c r="G33" t="str">
        <f ca="1">Pyramid!K35</f>
        <v/>
      </c>
      <c r="H33" t="str">
        <f ca="1">Pyramid!L35</f>
        <v/>
      </c>
      <c r="I33" t="str">
        <f>Pyramid!M35</f>
        <v>28/7/2016</v>
      </c>
      <c r="J33">
        <f ca="1">Pyramid!N35</f>
        <v>0</v>
      </c>
      <c r="K33">
        <f ca="1">Pyramid!O35</f>
        <v>17800</v>
      </c>
      <c r="L33">
        <f ca="1">Pyramid!P35</f>
        <v>0</v>
      </c>
      <c r="M33" t="str">
        <f>Pyramid!Q35</f>
        <v>28/7/2016</v>
      </c>
      <c r="N33" t="str">
        <f ca="1">Pyramid!R35</f>
        <v/>
      </c>
      <c r="O33" t="str">
        <f ca="1">Pyramid!S35</f>
        <v/>
      </c>
      <c r="P33" t="str">
        <f ca="1">Pyramid!T35</f>
        <v/>
      </c>
      <c r="Q33" t="str">
        <f ca="1">Pyramid!U35</f>
        <v/>
      </c>
      <c r="R33" t="str">
        <f ca="1">Pyramid!V35</f>
        <v/>
      </c>
      <c r="S33" t="str">
        <f ca="1">Pyramid!W35</f>
        <v/>
      </c>
      <c r="T33" t="str">
        <f ca="1">Pyramid!X35</f>
        <v/>
      </c>
    </row>
    <row r="34" spans="1:20">
      <c r="A34" t="str">
        <f ca="1">Pyramid!E36</f>
        <v/>
      </c>
      <c r="B34" t="str">
        <f ca="1">Pyramid!F36</f>
        <v/>
      </c>
      <c r="C34" t="str">
        <f ca="1">Pyramid!G36</f>
        <v/>
      </c>
      <c r="D34" t="str">
        <f ca="1">Pyramid!H36</f>
        <v/>
      </c>
      <c r="E34" t="str">
        <f ca="1">Pyramid!I36</f>
        <v/>
      </c>
      <c r="F34" t="str">
        <f ca="1">Pyramid!J36</f>
        <v/>
      </c>
      <c r="G34" t="str">
        <f ca="1">Pyramid!K36</f>
        <v/>
      </c>
      <c r="H34" t="str">
        <f ca="1">Pyramid!L36</f>
        <v/>
      </c>
      <c r="I34" t="str">
        <f>Pyramid!M36</f>
        <v>30/8/2016</v>
      </c>
      <c r="J34">
        <f ca="1">Pyramid!N36</f>
        <v>0</v>
      </c>
      <c r="K34">
        <f ca="1">Pyramid!O36</f>
        <v>17800</v>
      </c>
      <c r="L34">
        <f ca="1">Pyramid!P36</f>
        <v>1</v>
      </c>
      <c r="M34" t="str">
        <f>Pyramid!Q36</f>
        <v>30/8/2016</v>
      </c>
      <c r="N34" t="str">
        <f ca="1">Pyramid!R36</f>
        <v>25946 HK Equity</v>
      </c>
      <c r="O34" t="str">
        <f ca="1">Pyramid!S36</f>
        <v/>
      </c>
      <c r="P34" t="str">
        <f ca="1">Pyramid!T36</f>
        <v/>
      </c>
      <c r="Q34" t="str">
        <f ca="1">Pyramid!U36</f>
        <v/>
      </c>
      <c r="R34" t="str">
        <f ca="1">Pyramid!V36</f>
        <v/>
      </c>
      <c r="S34" t="str">
        <f ca="1">Pyramid!W36</f>
        <v/>
      </c>
      <c r="T34" t="str">
        <f ca="1">Pyramid!X36</f>
        <v/>
      </c>
    </row>
    <row r="35" spans="1:20">
      <c r="A35" t="str">
        <f ca="1">Pyramid!E37</f>
        <v/>
      </c>
      <c r="B35" t="str">
        <f ca="1">Pyramid!F37</f>
        <v/>
      </c>
      <c r="C35" t="str">
        <f ca="1">Pyramid!G37</f>
        <v/>
      </c>
      <c r="D35" t="str">
        <f ca="1">Pyramid!H37</f>
        <v/>
      </c>
      <c r="E35" t="str">
        <f ca="1">Pyramid!I37</f>
        <v/>
      </c>
      <c r="F35" t="str">
        <f ca="1">Pyramid!J37</f>
        <v/>
      </c>
      <c r="G35" t="str">
        <f ca="1">Pyramid!K37</f>
        <v/>
      </c>
      <c r="H35" t="str">
        <f ca="1">Pyramid!L37</f>
        <v/>
      </c>
      <c r="I35" t="str">
        <f>Pyramid!M37</f>
        <v>29/9/2016</v>
      </c>
      <c r="J35">
        <f ca="1">Pyramid!N37</f>
        <v>0</v>
      </c>
      <c r="K35">
        <f ca="1">Pyramid!O37</f>
        <v>17800</v>
      </c>
      <c r="L35">
        <f ca="1">Pyramid!P37</f>
        <v>0</v>
      </c>
      <c r="M35" t="str">
        <f>Pyramid!Q37</f>
        <v>29/9/2016</v>
      </c>
      <c r="N35" t="str">
        <f ca="1">Pyramid!R37</f>
        <v/>
      </c>
      <c r="O35" t="str">
        <f ca="1">Pyramid!S37</f>
        <v/>
      </c>
      <c r="P35" t="str">
        <f ca="1">Pyramid!T37</f>
        <v/>
      </c>
      <c r="Q35" t="str">
        <f ca="1">Pyramid!U37</f>
        <v/>
      </c>
      <c r="R35" t="str">
        <f ca="1">Pyramid!V37</f>
        <v/>
      </c>
      <c r="S35" t="str">
        <f ca="1">Pyramid!W37</f>
        <v/>
      </c>
      <c r="T35" t="str">
        <f ca="1">Pyramid!X37</f>
        <v/>
      </c>
    </row>
    <row r="36" spans="1:20">
      <c r="A36" t="str">
        <f ca="1">Pyramid!E38</f>
        <v/>
      </c>
      <c r="B36" t="str">
        <f ca="1">Pyramid!F38</f>
        <v/>
      </c>
      <c r="C36" t="str">
        <f ca="1">Pyramid!G38</f>
        <v/>
      </c>
      <c r="D36" t="str">
        <f ca="1">Pyramid!H38</f>
        <v/>
      </c>
      <c r="E36" t="str">
        <f ca="1">Pyramid!I38</f>
        <v/>
      </c>
      <c r="F36" t="str">
        <f ca="1">Pyramid!J38</f>
        <v/>
      </c>
      <c r="G36" t="str">
        <f ca="1">Pyramid!K38</f>
        <v/>
      </c>
      <c r="H36" t="str">
        <f ca="1">Pyramid!L38</f>
        <v/>
      </c>
      <c r="I36" t="str">
        <f>Pyramid!M38</f>
        <v>28/10/2016</v>
      </c>
      <c r="J36">
        <f ca="1">Pyramid!N38</f>
        <v>0</v>
      </c>
      <c r="K36">
        <f ca="1">Pyramid!O38</f>
        <v>17800</v>
      </c>
      <c r="L36">
        <f ca="1">Pyramid!P38</f>
        <v>0</v>
      </c>
      <c r="M36" t="str">
        <f>Pyramid!Q38</f>
        <v>28/10/2016</v>
      </c>
      <c r="N36" t="str">
        <f ca="1">Pyramid!R38</f>
        <v/>
      </c>
      <c r="O36" t="str">
        <f ca="1">Pyramid!S38</f>
        <v/>
      </c>
      <c r="P36" t="str">
        <f ca="1">Pyramid!T38</f>
        <v/>
      </c>
      <c r="Q36" t="str">
        <f ca="1">Pyramid!U38</f>
        <v/>
      </c>
      <c r="R36" t="str">
        <f ca="1">Pyramid!V38</f>
        <v/>
      </c>
      <c r="S36" t="str">
        <f ca="1">Pyramid!W38</f>
        <v/>
      </c>
      <c r="T36" t="str">
        <f ca="1">Pyramid!X38</f>
        <v/>
      </c>
    </row>
    <row r="37" spans="1:20">
      <c r="A37" t="str">
        <f ca="1">Pyramid!E39</f>
        <v/>
      </c>
      <c r="B37" t="str">
        <f ca="1">Pyramid!F39</f>
        <v/>
      </c>
      <c r="C37" t="str">
        <f ca="1">Pyramid!G39</f>
        <v/>
      </c>
      <c r="D37" t="str">
        <f ca="1">Pyramid!H39</f>
        <v/>
      </c>
      <c r="E37" t="str">
        <f ca="1">Pyramid!I39</f>
        <v/>
      </c>
      <c r="F37" t="str">
        <f ca="1">Pyramid!J39</f>
        <v/>
      </c>
      <c r="G37" t="str">
        <f ca="1">Pyramid!K39</f>
        <v/>
      </c>
      <c r="H37" t="str">
        <f ca="1">Pyramid!L39</f>
        <v/>
      </c>
      <c r="I37" t="str">
        <f>Pyramid!M39</f>
        <v>29/6/2016</v>
      </c>
      <c r="J37">
        <f ca="1">Pyramid!N39</f>
        <v>0</v>
      </c>
      <c r="K37">
        <f ca="1">Pyramid!O39</f>
        <v>17988</v>
      </c>
      <c r="L37">
        <f ca="1">Pyramid!P39</f>
        <v>0</v>
      </c>
      <c r="M37" t="str">
        <f>Pyramid!Q39</f>
        <v>29/6/2016</v>
      </c>
      <c r="N37" t="str">
        <f ca="1">Pyramid!R39</f>
        <v/>
      </c>
      <c r="O37" t="str">
        <f ca="1">Pyramid!S39</f>
        <v/>
      </c>
      <c r="P37" t="str">
        <f ca="1">Pyramid!T39</f>
        <v/>
      </c>
      <c r="Q37" t="str">
        <f ca="1">Pyramid!U39</f>
        <v/>
      </c>
      <c r="R37" t="str">
        <f ca="1">Pyramid!V39</f>
        <v/>
      </c>
      <c r="S37" t="str">
        <f ca="1">Pyramid!W39</f>
        <v/>
      </c>
      <c r="T37" t="str">
        <f ca="1">Pyramid!X39</f>
        <v/>
      </c>
    </row>
    <row r="38" spans="1:20">
      <c r="A38" t="str">
        <f ca="1">Pyramid!E40</f>
        <v/>
      </c>
      <c r="B38" t="str">
        <f ca="1">Pyramid!F40</f>
        <v/>
      </c>
      <c r="C38" t="str">
        <f ca="1">Pyramid!G40</f>
        <v/>
      </c>
      <c r="D38" t="str">
        <f ca="1">Pyramid!H40</f>
        <v/>
      </c>
      <c r="E38" t="str">
        <f ca="1">Pyramid!I40</f>
        <v/>
      </c>
      <c r="F38" t="str">
        <f ca="1">Pyramid!J40</f>
        <v/>
      </c>
      <c r="G38" t="str">
        <f ca="1">Pyramid!K40</f>
        <v/>
      </c>
      <c r="H38" t="str">
        <f ca="1">Pyramid!L40</f>
        <v/>
      </c>
      <c r="I38" t="str">
        <f>Pyramid!M40</f>
        <v>28/7/2016</v>
      </c>
      <c r="J38">
        <f ca="1">Pyramid!N40</f>
        <v>0</v>
      </c>
      <c r="K38">
        <f ca="1">Pyramid!O40</f>
        <v>17988</v>
      </c>
      <c r="L38">
        <f ca="1">Pyramid!P40</f>
        <v>0</v>
      </c>
      <c r="M38" t="str">
        <f>Pyramid!Q40</f>
        <v>28/7/2016</v>
      </c>
      <c r="N38" t="str">
        <f ca="1">Pyramid!R40</f>
        <v/>
      </c>
      <c r="O38" t="str">
        <f ca="1">Pyramid!S40</f>
        <v/>
      </c>
      <c r="P38" t="str">
        <f ca="1">Pyramid!T40</f>
        <v/>
      </c>
      <c r="Q38" t="str">
        <f ca="1">Pyramid!U40</f>
        <v/>
      </c>
      <c r="R38" t="str">
        <f ca="1">Pyramid!V40</f>
        <v/>
      </c>
      <c r="S38" t="str">
        <f ca="1">Pyramid!W40</f>
        <v/>
      </c>
      <c r="T38" t="str">
        <f ca="1">Pyramid!X40</f>
        <v/>
      </c>
    </row>
    <row r="39" spans="1:20">
      <c r="A39" t="str">
        <f ca="1">Pyramid!E41</f>
        <v/>
      </c>
      <c r="B39" t="str">
        <f ca="1">Pyramid!F41</f>
        <v/>
      </c>
      <c r="C39" t="str">
        <f ca="1">Pyramid!G41</f>
        <v/>
      </c>
      <c r="D39" t="str">
        <f ca="1">Pyramid!H41</f>
        <v/>
      </c>
      <c r="E39" t="str">
        <f ca="1">Pyramid!I41</f>
        <v/>
      </c>
      <c r="F39" t="str">
        <f ca="1">Pyramid!J41</f>
        <v/>
      </c>
      <c r="G39" t="str">
        <f ca="1">Pyramid!K41</f>
        <v/>
      </c>
      <c r="H39" t="str">
        <f ca="1">Pyramid!L41</f>
        <v/>
      </c>
      <c r="I39" t="str">
        <f>Pyramid!M41</f>
        <v>30/8/2016</v>
      </c>
      <c r="J39">
        <f ca="1">Pyramid!N41</f>
        <v>0</v>
      </c>
      <c r="K39">
        <f ca="1">Pyramid!O41</f>
        <v>17988</v>
      </c>
      <c r="L39">
        <f ca="1">Pyramid!P41</f>
        <v>1</v>
      </c>
      <c r="M39" t="str">
        <f>Pyramid!Q41</f>
        <v>30/8/2016</v>
      </c>
      <c r="N39" t="str">
        <f ca="1">Pyramid!R41</f>
        <v>26142 HK Equity</v>
      </c>
      <c r="O39" t="str">
        <f ca="1">Pyramid!S41</f>
        <v/>
      </c>
      <c r="P39" t="str">
        <f ca="1">Pyramid!T41</f>
        <v/>
      </c>
      <c r="Q39" t="str">
        <f ca="1">Pyramid!U41</f>
        <v/>
      </c>
      <c r="R39" t="str">
        <f ca="1">Pyramid!V41</f>
        <v/>
      </c>
      <c r="S39" t="str">
        <f ca="1">Pyramid!W41</f>
        <v/>
      </c>
      <c r="T39" t="str">
        <f ca="1">Pyramid!X41</f>
        <v/>
      </c>
    </row>
    <row r="40" spans="1:20">
      <c r="A40" t="str">
        <f ca="1">Pyramid!E42</f>
        <v/>
      </c>
      <c r="B40" t="str">
        <f ca="1">Pyramid!F42</f>
        <v/>
      </c>
      <c r="C40" t="str">
        <f ca="1">Pyramid!G42</f>
        <v/>
      </c>
      <c r="D40" t="str">
        <f ca="1">Pyramid!H42</f>
        <v/>
      </c>
      <c r="E40" t="str">
        <f ca="1">Pyramid!I42</f>
        <v/>
      </c>
      <c r="F40" t="str">
        <f ca="1">Pyramid!J42</f>
        <v/>
      </c>
      <c r="G40" t="str">
        <f ca="1">Pyramid!K42</f>
        <v/>
      </c>
      <c r="H40" t="str">
        <f ca="1">Pyramid!L42</f>
        <v/>
      </c>
      <c r="I40" t="str">
        <f>Pyramid!M42</f>
        <v>29/9/2016</v>
      </c>
      <c r="J40">
        <f ca="1">Pyramid!N42</f>
        <v>0</v>
      </c>
      <c r="K40">
        <f ca="1">Pyramid!O42</f>
        <v>17988</v>
      </c>
      <c r="L40">
        <f ca="1">Pyramid!P42</f>
        <v>0</v>
      </c>
      <c r="M40" t="str">
        <f>Pyramid!Q42</f>
        <v>29/9/2016</v>
      </c>
      <c r="N40" t="str">
        <f ca="1">Pyramid!R42</f>
        <v/>
      </c>
      <c r="O40" t="str">
        <f ca="1">Pyramid!S42</f>
        <v/>
      </c>
      <c r="P40" t="str">
        <f ca="1">Pyramid!T42</f>
        <v/>
      </c>
      <c r="Q40" t="str">
        <f ca="1">Pyramid!U42</f>
        <v/>
      </c>
      <c r="R40" t="str">
        <f ca="1">Pyramid!V42</f>
        <v/>
      </c>
      <c r="S40" t="str">
        <f ca="1">Pyramid!W42</f>
        <v/>
      </c>
      <c r="T40" t="str">
        <f ca="1">Pyramid!X42</f>
        <v/>
      </c>
    </row>
    <row r="41" spans="1:20">
      <c r="A41" t="str">
        <f ca="1">Pyramid!E43</f>
        <v/>
      </c>
      <c r="B41" t="str">
        <f ca="1">Pyramid!F43</f>
        <v/>
      </c>
      <c r="C41" t="str">
        <f ca="1">Pyramid!G43</f>
        <v/>
      </c>
      <c r="D41" t="str">
        <f ca="1">Pyramid!H43</f>
        <v/>
      </c>
      <c r="E41" t="str">
        <f ca="1">Pyramid!I43</f>
        <v/>
      </c>
      <c r="F41" t="str">
        <f ca="1">Pyramid!J43</f>
        <v/>
      </c>
      <c r="G41" t="str">
        <f ca="1">Pyramid!K43</f>
        <v/>
      </c>
      <c r="H41" t="str">
        <f ca="1">Pyramid!L43</f>
        <v/>
      </c>
      <c r="I41" t="str">
        <f>Pyramid!M43</f>
        <v>28/10/2016</v>
      </c>
      <c r="J41">
        <f ca="1">Pyramid!N43</f>
        <v>0</v>
      </c>
      <c r="K41">
        <f ca="1">Pyramid!O43</f>
        <v>17988</v>
      </c>
      <c r="L41">
        <f ca="1">Pyramid!P43</f>
        <v>0</v>
      </c>
      <c r="M41" t="str">
        <f>Pyramid!Q43</f>
        <v>28/10/2016</v>
      </c>
      <c r="N41" t="str">
        <f ca="1">Pyramid!R43</f>
        <v/>
      </c>
      <c r="O41" t="str">
        <f ca="1">Pyramid!S43</f>
        <v/>
      </c>
      <c r="P41" t="str">
        <f ca="1">Pyramid!T43</f>
        <v/>
      </c>
      <c r="Q41" t="str">
        <f ca="1">Pyramid!U43</f>
        <v/>
      </c>
      <c r="R41" t="str">
        <f ca="1">Pyramid!V43</f>
        <v/>
      </c>
      <c r="S41" t="str">
        <f ca="1">Pyramid!W43</f>
        <v/>
      </c>
      <c r="T41" t="str">
        <f ca="1">Pyramid!X43</f>
        <v/>
      </c>
    </row>
    <row r="42" spans="1:20">
      <c r="A42" t="str">
        <f ca="1">Pyramid!E44</f>
        <v/>
      </c>
      <c r="B42" t="str">
        <f ca="1">Pyramid!F44</f>
        <v/>
      </c>
      <c r="C42" t="str">
        <f ca="1">Pyramid!G44</f>
        <v/>
      </c>
      <c r="D42" t="str">
        <f ca="1">Pyramid!H44</f>
        <v/>
      </c>
      <c r="E42" t="str">
        <f ca="1">Pyramid!I44</f>
        <v/>
      </c>
      <c r="F42" t="str">
        <f ca="1">Pyramid!J44</f>
        <v/>
      </c>
      <c r="G42" t="str">
        <f ca="1">Pyramid!K44</f>
        <v/>
      </c>
      <c r="H42" t="str">
        <f ca="1">Pyramid!L44</f>
        <v/>
      </c>
      <c r="I42" t="str">
        <f>Pyramid!M44</f>
        <v>29/6/2016</v>
      </c>
      <c r="J42">
        <f ca="1">Pyramid!N44</f>
        <v>0</v>
      </c>
      <c r="K42">
        <f ca="1">Pyramid!O44</f>
        <v>18000</v>
      </c>
      <c r="L42">
        <f ca="1">Pyramid!P44</f>
        <v>0</v>
      </c>
      <c r="M42" t="str">
        <f>Pyramid!Q44</f>
        <v>29/6/2016</v>
      </c>
      <c r="N42" t="str">
        <f ca="1">Pyramid!R44</f>
        <v/>
      </c>
      <c r="O42" t="str">
        <f ca="1">Pyramid!S44</f>
        <v/>
      </c>
      <c r="P42" t="str">
        <f ca="1">Pyramid!T44</f>
        <v/>
      </c>
      <c r="Q42" t="str">
        <f ca="1">Pyramid!U44</f>
        <v/>
      </c>
      <c r="R42" t="str">
        <f ca="1">Pyramid!V44</f>
        <v/>
      </c>
      <c r="S42" t="str">
        <f ca="1">Pyramid!W44</f>
        <v/>
      </c>
      <c r="T42" t="str">
        <f ca="1">Pyramid!X44</f>
        <v/>
      </c>
    </row>
    <row r="43" spans="1:20">
      <c r="A43" t="str">
        <f ca="1">Pyramid!E45</f>
        <v/>
      </c>
      <c r="B43" t="str">
        <f ca="1">Pyramid!F45</f>
        <v/>
      </c>
      <c r="C43" t="str">
        <f ca="1">Pyramid!G45</f>
        <v/>
      </c>
      <c r="D43" t="str">
        <f ca="1">Pyramid!H45</f>
        <v/>
      </c>
      <c r="E43" t="str">
        <f ca="1">Pyramid!I45</f>
        <v/>
      </c>
      <c r="F43" t="str">
        <f ca="1">Pyramid!J45</f>
        <v/>
      </c>
      <c r="G43" t="str">
        <f ca="1">Pyramid!K45</f>
        <v/>
      </c>
      <c r="H43" t="str">
        <f ca="1">Pyramid!L45</f>
        <v/>
      </c>
      <c r="I43" t="str">
        <f>Pyramid!M45</f>
        <v>28/7/2016</v>
      </c>
      <c r="J43">
        <f ca="1">Pyramid!N45</f>
        <v>0</v>
      </c>
      <c r="K43">
        <f ca="1">Pyramid!O45</f>
        <v>18000</v>
      </c>
      <c r="L43">
        <f ca="1">Pyramid!P45</f>
        <v>0</v>
      </c>
      <c r="M43" t="str">
        <f>Pyramid!Q45</f>
        <v>28/7/2016</v>
      </c>
      <c r="N43" t="str">
        <f ca="1">Pyramid!R45</f>
        <v/>
      </c>
      <c r="O43" t="str">
        <f ca="1">Pyramid!S45</f>
        <v/>
      </c>
      <c r="P43" t="str">
        <f ca="1">Pyramid!T45</f>
        <v/>
      </c>
      <c r="Q43" t="str">
        <f ca="1">Pyramid!U45</f>
        <v/>
      </c>
      <c r="R43" t="str">
        <f ca="1">Pyramid!V45</f>
        <v/>
      </c>
      <c r="S43" t="str">
        <f ca="1">Pyramid!W45</f>
        <v/>
      </c>
      <c r="T43" t="str">
        <f ca="1">Pyramid!X45</f>
        <v/>
      </c>
    </row>
    <row r="44" spans="1:20">
      <c r="A44" t="str">
        <f ca="1">Pyramid!E46</f>
        <v/>
      </c>
      <c r="B44" t="str">
        <f ca="1">Pyramid!F46</f>
        <v/>
      </c>
      <c r="C44" t="str">
        <f ca="1">Pyramid!G46</f>
        <v/>
      </c>
      <c r="D44" t="str">
        <f ca="1">Pyramid!H46</f>
        <v/>
      </c>
      <c r="E44" t="str">
        <f ca="1">Pyramid!I46</f>
        <v/>
      </c>
      <c r="F44" t="str">
        <f ca="1">Pyramid!J46</f>
        <v/>
      </c>
      <c r="G44" t="str">
        <f ca="1">Pyramid!K46</f>
        <v/>
      </c>
      <c r="H44" t="str">
        <f ca="1">Pyramid!L46</f>
        <v/>
      </c>
      <c r="I44" t="str">
        <f>Pyramid!M46</f>
        <v>30/8/2016</v>
      </c>
      <c r="J44">
        <f ca="1">Pyramid!N46</f>
        <v>0</v>
      </c>
      <c r="K44">
        <f ca="1">Pyramid!O46</f>
        <v>18000</v>
      </c>
      <c r="L44">
        <f ca="1">Pyramid!P46</f>
        <v>3</v>
      </c>
      <c r="M44" t="str">
        <f>Pyramid!Q46</f>
        <v>30/8/2016</v>
      </c>
      <c r="N44" t="str">
        <f ca="1">Pyramid!R46</f>
        <v>25994 HK Equity</v>
      </c>
      <c r="O44" t="str">
        <f ca="1">Pyramid!S46</f>
        <v>26052 HK Equity</v>
      </c>
      <c r="P44" t="str">
        <f ca="1">Pyramid!T46</f>
        <v>26532 HK Equity</v>
      </c>
      <c r="Q44" t="str">
        <f ca="1">Pyramid!U46</f>
        <v/>
      </c>
      <c r="R44" t="str">
        <f ca="1">Pyramid!V46</f>
        <v/>
      </c>
      <c r="S44" t="str">
        <f ca="1">Pyramid!W46</f>
        <v/>
      </c>
      <c r="T44" t="str">
        <f ca="1">Pyramid!X46</f>
        <v/>
      </c>
    </row>
    <row r="45" spans="1:20">
      <c r="A45" t="str">
        <f ca="1">Pyramid!E47</f>
        <v/>
      </c>
      <c r="B45" t="str">
        <f ca="1">Pyramid!F47</f>
        <v/>
      </c>
      <c r="C45" t="str">
        <f ca="1">Pyramid!G47</f>
        <v/>
      </c>
      <c r="D45" t="str">
        <f ca="1">Pyramid!H47</f>
        <v/>
      </c>
      <c r="E45" t="str">
        <f ca="1">Pyramid!I47</f>
        <v>26329 HK Equity</v>
      </c>
      <c r="F45" t="str">
        <f ca="1">Pyramid!J47</f>
        <v>26064 HK Equity</v>
      </c>
      <c r="G45" t="str">
        <f ca="1">Pyramid!K47</f>
        <v>25686 HK Equity</v>
      </c>
      <c r="H45" t="str">
        <f ca="1">Pyramid!L47</f>
        <v>25986 HK Equity</v>
      </c>
      <c r="I45" t="str">
        <f>Pyramid!M47</f>
        <v>29/9/2016</v>
      </c>
      <c r="J45">
        <f ca="1">Pyramid!N47</f>
        <v>4</v>
      </c>
      <c r="K45">
        <f ca="1">Pyramid!O47</f>
        <v>18000</v>
      </c>
      <c r="L45">
        <f ca="1">Pyramid!P47</f>
        <v>0</v>
      </c>
      <c r="M45" t="str">
        <f>Pyramid!Q47</f>
        <v>29/9/2016</v>
      </c>
      <c r="N45" t="str">
        <f ca="1">Pyramid!R47</f>
        <v/>
      </c>
      <c r="O45" t="str">
        <f ca="1">Pyramid!S47</f>
        <v/>
      </c>
      <c r="P45" t="str">
        <f ca="1">Pyramid!T47</f>
        <v/>
      </c>
      <c r="Q45" t="str">
        <f ca="1">Pyramid!U47</f>
        <v/>
      </c>
      <c r="R45" t="str">
        <f ca="1">Pyramid!V47</f>
        <v/>
      </c>
      <c r="S45" t="str">
        <f ca="1">Pyramid!W47</f>
        <v/>
      </c>
      <c r="T45" t="str">
        <f ca="1">Pyramid!X47</f>
        <v/>
      </c>
    </row>
    <row r="46" spans="1:20">
      <c r="A46" t="str">
        <f ca="1">Pyramid!E48</f>
        <v/>
      </c>
      <c r="B46" t="str">
        <f ca="1">Pyramid!F48</f>
        <v/>
      </c>
      <c r="C46" t="str">
        <f ca="1">Pyramid!G48</f>
        <v/>
      </c>
      <c r="D46" t="str">
        <f ca="1">Pyramid!H48</f>
        <v/>
      </c>
      <c r="E46" t="str">
        <f ca="1">Pyramid!I48</f>
        <v/>
      </c>
      <c r="F46" t="str">
        <f ca="1">Pyramid!J48</f>
        <v/>
      </c>
      <c r="G46" t="str">
        <f ca="1">Pyramid!K48</f>
        <v/>
      </c>
      <c r="H46" t="str">
        <f ca="1">Pyramid!L48</f>
        <v/>
      </c>
      <c r="I46" t="str">
        <f>Pyramid!M48</f>
        <v>28/10/2016</v>
      </c>
      <c r="J46">
        <f ca="1">Pyramid!N48</f>
        <v>0</v>
      </c>
      <c r="K46">
        <f ca="1">Pyramid!O48</f>
        <v>18000</v>
      </c>
      <c r="L46">
        <f ca="1">Pyramid!P48</f>
        <v>0</v>
      </c>
      <c r="M46" t="str">
        <f>Pyramid!Q48</f>
        <v>28/10/2016</v>
      </c>
      <c r="N46" t="str">
        <f ca="1">Pyramid!R48</f>
        <v/>
      </c>
      <c r="O46" t="str">
        <f ca="1">Pyramid!S48</f>
        <v/>
      </c>
      <c r="P46" t="str">
        <f ca="1">Pyramid!T48</f>
        <v/>
      </c>
      <c r="Q46" t="str">
        <f ca="1">Pyramid!U48</f>
        <v/>
      </c>
      <c r="R46" t="str">
        <f ca="1">Pyramid!V48</f>
        <v/>
      </c>
      <c r="S46" t="str">
        <f ca="1">Pyramid!W48</f>
        <v/>
      </c>
      <c r="T46" t="str">
        <f ca="1">Pyramid!X48</f>
        <v/>
      </c>
    </row>
    <row r="47" spans="1:20">
      <c r="A47" t="str">
        <f ca="1">Pyramid!E49</f>
        <v/>
      </c>
      <c r="B47" t="str">
        <f ca="1">Pyramid!F49</f>
        <v/>
      </c>
      <c r="C47" t="str">
        <f ca="1">Pyramid!G49</f>
        <v/>
      </c>
      <c r="D47" t="str">
        <f ca="1">Pyramid!H49</f>
        <v/>
      </c>
      <c r="E47" t="str">
        <f ca="1">Pyramid!I49</f>
        <v/>
      </c>
      <c r="F47" t="str">
        <f ca="1">Pyramid!J49</f>
        <v/>
      </c>
      <c r="G47" t="str">
        <f ca="1">Pyramid!K49</f>
        <v/>
      </c>
      <c r="H47" t="str">
        <f ca="1">Pyramid!L49</f>
        <v/>
      </c>
      <c r="I47" t="str">
        <f>Pyramid!M49</f>
        <v>29/6/2016</v>
      </c>
      <c r="J47">
        <f ca="1">Pyramid!N49</f>
        <v>0</v>
      </c>
      <c r="K47">
        <f ca="1">Pyramid!O49</f>
        <v>18308</v>
      </c>
      <c r="L47">
        <f ca="1">Pyramid!P49</f>
        <v>0</v>
      </c>
      <c r="M47" t="str">
        <f>Pyramid!Q49</f>
        <v>29/6/2016</v>
      </c>
      <c r="N47" t="str">
        <f ca="1">Pyramid!R49</f>
        <v/>
      </c>
      <c r="O47" t="str">
        <f ca="1">Pyramid!S49</f>
        <v/>
      </c>
      <c r="P47" t="str">
        <f ca="1">Pyramid!T49</f>
        <v/>
      </c>
      <c r="Q47" t="str">
        <f ca="1">Pyramid!U49</f>
        <v/>
      </c>
      <c r="R47" t="str">
        <f ca="1">Pyramid!V49</f>
        <v/>
      </c>
      <c r="S47" t="str">
        <f ca="1">Pyramid!W49</f>
        <v/>
      </c>
      <c r="T47" t="str">
        <f ca="1">Pyramid!X49</f>
        <v/>
      </c>
    </row>
    <row r="48" spans="1:20">
      <c r="A48" t="str">
        <f ca="1">Pyramid!E50</f>
        <v/>
      </c>
      <c r="B48" t="str">
        <f ca="1">Pyramid!F50</f>
        <v/>
      </c>
      <c r="C48" t="str">
        <f ca="1">Pyramid!G50</f>
        <v/>
      </c>
      <c r="D48" t="str">
        <f ca="1">Pyramid!H50</f>
        <v/>
      </c>
      <c r="E48" t="str">
        <f ca="1">Pyramid!I50</f>
        <v/>
      </c>
      <c r="F48" t="str">
        <f ca="1">Pyramid!J50</f>
        <v/>
      </c>
      <c r="G48" t="str">
        <f ca="1">Pyramid!K50</f>
        <v/>
      </c>
      <c r="H48" t="str">
        <f ca="1">Pyramid!L50</f>
        <v/>
      </c>
      <c r="I48" t="str">
        <f>Pyramid!M50</f>
        <v>28/7/2016</v>
      </c>
      <c r="J48">
        <f ca="1">Pyramid!N50</f>
        <v>0</v>
      </c>
      <c r="K48">
        <f ca="1">Pyramid!O50</f>
        <v>18308</v>
      </c>
      <c r="L48">
        <f ca="1">Pyramid!P50</f>
        <v>0</v>
      </c>
      <c r="M48" t="str">
        <f>Pyramid!Q50</f>
        <v>28/7/2016</v>
      </c>
      <c r="N48" t="str">
        <f ca="1">Pyramid!R50</f>
        <v/>
      </c>
      <c r="O48" t="str">
        <f ca="1">Pyramid!S50</f>
        <v/>
      </c>
      <c r="P48" t="str">
        <f ca="1">Pyramid!T50</f>
        <v/>
      </c>
      <c r="Q48" t="str">
        <f ca="1">Pyramid!U50</f>
        <v/>
      </c>
      <c r="R48" t="str">
        <f ca="1">Pyramid!V50</f>
        <v/>
      </c>
      <c r="S48" t="str">
        <f ca="1">Pyramid!W50</f>
        <v/>
      </c>
      <c r="T48" t="str">
        <f ca="1">Pyramid!X50</f>
        <v/>
      </c>
    </row>
    <row r="49" spans="1:20">
      <c r="A49" t="str">
        <f ca="1">Pyramid!E51</f>
        <v/>
      </c>
      <c r="B49" t="str">
        <f ca="1">Pyramid!F51</f>
        <v/>
      </c>
      <c r="C49" t="str">
        <f ca="1">Pyramid!G51</f>
        <v/>
      </c>
      <c r="D49" t="str">
        <f ca="1">Pyramid!H51</f>
        <v/>
      </c>
      <c r="E49" t="str">
        <f ca="1">Pyramid!I51</f>
        <v/>
      </c>
      <c r="F49" t="str">
        <f ca="1">Pyramid!J51</f>
        <v/>
      </c>
      <c r="G49" t="str">
        <f ca="1">Pyramid!K51</f>
        <v/>
      </c>
      <c r="H49" t="str">
        <f ca="1">Pyramid!L51</f>
        <v/>
      </c>
      <c r="I49" t="str">
        <f>Pyramid!M51</f>
        <v>30/8/2016</v>
      </c>
      <c r="J49">
        <f ca="1">Pyramid!N51</f>
        <v>0</v>
      </c>
      <c r="K49">
        <f ca="1">Pyramid!O51</f>
        <v>18308</v>
      </c>
      <c r="L49">
        <f ca="1">Pyramid!P51</f>
        <v>0</v>
      </c>
      <c r="M49" t="str">
        <f>Pyramid!Q51</f>
        <v>30/8/2016</v>
      </c>
      <c r="N49" t="str">
        <f ca="1">Pyramid!R51</f>
        <v/>
      </c>
      <c r="O49" t="str">
        <f ca="1">Pyramid!S51</f>
        <v/>
      </c>
      <c r="P49" t="str">
        <f ca="1">Pyramid!T51</f>
        <v/>
      </c>
      <c r="Q49" t="str">
        <f ca="1">Pyramid!U51</f>
        <v/>
      </c>
      <c r="R49" t="str">
        <f ca="1">Pyramid!V51</f>
        <v/>
      </c>
      <c r="S49" t="str">
        <f ca="1">Pyramid!W51</f>
        <v/>
      </c>
      <c r="T49" t="str">
        <f ca="1">Pyramid!X51</f>
        <v/>
      </c>
    </row>
    <row r="50" spans="1:20">
      <c r="A50" t="str">
        <f ca="1">Pyramid!E52</f>
        <v/>
      </c>
      <c r="B50" t="str">
        <f ca="1">Pyramid!F52</f>
        <v/>
      </c>
      <c r="C50" t="str">
        <f ca="1">Pyramid!G52</f>
        <v/>
      </c>
      <c r="D50" t="str">
        <f ca="1">Pyramid!H52</f>
        <v/>
      </c>
      <c r="E50" t="str">
        <f ca="1">Pyramid!I52</f>
        <v/>
      </c>
      <c r="F50" t="str">
        <f ca="1">Pyramid!J52</f>
        <v/>
      </c>
      <c r="G50" t="str">
        <f ca="1">Pyramid!K52</f>
        <v/>
      </c>
      <c r="H50" t="str">
        <f ca="1">Pyramid!L52</f>
        <v/>
      </c>
      <c r="I50" t="str">
        <f>Pyramid!M52</f>
        <v>29/9/2016</v>
      </c>
      <c r="J50">
        <f ca="1">Pyramid!N52</f>
        <v>0</v>
      </c>
      <c r="K50">
        <f ca="1">Pyramid!O52</f>
        <v>18308</v>
      </c>
      <c r="L50">
        <f ca="1">Pyramid!P52</f>
        <v>1</v>
      </c>
      <c r="M50" t="str">
        <f>Pyramid!Q52</f>
        <v>29/9/2016</v>
      </c>
      <c r="N50" t="str">
        <f ca="1">Pyramid!R52</f>
        <v>27112 HK Equity</v>
      </c>
      <c r="O50" t="str">
        <f ca="1">Pyramid!S52</f>
        <v/>
      </c>
      <c r="P50" t="str">
        <f ca="1">Pyramid!T52</f>
        <v/>
      </c>
      <c r="Q50" t="str">
        <f ca="1">Pyramid!U52</f>
        <v/>
      </c>
      <c r="R50" t="str">
        <f ca="1">Pyramid!V52</f>
        <v/>
      </c>
      <c r="S50" t="str">
        <f ca="1">Pyramid!W52</f>
        <v/>
      </c>
      <c r="T50" t="str">
        <f ca="1">Pyramid!X52</f>
        <v/>
      </c>
    </row>
    <row r="51" spans="1:20">
      <c r="A51" t="str">
        <f ca="1">Pyramid!E53</f>
        <v/>
      </c>
      <c r="B51" t="str">
        <f ca="1">Pyramid!F53</f>
        <v/>
      </c>
      <c r="C51" t="str">
        <f ca="1">Pyramid!G53</f>
        <v/>
      </c>
      <c r="D51" t="str">
        <f ca="1">Pyramid!H53</f>
        <v/>
      </c>
      <c r="E51" t="str">
        <f ca="1">Pyramid!I53</f>
        <v/>
      </c>
      <c r="F51" t="str">
        <f ca="1">Pyramid!J53</f>
        <v/>
      </c>
      <c r="G51" t="str">
        <f ca="1">Pyramid!K53</f>
        <v/>
      </c>
      <c r="H51" t="str">
        <f ca="1">Pyramid!L53</f>
        <v/>
      </c>
      <c r="I51" t="str">
        <f>Pyramid!M53</f>
        <v>28/10/2016</v>
      </c>
      <c r="J51">
        <f ca="1">Pyramid!N53</f>
        <v>0</v>
      </c>
      <c r="K51">
        <f ca="1">Pyramid!O53</f>
        <v>18308</v>
      </c>
      <c r="L51">
        <f ca="1">Pyramid!P53</f>
        <v>0</v>
      </c>
      <c r="M51" t="str">
        <f>Pyramid!Q53</f>
        <v>28/10/2016</v>
      </c>
      <c r="N51" t="str">
        <f ca="1">Pyramid!R53</f>
        <v/>
      </c>
      <c r="O51" t="str">
        <f ca="1">Pyramid!S53</f>
        <v/>
      </c>
      <c r="P51" t="str">
        <f ca="1">Pyramid!T53</f>
        <v/>
      </c>
      <c r="Q51" t="str">
        <f ca="1">Pyramid!U53</f>
        <v/>
      </c>
      <c r="R51" t="str">
        <f ca="1">Pyramid!V53</f>
        <v/>
      </c>
      <c r="S51" t="str">
        <f ca="1">Pyramid!W53</f>
        <v/>
      </c>
      <c r="T51" t="str">
        <f ca="1">Pyramid!X53</f>
        <v/>
      </c>
    </row>
    <row r="52" spans="1:20">
      <c r="A52" t="str">
        <f ca="1">Pyramid!E54</f>
        <v/>
      </c>
      <c r="B52" t="str">
        <f ca="1">Pyramid!F54</f>
        <v/>
      </c>
      <c r="C52" t="str">
        <f ca="1">Pyramid!G54</f>
        <v/>
      </c>
      <c r="D52" t="str">
        <f ca="1">Pyramid!H54</f>
        <v/>
      </c>
      <c r="E52" t="str">
        <f ca="1">Pyramid!I54</f>
        <v/>
      </c>
      <c r="F52" t="str">
        <f ca="1">Pyramid!J54</f>
        <v/>
      </c>
      <c r="G52" t="str">
        <f ca="1">Pyramid!K54</f>
        <v/>
      </c>
      <c r="H52" t="str">
        <f ca="1">Pyramid!L54</f>
        <v/>
      </c>
      <c r="I52" t="str">
        <f>Pyramid!M54</f>
        <v>29/6/2016</v>
      </c>
      <c r="J52">
        <f ca="1">Pyramid!N54</f>
        <v>0</v>
      </c>
      <c r="K52">
        <f ca="1">Pyramid!O54</f>
        <v>18400</v>
      </c>
      <c r="L52">
        <f ca="1">Pyramid!P54</f>
        <v>0</v>
      </c>
      <c r="M52" t="str">
        <f>Pyramid!Q54</f>
        <v>29/6/2016</v>
      </c>
      <c r="N52" t="str">
        <f ca="1">Pyramid!R54</f>
        <v/>
      </c>
      <c r="O52" t="str">
        <f ca="1">Pyramid!S54</f>
        <v/>
      </c>
      <c r="P52" t="str">
        <f ca="1">Pyramid!T54</f>
        <v/>
      </c>
      <c r="Q52" t="str">
        <f ca="1">Pyramid!U54</f>
        <v/>
      </c>
      <c r="R52" t="str">
        <f ca="1">Pyramid!V54</f>
        <v/>
      </c>
      <c r="S52" t="str">
        <f ca="1">Pyramid!W54</f>
        <v/>
      </c>
      <c r="T52" t="str">
        <f ca="1">Pyramid!X54</f>
        <v/>
      </c>
    </row>
    <row r="53" spans="1:20">
      <c r="A53" t="str">
        <f ca="1">Pyramid!E55</f>
        <v/>
      </c>
      <c r="B53" t="str">
        <f ca="1">Pyramid!F55</f>
        <v/>
      </c>
      <c r="C53" t="str">
        <f ca="1">Pyramid!G55</f>
        <v/>
      </c>
      <c r="D53" t="str">
        <f ca="1">Pyramid!H55</f>
        <v/>
      </c>
      <c r="E53" t="str">
        <f ca="1">Pyramid!I55</f>
        <v/>
      </c>
      <c r="F53" t="str">
        <f ca="1">Pyramid!J55</f>
        <v/>
      </c>
      <c r="G53" t="str">
        <f ca="1">Pyramid!K55</f>
        <v/>
      </c>
      <c r="H53" t="str">
        <f ca="1">Pyramid!L55</f>
        <v/>
      </c>
      <c r="I53" t="str">
        <f>Pyramid!M55</f>
        <v>28/7/2016</v>
      </c>
      <c r="J53">
        <f ca="1">Pyramid!N55</f>
        <v>0</v>
      </c>
      <c r="K53">
        <f ca="1">Pyramid!O55</f>
        <v>18400</v>
      </c>
      <c r="L53">
        <f ca="1">Pyramid!P55</f>
        <v>0</v>
      </c>
      <c r="M53" t="str">
        <f>Pyramid!Q55</f>
        <v>28/7/2016</v>
      </c>
      <c r="N53" t="str">
        <f ca="1">Pyramid!R55</f>
        <v/>
      </c>
      <c r="O53" t="str">
        <f ca="1">Pyramid!S55</f>
        <v/>
      </c>
      <c r="P53" t="str">
        <f ca="1">Pyramid!T55</f>
        <v/>
      </c>
      <c r="Q53" t="str">
        <f ca="1">Pyramid!U55</f>
        <v/>
      </c>
      <c r="R53" t="str">
        <f ca="1">Pyramid!V55</f>
        <v/>
      </c>
      <c r="S53" t="str">
        <f ca="1">Pyramid!W55</f>
        <v/>
      </c>
      <c r="T53" t="str">
        <f ca="1">Pyramid!X55</f>
        <v/>
      </c>
    </row>
    <row r="54" spans="1:20">
      <c r="A54" t="str">
        <f ca="1">Pyramid!E56</f>
        <v/>
      </c>
      <c r="B54" t="str">
        <f ca="1">Pyramid!F56</f>
        <v/>
      </c>
      <c r="C54" t="str">
        <f ca="1">Pyramid!G56</f>
        <v/>
      </c>
      <c r="D54" t="str">
        <f ca="1">Pyramid!H56</f>
        <v/>
      </c>
      <c r="E54" t="str">
        <f ca="1">Pyramid!I56</f>
        <v/>
      </c>
      <c r="F54" t="str">
        <f ca="1">Pyramid!J56</f>
        <v/>
      </c>
      <c r="G54" t="str">
        <f ca="1">Pyramid!K56</f>
        <v/>
      </c>
      <c r="H54" t="str">
        <f ca="1">Pyramid!L56</f>
        <v>25948 HK Equity</v>
      </c>
      <c r="I54" t="str">
        <f>Pyramid!M56</f>
        <v>30/8/2016</v>
      </c>
      <c r="J54">
        <f ca="1">Pyramid!N56</f>
        <v>1</v>
      </c>
      <c r="K54">
        <f ca="1">Pyramid!O56</f>
        <v>18400</v>
      </c>
      <c r="L54">
        <f ca="1">Pyramid!P56</f>
        <v>2</v>
      </c>
      <c r="M54" t="str">
        <f>Pyramid!Q56</f>
        <v>30/8/2016</v>
      </c>
      <c r="N54" t="str">
        <f ca="1">Pyramid!R56</f>
        <v>25698 HK Equity</v>
      </c>
      <c r="O54" t="str">
        <f ca="1">Pyramid!S56</f>
        <v>26362 HK Equity</v>
      </c>
      <c r="P54" t="str">
        <f ca="1">Pyramid!T56</f>
        <v/>
      </c>
      <c r="Q54" t="str">
        <f ca="1">Pyramid!U56</f>
        <v/>
      </c>
      <c r="R54" t="str">
        <f ca="1">Pyramid!V56</f>
        <v/>
      </c>
      <c r="S54" t="str">
        <f ca="1">Pyramid!W56</f>
        <v/>
      </c>
      <c r="T54" t="str">
        <f ca="1">Pyramid!X56</f>
        <v/>
      </c>
    </row>
    <row r="55" spans="1:20">
      <c r="A55" t="str">
        <f ca="1">Pyramid!E57</f>
        <v/>
      </c>
      <c r="B55" t="str">
        <f ca="1">Pyramid!F57</f>
        <v/>
      </c>
      <c r="C55" t="str">
        <f ca="1">Pyramid!G57</f>
        <v/>
      </c>
      <c r="D55" t="str">
        <f ca="1">Pyramid!H57</f>
        <v/>
      </c>
      <c r="E55" t="str">
        <f ca="1">Pyramid!I57</f>
        <v/>
      </c>
      <c r="F55" t="str">
        <f ca="1">Pyramid!J57</f>
        <v/>
      </c>
      <c r="G55" t="str">
        <f ca="1">Pyramid!K57</f>
        <v/>
      </c>
      <c r="H55" t="str">
        <f ca="1">Pyramid!L57</f>
        <v/>
      </c>
      <c r="I55" t="str">
        <f>Pyramid!M57</f>
        <v>29/9/2016</v>
      </c>
      <c r="J55">
        <f ca="1">Pyramid!N57</f>
        <v>0</v>
      </c>
      <c r="K55">
        <f ca="1">Pyramid!O57</f>
        <v>18400</v>
      </c>
      <c r="L55">
        <f ca="1">Pyramid!P57</f>
        <v>3</v>
      </c>
      <c r="M55" t="str">
        <f>Pyramid!Q57</f>
        <v>29/9/2016</v>
      </c>
      <c r="N55" t="str">
        <f ca="1">Pyramid!R57</f>
        <v>25548 HK Equity</v>
      </c>
      <c r="O55" t="str">
        <f ca="1">Pyramid!S57</f>
        <v>26668 HK Equity</v>
      </c>
      <c r="P55" t="str">
        <f ca="1">Pyramid!T57</f>
        <v>25579 HK Equity</v>
      </c>
      <c r="Q55" t="str">
        <f ca="1">Pyramid!U57</f>
        <v/>
      </c>
      <c r="R55" t="str">
        <f ca="1">Pyramid!V57</f>
        <v/>
      </c>
      <c r="S55" t="str">
        <f ca="1">Pyramid!W57</f>
        <v/>
      </c>
      <c r="T55" t="str">
        <f ca="1">Pyramid!X57</f>
        <v/>
      </c>
    </row>
    <row r="56" spans="1:20">
      <c r="A56" t="str">
        <f ca="1">Pyramid!E58</f>
        <v/>
      </c>
      <c r="B56" t="str">
        <f ca="1">Pyramid!F58</f>
        <v/>
      </c>
      <c r="C56" t="str">
        <f ca="1">Pyramid!G58</f>
        <v/>
      </c>
      <c r="D56" t="str">
        <f ca="1">Pyramid!H58</f>
        <v/>
      </c>
      <c r="E56" t="str">
        <f ca="1">Pyramid!I58</f>
        <v/>
      </c>
      <c r="F56" t="str">
        <f ca="1">Pyramid!J58</f>
        <v/>
      </c>
      <c r="G56" t="str">
        <f ca="1">Pyramid!K58</f>
        <v/>
      </c>
      <c r="H56" t="str">
        <f ca="1">Pyramid!L58</f>
        <v/>
      </c>
      <c r="I56" t="str">
        <f>Pyramid!M58</f>
        <v>28/10/2016</v>
      </c>
      <c r="J56">
        <f ca="1">Pyramid!N58</f>
        <v>0</v>
      </c>
      <c r="K56">
        <f ca="1">Pyramid!O58</f>
        <v>18400</v>
      </c>
      <c r="L56">
        <f ca="1">Pyramid!P58</f>
        <v>0</v>
      </c>
      <c r="M56" t="str">
        <f>Pyramid!Q58</f>
        <v>28/10/2016</v>
      </c>
      <c r="N56" t="str">
        <f ca="1">Pyramid!R58</f>
        <v/>
      </c>
      <c r="O56" t="str">
        <f ca="1">Pyramid!S58</f>
        <v/>
      </c>
      <c r="P56" t="str">
        <f ca="1">Pyramid!T58</f>
        <v/>
      </c>
      <c r="Q56" t="str">
        <f ca="1">Pyramid!U58</f>
        <v/>
      </c>
      <c r="R56" t="str">
        <f ca="1">Pyramid!V58</f>
        <v/>
      </c>
      <c r="S56" t="str">
        <f ca="1">Pyramid!W58</f>
        <v/>
      </c>
      <c r="T56" t="str">
        <f ca="1">Pyramid!X58</f>
        <v/>
      </c>
    </row>
    <row r="57" spans="1:20">
      <c r="A57" t="str">
        <f ca="1">Pyramid!E59</f>
        <v/>
      </c>
      <c r="B57" t="str">
        <f ca="1">Pyramid!F59</f>
        <v/>
      </c>
      <c r="C57" t="str">
        <f ca="1">Pyramid!G59</f>
        <v/>
      </c>
      <c r="D57" t="str">
        <f ca="1">Pyramid!H59</f>
        <v/>
      </c>
      <c r="E57" t="str">
        <f ca="1">Pyramid!I59</f>
        <v/>
      </c>
      <c r="F57" t="str">
        <f ca="1">Pyramid!J59</f>
        <v/>
      </c>
      <c r="G57" t="str">
        <f ca="1">Pyramid!K59</f>
        <v/>
      </c>
      <c r="H57" t="str">
        <f ca="1">Pyramid!L59</f>
        <v/>
      </c>
      <c r="I57" t="str">
        <f>Pyramid!M59</f>
        <v>29/6/2016</v>
      </c>
      <c r="J57">
        <f ca="1">Pyramid!N59</f>
        <v>0</v>
      </c>
      <c r="K57">
        <f ca="1">Pyramid!O59</f>
        <v>18500</v>
      </c>
      <c r="L57">
        <f ca="1">Pyramid!P59</f>
        <v>0</v>
      </c>
      <c r="M57" t="str">
        <f>Pyramid!Q59</f>
        <v>29/6/2016</v>
      </c>
      <c r="N57" t="str">
        <f ca="1">Pyramid!R59</f>
        <v/>
      </c>
      <c r="O57" t="str">
        <f ca="1">Pyramid!S59</f>
        <v/>
      </c>
      <c r="P57" t="str">
        <f ca="1">Pyramid!T59</f>
        <v/>
      </c>
      <c r="Q57" t="str">
        <f ca="1">Pyramid!U59</f>
        <v/>
      </c>
      <c r="R57" t="str">
        <f ca="1">Pyramid!V59</f>
        <v/>
      </c>
      <c r="S57" t="str">
        <f ca="1">Pyramid!W59</f>
        <v/>
      </c>
      <c r="T57" t="str">
        <f ca="1">Pyramid!X59</f>
        <v/>
      </c>
    </row>
    <row r="58" spans="1:20">
      <c r="A58" t="str">
        <f ca="1">Pyramid!E60</f>
        <v/>
      </c>
      <c r="B58" t="str">
        <f ca="1">Pyramid!F60</f>
        <v/>
      </c>
      <c r="C58" t="str">
        <f ca="1">Pyramid!G60</f>
        <v/>
      </c>
      <c r="D58" t="str">
        <f ca="1">Pyramid!H60</f>
        <v/>
      </c>
      <c r="E58" t="str">
        <f ca="1">Pyramid!I60</f>
        <v/>
      </c>
      <c r="F58" t="str">
        <f ca="1">Pyramid!J60</f>
        <v/>
      </c>
      <c r="G58" t="str">
        <f ca="1">Pyramid!K60</f>
        <v/>
      </c>
      <c r="H58" t="str">
        <f ca="1">Pyramid!L60</f>
        <v/>
      </c>
      <c r="I58" t="str">
        <f>Pyramid!M60</f>
        <v>28/7/2016</v>
      </c>
      <c r="J58">
        <f ca="1">Pyramid!N60</f>
        <v>0</v>
      </c>
      <c r="K58">
        <f ca="1">Pyramid!O60</f>
        <v>18500</v>
      </c>
      <c r="L58">
        <f ca="1">Pyramid!P60</f>
        <v>0</v>
      </c>
      <c r="M58" t="str">
        <f>Pyramid!Q60</f>
        <v>28/7/2016</v>
      </c>
      <c r="N58" t="str">
        <f ca="1">Pyramid!R60</f>
        <v/>
      </c>
      <c r="O58" t="str">
        <f ca="1">Pyramid!S60</f>
        <v/>
      </c>
      <c r="P58" t="str">
        <f ca="1">Pyramid!T60</f>
        <v/>
      </c>
      <c r="Q58" t="str">
        <f ca="1">Pyramid!U60</f>
        <v/>
      </c>
      <c r="R58" t="str">
        <f ca="1">Pyramid!V60</f>
        <v/>
      </c>
      <c r="S58" t="str">
        <f ca="1">Pyramid!W60</f>
        <v/>
      </c>
      <c r="T58" t="str">
        <f ca="1">Pyramid!X60</f>
        <v/>
      </c>
    </row>
    <row r="59" spans="1:20">
      <c r="A59" t="str">
        <f ca="1">Pyramid!E61</f>
        <v/>
      </c>
      <c r="B59" t="str">
        <f ca="1">Pyramid!F61</f>
        <v/>
      </c>
      <c r="C59" t="str">
        <f ca="1">Pyramid!G61</f>
        <v/>
      </c>
      <c r="D59" t="str">
        <f ca="1">Pyramid!H61</f>
        <v/>
      </c>
      <c r="E59" t="str">
        <f ca="1">Pyramid!I61</f>
        <v/>
      </c>
      <c r="F59" t="str">
        <f ca="1">Pyramid!J61</f>
        <v/>
      </c>
      <c r="G59" t="str">
        <f ca="1">Pyramid!K61</f>
        <v/>
      </c>
      <c r="H59" t="str">
        <f ca="1">Pyramid!L61</f>
        <v/>
      </c>
      <c r="I59" t="str">
        <f>Pyramid!M61</f>
        <v>30/8/2016</v>
      </c>
      <c r="J59">
        <f ca="1">Pyramid!N61</f>
        <v>0</v>
      </c>
      <c r="K59">
        <f ca="1">Pyramid!O61</f>
        <v>18500</v>
      </c>
      <c r="L59">
        <f ca="1">Pyramid!P61</f>
        <v>1</v>
      </c>
      <c r="M59" t="str">
        <f>Pyramid!Q61</f>
        <v>30/8/2016</v>
      </c>
      <c r="N59" t="str">
        <f ca="1">Pyramid!R61</f>
        <v>25917 HK Equity</v>
      </c>
      <c r="O59" t="str">
        <f ca="1">Pyramid!S61</f>
        <v/>
      </c>
      <c r="P59" t="str">
        <f ca="1">Pyramid!T61</f>
        <v/>
      </c>
      <c r="Q59" t="str">
        <f ca="1">Pyramid!U61</f>
        <v/>
      </c>
      <c r="R59" t="str">
        <f ca="1">Pyramid!V61</f>
        <v/>
      </c>
      <c r="S59" t="str">
        <f ca="1">Pyramid!W61</f>
        <v/>
      </c>
      <c r="T59" t="str">
        <f ca="1">Pyramid!X61</f>
        <v/>
      </c>
    </row>
    <row r="60" spans="1:20">
      <c r="A60" t="str">
        <f ca="1">Pyramid!E62</f>
        <v/>
      </c>
      <c r="B60" t="str">
        <f ca="1">Pyramid!F62</f>
        <v/>
      </c>
      <c r="C60" t="str">
        <f ca="1">Pyramid!G62</f>
        <v/>
      </c>
      <c r="D60" t="str">
        <f ca="1">Pyramid!H62</f>
        <v/>
      </c>
      <c r="E60" t="str">
        <f ca="1">Pyramid!I62</f>
        <v/>
      </c>
      <c r="F60" t="str">
        <f ca="1">Pyramid!J62</f>
        <v/>
      </c>
      <c r="G60" t="str">
        <f ca="1">Pyramid!K62</f>
        <v/>
      </c>
      <c r="H60" t="str">
        <f ca="1">Pyramid!L62</f>
        <v/>
      </c>
      <c r="I60" t="str">
        <f>Pyramid!M62</f>
        <v>29/9/2016</v>
      </c>
      <c r="J60">
        <f ca="1">Pyramid!N62</f>
        <v>0</v>
      </c>
      <c r="K60">
        <f ca="1">Pyramid!O62</f>
        <v>18500</v>
      </c>
      <c r="L60">
        <f ca="1">Pyramid!P62</f>
        <v>0</v>
      </c>
      <c r="M60" t="str">
        <f>Pyramid!Q62</f>
        <v>29/9/2016</v>
      </c>
      <c r="N60" t="str">
        <f ca="1">Pyramid!R62</f>
        <v/>
      </c>
      <c r="O60" t="str">
        <f ca="1">Pyramid!S62</f>
        <v/>
      </c>
      <c r="P60" t="str">
        <f ca="1">Pyramid!T62</f>
        <v/>
      </c>
      <c r="Q60" t="str">
        <f ca="1">Pyramid!U62</f>
        <v/>
      </c>
      <c r="R60" t="str">
        <f ca="1">Pyramid!V62</f>
        <v/>
      </c>
      <c r="S60" t="str">
        <f ca="1">Pyramid!W62</f>
        <v/>
      </c>
      <c r="T60" t="str">
        <f ca="1">Pyramid!X62</f>
        <v/>
      </c>
    </row>
    <row r="61" spans="1:20">
      <c r="A61" t="str">
        <f ca="1">Pyramid!E63</f>
        <v/>
      </c>
      <c r="B61" t="str">
        <f ca="1">Pyramid!F63</f>
        <v/>
      </c>
      <c r="C61" t="str">
        <f ca="1">Pyramid!G63</f>
        <v/>
      </c>
      <c r="D61" t="str">
        <f ca="1">Pyramid!H63</f>
        <v/>
      </c>
      <c r="E61" t="str">
        <f ca="1">Pyramid!I63</f>
        <v/>
      </c>
      <c r="F61" t="str">
        <f ca="1">Pyramid!J63</f>
        <v/>
      </c>
      <c r="G61" t="str">
        <f ca="1">Pyramid!K63</f>
        <v/>
      </c>
      <c r="H61" t="str">
        <f ca="1">Pyramid!L63</f>
        <v/>
      </c>
      <c r="I61" t="str">
        <f>Pyramid!M63</f>
        <v>28/10/2016</v>
      </c>
      <c r="J61">
        <f ca="1">Pyramid!N63</f>
        <v>0</v>
      </c>
      <c r="K61">
        <f ca="1">Pyramid!O63</f>
        <v>18500</v>
      </c>
      <c r="L61">
        <f ca="1">Pyramid!P63</f>
        <v>0</v>
      </c>
      <c r="M61" t="str">
        <f>Pyramid!Q63</f>
        <v>28/10/2016</v>
      </c>
      <c r="N61" t="str">
        <f ca="1">Pyramid!R63</f>
        <v/>
      </c>
      <c r="O61" t="str">
        <f ca="1">Pyramid!S63</f>
        <v/>
      </c>
      <c r="P61" t="str">
        <f ca="1">Pyramid!T63</f>
        <v/>
      </c>
      <c r="Q61" t="str">
        <f ca="1">Pyramid!U63</f>
        <v/>
      </c>
      <c r="R61" t="str">
        <f ca="1">Pyramid!V63</f>
        <v/>
      </c>
      <c r="S61" t="str">
        <f ca="1">Pyramid!W63</f>
        <v/>
      </c>
      <c r="T61" t="str">
        <f ca="1">Pyramid!X63</f>
        <v/>
      </c>
    </row>
    <row r="62" spans="1:20">
      <c r="A62" t="str">
        <f ca="1">Pyramid!E64</f>
        <v/>
      </c>
      <c r="B62" t="str">
        <f ca="1">Pyramid!F64</f>
        <v/>
      </c>
      <c r="C62" t="str">
        <f ca="1">Pyramid!G64</f>
        <v/>
      </c>
      <c r="D62" t="str">
        <f ca="1">Pyramid!H64</f>
        <v/>
      </c>
      <c r="E62" t="str">
        <f ca="1">Pyramid!I64</f>
        <v/>
      </c>
      <c r="F62" t="str">
        <f ca="1">Pyramid!J64</f>
        <v/>
      </c>
      <c r="G62" t="str">
        <f ca="1">Pyramid!K64</f>
        <v/>
      </c>
      <c r="H62" t="str">
        <f ca="1">Pyramid!L64</f>
        <v/>
      </c>
      <c r="I62" t="str">
        <f>Pyramid!M64</f>
        <v>29/6/2016</v>
      </c>
      <c r="J62">
        <f ca="1">Pyramid!N64</f>
        <v>0</v>
      </c>
      <c r="K62">
        <f ca="1">Pyramid!O64</f>
        <v>18588</v>
      </c>
      <c r="L62">
        <f ca="1">Pyramid!P64</f>
        <v>0</v>
      </c>
      <c r="M62" t="str">
        <f>Pyramid!Q64</f>
        <v>29/6/2016</v>
      </c>
      <c r="N62" t="str">
        <f ca="1">Pyramid!R64</f>
        <v/>
      </c>
      <c r="O62" t="str">
        <f ca="1">Pyramid!S64</f>
        <v/>
      </c>
      <c r="P62" t="str">
        <f ca="1">Pyramid!T64</f>
        <v/>
      </c>
      <c r="Q62" t="str">
        <f ca="1">Pyramid!U64</f>
        <v/>
      </c>
      <c r="R62" t="str">
        <f ca="1">Pyramid!V64</f>
        <v/>
      </c>
      <c r="S62" t="str">
        <f ca="1">Pyramid!W64</f>
        <v/>
      </c>
      <c r="T62" t="str">
        <f ca="1">Pyramid!X64</f>
        <v/>
      </c>
    </row>
    <row r="63" spans="1:20">
      <c r="A63" t="str">
        <f ca="1">Pyramid!E65</f>
        <v/>
      </c>
      <c r="B63" t="str">
        <f ca="1">Pyramid!F65</f>
        <v/>
      </c>
      <c r="C63" t="str">
        <f ca="1">Pyramid!G65</f>
        <v/>
      </c>
      <c r="D63" t="str">
        <f ca="1">Pyramid!H65</f>
        <v/>
      </c>
      <c r="E63" t="str">
        <f ca="1">Pyramid!I65</f>
        <v/>
      </c>
      <c r="F63" t="str">
        <f ca="1">Pyramid!J65</f>
        <v/>
      </c>
      <c r="G63" t="str">
        <f ca="1">Pyramid!K65</f>
        <v/>
      </c>
      <c r="H63" t="str">
        <f ca="1">Pyramid!L65</f>
        <v/>
      </c>
      <c r="I63" t="str">
        <f>Pyramid!M65</f>
        <v>28/7/2016</v>
      </c>
      <c r="J63">
        <f ca="1">Pyramid!N65</f>
        <v>0</v>
      </c>
      <c r="K63">
        <f ca="1">Pyramid!O65</f>
        <v>18588</v>
      </c>
      <c r="L63">
        <f ca="1">Pyramid!P65</f>
        <v>0</v>
      </c>
      <c r="M63" t="str">
        <f>Pyramid!Q65</f>
        <v>28/7/2016</v>
      </c>
      <c r="N63" t="str">
        <f ca="1">Pyramid!R65</f>
        <v/>
      </c>
      <c r="O63" t="str">
        <f ca="1">Pyramid!S65</f>
        <v/>
      </c>
      <c r="P63" t="str">
        <f ca="1">Pyramid!T65</f>
        <v/>
      </c>
      <c r="Q63" t="str">
        <f ca="1">Pyramid!U65</f>
        <v/>
      </c>
      <c r="R63" t="str">
        <f ca="1">Pyramid!V65</f>
        <v/>
      </c>
      <c r="S63" t="str">
        <f ca="1">Pyramid!W65</f>
        <v/>
      </c>
      <c r="T63" t="str">
        <f ca="1">Pyramid!X65</f>
        <v/>
      </c>
    </row>
    <row r="64" spans="1:20">
      <c r="A64" t="str">
        <f ca="1">Pyramid!E66</f>
        <v/>
      </c>
      <c r="B64" t="str">
        <f ca="1">Pyramid!F66</f>
        <v/>
      </c>
      <c r="C64" t="str">
        <f ca="1">Pyramid!G66</f>
        <v/>
      </c>
      <c r="D64" t="str">
        <f ca="1">Pyramid!H66</f>
        <v/>
      </c>
      <c r="E64" t="str">
        <f ca="1">Pyramid!I66</f>
        <v/>
      </c>
      <c r="F64" t="str">
        <f ca="1">Pyramid!J66</f>
        <v/>
      </c>
      <c r="G64" t="str">
        <f ca="1">Pyramid!K66</f>
        <v/>
      </c>
      <c r="H64" t="str">
        <f ca="1">Pyramid!L66</f>
        <v/>
      </c>
      <c r="I64" t="str">
        <f>Pyramid!M66</f>
        <v>30/8/2016</v>
      </c>
      <c r="J64">
        <f ca="1">Pyramid!N66</f>
        <v>0</v>
      </c>
      <c r="K64">
        <f ca="1">Pyramid!O66</f>
        <v>18588</v>
      </c>
      <c r="L64">
        <f ca="1">Pyramid!P66</f>
        <v>1</v>
      </c>
      <c r="M64" t="str">
        <f>Pyramid!Q66</f>
        <v>30/8/2016</v>
      </c>
      <c r="N64" t="str">
        <f ca="1">Pyramid!R66</f>
        <v>26491 HK Equity</v>
      </c>
      <c r="O64" t="str">
        <f ca="1">Pyramid!S66</f>
        <v/>
      </c>
      <c r="P64" t="str">
        <f ca="1">Pyramid!T66</f>
        <v/>
      </c>
      <c r="Q64" t="str">
        <f ca="1">Pyramid!U66</f>
        <v/>
      </c>
      <c r="R64" t="str">
        <f ca="1">Pyramid!V66</f>
        <v/>
      </c>
      <c r="S64" t="str">
        <f ca="1">Pyramid!W66</f>
        <v/>
      </c>
      <c r="T64" t="str">
        <f ca="1">Pyramid!X66</f>
        <v/>
      </c>
    </row>
    <row r="65" spans="1:20">
      <c r="A65" t="str">
        <f ca="1">Pyramid!E67</f>
        <v/>
      </c>
      <c r="B65" t="str">
        <f ca="1">Pyramid!F67</f>
        <v/>
      </c>
      <c r="C65" t="str">
        <f ca="1">Pyramid!G67</f>
        <v/>
      </c>
      <c r="D65" t="str">
        <f ca="1">Pyramid!H67</f>
        <v/>
      </c>
      <c r="E65" t="str">
        <f ca="1">Pyramid!I67</f>
        <v/>
      </c>
      <c r="F65" t="str">
        <f ca="1">Pyramid!J67</f>
        <v/>
      </c>
      <c r="G65" t="str">
        <f ca="1">Pyramid!K67</f>
        <v/>
      </c>
      <c r="H65" t="str">
        <f ca="1">Pyramid!L67</f>
        <v/>
      </c>
      <c r="I65" t="str">
        <f>Pyramid!M67</f>
        <v>29/9/2016</v>
      </c>
      <c r="J65">
        <f ca="1">Pyramid!N67</f>
        <v>0</v>
      </c>
      <c r="K65">
        <f ca="1">Pyramid!O67</f>
        <v>18588</v>
      </c>
      <c r="L65">
        <f ca="1">Pyramid!P67</f>
        <v>0</v>
      </c>
      <c r="M65" t="str">
        <f>Pyramid!Q67</f>
        <v>29/9/2016</v>
      </c>
      <c r="N65" t="str">
        <f ca="1">Pyramid!R67</f>
        <v/>
      </c>
      <c r="O65" t="str">
        <f ca="1">Pyramid!S67</f>
        <v/>
      </c>
      <c r="P65" t="str">
        <f ca="1">Pyramid!T67</f>
        <v/>
      </c>
      <c r="Q65" t="str">
        <f ca="1">Pyramid!U67</f>
        <v/>
      </c>
      <c r="R65" t="str">
        <f ca="1">Pyramid!V67</f>
        <v/>
      </c>
      <c r="S65" t="str">
        <f ca="1">Pyramid!W67</f>
        <v/>
      </c>
      <c r="T65" t="str">
        <f ca="1">Pyramid!X67</f>
        <v/>
      </c>
    </row>
    <row r="66" spans="1:20">
      <c r="A66" t="str">
        <f ca="1">Pyramid!E68</f>
        <v/>
      </c>
      <c r="B66" t="str">
        <f ca="1">Pyramid!F68</f>
        <v/>
      </c>
      <c r="C66" t="str">
        <f ca="1">Pyramid!G68</f>
        <v/>
      </c>
      <c r="D66" t="str">
        <f ca="1">Pyramid!H68</f>
        <v/>
      </c>
      <c r="E66" t="str">
        <f ca="1">Pyramid!I68</f>
        <v/>
      </c>
      <c r="F66" t="str">
        <f ca="1">Pyramid!J68</f>
        <v/>
      </c>
      <c r="G66" t="str">
        <f ca="1">Pyramid!K68</f>
        <v/>
      </c>
      <c r="H66" t="str">
        <f ca="1">Pyramid!L68</f>
        <v/>
      </c>
      <c r="I66" t="str">
        <f>Pyramid!M68</f>
        <v>28/10/2016</v>
      </c>
      <c r="J66">
        <f ca="1">Pyramid!N68</f>
        <v>0</v>
      </c>
      <c r="K66">
        <f ca="1">Pyramid!O68</f>
        <v>18588</v>
      </c>
      <c r="L66">
        <f ca="1">Pyramid!P68</f>
        <v>0</v>
      </c>
      <c r="M66" t="str">
        <f>Pyramid!Q68</f>
        <v>28/10/2016</v>
      </c>
      <c r="N66" t="str">
        <f ca="1">Pyramid!R68</f>
        <v/>
      </c>
      <c r="O66" t="str">
        <f ca="1">Pyramid!S68</f>
        <v/>
      </c>
      <c r="P66" t="str">
        <f ca="1">Pyramid!T68</f>
        <v/>
      </c>
      <c r="Q66" t="str">
        <f ca="1">Pyramid!U68</f>
        <v/>
      </c>
      <c r="R66" t="str">
        <f ca="1">Pyramid!V68</f>
        <v/>
      </c>
      <c r="S66" t="str">
        <f ca="1">Pyramid!W68</f>
        <v/>
      </c>
      <c r="T66" t="str">
        <f ca="1">Pyramid!X68</f>
        <v/>
      </c>
    </row>
    <row r="67" spans="1:20">
      <c r="A67" t="str">
        <f ca="1">Pyramid!E69</f>
        <v/>
      </c>
      <c r="B67" t="str">
        <f ca="1">Pyramid!F69</f>
        <v/>
      </c>
      <c r="C67" t="str">
        <f ca="1">Pyramid!G69</f>
        <v/>
      </c>
      <c r="D67" t="str">
        <f ca="1">Pyramid!H69</f>
        <v/>
      </c>
      <c r="E67" t="str">
        <f ca="1">Pyramid!I69</f>
        <v/>
      </c>
      <c r="F67" t="str">
        <f ca="1">Pyramid!J69</f>
        <v/>
      </c>
      <c r="G67" t="str">
        <f ca="1">Pyramid!K69</f>
        <v/>
      </c>
      <c r="H67" t="str">
        <f ca="1">Pyramid!L69</f>
        <v/>
      </c>
      <c r="I67" t="str">
        <f>Pyramid!M69</f>
        <v>29/6/2016</v>
      </c>
      <c r="J67">
        <f ca="1">Pyramid!N69</f>
        <v>0</v>
      </c>
      <c r="K67">
        <f ca="1">Pyramid!O69</f>
        <v>18600</v>
      </c>
      <c r="L67">
        <f ca="1">Pyramid!P69</f>
        <v>0</v>
      </c>
      <c r="M67" t="str">
        <f>Pyramid!Q69</f>
        <v>29/6/2016</v>
      </c>
      <c r="N67" t="str">
        <f ca="1">Pyramid!R69</f>
        <v/>
      </c>
      <c r="O67" t="str">
        <f ca="1">Pyramid!S69</f>
        <v/>
      </c>
      <c r="P67" t="str">
        <f ca="1">Pyramid!T69</f>
        <v/>
      </c>
      <c r="Q67" t="str">
        <f ca="1">Pyramid!U69</f>
        <v/>
      </c>
      <c r="R67" t="str">
        <f ca="1">Pyramid!V69</f>
        <v/>
      </c>
      <c r="S67" t="str">
        <f ca="1">Pyramid!W69</f>
        <v/>
      </c>
      <c r="T67" t="str">
        <f ca="1">Pyramid!X69</f>
        <v/>
      </c>
    </row>
    <row r="68" spans="1:20">
      <c r="A68" t="str">
        <f ca="1">Pyramid!E70</f>
        <v/>
      </c>
      <c r="B68" t="str">
        <f ca="1">Pyramid!F70</f>
        <v/>
      </c>
      <c r="C68" t="str">
        <f ca="1">Pyramid!G70</f>
        <v/>
      </c>
      <c r="D68" t="str">
        <f ca="1">Pyramid!H70</f>
        <v/>
      </c>
      <c r="E68" t="str">
        <f ca="1">Pyramid!I70</f>
        <v/>
      </c>
      <c r="F68" t="str">
        <f ca="1">Pyramid!J70</f>
        <v/>
      </c>
      <c r="G68" t="str">
        <f ca="1">Pyramid!K70</f>
        <v/>
      </c>
      <c r="H68" t="str">
        <f ca="1">Pyramid!L70</f>
        <v/>
      </c>
      <c r="I68" t="str">
        <f>Pyramid!M70</f>
        <v>28/7/2016</v>
      </c>
      <c r="J68">
        <f ca="1">Pyramid!N70</f>
        <v>0</v>
      </c>
      <c r="K68">
        <f ca="1">Pyramid!O70</f>
        <v>18600</v>
      </c>
      <c r="L68">
        <f ca="1">Pyramid!P70</f>
        <v>0</v>
      </c>
      <c r="M68" t="str">
        <f>Pyramid!Q70</f>
        <v>28/7/2016</v>
      </c>
      <c r="N68" t="str">
        <f ca="1">Pyramid!R70</f>
        <v/>
      </c>
      <c r="O68" t="str">
        <f ca="1">Pyramid!S70</f>
        <v/>
      </c>
      <c r="P68" t="str">
        <f ca="1">Pyramid!T70</f>
        <v/>
      </c>
      <c r="Q68" t="str">
        <f ca="1">Pyramid!U70</f>
        <v/>
      </c>
      <c r="R68" t="str">
        <f ca="1">Pyramid!V70</f>
        <v/>
      </c>
      <c r="S68" t="str">
        <f ca="1">Pyramid!W70</f>
        <v/>
      </c>
      <c r="T68" t="str">
        <f ca="1">Pyramid!X70</f>
        <v/>
      </c>
    </row>
    <row r="69" spans="1:20">
      <c r="A69" t="str">
        <f ca="1">Pyramid!E71</f>
        <v/>
      </c>
      <c r="B69" t="str">
        <f ca="1">Pyramid!F71</f>
        <v/>
      </c>
      <c r="C69" t="str">
        <f ca="1">Pyramid!G71</f>
        <v/>
      </c>
      <c r="D69" t="str">
        <f ca="1">Pyramid!H71</f>
        <v/>
      </c>
      <c r="E69" t="str">
        <f ca="1">Pyramid!I71</f>
        <v/>
      </c>
      <c r="F69" t="str">
        <f ca="1">Pyramid!J71</f>
        <v/>
      </c>
      <c r="G69" t="str">
        <f ca="1">Pyramid!K71</f>
        <v>25902 HK Equity</v>
      </c>
      <c r="H69" t="str">
        <f ca="1">Pyramid!L71</f>
        <v>26319 HK Equity</v>
      </c>
      <c r="I69" t="str">
        <f>Pyramid!M71</f>
        <v>30/8/2016</v>
      </c>
      <c r="J69">
        <f ca="1">Pyramid!N71</f>
        <v>2</v>
      </c>
      <c r="K69">
        <f ca="1">Pyramid!O71</f>
        <v>18600</v>
      </c>
      <c r="L69">
        <f ca="1">Pyramid!P71</f>
        <v>0</v>
      </c>
      <c r="M69" t="str">
        <f>Pyramid!Q71</f>
        <v>30/8/2016</v>
      </c>
      <c r="N69" t="str">
        <f ca="1">Pyramid!R71</f>
        <v/>
      </c>
      <c r="O69" t="str">
        <f ca="1">Pyramid!S71</f>
        <v/>
      </c>
      <c r="P69" t="str">
        <f ca="1">Pyramid!T71</f>
        <v/>
      </c>
      <c r="Q69" t="str">
        <f ca="1">Pyramid!U71</f>
        <v/>
      </c>
      <c r="R69" t="str">
        <f ca="1">Pyramid!V71</f>
        <v/>
      </c>
      <c r="S69" t="str">
        <f ca="1">Pyramid!W71</f>
        <v/>
      </c>
      <c r="T69" t="str">
        <f ca="1">Pyramid!X71</f>
        <v/>
      </c>
    </row>
    <row r="70" spans="1:20">
      <c r="A70" t="str">
        <f ca="1">Pyramid!E72</f>
        <v/>
      </c>
      <c r="B70" t="str">
        <f ca="1">Pyramid!F72</f>
        <v/>
      </c>
      <c r="C70" t="str">
        <f ca="1">Pyramid!G72</f>
        <v/>
      </c>
      <c r="D70" t="str">
        <f ca="1">Pyramid!H72</f>
        <v/>
      </c>
      <c r="E70" t="str">
        <f ca="1">Pyramid!I72</f>
        <v/>
      </c>
      <c r="F70" t="str">
        <f ca="1">Pyramid!J72</f>
        <v/>
      </c>
      <c r="G70" t="str">
        <f ca="1">Pyramid!K72</f>
        <v/>
      </c>
      <c r="H70" t="str">
        <f ca="1">Pyramid!L72</f>
        <v/>
      </c>
      <c r="I70" t="str">
        <f>Pyramid!M72</f>
        <v>29/9/2016</v>
      </c>
      <c r="J70">
        <f ca="1">Pyramid!N72</f>
        <v>0</v>
      </c>
      <c r="K70">
        <f ca="1">Pyramid!O72</f>
        <v>18600</v>
      </c>
      <c r="L70">
        <f ca="1">Pyramid!P72</f>
        <v>0</v>
      </c>
      <c r="M70" t="str">
        <f>Pyramid!Q72</f>
        <v>29/9/2016</v>
      </c>
      <c r="N70" t="str">
        <f ca="1">Pyramid!R72</f>
        <v/>
      </c>
      <c r="O70" t="str">
        <f ca="1">Pyramid!S72</f>
        <v/>
      </c>
      <c r="P70" t="str">
        <f ca="1">Pyramid!T72</f>
        <v/>
      </c>
      <c r="Q70" t="str">
        <f ca="1">Pyramid!U72</f>
        <v/>
      </c>
      <c r="R70" t="str">
        <f ca="1">Pyramid!V72</f>
        <v/>
      </c>
      <c r="S70" t="str">
        <f ca="1">Pyramid!W72</f>
        <v/>
      </c>
      <c r="T70" t="str">
        <f ca="1">Pyramid!X72</f>
        <v/>
      </c>
    </row>
    <row r="71" spans="1:20">
      <c r="A71" t="str">
        <f ca="1">Pyramid!E73</f>
        <v/>
      </c>
      <c r="B71" t="str">
        <f ca="1">Pyramid!F73</f>
        <v/>
      </c>
      <c r="C71" t="str">
        <f ca="1">Pyramid!G73</f>
        <v/>
      </c>
      <c r="D71" t="str">
        <f ca="1">Pyramid!H73</f>
        <v/>
      </c>
      <c r="E71" t="str">
        <f ca="1">Pyramid!I73</f>
        <v/>
      </c>
      <c r="F71" t="str">
        <f ca="1">Pyramid!J73</f>
        <v/>
      </c>
      <c r="G71" t="str">
        <f ca="1">Pyramid!K73</f>
        <v/>
      </c>
      <c r="H71" t="str">
        <f ca="1">Pyramid!L73</f>
        <v/>
      </c>
      <c r="I71" t="str">
        <f>Pyramid!M73</f>
        <v>28/10/2016</v>
      </c>
      <c r="J71">
        <f ca="1">Pyramid!N73</f>
        <v>0</v>
      </c>
      <c r="K71">
        <f ca="1">Pyramid!O73</f>
        <v>18600</v>
      </c>
      <c r="L71">
        <f ca="1">Pyramid!P73</f>
        <v>0</v>
      </c>
      <c r="M71" t="str">
        <f>Pyramid!Q73</f>
        <v>28/10/2016</v>
      </c>
      <c r="N71" t="str">
        <f ca="1">Pyramid!R73</f>
        <v/>
      </c>
      <c r="O71" t="str">
        <f ca="1">Pyramid!S73</f>
        <v/>
      </c>
      <c r="P71" t="str">
        <f ca="1">Pyramid!T73</f>
        <v/>
      </c>
      <c r="Q71" t="str">
        <f ca="1">Pyramid!U73</f>
        <v/>
      </c>
      <c r="R71" t="str">
        <f ca="1">Pyramid!V73</f>
        <v/>
      </c>
      <c r="S71" t="str">
        <f ca="1">Pyramid!W73</f>
        <v/>
      </c>
      <c r="T71" t="str">
        <f ca="1">Pyramid!X73</f>
        <v/>
      </c>
    </row>
    <row r="72" spans="1:20">
      <c r="A72" t="str">
        <f ca="1">Pyramid!E74</f>
        <v/>
      </c>
      <c r="B72" t="str">
        <f ca="1">Pyramid!F74</f>
        <v/>
      </c>
      <c r="C72" t="str">
        <f ca="1">Pyramid!G74</f>
        <v/>
      </c>
      <c r="D72" t="str">
        <f ca="1">Pyramid!H74</f>
        <v/>
      </c>
      <c r="E72" t="str">
        <f ca="1">Pyramid!I74</f>
        <v/>
      </c>
      <c r="F72" t="str">
        <f ca="1">Pyramid!J74</f>
        <v/>
      </c>
      <c r="G72" t="str">
        <f ca="1">Pyramid!K74</f>
        <v/>
      </c>
      <c r="H72" t="str">
        <f ca="1">Pyramid!L74</f>
        <v/>
      </c>
      <c r="I72" t="str">
        <f>Pyramid!M74</f>
        <v>29/6/2016</v>
      </c>
      <c r="J72">
        <f ca="1">Pyramid!N74</f>
        <v>0</v>
      </c>
      <c r="K72">
        <f ca="1">Pyramid!O74</f>
        <v>18708</v>
      </c>
      <c r="L72">
        <f ca="1">Pyramid!P74</f>
        <v>0</v>
      </c>
      <c r="M72" t="str">
        <f>Pyramid!Q74</f>
        <v>29/6/2016</v>
      </c>
      <c r="N72" t="str">
        <f ca="1">Pyramid!R74</f>
        <v/>
      </c>
      <c r="O72" t="str">
        <f ca="1">Pyramid!S74</f>
        <v/>
      </c>
      <c r="P72" t="str">
        <f ca="1">Pyramid!T74</f>
        <v/>
      </c>
      <c r="Q72" t="str">
        <f ca="1">Pyramid!U74</f>
        <v/>
      </c>
      <c r="R72" t="str">
        <f ca="1">Pyramid!V74</f>
        <v/>
      </c>
      <c r="S72" t="str">
        <f ca="1">Pyramid!W74</f>
        <v/>
      </c>
      <c r="T72" t="str">
        <f ca="1">Pyramid!X74</f>
        <v/>
      </c>
    </row>
    <row r="73" spans="1:20">
      <c r="A73" t="str">
        <f ca="1">Pyramid!E75</f>
        <v/>
      </c>
      <c r="B73" t="str">
        <f ca="1">Pyramid!F75</f>
        <v/>
      </c>
      <c r="C73" t="str">
        <f ca="1">Pyramid!G75</f>
        <v/>
      </c>
      <c r="D73" t="str">
        <f ca="1">Pyramid!H75</f>
        <v/>
      </c>
      <c r="E73" t="str">
        <f ca="1">Pyramid!I75</f>
        <v/>
      </c>
      <c r="F73" t="str">
        <f ca="1">Pyramid!J75</f>
        <v/>
      </c>
      <c r="G73" t="str">
        <f ca="1">Pyramid!K75</f>
        <v/>
      </c>
      <c r="H73" t="str">
        <f ca="1">Pyramid!L75</f>
        <v/>
      </c>
      <c r="I73" t="str">
        <f>Pyramid!M75</f>
        <v>28/7/2016</v>
      </c>
      <c r="J73">
        <f ca="1">Pyramid!N75</f>
        <v>0</v>
      </c>
      <c r="K73">
        <f ca="1">Pyramid!O75</f>
        <v>18708</v>
      </c>
      <c r="L73">
        <f ca="1">Pyramid!P75</f>
        <v>0</v>
      </c>
      <c r="M73" t="str">
        <f>Pyramid!Q75</f>
        <v>28/7/2016</v>
      </c>
      <c r="N73" t="str">
        <f ca="1">Pyramid!R75</f>
        <v/>
      </c>
      <c r="O73" t="str">
        <f ca="1">Pyramid!S75</f>
        <v/>
      </c>
      <c r="P73" t="str">
        <f ca="1">Pyramid!T75</f>
        <v/>
      </c>
      <c r="Q73" t="str">
        <f ca="1">Pyramid!U75</f>
        <v/>
      </c>
      <c r="R73" t="str">
        <f ca="1">Pyramid!V75</f>
        <v/>
      </c>
      <c r="S73" t="str">
        <f ca="1">Pyramid!W75</f>
        <v/>
      </c>
      <c r="T73" t="str">
        <f ca="1">Pyramid!X75</f>
        <v/>
      </c>
    </row>
    <row r="74" spans="1:20">
      <c r="A74" t="str">
        <f ca="1">Pyramid!E76</f>
        <v/>
      </c>
      <c r="B74" t="str">
        <f ca="1">Pyramid!F76</f>
        <v/>
      </c>
      <c r="C74" t="str">
        <f ca="1">Pyramid!G76</f>
        <v/>
      </c>
      <c r="D74" t="str">
        <f ca="1">Pyramid!H76</f>
        <v/>
      </c>
      <c r="E74" t="str">
        <f ca="1">Pyramid!I76</f>
        <v/>
      </c>
      <c r="F74" t="str">
        <f ca="1">Pyramid!J76</f>
        <v/>
      </c>
      <c r="G74" t="str">
        <f ca="1">Pyramid!K76</f>
        <v/>
      </c>
      <c r="H74" t="str">
        <f ca="1">Pyramid!L76</f>
        <v>26201 HK Equity</v>
      </c>
      <c r="I74" t="str">
        <f>Pyramid!M76</f>
        <v>30/8/2016</v>
      </c>
      <c r="J74">
        <f ca="1">Pyramid!N76</f>
        <v>1</v>
      </c>
      <c r="K74">
        <f ca="1">Pyramid!O76</f>
        <v>18708</v>
      </c>
      <c r="L74">
        <f ca="1">Pyramid!P76</f>
        <v>0</v>
      </c>
      <c r="M74" t="str">
        <f>Pyramid!Q76</f>
        <v>30/8/2016</v>
      </c>
      <c r="N74" t="str">
        <f ca="1">Pyramid!R76</f>
        <v/>
      </c>
      <c r="O74" t="str">
        <f ca="1">Pyramid!S76</f>
        <v/>
      </c>
      <c r="P74" t="str">
        <f ca="1">Pyramid!T76</f>
        <v/>
      </c>
      <c r="Q74" t="str">
        <f ca="1">Pyramid!U76</f>
        <v/>
      </c>
      <c r="R74" t="str">
        <f ca="1">Pyramid!V76</f>
        <v/>
      </c>
      <c r="S74" t="str">
        <f ca="1">Pyramid!W76</f>
        <v/>
      </c>
      <c r="T74" t="str">
        <f ca="1">Pyramid!X76</f>
        <v/>
      </c>
    </row>
    <row r="75" spans="1:20">
      <c r="A75" t="str">
        <f ca="1">Pyramid!E77</f>
        <v/>
      </c>
      <c r="B75" t="str">
        <f ca="1">Pyramid!F77</f>
        <v/>
      </c>
      <c r="C75" t="str">
        <f ca="1">Pyramid!G77</f>
        <v/>
      </c>
      <c r="D75" t="str">
        <f ca="1">Pyramid!H77</f>
        <v/>
      </c>
      <c r="E75" t="str">
        <f ca="1">Pyramid!I77</f>
        <v/>
      </c>
      <c r="F75" t="str">
        <f ca="1">Pyramid!J77</f>
        <v/>
      </c>
      <c r="G75" t="str">
        <f ca="1">Pyramid!K77</f>
        <v/>
      </c>
      <c r="H75" t="str">
        <f ca="1">Pyramid!L77</f>
        <v/>
      </c>
      <c r="I75" t="str">
        <f>Pyramid!M77</f>
        <v>29/9/2016</v>
      </c>
      <c r="J75">
        <f ca="1">Pyramid!N77</f>
        <v>0</v>
      </c>
      <c r="K75">
        <f ca="1">Pyramid!O77</f>
        <v>18708</v>
      </c>
      <c r="L75">
        <f ca="1">Pyramid!P77</f>
        <v>0</v>
      </c>
      <c r="M75" t="str">
        <f>Pyramid!Q77</f>
        <v>29/9/2016</v>
      </c>
      <c r="N75" t="str">
        <f ca="1">Pyramid!R77</f>
        <v/>
      </c>
      <c r="O75" t="str">
        <f ca="1">Pyramid!S77</f>
        <v/>
      </c>
      <c r="P75" t="str">
        <f ca="1">Pyramid!T77</f>
        <v/>
      </c>
      <c r="Q75" t="str">
        <f ca="1">Pyramid!U77</f>
        <v/>
      </c>
      <c r="R75" t="str">
        <f ca="1">Pyramid!V77</f>
        <v/>
      </c>
      <c r="S75" t="str">
        <f ca="1">Pyramid!W77</f>
        <v/>
      </c>
      <c r="T75" t="str">
        <f ca="1">Pyramid!X77</f>
        <v/>
      </c>
    </row>
    <row r="76" spans="1:20">
      <c r="A76" t="str">
        <f ca="1">Pyramid!E78</f>
        <v/>
      </c>
      <c r="B76" t="str">
        <f ca="1">Pyramid!F78</f>
        <v/>
      </c>
      <c r="C76" t="str">
        <f ca="1">Pyramid!G78</f>
        <v/>
      </c>
      <c r="D76" t="str">
        <f ca="1">Pyramid!H78</f>
        <v/>
      </c>
      <c r="E76" t="str">
        <f ca="1">Pyramid!I78</f>
        <v/>
      </c>
      <c r="F76" t="str">
        <f ca="1">Pyramid!J78</f>
        <v/>
      </c>
      <c r="G76" t="str">
        <f ca="1">Pyramid!K78</f>
        <v/>
      </c>
      <c r="H76" t="str">
        <f ca="1">Pyramid!L78</f>
        <v/>
      </c>
      <c r="I76" t="str">
        <f>Pyramid!M78</f>
        <v>28/10/2016</v>
      </c>
      <c r="J76">
        <f ca="1">Pyramid!N78</f>
        <v>0</v>
      </c>
      <c r="K76">
        <f ca="1">Pyramid!O78</f>
        <v>18708</v>
      </c>
      <c r="L76">
        <f ca="1">Pyramid!P78</f>
        <v>0</v>
      </c>
      <c r="M76" t="str">
        <f>Pyramid!Q78</f>
        <v>28/10/2016</v>
      </c>
      <c r="N76" t="str">
        <f ca="1">Pyramid!R78</f>
        <v/>
      </c>
      <c r="O76" t="str">
        <f ca="1">Pyramid!S78</f>
        <v/>
      </c>
      <c r="P76" t="str">
        <f ca="1">Pyramid!T78</f>
        <v/>
      </c>
      <c r="Q76" t="str">
        <f ca="1">Pyramid!U78</f>
        <v/>
      </c>
      <c r="R76" t="str">
        <f ca="1">Pyramid!V78</f>
        <v/>
      </c>
      <c r="S76" t="str">
        <f ca="1">Pyramid!W78</f>
        <v/>
      </c>
      <c r="T76" t="str">
        <f ca="1">Pyramid!X78</f>
        <v/>
      </c>
    </row>
    <row r="77" spans="1:20">
      <c r="A77" t="str">
        <f ca="1">Pyramid!E79</f>
        <v/>
      </c>
      <c r="B77" t="str">
        <f ca="1">Pyramid!F79</f>
        <v/>
      </c>
      <c r="C77" t="str">
        <f ca="1">Pyramid!G79</f>
        <v/>
      </c>
      <c r="D77" t="str">
        <f ca="1">Pyramid!H79</f>
        <v/>
      </c>
      <c r="E77" t="str">
        <f ca="1">Pyramid!I79</f>
        <v/>
      </c>
      <c r="F77" t="str">
        <f ca="1">Pyramid!J79</f>
        <v/>
      </c>
      <c r="G77" t="str">
        <f ca="1">Pyramid!K79</f>
        <v/>
      </c>
      <c r="H77" t="str">
        <f ca="1">Pyramid!L79</f>
        <v/>
      </c>
      <c r="I77" t="str">
        <f>Pyramid!M79</f>
        <v>29/6/2016</v>
      </c>
      <c r="J77">
        <f ca="1">Pyramid!N79</f>
        <v>0</v>
      </c>
      <c r="K77">
        <f ca="1">Pyramid!O79</f>
        <v>18800</v>
      </c>
      <c r="L77">
        <f ca="1">Pyramid!P79</f>
        <v>0</v>
      </c>
      <c r="M77" t="str">
        <f>Pyramid!Q79</f>
        <v>29/6/2016</v>
      </c>
      <c r="N77" t="str">
        <f ca="1">Pyramid!R79</f>
        <v/>
      </c>
      <c r="O77" t="str">
        <f ca="1">Pyramid!S79</f>
        <v/>
      </c>
      <c r="P77" t="str">
        <f ca="1">Pyramid!T79</f>
        <v/>
      </c>
      <c r="Q77" t="str">
        <f ca="1">Pyramid!U79</f>
        <v/>
      </c>
      <c r="R77" t="str">
        <f ca="1">Pyramid!V79</f>
        <v/>
      </c>
      <c r="S77" t="str">
        <f ca="1">Pyramid!W79</f>
        <v/>
      </c>
      <c r="T77" t="str">
        <f ca="1">Pyramid!X79</f>
        <v/>
      </c>
    </row>
    <row r="78" spans="1:20">
      <c r="A78" t="str">
        <f ca="1">Pyramid!E80</f>
        <v/>
      </c>
      <c r="B78" t="str">
        <f ca="1">Pyramid!F80</f>
        <v/>
      </c>
      <c r="C78" t="str">
        <f ca="1">Pyramid!G80</f>
        <v/>
      </c>
      <c r="D78" t="str">
        <f ca="1">Pyramid!H80</f>
        <v/>
      </c>
      <c r="E78" t="str">
        <f ca="1">Pyramid!I80</f>
        <v/>
      </c>
      <c r="F78" t="str">
        <f ca="1">Pyramid!J80</f>
        <v/>
      </c>
      <c r="G78" t="str">
        <f ca="1">Pyramid!K80</f>
        <v/>
      </c>
      <c r="H78" t="str">
        <f ca="1">Pyramid!L80</f>
        <v/>
      </c>
      <c r="I78" t="str">
        <f>Pyramid!M80</f>
        <v>28/7/2016</v>
      </c>
      <c r="J78">
        <f ca="1">Pyramid!N80</f>
        <v>0</v>
      </c>
      <c r="K78">
        <f ca="1">Pyramid!O80</f>
        <v>18800</v>
      </c>
      <c r="L78">
        <f ca="1">Pyramid!P80</f>
        <v>0</v>
      </c>
      <c r="M78" t="str">
        <f>Pyramid!Q80</f>
        <v>28/7/2016</v>
      </c>
      <c r="N78" t="str">
        <f ca="1">Pyramid!R80</f>
        <v/>
      </c>
      <c r="O78" t="str">
        <f ca="1">Pyramid!S80</f>
        <v/>
      </c>
      <c r="P78" t="str">
        <f ca="1">Pyramid!T80</f>
        <v/>
      </c>
      <c r="Q78" t="str">
        <f ca="1">Pyramid!U80</f>
        <v/>
      </c>
      <c r="R78" t="str">
        <f ca="1">Pyramid!V80</f>
        <v/>
      </c>
      <c r="S78" t="str">
        <f ca="1">Pyramid!W80</f>
        <v/>
      </c>
      <c r="T78" t="str">
        <f ca="1">Pyramid!X80</f>
        <v/>
      </c>
    </row>
    <row r="79" spans="1:20">
      <c r="A79" t="str">
        <f ca="1">Pyramid!E81</f>
        <v/>
      </c>
      <c r="B79" t="str">
        <f ca="1">Pyramid!F81</f>
        <v/>
      </c>
      <c r="C79" t="str">
        <f ca="1">Pyramid!G81</f>
        <v/>
      </c>
      <c r="D79" t="str">
        <f ca="1">Pyramid!H81</f>
        <v/>
      </c>
      <c r="E79" t="str">
        <f ca="1">Pyramid!I81</f>
        <v/>
      </c>
      <c r="F79" t="str">
        <f ca="1">Pyramid!J81</f>
        <v/>
      </c>
      <c r="G79" t="str">
        <f ca="1">Pyramid!K81</f>
        <v/>
      </c>
      <c r="H79" t="str">
        <f ca="1">Pyramid!L81</f>
        <v/>
      </c>
      <c r="I79" t="str">
        <f>Pyramid!M81</f>
        <v>30/8/2016</v>
      </c>
      <c r="J79">
        <f ca="1">Pyramid!N81</f>
        <v>0</v>
      </c>
      <c r="K79">
        <f ca="1">Pyramid!O81</f>
        <v>18800</v>
      </c>
      <c r="L79">
        <f ca="1">Pyramid!P81</f>
        <v>0</v>
      </c>
      <c r="M79" t="str">
        <f>Pyramid!Q81</f>
        <v>30/8/2016</v>
      </c>
      <c r="N79" t="str">
        <f ca="1">Pyramid!R81</f>
        <v/>
      </c>
      <c r="O79" t="str">
        <f ca="1">Pyramid!S81</f>
        <v/>
      </c>
      <c r="P79" t="str">
        <f ca="1">Pyramid!T81</f>
        <v/>
      </c>
      <c r="Q79" t="str">
        <f ca="1">Pyramid!U81</f>
        <v/>
      </c>
      <c r="R79" t="str">
        <f ca="1">Pyramid!V81</f>
        <v/>
      </c>
      <c r="S79" t="str">
        <f ca="1">Pyramid!W81</f>
        <v/>
      </c>
      <c r="T79" t="str">
        <f ca="1">Pyramid!X81</f>
        <v/>
      </c>
    </row>
    <row r="80" spans="1:20">
      <c r="A80" t="str">
        <f ca="1">Pyramid!E82</f>
        <v/>
      </c>
      <c r="B80" t="str">
        <f ca="1">Pyramid!F82</f>
        <v/>
      </c>
      <c r="C80" t="str">
        <f ca="1">Pyramid!G82</f>
        <v/>
      </c>
      <c r="D80" t="str">
        <f ca="1">Pyramid!H82</f>
        <v/>
      </c>
      <c r="E80" t="str">
        <f ca="1">Pyramid!I82</f>
        <v/>
      </c>
      <c r="F80" t="str">
        <f ca="1">Pyramid!J82</f>
        <v/>
      </c>
      <c r="G80" t="str">
        <f ca="1">Pyramid!K82</f>
        <v/>
      </c>
      <c r="H80" t="str">
        <f ca="1">Pyramid!L82</f>
        <v/>
      </c>
      <c r="I80" t="str">
        <f>Pyramid!M82</f>
        <v>29/9/2016</v>
      </c>
      <c r="J80">
        <f ca="1">Pyramid!N82</f>
        <v>0</v>
      </c>
      <c r="K80">
        <f ca="1">Pyramid!O82</f>
        <v>18800</v>
      </c>
      <c r="L80">
        <f ca="1">Pyramid!P82</f>
        <v>3</v>
      </c>
      <c r="M80" t="str">
        <f>Pyramid!Q82</f>
        <v>29/9/2016</v>
      </c>
      <c r="N80" t="str">
        <f ca="1">Pyramid!R82</f>
        <v>26874 HK Equity</v>
      </c>
      <c r="O80" t="str">
        <f ca="1">Pyramid!S82</f>
        <v>26703 HK Equity</v>
      </c>
      <c r="P80" t="str">
        <f ca="1">Pyramid!T82</f>
        <v>28172 HK Equity</v>
      </c>
      <c r="Q80" t="str">
        <f ca="1">Pyramid!U82</f>
        <v/>
      </c>
      <c r="R80" t="str">
        <f ca="1">Pyramid!V82</f>
        <v/>
      </c>
      <c r="S80" t="str">
        <f ca="1">Pyramid!W82</f>
        <v/>
      </c>
      <c r="T80" t="str">
        <f ca="1">Pyramid!X82</f>
        <v/>
      </c>
    </row>
    <row r="81" spans="1:20">
      <c r="A81" t="str">
        <f ca="1">Pyramid!E83</f>
        <v/>
      </c>
      <c r="B81" t="str">
        <f ca="1">Pyramid!F83</f>
        <v/>
      </c>
      <c r="C81" t="str">
        <f ca="1">Pyramid!G83</f>
        <v/>
      </c>
      <c r="D81" t="str">
        <f ca="1">Pyramid!H83</f>
        <v/>
      </c>
      <c r="E81" t="str">
        <f ca="1">Pyramid!I83</f>
        <v/>
      </c>
      <c r="F81" t="str">
        <f ca="1">Pyramid!J83</f>
        <v/>
      </c>
      <c r="G81" t="str">
        <f ca="1">Pyramid!K83</f>
        <v/>
      </c>
      <c r="H81" t="str">
        <f ca="1">Pyramid!L83</f>
        <v/>
      </c>
      <c r="I81" t="str">
        <f>Pyramid!M83</f>
        <v>28/10/2016</v>
      </c>
      <c r="J81">
        <f ca="1">Pyramid!N83</f>
        <v>0</v>
      </c>
      <c r="K81">
        <f ca="1">Pyramid!O83</f>
        <v>18800</v>
      </c>
      <c r="L81">
        <f ca="1">Pyramid!P83</f>
        <v>3</v>
      </c>
      <c r="M81" t="str">
        <f>Pyramid!Q83</f>
        <v>28/10/2016</v>
      </c>
      <c r="N81" t="str">
        <f ca="1">Pyramid!R83</f>
        <v>25713 HK Equity</v>
      </c>
      <c r="O81" t="str">
        <f ca="1">Pyramid!S83</f>
        <v>28131 HK Equity</v>
      </c>
      <c r="P81" t="str">
        <f ca="1">Pyramid!T83</f>
        <v>27359 HK Equity</v>
      </c>
      <c r="Q81" t="str">
        <f ca="1">Pyramid!U83</f>
        <v/>
      </c>
      <c r="R81" t="str">
        <f ca="1">Pyramid!V83</f>
        <v/>
      </c>
      <c r="S81" t="str">
        <f ca="1">Pyramid!W83</f>
        <v/>
      </c>
      <c r="T81" t="str">
        <f ca="1">Pyramid!X83</f>
        <v/>
      </c>
    </row>
    <row r="82" spans="1:20">
      <c r="A82" t="str">
        <f ca="1">Pyramid!E84</f>
        <v/>
      </c>
      <c r="B82" t="str">
        <f ca="1">Pyramid!F84</f>
        <v/>
      </c>
      <c r="C82" t="str">
        <f ca="1">Pyramid!G84</f>
        <v/>
      </c>
      <c r="D82" t="str">
        <f ca="1">Pyramid!H84</f>
        <v/>
      </c>
      <c r="E82" t="str">
        <f ca="1">Pyramid!I84</f>
        <v/>
      </c>
      <c r="F82" t="str">
        <f ca="1">Pyramid!J84</f>
        <v/>
      </c>
      <c r="G82" t="str">
        <f ca="1">Pyramid!K84</f>
        <v/>
      </c>
      <c r="H82" t="str">
        <f ca="1">Pyramid!L84</f>
        <v/>
      </c>
      <c r="I82" t="str">
        <f>Pyramid!M84</f>
        <v>29/6/2016</v>
      </c>
      <c r="J82">
        <f ca="1">Pyramid!N84</f>
        <v>0</v>
      </c>
      <c r="K82">
        <f ca="1">Pyramid!O84</f>
        <v>18828</v>
      </c>
      <c r="L82">
        <f ca="1">Pyramid!P84</f>
        <v>0</v>
      </c>
      <c r="M82" t="str">
        <f>Pyramid!Q84</f>
        <v>29/6/2016</v>
      </c>
      <c r="N82" t="str">
        <f ca="1">Pyramid!R84</f>
        <v/>
      </c>
      <c r="O82" t="str">
        <f ca="1">Pyramid!S84</f>
        <v/>
      </c>
      <c r="P82" t="str">
        <f ca="1">Pyramid!T84</f>
        <v/>
      </c>
      <c r="Q82" t="str">
        <f ca="1">Pyramid!U84</f>
        <v/>
      </c>
      <c r="R82" t="str">
        <f ca="1">Pyramid!V84</f>
        <v/>
      </c>
      <c r="S82" t="str">
        <f ca="1">Pyramid!W84</f>
        <v/>
      </c>
      <c r="T82" t="str">
        <f ca="1">Pyramid!X84</f>
        <v/>
      </c>
    </row>
    <row r="83" spans="1:20">
      <c r="A83" t="str">
        <f ca="1">Pyramid!E85</f>
        <v/>
      </c>
      <c r="B83" t="str">
        <f ca="1">Pyramid!F85</f>
        <v/>
      </c>
      <c r="C83" t="str">
        <f ca="1">Pyramid!G85</f>
        <v/>
      </c>
      <c r="D83" t="str">
        <f ca="1">Pyramid!H85</f>
        <v/>
      </c>
      <c r="E83" t="str">
        <f ca="1">Pyramid!I85</f>
        <v/>
      </c>
      <c r="F83" t="str">
        <f ca="1">Pyramid!J85</f>
        <v/>
      </c>
      <c r="G83" t="str">
        <f ca="1">Pyramid!K85</f>
        <v/>
      </c>
      <c r="H83" t="str">
        <f ca="1">Pyramid!L85</f>
        <v/>
      </c>
      <c r="I83" t="str">
        <f>Pyramid!M85</f>
        <v>28/7/2016</v>
      </c>
      <c r="J83">
        <f ca="1">Pyramid!N85</f>
        <v>0</v>
      </c>
      <c r="K83">
        <f ca="1">Pyramid!O85</f>
        <v>18828</v>
      </c>
      <c r="L83">
        <f ca="1">Pyramid!P85</f>
        <v>0</v>
      </c>
      <c r="M83" t="str">
        <f>Pyramid!Q85</f>
        <v>28/7/2016</v>
      </c>
      <c r="N83" t="str">
        <f ca="1">Pyramid!R85</f>
        <v/>
      </c>
      <c r="O83" t="str">
        <f ca="1">Pyramid!S85</f>
        <v/>
      </c>
      <c r="P83" t="str">
        <f ca="1">Pyramid!T85</f>
        <v/>
      </c>
      <c r="Q83" t="str">
        <f ca="1">Pyramid!U85</f>
        <v/>
      </c>
      <c r="R83" t="str">
        <f ca="1">Pyramid!V85</f>
        <v/>
      </c>
      <c r="S83" t="str">
        <f ca="1">Pyramid!W85</f>
        <v/>
      </c>
      <c r="T83" t="str">
        <f ca="1">Pyramid!X85</f>
        <v/>
      </c>
    </row>
    <row r="84" spans="1:20">
      <c r="A84" t="str">
        <f ca="1">Pyramid!E86</f>
        <v/>
      </c>
      <c r="B84" t="str">
        <f ca="1">Pyramid!F86</f>
        <v/>
      </c>
      <c r="C84" t="str">
        <f ca="1">Pyramid!G86</f>
        <v/>
      </c>
      <c r="D84" t="str">
        <f ca="1">Pyramid!H86</f>
        <v/>
      </c>
      <c r="E84" t="str">
        <f ca="1">Pyramid!I86</f>
        <v/>
      </c>
      <c r="F84" t="str">
        <f ca="1">Pyramid!J86</f>
        <v/>
      </c>
      <c r="G84" t="str">
        <f ca="1">Pyramid!K86</f>
        <v/>
      </c>
      <c r="H84" t="str">
        <f ca="1">Pyramid!L86</f>
        <v/>
      </c>
      <c r="I84" t="str">
        <f>Pyramid!M86</f>
        <v>30/8/2016</v>
      </c>
      <c r="J84">
        <f ca="1">Pyramid!N86</f>
        <v>0</v>
      </c>
      <c r="K84">
        <f ca="1">Pyramid!O86</f>
        <v>18828</v>
      </c>
      <c r="L84">
        <f ca="1">Pyramid!P86</f>
        <v>0</v>
      </c>
      <c r="M84" t="str">
        <f>Pyramid!Q86</f>
        <v>30/8/2016</v>
      </c>
      <c r="N84" t="str">
        <f ca="1">Pyramid!R86</f>
        <v/>
      </c>
      <c r="O84" t="str">
        <f ca="1">Pyramid!S86</f>
        <v/>
      </c>
      <c r="P84" t="str">
        <f ca="1">Pyramid!T86</f>
        <v/>
      </c>
      <c r="Q84" t="str">
        <f ca="1">Pyramid!U86</f>
        <v/>
      </c>
      <c r="R84" t="str">
        <f ca="1">Pyramid!V86</f>
        <v/>
      </c>
      <c r="S84" t="str">
        <f ca="1">Pyramid!W86</f>
        <v/>
      </c>
      <c r="T84" t="str">
        <f ca="1">Pyramid!X86</f>
        <v/>
      </c>
    </row>
    <row r="85" spans="1:20">
      <c r="A85" t="str">
        <f ca="1">Pyramid!E87</f>
        <v/>
      </c>
      <c r="B85" t="str">
        <f ca="1">Pyramid!F87</f>
        <v/>
      </c>
      <c r="C85" t="str">
        <f ca="1">Pyramid!G87</f>
        <v/>
      </c>
      <c r="D85" t="str">
        <f ca="1">Pyramid!H87</f>
        <v/>
      </c>
      <c r="E85" t="str">
        <f ca="1">Pyramid!I87</f>
        <v/>
      </c>
      <c r="F85" t="str">
        <f ca="1">Pyramid!J87</f>
        <v/>
      </c>
      <c r="G85" t="str">
        <f ca="1">Pyramid!K87</f>
        <v/>
      </c>
      <c r="H85" t="str">
        <f ca="1">Pyramid!L87</f>
        <v/>
      </c>
      <c r="I85" t="str">
        <f>Pyramid!M87</f>
        <v>29/9/2016</v>
      </c>
      <c r="J85">
        <f ca="1">Pyramid!N87</f>
        <v>0</v>
      </c>
      <c r="K85">
        <f ca="1">Pyramid!O87</f>
        <v>18828</v>
      </c>
      <c r="L85">
        <f ca="1">Pyramid!P87</f>
        <v>0</v>
      </c>
      <c r="M85" t="str">
        <f>Pyramid!Q87</f>
        <v>29/9/2016</v>
      </c>
      <c r="N85" t="str">
        <f ca="1">Pyramid!R87</f>
        <v/>
      </c>
      <c r="O85" t="str">
        <f ca="1">Pyramid!S87</f>
        <v/>
      </c>
      <c r="P85" t="str">
        <f ca="1">Pyramid!T87</f>
        <v/>
      </c>
      <c r="Q85" t="str">
        <f ca="1">Pyramid!U87</f>
        <v/>
      </c>
      <c r="R85" t="str">
        <f ca="1">Pyramid!V87</f>
        <v/>
      </c>
      <c r="S85" t="str">
        <f ca="1">Pyramid!W87</f>
        <v/>
      </c>
      <c r="T85" t="str">
        <f ca="1">Pyramid!X87</f>
        <v/>
      </c>
    </row>
    <row r="86" spans="1:20">
      <c r="A86" t="str">
        <f ca="1">Pyramid!E88</f>
        <v/>
      </c>
      <c r="B86" t="str">
        <f ca="1">Pyramid!F88</f>
        <v/>
      </c>
      <c r="C86" t="str">
        <f ca="1">Pyramid!G88</f>
        <v/>
      </c>
      <c r="D86" t="str">
        <f ca="1">Pyramid!H88</f>
        <v/>
      </c>
      <c r="E86" t="str">
        <f ca="1">Pyramid!I88</f>
        <v/>
      </c>
      <c r="F86" t="str">
        <f ca="1">Pyramid!J88</f>
        <v/>
      </c>
      <c r="G86" t="str">
        <f ca="1">Pyramid!K88</f>
        <v/>
      </c>
      <c r="H86" t="str">
        <f ca="1">Pyramid!L88</f>
        <v/>
      </c>
      <c r="I86" t="str">
        <f>Pyramid!M88</f>
        <v>28/10/2016</v>
      </c>
      <c r="J86">
        <f ca="1">Pyramid!N88</f>
        <v>0</v>
      </c>
      <c r="K86">
        <f ca="1">Pyramid!O88</f>
        <v>18828</v>
      </c>
      <c r="L86">
        <f ca="1">Pyramid!P88</f>
        <v>1</v>
      </c>
      <c r="M86" t="str">
        <f>Pyramid!Q88</f>
        <v>28/10/2016</v>
      </c>
      <c r="N86" t="str">
        <f ca="1">Pyramid!R88</f>
        <v>28393 HK Equity</v>
      </c>
      <c r="O86" t="str">
        <f ca="1">Pyramid!S88</f>
        <v/>
      </c>
      <c r="P86" t="str">
        <f ca="1">Pyramid!T88</f>
        <v/>
      </c>
      <c r="Q86" t="str">
        <f ca="1">Pyramid!U88</f>
        <v/>
      </c>
      <c r="R86" t="str">
        <f ca="1">Pyramid!V88</f>
        <v/>
      </c>
      <c r="S86" t="str">
        <f ca="1">Pyramid!W88</f>
        <v/>
      </c>
      <c r="T86" t="str">
        <f ca="1">Pyramid!X88</f>
        <v/>
      </c>
    </row>
    <row r="87" spans="1:20">
      <c r="A87" t="str">
        <f ca="1">Pyramid!E89</f>
        <v/>
      </c>
      <c r="B87" t="str">
        <f ca="1">Pyramid!F89</f>
        <v/>
      </c>
      <c r="C87" t="str">
        <f ca="1">Pyramid!G89</f>
        <v/>
      </c>
      <c r="D87" t="str">
        <f ca="1">Pyramid!H89</f>
        <v/>
      </c>
      <c r="E87" t="str">
        <f ca="1">Pyramid!I89</f>
        <v/>
      </c>
      <c r="F87" t="str">
        <f ca="1">Pyramid!J89</f>
        <v/>
      </c>
      <c r="G87" t="str">
        <f ca="1">Pyramid!K89</f>
        <v/>
      </c>
      <c r="H87" t="str">
        <f ca="1">Pyramid!L89</f>
        <v/>
      </c>
      <c r="I87" t="str">
        <f>Pyramid!M89</f>
        <v>29/6/2016</v>
      </c>
      <c r="J87">
        <f ca="1">Pyramid!N89</f>
        <v>0</v>
      </c>
      <c r="K87">
        <f ca="1">Pyramid!O89</f>
        <v>18888</v>
      </c>
      <c r="L87">
        <f ca="1">Pyramid!P89</f>
        <v>0</v>
      </c>
      <c r="M87" t="str">
        <f>Pyramid!Q89</f>
        <v>29/6/2016</v>
      </c>
      <c r="N87" t="str">
        <f ca="1">Pyramid!R89</f>
        <v/>
      </c>
      <c r="O87" t="str">
        <f ca="1">Pyramid!S89</f>
        <v/>
      </c>
      <c r="P87" t="str">
        <f ca="1">Pyramid!T89</f>
        <v/>
      </c>
      <c r="Q87" t="str">
        <f ca="1">Pyramid!U89</f>
        <v/>
      </c>
      <c r="R87" t="str">
        <f ca="1">Pyramid!V89</f>
        <v/>
      </c>
      <c r="S87" t="str">
        <f ca="1">Pyramid!W89</f>
        <v/>
      </c>
      <c r="T87" t="str">
        <f ca="1">Pyramid!X89</f>
        <v/>
      </c>
    </row>
    <row r="88" spans="1:20">
      <c r="A88" t="str">
        <f ca="1">Pyramid!E90</f>
        <v/>
      </c>
      <c r="B88" t="str">
        <f ca="1">Pyramid!F90</f>
        <v/>
      </c>
      <c r="C88" t="str">
        <f ca="1">Pyramid!G90</f>
        <v/>
      </c>
      <c r="D88" t="str">
        <f ca="1">Pyramid!H90</f>
        <v/>
      </c>
      <c r="E88" t="str">
        <f ca="1">Pyramid!I90</f>
        <v/>
      </c>
      <c r="F88" t="str">
        <f ca="1">Pyramid!J90</f>
        <v/>
      </c>
      <c r="G88" t="str">
        <f ca="1">Pyramid!K90</f>
        <v/>
      </c>
      <c r="H88" t="str">
        <f ca="1">Pyramid!L90</f>
        <v/>
      </c>
      <c r="I88" t="str">
        <f>Pyramid!M90</f>
        <v>28/7/2016</v>
      </c>
      <c r="J88">
        <f ca="1">Pyramid!N90</f>
        <v>0</v>
      </c>
      <c r="K88">
        <f ca="1">Pyramid!O90</f>
        <v>18888</v>
      </c>
      <c r="L88">
        <f ca="1">Pyramid!P90</f>
        <v>0</v>
      </c>
      <c r="M88" t="str">
        <f>Pyramid!Q90</f>
        <v>28/7/2016</v>
      </c>
      <c r="N88" t="str">
        <f ca="1">Pyramid!R90</f>
        <v/>
      </c>
      <c r="O88" t="str">
        <f ca="1">Pyramid!S90</f>
        <v/>
      </c>
      <c r="P88" t="str">
        <f ca="1">Pyramid!T90</f>
        <v/>
      </c>
      <c r="Q88" t="str">
        <f ca="1">Pyramid!U90</f>
        <v/>
      </c>
      <c r="R88" t="str">
        <f ca="1">Pyramid!V90</f>
        <v/>
      </c>
      <c r="S88" t="str">
        <f ca="1">Pyramid!W90</f>
        <v/>
      </c>
      <c r="T88" t="str">
        <f ca="1">Pyramid!X90</f>
        <v/>
      </c>
    </row>
    <row r="89" spans="1:20">
      <c r="A89" t="str">
        <f ca="1">Pyramid!E91</f>
        <v/>
      </c>
      <c r="B89" t="str">
        <f ca="1">Pyramid!F91</f>
        <v/>
      </c>
      <c r="C89" t="str">
        <f ca="1">Pyramid!G91</f>
        <v/>
      </c>
      <c r="D89" t="str">
        <f ca="1">Pyramid!H91</f>
        <v/>
      </c>
      <c r="E89" t="str">
        <f ca="1">Pyramid!I91</f>
        <v/>
      </c>
      <c r="F89" t="str">
        <f ca="1">Pyramid!J91</f>
        <v/>
      </c>
      <c r="G89" t="str">
        <f ca="1">Pyramid!K91</f>
        <v/>
      </c>
      <c r="H89" t="str">
        <f ca="1">Pyramid!L91</f>
        <v/>
      </c>
      <c r="I89" t="str">
        <f>Pyramid!M91</f>
        <v>30/8/2016</v>
      </c>
      <c r="J89">
        <f ca="1">Pyramid!N91</f>
        <v>0</v>
      </c>
      <c r="K89">
        <f ca="1">Pyramid!O91</f>
        <v>18888</v>
      </c>
      <c r="L89">
        <f ca="1">Pyramid!P91</f>
        <v>0</v>
      </c>
      <c r="M89" t="str">
        <f>Pyramid!Q91</f>
        <v>30/8/2016</v>
      </c>
      <c r="N89" t="str">
        <f ca="1">Pyramid!R91</f>
        <v/>
      </c>
      <c r="O89" t="str">
        <f ca="1">Pyramid!S91</f>
        <v/>
      </c>
      <c r="P89" t="str">
        <f ca="1">Pyramid!T91</f>
        <v/>
      </c>
      <c r="Q89" t="str">
        <f ca="1">Pyramid!U91</f>
        <v/>
      </c>
      <c r="R89" t="str">
        <f ca="1">Pyramid!V91</f>
        <v/>
      </c>
      <c r="S89" t="str">
        <f ca="1">Pyramid!W91</f>
        <v/>
      </c>
      <c r="T89" t="str">
        <f ca="1">Pyramid!X91</f>
        <v/>
      </c>
    </row>
    <row r="90" spans="1:20">
      <c r="A90" t="str">
        <f ca="1">Pyramid!E92</f>
        <v/>
      </c>
      <c r="B90" t="str">
        <f ca="1">Pyramid!F92</f>
        <v/>
      </c>
      <c r="C90" t="str">
        <f ca="1">Pyramid!G92</f>
        <v/>
      </c>
      <c r="D90" t="str">
        <f ca="1">Pyramid!H92</f>
        <v/>
      </c>
      <c r="E90" t="str">
        <f ca="1">Pyramid!I92</f>
        <v/>
      </c>
      <c r="F90" t="str">
        <f ca="1">Pyramid!J92</f>
        <v/>
      </c>
      <c r="G90" t="str">
        <f ca="1">Pyramid!K92</f>
        <v/>
      </c>
      <c r="H90" t="str">
        <f ca="1">Pyramid!L92</f>
        <v/>
      </c>
      <c r="I90" t="str">
        <f>Pyramid!M92</f>
        <v>29/9/2016</v>
      </c>
      <c r="J90">
        <f ca="1">Pyramid!N92</f>
        <v>0</v>
      </c>
      <c r="K90">
        <f ca="1">Pyramid!O92</f>
        <v>18888</v>
      </c>
      <c r="L90">
        <f ca="1">Pyramid!P92</f>
        <v>1</v>
      </c>
      <c r="M90" t="str">
        <f>Pyramid!Q92</f>
        <v>29/9/2016</v>
      </c>
      <c r="N90" t="str">
        <f ca="1">Pyramid!R92</f>
        <v>27111 HK Equity</v>
      </c>
      <c r="O90" t="str">
        <f ca="1">Pyramid!S92</f>
        <v/>
      </c>
      <c r="P90" t="str">
        <f ca="1">Pyramid!T92</f>
        <v/>
      </c>
      <c r="Q90" t="str">
        <f ca="1">Pyramid!U92</f>
        <v/>
      </c>
      <c r="R90" t="str">
        <f ca="1">Pyramid!V92</f>
        <v/>
      </c>
      <c r="S90" t="str">
        <f ca="1">Pyramid!W92</f>
        <v/>
      </c>
      <c r="T90" t="str">
        <f ca="1">Pyramid!X92</f>
        <v/>
      </c>
    </row>
    <row r="91" spans="1:20">
      <c r="A91" t="str">
        <f ca="1">Pyramid!E93</f>
        <v/>
      </c>
      <c r="B91" t="str">
        <f ca="1">Pyramid!F93</f>
        <v/>
      </c>
      <c r="C91" t="str">
        <f ca="1">Pyramid!G93</f>
        <v/>
      </c>
      <c r="D91" t="str">
        <f ca="1">Pyramid!H93</f>
        <v/>
      </c>
      <c r="E91" t="str">
        <f ca="1">Pyramid!I93</f>
        <v/>
      </c>
      <c r="F91" t="str">
        <f ca="1">Pyramid!J93</f>
        <v/>
      </c>
      <c r="G91" t="str">
        <f ca="1">Pyramid!K93</f>
        <v/>
      </c>
      <c r="H91" t="str">
        <f ca="1">Pyramid!L93</f>
        <v/>
      </c>
      <c r="I91" t="str">
        <f>Pyramid!M93</f>
        <v>28/10/2016</v>
      </c>
      <c r="J91">
        <f ca="1">Pyramid!N93</f>
        <v>0</v>
      </c>
      <c r="K91">
        <f ca="1">Pyramid!O93</f>
        <v>18888</v>
      </c>
      <c r="L91">
        <f ca="1">Pyramid!P93</f>
        <v>0</v>
      </c>
      <c r="M91" t="str">
        <f>Pyramid!Q93</f>
        <v>28/10/2016</v>
      </c>
      <c r="N91" t="str">
        <f ca="1">Pyramid!R93</f>
        <v/>
      </c>
      <c r="O91" t="str">
        <f ca="1">Pyramid!S93</f>
        <v/>
      </c>
      <c r="P91" t="str">
        <f ca="1">Pyramid!T93</f>
        <v/>
      </c>
      <c r="Q91" t="str">
        <f ca="1">Pyramid!U93</f>
        <v/>
      </c>
      <c r="R91" t="str">
        <f ca="1">Pyramid!V93</f>
        <v/>
      </c>
      <c r="S91" t="str">
        <f ca="1">Pyramid!W93</f>
        <v/>
      </c>
      <c r="T91" t="str">
        <f ca="1">Pyramid!X93</f>
        <v/>
      </c>
    </row>
    <row r="92" spans="1:20">
      <c r="A92" t="str">
        <f ca="1">Pyramid!E94</f>
        <v/>
      </c>
      <c r="B92" t="str">
        <f ca="1">Pyramid!F94</f>
        <v/>
      </c>
      <c r="C92" t="str">
        <f ca="1">Pyramid!G94</f>
        <v/>
      </c>
      <c r="D92" t="str">
        <f ca="1">Pyramid!H94</f>
        <v/>
      </c>
      <c r="E92" t="str">
        <f ca="1">Pyramid!I94</f>
        <v/>
      </c>
      <c r="F92" t="str">
        <f ca="1">Pyramid!J94</f>
        <v/>
      </c>
      <c r="G92" t="str">
        <f ca="1">Pyramid!K94</f>
        <v/>
      </c>
      <c r="H92" t="str">
        <f ca="1">Pyramid!L94</f>
        <v/>
      </c>
      <c r="I92" t="str">
        <f>Pyramid!M94</f>
        <v>29/6/2016</v>
      </c>
      <c r="J92">
        <f ca="1">Pyramid!N94</f>
        <v>0</v>
      </c>
      <c r="K92">
        <f ca="1">Pyramid!O94</f>
        <v>18908</v>
      </c>
      <c r="L92">
        <f ca="1">Pyramid!P94</f>
        <v>1</v>
      </c>
      <c r="M92" t="str">
        <f>Pyramid!Q94</f>
        <v>29/6/2016</v>
      </c>
      <c r="N92" t="str">
        <f ca="1">Pyramid!R94</f>
        <v>25195 HK Equity</v>
      </c>
      <c r="O92" t="str">
        <f ca="1">Pyramid!S94</f>
        <v/>
      </c>
      <c r="P92" t="str">
        <f ca="1">Pyramid!T94</f>
        <v/>
      </c>
      <c r="Q92" t="str">
        <f ca="1">Pyramid!U94</f>
        <v/>
      </c>
      <c r="R92" t="str">
        <f ca="1">Pyramid!V94</f>
        <v/>
      </c>
      <c r="S92" t="str">
        <f ca="1">Pyramid!W94</f>
        <v/>
      </c>
      <c r="T92" t="str">
        <f ca="1">Pyramid!X94</f>
        <v/>
      </c>
    </row>
    <row r="93" spans="1:20">
      <c r="A93" t="str">
        <f ca="1">Pyramid!E95</f>
        <v/>
      </c>
      <c r="B93" t="str">
        <f ca="1">Pyramid!F95</f>
        <v/>
      </c>
      <c r="C93" t="str">
        <f ca="1">Pyramid!G95</f>
        <v/>
      </c>
      <c r="D93" t="str">
        <f ca="1">Pyramid!H95</f>
        <v/>
      </c>
      <c r="E93" t="str">
        <f ca="1">Pyramid!I95</f>
        <v/>
      </c>
      <c r="F93" t="str">
        <f ca="1">Pyramid!J95</f>
        <v/>
      </c>
      <c r="G93" t="str">
        <f ca="1">Pyramid!K95</f>
        <v/>
      </c>
      <c r="H93" t="str">
        <f ca="1">Pyramid!L95</f>
        <v/>
      </c>
      <c r="I93" t="str">
        <f>Pyramid!M95</f>
        <v>28/7/2016</v>
      </c>
      <c r="J93">
        <f ca="1">Pyramid!N95</f>
        <v>0</v>
      </c>
      <c r="K93">
        <f ca="1">Pyramid!O95</f>
        <v>18908</v>
      </c>
      <c r="L93">
        <f ca="1">Pyramid!P95</f>
        <v>0</v>
      </c>
      <c r="M93" t="str">
        <f>Pyramid!Q95</f>
        <v>28/7/2016</v>
      </c>
      <c r="N93" t="str">
        <f ca="1">Pyramid!R95</f>
        <v/>
      </c>
      <c r="O93" t="str">
        <f ca="1">Pyramid!S95</f>
        <v/>
      </c>
      <c r="P93" t="str">
        <f ca="1">Pyramid!T95</f>
        <v/>
      </c>
      <c r="Q93" t="str">
        <f ca="1">Pyramid!U95</f>
        <v/>
      </c>
      <c r="R93" t="str">
        <f ca="1">Pyramid!V95</f>
        <v/>
      </c>
      <c r="S93" t="str">
        <f ca="1">Pyramid!W95</f>
        <v/>
      </c>
      <c r="T93" t="str">
        <f ca="1">Pyramid!X95</f>
        <v/>
      </c>
    </row>
    <row r="94" spans="1:20">
      <c r="A94" t="str">
        <f ca="1">Pyramid!E96</f>
        <v/>
      </c>
      <c r="B94" t="str">
        <f ca="1">Pyramid!F96</f>
        <v/>
      </c>
      <c r="C94" t="str">
        <f ca="1">Pyramid!G96</f>
        <v/>
      </c>
      <c r="D94" t="str">
        <f ca="1">Pyramid!H96</f>
        <v/>
      </c>
      <c r="E94" t="str">
        <f ca="1">Pyramid!I96</f>
        <v/>
      </c>
      <c r="F94" t="str">
        <f ca="1">Pyramid!J96</f>
        <v/>
      </c>
      <c r="G94" t="str">
        <f ca="1">Pyramid!K96</f>
        <v/>
      </c>
      <c r="H94" t="str">
        <f ca="1">Pyramid!L96</f>
        <v/>
      </c>
      <c r="I94" t="str">
        <f>Pyramid!M96</f>
        <v>30/8/2016</v>
      </c>
      <c r="J94">
        <f ca="1">Pyramid!N96</f>
        <v>0</v>
      </c>
      <c r="K94">
        <f ca="1">Pyramid!O96</f>
        <v>18908</v>
      </c>
      <c r="L94">
        <f ca="1">Pyramid!P96</f>
        <v>0</v>
      </c>
      <c r="M94" t="str">
        <f>Pyramid!Q96</f>
        <v>30/8/2016</v>
      </c>
      <c r="N94" t="str">
        <f ca="1">Pyramid!R96</f>
        <v/>
      </c>
      <c r="O94" t="str">
        <f ca="1">Pyramid!S96</f>
        <v/>
      </c>
      <c r="P94" t="str">
        <f ca="1">Pyramid!T96</f>
        <v/>
      </c>
      <c r="Q94" t="str">
        <f ca="1">Pyramid!U96</f>
        <v/>
      </c>
      <c r="R94" t="str">
        <f ca="1">Pyramid!V96</f>
        <v/>
      </c>
      <c r="S94" t="str">
        <f ca="1">Pyramid!W96</f>
        <v/>
      </c>
      <c r="T94" t="str">
        <f ca="1">Pyramid!X96</f>
        <v/>
      </c>
    </row>
    <row r="95" spans="1:20">
      <c r="A95" t="str">
        <f ca="1">Pyramid!E97</f>
        <v/>
      </c>
      <c r="B95" t="str">
        <f ca="1">Pyramid!F97</f>
        <v/>
      </c>
      <c r="C95" t="str">
        <f ca="1">Pyramid!G97</f>
        <v/>
      </c>
      <c r="D95" t="str">
        <f ca="1">Pyramid!H97</f>
        <v/>
      </c>
      <c r="E95" t="str">
        <f ca="1">Pyramid!I97</f>
        <v/>
      </c>
      <c r="F95" t="str">
        <f ca="1">Pyramid!J97</f>
        <v/>
      </c>
      <c r="G95" t="str">
        <f ca="1">Pyramid!K97</f>
        <v/>
      </c>
      <c r="H95" t="str">
        <f ca="1">Pyramid!L97</f>
        <v/>
      </c>
      <c r="I95" t="str">
        <f>Pyramid!M97</f>
        <v>29/9/2016</v>
      </c>
      <c r="J95">
        <f ca="1">Pyramid!N97</f>
        <v>0</v>
      </c>
      <c r="K95">
        <f ca="1">Pyramid!O97</f>
        <v>18908</v>
      </c>
      <c r="L95">
        <f ca="1">Pyramid!P97</f>
        <v>0</v>
      </c>
      <c r="M95" t="str">
        <f>Pyramid!Q97</f>
        <v>29/9/2016</v>
      </c>
      <c r="N95" t="str">
        <f ca="1">Pyramid!R97</f>
        <v/>
      </c>
      <c r="O95" t="str">
        <f ca="1">Pyramid!S97</f>
        <v/>
      </c>
      <c r="P95" t="str">
        <f ca="1">Pyramid!T97</f>
        <v/>
      </c>
      <c r="Q95" t="str">
        <f ca="1">Pyramid!U97</f>
        <v/>
      </c>
      <c r="R95" t="str">
        <f ca="1">Pyramid!V97</f>
        <v/>
      </c>
      <c r="S95" t="str">
        <f ca="1">Pyramid!W97</f>
        <v/>
      </c>
      <c r="T95" t="str">
        <f ca="1">Pyramid!X97</f>
        <v/>
      </c>
    </row>
    <row r="96" spans="1:20">
      <c r="A96" t="str">
        <f ca="1">Pyramid!E98</f>
        <v/>
      </c>
      <c r="B96" t="str">
        <f ca="1">Pyramid!F98</f>
        <v/>
      </c>
      <c r="C96" t="str">
        <f ca="1">Pyramid!G98</f>
        <v/>
      </c>
      <c r="D96" t="str">
        <f ca="1">Pyramid!H98</f>
        <v/>
      </c>
      <c r="E96" t="str">
        <f ca="1">Pyramid!I98</f>
        <v/>
      </c>
      <c r="F96" t="str">
        <f ca="1">Pyramid!J98</f>
        <v/>
      </c>
      <c r="G96" t="str">
        <f ca="1">Pyramid!K98</f>
        <v/>
      </c>
      <c r="H96" t="str">
        <f ca="1">Pyramid!L98</f>
        <v/>
      </c>
      <c r="I96" t="str">
        <f>Pyramid!M98</f>
        <v>28/10/2016</v>
      </c>
      <c r="J96">
        <f ca="1">Pyramid!N98</f>
        <v>0</v>
      </c>
      <c r="K96">
        <f ca="1">Pyramid!O98</f>
        <v>18908</v>
      </c>
      <c r="L96">
        <f ca="1">Pyramid!P98</f>
        <v>0</v>
      </c>
      <c r="M96" t="str">
        <f>Pyramid!Q98</f>
        <v>28/10/2016</v>
      </c>
      <c r="N96" t="str">
        <f ca="1">Pyramid!R98</f>
        <v/>
      </c>
      <c r="O96" t="str">
        <f ca="1">Pyramid!S98</f>
        <v/>
      </c>
      <c r="P96" t="str">
        <f ca="1">Pyramid!T98</f>
        <v/>
      </c>
      <c r="Q96" t="str">
        <f ca="1">Pyramid!U98</f>
        <v/>
      </c>
      <c r="R96" t="str">
        <f ca="1">Pyramid!V98</f>
        <v/>
      </c>
      <c r="S96" t="str">
        <f ca="1">Pyramid!W98</f>
        <v/>
      </c>
      <c r="T96" t="str">
        <f ca="1">Pyramid!X98</f>
        <v/>
      </c>
    </row>
    <row r="97" spans="1:20">
      <c r="A97" t="str">
        <f ca="1">Pyramid!E99</f>
        <v/>
      </c>
      <c r="B97" t="str">
        <f ca="1">Pyramid!F99</f>
        <v/>
      </c>
      <c r="C97" t="str">
        <f ca="1">Pyramid!G99</f>
        <v/>
      </c>
      <c r="D97" t="str">
        <f ca="1">Pyramid!H99</f>
        <v/>
      </c>
      <c r="E97" t="str">
        <f ca="1">Pyramid!I99</f>
        <v/>
      </c>
      <c r="F97" t="str">
        <f ca="1">Pyramid!J99</f>
        <v/>
      </c>
      <c r="G97" t="str">
        <f ca="1">Pyramid!K99</f>
        <v/>
      </c>
      <c r="H97" t="str">
        <f ca="1">Pyramid!L99</f>
        <v/>
      </c>
      <c r="I97" t="str">
        <f>Pyramid!M99</f>
        <v>29/6/2016</v>
      </c>
      <c r="J97">
        <f ca="1">Pyramid!N99</f>
        <v>0</v>
      </c>
      <c r="K97">
        <f ca="1">Pyramid!O99</f>
        <v>18968</v>
      </c>
      <c r="L97">
        <f ca="1">Pyramid!P99</f>
        <v>0</v>
      </c>
      <c r="M97" t="str">
        <f>Pyramid!Q99</f>
        <v>29/6/2016</v>
      </c>
      <c r="N97" t="str">
        <f ca="1">Pyramid!R99</f>
        <v/>
      </c>
      <c r="O97" t="str">
        <f ca="1">Pyramid!S99</f>
        <v/>
      </c>
      <c r="P97" t="str">
        <f ca="1">Pyramid!T99</f>
        <v/>
      </c>
      <c r="Q97" t="str">
        <f ca="1">Pyramid!U99</f>
        <v/>
      </c>
      <c r="R97" t="str">
        <f ca="1">Pyramid!V99</f>
        <v/>
      </c>
      <c r="S97" t="str">
        <f ca="1">Pyramid!W99</f>
        <v/>
      </c>
      <c r="T97" t="str">
        <f ca="1">Pyramid!X99</f>
        <v/>
      </c>
    </row>
    <row r="98" spans="1:20">
      <c r="A98" t="str">
        <f ca="1">Pyramid!E100</f>
        <v/>
      </c>
      <c r="B98" t="str">
        <f ca="1">Pyramid!F100</f>
        <v/>
      </c>
      <c r="C98" t="str">
        <f ca="1">Pyramid!G100</f>
        <v/>
      </c>
      <c r="D98" t="str">
        <f ca="1">Pyramid!H100</f>
        <v/>
      </c>
      <c r="E98" t="str">
        <f ca="1">Pyramid!I100</f>
        <v/>
      </c>
      <c r="F98" t="str">
        <f ca="1">Pyramid!J100</f>
        <v/>
      </c>
      <c r="G98" t="str">
        <f ca="1">Pyramid!K100</f>
        <v/>
      </c>
      <c r="H98" t="str">
        <f ca="1">Pyramid!L100</f>
        <v/>
      </c>
      <c r="I98" t="str">
        <f>Pyramid!M100</f>
        <v>28/7/2016</v>
      </c>
      <c r="J98">
        <f ca="1">Pyramid!N100</f>
        <v>0</v>
      </c>
      <c r="K98">
        <f ca="1">Pyramid!O100</f>
        <v>18968</v>
      </c>
      <c r="L98">
        <f ca="1">Pyramid!P100</f>
        <v>0</v>
      </c>
      <c r="M98" t="str">
        <f>Pyramid!Q100</f>
        <v>28/7/2016</v>
      </c>
      <c r="N98" t="str">
        <f ca="1">Pyramid!R100</f>
        <v/>
      </c>
      <c r="O98" t="str">
        <f ca="1">Pyramid!S100</f>
        <v/>
      </c>
      <c r="P98" t="str">
        <f ca="1">Pyramid!T100</f>
        <v/>
      </c>
      <c r="Q98" t="str">
        <f ca="1">Pyramid!U100</f>
        <v/>
      </c>
      <c r="R98" t="str">
        <f ca="1">Pyramid!V100</f>
        <v/>
      </c>
      <c r="S98" t="str">
        <f ca="1">Pyramid!W100</f>
        <v/>
      </c>
      <c r="T98" t="str">
        <f ca="1">Pyramid!X100</f>
        <v/>
      </c>
    </row>
    <row r="99" spans="1:20">
      <c r="A99" t="str">
        <f ca="1">Pyramid!E101</f>
        <v/>
      </c>
      <c r="B99" t="str">
        <f ca="1">Pyramid!F101</f>
        <v/>
      </c>
      <c r="C99" t="str">
        <f ca="1">Pyramid!G101</f>
        <v/>
      </c>
      <c r="D99" t="str">
        <f ca="1">Pyramid!H101</f>
        <v/>
      </c>
      <c r="E99" t="str">
        <f ca="1">Pyramid!I101</f>
        <v/>
      </c>
      <c r="F99" t="str">
        <f ca="1">Pyramid!J101</f>
        <v/>
      </c>
      <c r="G99" t="str">
        <f ca="1">Pyramid!K101</f>
        <v/>
      </c>
      <c r="H99" t="str">
        <f ca="1">Pyramid!L101</f>
        <v/>
      </c>
      <c r="I99" t="str">
        <f>Pyramid!M101</f>
        <v>30/8/2016</v>
      </c>
      <c r="J99">
        <f ca="1">Pyramid!N101</f>
        <v>0</v>
      </c>
      <c r="K99">
        <f ca="1">Pyramid!O101</f>
        <v>18968</v>
      </c>
      <c r="L99">
        <f ca="1">Pyramid!P101</f>
        <v>0</v>
      </c>
      <c r="M99" t="str">
        <f>Pyramid!Q101</f>
        <v>30/8/2016</v>
      </c>
      <c r="N99" t="str">
        <f ca="1">Pyramid!R101</f>
        <v/>
      </c>
      <c r="O99" t="str">
        <f ca="1">Pyramid!S101</f>
        <v/>
      </c>
      <c r="P99" t="str">
        <f ca="1">Pyramid!T101</f>
        <v/>
      </c>
      <c r="Q99" t="str">
        <f ca="1">Pyramid!U101</f>
        <v/>
      </c>
      <c r="R99" t="str">
        <f ca="1">Pyramid!V101</f>
        <v/>
      </c>
      <c r="S99" t="str">
        <f ca="1">Pyramid!W101</f>
        <v/>
      </c>
      <c r="T99" t="str">
        <f ca="1">Pyramid!X101</f>
        <v/>
      </c>
    </row>
    <row r="100" spans="1:20">
      <c r="A100" t="str">
        <f ca="1">Pyramid!E102</f>
        <v/>
      </c>
      <c r="B100" t="str">
        <f ca="1">Pyramid!F102</f>
        <v/>
      </c>
      <c r="C100" t="str">
        <f ca="1">Pyramid!G102</f>
        <v/>
      </c>
      <c r="D100" t="str">
        <f ca="1">Pyramid!H102</f>
        <v/>
      </c>
      <c r="E100" t="str">
        <f ca="1">Pyramid!I102</f>
        <v/>
      </c>
      <c r="F100" t="str">
        <f ca="1">Pyramid!J102</f>
        <v/>
      </c>
      <c r="G100" t="str">
        <f ca="1">Pyramid!K102</f>
        <v/>
      </c>
      <c r="H100" t="str">
        <f ca="1">Pyramid!L102</f>
        <v/>
      </c>
      <c r="I100" t="str">
        <f>Pyramid!M102</f>
        <v>29/9/2016</v>
      </c>
      <c r="J100">
        <f ca="1">Pyramid!N102</f>
        <v>0</v>
      </c>
      <c r="K100">
        <f ca="1">Pyramid!O102</f>
        <v>18968</v>
      </c>
      <c r="L100">
        <f ca="1">Pyramid!P102</f>
        <v>0</v>
      </c>
      <c r="M100" t="str">
        <f>Pyramid!Q102</f>
        <v>29/9/2016</v>
      </c>
      <c r="N100" t="str">
        <f ca="1">Pyramid!R102</f>
        <v/>
      </c>
      <c r="O100" t="str">
        <f ca="1">Pyramid!S102</f>
        <v/>
      </c>
      <c r="P100" t="str">
        <f ca="1">Pyramid!T102</f>
        <v/>
      </c>
      <c r="Q100" t="str">
        <f ca="1">Pyramid!U102</f>
        <v/>
      </c>
      <c r="R100" t="str">
        <f ca="1">Pyramid!V102</f>
        <v/>
      </c>
      <c r="S100" t="str">
        <f ca="1">Pyramid!W102</f>
        <v/>
      </c>
      <c r="T100" t="str">
        <f ca="1">Pyramid!X102</f>
        <v/>
      </c>
    </row>
    <row r="101" spans="1:20">
      <c r="A101" t="str">
        <f ca="1">Pyramid!E103</f>
        <v/>
      </c>
      <c r="B101" t="str">
        <f ca="1">Pyramid!F103</f>
        <v/>
      </c>
      <c r="C101" t="str">
        <f ca="1">Pyramid!G103</f>
        <v/>
      </c>
      <c r="D101" t="str">
        <f ca="1">Pyramid!H103</f>
        <v/>
      </c>
      <c r="E101" t="str">
        <f ca="1">Pyramid!I103</f>
        <v/>
      </c>
      <c r="F101" t="str">
        <f ca="1">Pyramid!J103</f>
        <v/>
      </c>
      <c r="G101" t="str">
        <f ca="1">Pyramid!K103</f>
        <v/>
      </c>
      <c r="H101" t="str">
        <f ca="1">Pyramid!L103</f>
        <v/>
      </c>
      <c r="I101" t="str">
        <f>Pyramid!M103</f>
        <v>28/10/2016</v>
      </c>
      <c r="J101">
        <f ca="1">Pyramid!N103</f>
        <v>0</v>
      </c>
      <c r="K101">
        <f ca="1">Pyramid!O103</f>
        <v>18968</v>
      </c>
      <c r="L101">
        <f ca="1">Pyramid!P103</f>
        <v>0</v>
      </c>
      <c r="M101" t="str">
        <f>Pyramid!Q103</f>
        <v>28/10/2016</v>
      </c>
      <c r="N101" t="str">
        <f ca="1">Pyramid!R103</f>
        <v/>
      </c>
      <c r="O101" t="str">
        <f ca="1">Pyramid!S103</f>
        <v/>
      </c>
      <c r="P101" t="str">
        <f ca="1">Pyramid!T103</f>
        <v/>
      </c>
      <c r="Q101" t="str">
        <f ca="1">Pyramid!U103</f>
        <v/>
      </c>
      <c r="R101" t="str">
        <f ca="1">Pyramid!V103</f>
        <v/>
      </c>
      <c r="S101" t="str">
        <f ca="1">Pyramid!W103</f>
        <v/>
      </c>
      <c r="T101" t="str">
        <f ca="1">Pyramid!X103</f>
        <v/>
      </c>
    </row>
    <row r="102" spans="1:20">
      <c r="A102" t="str">
        <f ca="1">Pyramid!E104</f>
        <v/>
      </c>
      <c r="B102" t="str">
        <f ca="1">Pyramid!F104</f>
        <v/>
      </c>
      <c r="C102" t="str">
        <f ca="1">Pyramid!G104</f>
        <v/>
      </c>
      <c r="D102" t="str">
        <f ca="1">Pyramid!H104</f>
        <v/>
      </c>
      <c r="E102" t="str">
        <f ca="1">Pyramid!I104</f>
        <v/>
      </c>
      <c r="F102" t="str">
        <f ca="1">Pyramid!J104</f>
        <v/>
      </c>
      <c r="G102" t="str">
        <f ca="1">Pyramid!K104</f>
        <v/>
      </c>
      <c r="H102" t="str">
        <f ca="1">Pyramid!L104</f>
        <v/>
      </c>
      <c r="I102" t="str">
        <f>Pyramid!M104</f>
        <v>29/6/2016</v>
      </c>
      <c r="J102">
        <f ca="1">Pyramid!N104</f>
        <v>0</v>
      </c>
      <c r="K102">
        <f ca="1">Pyramid!O104</f>
        <v>19000</v>
      </c>
      <c r="L102">
        <f ca="1">Pyramid!P104</f>
        <v>4</v>
      </c>
      <c r="M102" t="str">
        <f>Pyramid!Q104</f>
        <v>29/6/2016</v>
      </c>
      <c r="N102" t="str">
        <f ca="1">Pyramid!R104</f>
        <v>26764 HK Equity</v>
      </c>
      <c r="O102" t="str">
        <f ca="1">Pyramid!S104</f>
        <v>24691 HK Equity</v>
      </c>
      <c r="P102" t="str">
        <f ca="1">Pyramid!T104</f>
        <v>11158 HK Equity</v>
      </c>
      <c r="Q102" t="str">
        <f ca="1">Pyramid!U104</f>
        <v>25808 HK Equity</v>
      </c>
      <c r="R102" t="str">
        <f ca="1">Pyramid!V104</f>
        <v/>
      </c>
      <c r="S102" t="str">
        <f ca="1">Pyramid!W104</f>
        <v/>
      </c>
      <c r="T102" t="str">
        <f ca="1">Pyramid!X104</f>
        <v/>
      </c>
    </row>
    <row r="103" spans="1:20">
      <c r="A103" t="str">
        <f ca="1">Pyramid!E105</f>
        <v/>
      </c>
      <c r="B103" t="str">
        <f ca="1">Pyramid!F105</f>
        <v/>
      </c>
      <c r="C103" t="str">
        <f ca="1">Pyramid!G105</f>
        <v/>
      </c>
      <c r="D103" t="str">
        <f ca="1">Pyramid!H105</f>
        <v/>
      </c>
      <c r="E103" t="str">
        <f ca="1">Pyramid!I105</f>
        <v>25561 HK Equity</v>
      </c>
      <c r="F103" t="str">
        <f ca="1">Pyramid!J105</f>
        <v>25915 HK Equity</v>
      </c>
      <c r="G103" t="str">
        <f ca="1">Pyramid!K105</f>
        <v>25919 HK Equity</v>
      </c>
      <c r="H103" t="str">
        <f ca="1">Pyramid!L105</f>
        <v>25660 HK Equity</v>
      </c>
      <c r="I103" t="str">
        <f>Pyramid!M105</f>
        <v>28/7/2016</v>
      </c>
      <c r="J103">
        <f ca="1">Pyramid!N105</f>
        <v>4</v>
      </c>
      <c r="K103">
        <f ca="1">Pyramid!O105</f>
        <v>19000</v>
      </c>
      <c r="L103">
        <f ca="1">Pyramid!P105</f>
        <v>0</v>
      </c>
      <c r="M103" t="str">
        <f>Pyramid!Q105</f>
        <v>28/7/2016</v>
      </c>
      <c r="N103" t="str">
        <f ca="1">Pyramid!R105</f>
        <v/>
      </c>
      <c r="O103" t="str">
        <f ca="1">Pyramid!S105</f>
        <v/>
      </c>
      <c r="P103" t="str">
        <f ca="1">Pyramid!T105</f>
        <v/>
      </c>
      <c r="Q103" t="str">
        <f ca="1">Pyramid!U105</f>
        <v/>
      </c>
      <c r="R103" t="str">
        <f ca="1">Pyramid!V105</f>
        <v/>
      </c>
      <c r="S103" t="str">
        <f ca="1">Pyramid!W105</f>
        <v/>
      </c>
      <c r="T103" t="str">
        <f ca="1">Pyramid!X105</f>
        <v/>
      </c>
    </row>
    <row r="104" spans="1:20">
      <c r="A104" t="str">
        <f ca="1">Pyramid!E106</f>
        <v/>
      </c>
      <c r="B104" t="str">
        <f ca="1">Pyramid!F106</f>
        <v/>
      </c>
      <c r="C104" t="str">
        <f ca="1">Pyramid!G106</f>
        <v/>
      </c>
      <c r="D104" t="str">
        <f ca="1">Pyramid!H106</f>
        <v/>
      </c>
      <c r="E104" t="str">
        <f ca="1">Pyramid!I106</f>
        <v/>
      </c>
      <c r="F104" t="str">
        <f ca="1">Pyramid!J106</f>
        <v/>
      </c>
      <c r="G104" t="str">
        <f ca="1">Pyramid!K106</f>
        <v/>
      </c>
      <c r="H104" t="str">
        <f ca="1">Pyramid!L106</f>
        <v/>
      </c>
      <c r="I104" t="str">
        <f>Pyramid!M106</f>
        <v>30/8/2016</v>
      </c>
      <c r="J104">
        <f ca="1">Pyramid!N106</f>
        <v>0</v>
      </c>
      <c r="K104">
        <f ca="1">Pyramid!O106</f>
        <v>19000</v>
      </c>
      <c r="L104">
        <f ca="1">Pyramid!P106</f>
        <v>0</v>
      </c>
      <c r="M104" t="str">
        <f>Pyramid!Q106</f>
        <v>30/8/2016</v>
      </c>
      <c r="N104" t="str">
        <f ca="1">Pyramid!R106</f>
        <v/>
      </c>
      <c r="O104" t="str">
        <f ca="1">Pyramid!S106</f>
        <v/>
      </c>
      <c r="P104" t="str">
        <f ca="1">Pyramid!T106</f>
        <v/>
      </c>
      <c r="Q104" t="str">
        <f ca="1">Pyramid!U106</f>
        <v/>
      </c>
      <c r="R104" t="str">
        <f ca="1">Pyramid!V106</f>
        <v/>
      </c>
      <c r="S104" t="str">
        <f ca="1">Pyramid!W106</f>
        <v/>
      </c>
      <c r="T104" t="str">
        <f ca="1">Pyramid!X106</f>
        <v/>
      </c>
    </row>
    <row r="105" spans="1:20">
      <c r="A105" t="str">
        <f ca="1">Pyramid!E107</f>
        <v/>
      </c>
      <c r="B105" t="str">
        <f ca="1">Pyramid!F107</f>
        <v/>
      </c>
      <c r="C105" t="str">
        <f ca="1">Pyramid!G107</f>
        <v/>
      </c>
      <c r="D105" t="str">
        <f ca="1">Pyramid!H107</f>
        <v/>
      </c>
      <c r="E105" t="str">
        <f ca="1">Pyramid!I107</f>
        <v/>
      </c>
      <c r="F105" t="str">
        <f ca="1">Pyramid!J107</f>
        <v/>
      </c>
      <c r="G105" t="str">
        <f ca="1">Pyramid!K107</f>
        <v/>
      </c>
      <c r="H105" t="str">
        <f ca="1">Pyramid!L107</f>
        <v>25984 HK Equity</v>
      </c>
      <c r="I105" t="str">
        <f>Pyramid!M107</f>
        <v>29/9/2016</v>
      </c>
      <c r="J105">
        <f ca="1">Pyramid!N107</f>
        <v>1</v>
      </c>
      <c r="K105">
        <f ca="1">Pyramid!O107</f>
        <v>19000</v>
      </c>
      <c r="L105">
        <f ca="1">Pyramid!P107</f>
        <v>0</v>
      </c>
      <c r="M105" t="str">
        <f>Pyramid!Q107</f>
        <v>29/9/2016</v>
      </c>
      <c r="N105" t="str">
        <f ca="1">Pyramid!R107</f>
        <v/>
      </c>
      <c r="O105" t="str">
        <f ca="1">Pyramid!S107</f>
        <v/>
      </c>
      <c r="P105" t="str">
        <f ca="1">Pyramid!T107</f>
        <v/>
      </c>
      <c r="Q105" t="str">
        <f ca="1">Pyramid!U107</f>
        <v/>
      </c>
      <c r="R105" t="str">
        <f ca="1">Pyramid!V107</f>
        <v/>
      </c>
      <c r="S105" t="str">
        <f ca="1">Pyramid!W107</f>
        <v/>
      </c>
      <c r="T105" t="str">
        <f ca="1">Pyramid!X107</f>
        <v/>
      </c>
    </row>
    <row r="106" spans="1:20">
      <c r="A106" t="str">
        <f ca="1">Pyramid!E108</f>
        <v/>
      </c>
      <c r="B106" t="str">
        <f ca="1">Pyramid!F108</f>
        <v/>
      </c>
      <c r="C106" t="str">
        <f ca="1">Pyramid!G108</f>
        <v/>
      </c>
      <c r="D106" t="str">
        <f ca="1">Pyramid!H108</f>
        <v/>
      </c>
      <c r="E106" t="str">
        <f ca="1">Pyramid!I108</f>
        <v/>
      </c>
      <c r="F106" t="str">
        <f ca="1">Pyramid!J108</f>
        <v/>
      </c>
      <c r="G106" t="str">
        <f ca="1">Pyramid!K108</f>
        <v/>
      </c>
      <c r="H106" t="str">
        <f ca="1">Pyramid!L108</f>
        <v/>
      </c>
      <c r="I106" t="str">
        <f>Pyramid!M108</f>
        <v>28/10/2016</v>
      </c>
      <c r="J106">
        <f ca="1">Pyramid!N108</f>
        <v>0</v>
      </c>
      <c r="K106">
        <f ca="1">Pyramid!O108</f>
        <v>19000</v>
      </c>
      <c r="L106">
        <f ca="1">Pyramid!P108</f>
        <v>0</v>
      </c>
      <c r="M106" t="str">
        <f>Pyramid!Q108</f>
        <v>28/10/2016</v>
      </c>
      <c r="N106" t="str">
        <f ca="1">Pyramid!R108</f>
        <v/>
      </c>
      <c r="O106" t="str">
        <f ca="1">Pyramid!S108</f>
        <v/>
      </c>
      <c r="P106" t="str">
        <f ca="1">Pyramid!T108</f>
        <v/>
      </c>
      <c r="Q106" t="str">
        <f ca="1">Pyramid!U108</f>
        <v/>
      </c>
      <c r="R106" t="str">
        <f ca="1">Pyramid!V108</f>
        <v/>
      </c>
      <c r="S106" t="str">
        <f ca="1">Pyramid!W108</f>
        <v/>
      </c>
      <c r="T106" t="str">
        <f ca="1">Pyramid!X108</f>
        <v/>
      </c>
    </row>
    <row r="107" spans="1:20">
      <c r="A107" t="str">
        <f ca="1">Pyramid!E109</f>
        <v/>
      </c>
      <c r="B107" t="str">
        <f ca="1">Pyramid!F109</f>
        <v/>
      </c>
      <c r="C107" t="str">
        <f ca="1">Pyramid!G109</f>
        <v/>
      </c>
      <c r="D107" t="str">
        <f ca="1">Pyramid!H109</f>
        <v/>
      </c>
      <c r="E107" t="str">
        <f ca="1">Pyramid!I109</f>
        <v/>
      </c>
      <c r="F107" t="str">
        <f ca="1">Pyramid!J109</f>
        <v/>
      </c>
      <c r="G107" t="str">
        <f ca="1">Pyramid!K109</f>
        <v/>
      </c>
      <c r="H107" t="str">
        <f ca="1">Pyramid!L109</f>
        <v/>
      </c>
      <c r="I107" t="str">
        <f>Pyramid!M109</f>
        <v>29/6/2016</v>
      </c>
      <c r="J107">
        <f ca="1">Pyramid!N109</f>
        <v>0</v>
      </c>
      <c r="K107">
        <f ca="1">Pyramid!O109</f>
        <v>19088</v>
      </c>
      <c r="L107">
        <f ca="1">Pyramid!P109</f>
        <v>0</v>
      </c>
      <c r="M107" t="str">
        <f>Pyramid!Q109</f>
        <v>29/6/2016</v>
      </c>
      <c r="N107" t="str">
        <f ca="1">Pyramid!R109</f>
        <v/>
      </c>
      <c r="O107" t="str">
        <f ca="1">Pyramid!S109</f>
        <v/>
      </c>
      <c r="P107" t="str">
        <f ca="1">Pyramid!T109</f>
        <v/>
      </c>
      <c r="Q107" t="str">
        <f ca="1">Pyramid!U109</f>
        <v/>
      </c>
      <c r="R107" t="str">
        <f ca="1">Pyramid!V109</f>
        <v/>
      </c>
      <c r="S107" t="str">
        <f ca="1">Pyramid!W109</f>
        <v/>
      </c>
      <c r="T107" t="str">
        <f ca="1">Pyramid!X109</f>
        <v/>
      </c>
    </row>
    <row r="108" spans="1:20">
      <c r="A108" t="str">
        <f ca="1">Pyramid!E110</f>
        <v/>
      </c>
      <c r="B108" t="str">
        <f ca="1">Pyramid!F110</f>
        <v/>
      </c>
      <c r="C108" t="str">
        <f ca="1">Pyramid!G110</f>
        <v/>
      </c>
      <c r="D108" t="str">
        <f ca="1">Pyramid!H110</f>
        <v/>
      </c>
      <c r="E108" t="str">
        <f ca="1">Pyramid!I110</f>
        <v/>
      </c>
      <c r="F108" t="str">
        <f ca="1">Pyramid!J110</f>
        <v/>
      </c>
      <c r="G108" t="str">
        <f ca="1">Pyramid!K110</f>
        <v/>
      </c>
      <c r="H108" t="str">
        <f ca="1">Pyramid!L110</f>
        <v>25898 HK Equity</v>
      </c>
      <c r="I108" t="str">
        <f>Pyramid!M110</f>
        <v>28/7/2016</v>
      </c>
      <c r="J108">
        <f ca="1">Pyramid!N110</f>
        <v>1</v>
      </c>
      <c r="K108">
        <f ca="1">Pyramid!O110</f>
        <v>19088</v>
      </c>
      <c r="L108">
        <f ca="1">Pyramid!P110</f>
        <v>0</v>
      </c>
      <c r="M108" t="str">
        <f>Pyramid!Q110</f>
        <v>28/7/2016</v>
      </c>
      <c r="N108" t="str">
        <f ca="1">Pyramid!R110</f>
        <v/>
      </c>
      <c r="O108" t="str">
        <f ca="1">Pyramid!S110</f>
        <v/>
      </c>
      <c r="P108" t="str">
        <f ca="1">Pyramid!T110</f>
        <v/>
      </c>
      <c r="Q108" t="str">
        <f ca="1">Pyramid!U110</f>
        <v/>
      </c>
      <c r="R108" t="str">
        <f ca="1">Pyramid!V110</f>
        <v/>
      </c>
      <c r="S108" t="str">
        <f ca="1">Pyramid!W110</f>
        <v/>
      </c>
      <c r="T108" t="str">
        <f ca="1">Pyramid!X110</f>
        <v/>
      </c>
    </row>
    <row r="109" spans="1:20">
      <c r="A109" t="str">
        <f ca="1">Pyramid!E111</f>
        <v/>
      </c>
      <c r="B109" t="str">
        <f ca="1">Pyramid!F111</f>
        <v/>
      </c>
      <c r="C109" t="str">
        <f ca="1">Pyramid!G111</f>
        <v/>
      </c>
      <c r="D109" t="str">
        <f ca="1">Pyramid!H111</f>
        <v/>
      </c>
      <c r="E109" t="str">
        <f ca="1">Pyramid!I111</f>
        <v/>
      </c>
      <c r="F109" t="str">
        <f ca="1">Pyramid!J111</f>
        <v/>
      </c>
      <c r="G109" t="str">
        <f ca="1">Pyramid!K111</f>
        <v/>
      </c>
      <c r="H109" t="str">
        <f ca="1">Pyramid!L111</f>
        <v/>
      </c>
      <c r="I109" t="str">
        <f>Pyramid!M111</f>
        <v>30/8/2016</v>
      </c>
      <c r="J109">
        <f ca="1">Pyramid!N111</f>
        <v>0</v>
      </c>
      <c r="K109">
        <f ca="1">Pyramid!O111</f>
        <v>19088</v>
      </c>
      <c r="L109">
        <f ca="1">Pyramid!P111</f>
        <v>0</v>
      </c>
      <c r="M109" t="str">
        <f>Pyramid!Q111</f>
        <v>30/8/2016</v>
      </c>
      <c r="N109" t="str">
        <f ca="1">Pyramid!R111</f>
        <v/>
      </c>
      <c r="O109" t="str">
        <f ca="1">Pyramid!S111</f>
        <v/>
      </c>
      <c r="P109" t="str">
        <f ca="1">Pyramid!T111</f>
        <v/>
      </c>
      <c r="Q109" t="str">
        <f ca="1">Pyramid!U111</f>
        <v/>
      </c>
      <c r="R109" t="str">
        <f ca="1">Pyramid!V111</f>
        <v/>
      </c>
      <c r="S109" t="str">
        <f ca="1">Pyramid!W111</f>
        <v/>
      </c>
      <c r="T109" t="str">
        <f ca="1">Pyramid!X111</f>
        <v/>
      </c>
    </row>
    <row r="110" spans="1:20">
      <c r="A110" t="str">
        <f ca="1">Pyramid!E112</f>
        <v/>
      </c>
      <c r="B110" t="str">
        <f ca="1">Pyramid!F112</f>
        <v/>
      </c>
      <c r="C110" t="str">
        <f ca="1">Pyramid!G112</f>
        <v/>
      </c>
      <c r="D110" t="str">
        <f ca="1">Pyramid!H112</f>
        <v/>
      </c>
      <c r="E110" t="str">
        <f ca="1">Pyramid!I112</f>
        <v/>
      </c>
      <c r="F110" t="str">
        <f ca="1">Pyramid!J112</f>
        <v/>
      </c>
      <c r="G110" t="str">
        <f ca="1">Pyramid!K112</f>
        <v/>
      </c>
      <c r="H110" t="str">
        <f ca="1">Pyramid!L112</f>
        <v/>
      </c>
      <c r="I110" t="str">
        <f>Pyramid!M112</f>
        <v>29/9/2016</v>
      </c>
      <c r="J110">
        <f ca="1">Pyramid!N112</f>
        <v>0</v>
      </c>
      <c r="K110">
        <f ca="1">Pyramid!O112</f>
        <v>19088</v>
      </c>
      <c r="L110">
        <f ca="1">Pyramid!P112</f>
        <v>0</v>
      </c>
      <c r="M110" t="str">
        <f>Pyramid!Q112</f>
        <v>29/9/2016</v>
      </c>
      <c r="N110" t="str">
        <f ca="1">Pyramid!R112</f>
        <v/>
      </c>
      <c r="O110" t="str">
        <f ca="1">Pyramid!S112</f>
        <v/>
      </c>
      <c r="P110" t="str">
        <f ca="1">Pyramid!T112</f>
        <v/>
      </c>
      <c r="Q110" t="str">
        <f ca="1">Pyramid!U112</f>
        <v/>
      </c>
      <c r="R110" t="str">
        <f ca="1">Pyramid!V112</f>
        <v/>
      </c>
      <c r="S110" t="str">
        <f ca="1">Pyramid!W112</f>
        <v/>
      </c>
      <c r="T110" t="str">
        <f ca="1">Pyramid!X112</f>
        <v/>
      </c>
    </row>
    <row r="111" spans="1:20">
      <c r="A111" t="str">
        <f ca="1">Pyramid!E113</f>
        <v/>
      </c>
      <c r="B111" t="str">
        <f ca="1">Pyramid!F113</f>
        <v/>
      </c>
      <c r="C111" t="str">
        <f ca="1">Pyramid!G113</f>
        <v/>
      </c>
      <c r="D111" t="str">
        <f ca="1">Pyramid!H113</f>
        <v/>
      </c>
      <c r="E111" t="str">
        <f ca="1">Pyramid!I113</f>
        <v/>
      </c>
      <c r="F111" t="str">
        <f ca="1">Pyramid!J113</f>
        <v/>
      </c>
      <c r="G111" t="str">
        <f ca="1">Pyramid!K113</f>
        <v/>
      </c>
      <c r="H111" t="str">
        <f ca="1">Pyramid!L113</f>
        <v/>
      </c>
      <c r="I111" t="str">
        <f>Pyramid!M113</f>
        <v>28/10/2016</v>
      </c>
      <c r="J111">
        <f ca="1">Pyramid!N113</f>
        <v>0</v>
      </c>
      <c r="K111">
        <f ca="1">Pyramid!O113</f>
        <v>19088</v>
      </c>
      <c r="L111">
        <f ca="1">Pyramid!P113</f>
        <v>0</v>
      </c>
      <c r="M111" t="str">
        <f>Pyramid!Q113</f>
        <v>28/10/2016</v>
      </c>
      <c r="N111" t="str">
        <f ca="1">Pyramid!R113</f>
        <v/>
      </c>
      <c r="O111" t="str">
        <f ca="1">Pyramid!S113</f>
        <v/>
      </c>
      <c r="P111" t="str">
        <f ca="1">Pyramid!T113</f>
        <v/>
      </c>
      <c r="Q111" t="str">
        <f ca="1">Pyramid!U113</f>
        <v/>
      </c>
      <c r="R111" t="str">
        <f ca="1">Pyramid!V113</f>
        <v/>
      </c>
      <c r="S111" t="str">
        <f ca="1">Pyramid!W113</f>
        <v/>
      </c>
      <c r="T111" t="str">
        <f ca="1">Pyramid!X113</f>
        <v/>
      </c>
    </row>
    <row r="112" spans="1:20">
      <c r="A112" t="str">
        <f ca="1">Pyramid!E114</f>
        <v/>
      </c>
      <c r="B112" t="str">
        <f ca="1">Pyramid!F114</f>
        <v/>
      </c>
      <c r="C112" t="str">
        <f ca="1">Pyramid!G114</f>
        <v/>
      </c>
      <c r="D112" t="str">
        <f ca="1">Pyramid!H114</f>
        <v/>
      </c>
      <c r="E112" t="str">
        <f ca="1">Pyramid!I114</f>
        <v/>
      </c>
      <c r="F112" t="str">
        <f ca="1">Pyramid!J114</f>
        <v/>
      </c>
      <c r="G112" t="str">
        <f ca="1">Pyramid!K114</f>
        <v/>
      </c>
      <c r="H112" t="str">
        <f ca="1">Pyramid!L114</f>
        <v/>
      </c>
      <c r="I112" t="str">
        <f>Pyramid!M114</f>
        <v>29/6/2016</v>
      </c>
      <c r="J112">
        <f ca="1">Pyramid!N114</f>
        <v>0</v>
      </c>
      <c r="K112">
        <f ca="1">Pyramid!O114</f>
        <v>19108</v>
      </c>
      <c r="L112">
        <f ca="1">Pyramid!P114</f>
        <v>0</v>
      </c>
      <c r="M112" t="str">
        <f>Pyramid!Q114</f>
        <v>29/6/2016</v>
      </c>
      <c r="N112" t="str">
        <f ca="1">Pyramid!R114</f>
        <v/>
      </c>
      <c r="O112" t="str">
        <f ca="1">Pyramid!S114</f>
        <v/>
      </c>
      <c r="P112" t="str">
        <f ca="1">Pyramid!T114</f>
        <v/>
      </c>
      <c r="Q112" t="str">
        <f ca="1">Pyramid!U114</f>
        <v/>
      </c>
      <c r="R112" t="str">
        <f ca="1">Pyramid!V114</f>
        <v/>
      </c>
      <c r="S112" t="str">
        <f ca="1">Pyramid!W114</f>
        <v/>
      </c>
      <c r="T112" t="str">
        <f ca="1">Pyramid!X114</f>
        <v/>
      </c>
    </row>
    <row r="113" spans="1:20">
      <c r="A113" t="str">
        <f ca="1">Pyramid!E115</f>
        <v/>
      </c>
      <c r="B113" t="str">
        <f ca="1">Pyramid!F115</f>
        <v/>
      </c>
      <c r="C113" t="str">
        <f ca="1">Pyramid!G115</f>
        <v/>
      </c>
      <c r="D113" t="str">
        <f ca="1">Pyramid!H115</f>
        <v/>
      </c>
      <c r="E113" t="str">
        <f ca="1">Pyramid!I115</f>
        <v/>
      </c>
      <c r="F113" t="str">
        <f ca="1">Pyramid!J115</f>
        <v/>
      </c>
      <c r="G113" t="str">
        <f ca="1">Pyramid!K115</f>
        <v/>
      </c>
      <c r="H113" t="str">
        <f ca="1">Pyramid!L115</f>
        <v/>
      </c>
      <c r="I113" t="str">
        <f>Pyramid!M115</f>
        <v>28/7/2016</v>
      </c>
      <c r="J113">
        <f ca="1">Pyramid!N115</f>
        <v>0</v>
      </c>
      <c r="K113">
        <f ca="1">Pyramid!O115</f>
        <v>19108</v>
      </c>
      <c r="L113">
        <f ca="1">Pyramid!P115</f>
        <v>0</v>
      </c>
      <c r="M113" t="str">
        <f>Pyramid!Q115</f>
        <v>28/7/2016</v>
      </c>
      <c r="N113" t="str">
        <f ca="1">Pyramid!R115</f>
        <v/>
      </c>
      <c r="O113" t="str">
        <f ca="1">Pyramid!S115</f>
        <v/>
      </c>
      <c r="P113" t="str">
        <f ca="1">Pyramid!T115</f>
        <v/>
      </c>
      <c r="Q113" t="str">
        <f ca="1">Pyramid!U115</f>
        <v/>
      </c>
      <c r="R113" t="str">
        <f ca="1">Pyramid!V115</f>
        <v/>
      </c>
      <c r="S113" t="str">
        <f ca="1">Pyramid!W115</f>
        <v/>
      </c>
      <c r="T113" t="str">
        <f ca="1">Pyramid!X115</f>
        <v/>
      </c>
    </row>
    <row r="114" spans="1:20">
      <c r="A114" t="str">
        <f ca="1">Pyramid!E116</f>
        <v/>
      </c>
      <c r="B114" t="str">
        <f ca="1">Pyramid!F116</f>
        <v/>
      </c>
      <c r="C114" t="str">
        <f ca="1">Pyramid!G116</f>
        <v/>
      </c>
      <c r="D114" t="str">
        <f ca="1">Pyramid!H116</f>
        <v/>
      </c>
      <c r="E114" t="str">
        <f ca="1">Pyramid!I116</f>
        <v/>
      </c>
      <c r="F114" t="str">
        <f ca="1">Pyramid!J116</f>
        <v/>
      </c>
      <c r="G114" t="str">
        <f ca="1">Pyramid!K116</f>
        <v/>
      </c>
      <c r="H114" t="str">
        <f ca="1">Pyramid!L116</f>
        <v/>
      </c>
      <c r="I114" t="str">
        <f>Pyramid!M116</f>
        <v>30/8/2016</v>
      </c>
      <c r="J114">
        <f ca="1">Pyramid!N116</f>
        <v>0</v>
      </c>
      <c r="K114">
        <f ca="1">Pyramid!O116</f>
        <v>19108</v>
      </c>
      <c r="L114">
        <f ca="1">Pyramid!P116</f>
        <v>0</v>
      </c>
      <c r="M114" t="str">
        <f>Pyramid!Q116</f>
        <v>30/8/2016</v>
      </c>
      <c r="N114" t="str">
        <f ca="1">Pyramid!R116</f>
        <v/>
      </c>
      <c r="O114" t="str">
        <f ca="1">Pyramid!S116</f>
        <v/>
      </c>
      <c r="P114" t="str">
        <f ca="1">Pyramid!T116</f>
        <v/>
      </c>
      <c r="Q114" t="str">
        <f ca="1">Pyramid!U116</f>
        <v/>
      </c>
      <c r="R114" t="str">
        <f ca="1">Pyramid!V116</f>
        <v/>
      </c>
      <c r="S114" t="str">
        <f ca="1">Pyramid!W116</f>
        <v/>
      </c>
      <c r="T114" t="str">
        <f ca="1">Pyramid!X116</f>
        <v/>
      </c>
    </row>
    <row r="115" spans="1:20">
      <c r="A115" t="str">
        <f ca="1">Pyramid!E117</f>
        <v/>
      </c>
      <c r="B115" t="str">
        <f ca="1">Pyramid!F117</f>
        <v/>
      </c>
      <c r="C115" t="str">
        <f ca="1">Pyramid!G117</f>
        <v/>
      </c>
      <c r="D115" t="str">
        <f ca="1">Pyramid!H117</f>
        <v/>
      </c>
      <c r="E115" t="str">
        <f ca="1">Pyramid!I117</f>
        <v/>
      </c>
      <c r="F115" t="str">
        <f ca="1">Pyramid!J117</f>
        <v/>
      </c>
      <c r="G115" t="str">
        <f ca="1">Pyramid!K117</f>
        <v/>
      </c>
      <c r="H115" t="str">
        <f ca="1">Pyramid!L117</f>
        <v/>
      </c>
      <c r="I115" t="str">
        <f>Pyramid!M117</f>
        <v>29/9/2016</v>
      </c>
      <c r="J115">
        <f ca="1">Pyramid!N117</f>
        <v>0</v>
      </c>
      <c r="K115">
        <f ca="1">Pyramid!O117</f>
        <v>19108</v>
      </c>
      <c r="L115">
        <f ca="1">Pyramid!P117</f>
        <v>1</v>
      </c>
      <c r="M115" t="str">
        <f>Pyramid!Q117</f>
        <v>29/9/2016</v>
      </c>
      <c r="N115" t="str">
        <f ca="1">Pyramid!R117</f>
        <v>26717 HK Equity</v>
      </c>
      <c r="O115" t="str">
        <f ca="1">Pyramid!S117</f>
        <v/>
      </c>
      <c r="P115" t="str">
        <f ca="1">Pyramid!T117</f>
        <v/>
      </c>
      <c r="Q115" t="str">
        <f ca="1">Pyramid!U117</f>
        <v/>
      </c>
      <c r="R115" t="str">
        <f ca="1">Pyramid!V117</f>
        <v/>
      </c>
      <c r="S115" t="str">
        <f ca="1">Pyramid!W117</f>
        <v/>
      </c>
      <c r="T115" t="str">
        <f ca="1">Pyramid!X117</f>
        <v/>
      </c>
    </row>
    <row r="116" spans="1:20">
      <c r="A116" t="str">
        <f ca="1">Pyramid!E118</f>
        <v/>
      </c>
      <c r="B116" t="str">
        <f ca="1">Pyramid!F118</f>
        <v/>
      </c>
      <c r="C116" t="str">
        <f ca="1">Pyramid!G118</f>
        <v/>
      </c>
      <c r="D116" t="str">
        <f ca="1">Pyramid!H118</f>
        <v/>
      </c>
      <c r="E116" t="str">
        <f ca="1">Pyramid!I118</f>
        <v/>
      </c>
      <c r="F116" t="str">
        <f ca="1">Pyramid!J118</f>
        <v/>
      </c>
      <c r="G116" t="str">
        <f ca="1">Pyramid!K118</f>
        <v/>
      </c>
      <c r="H116" t="str">
        <f ca="1">Pyramid!L118</f>
        <v/>
      </c>
      <c r="I116" t="str">
        <f>Pyramid!M118</f>
        <v>28/10/2016</v>
      </c>
      <c r="J116">
        <f ca="1">Pyramid!N118</f>
        <v>0</v>
      </c>
      <c r="K116">
        <f ca="1">Pyramid!O118</f>
        <v>19108</v>
      </c>
      <c r="L116">
        <f ca="1">Pyramid!P118</f>
        <v>0</v>
      </c>
      <c r="M116" t="str">
        <f>Pyramid!Q118</f>
        <v>28/10/2016</v>
      </c>
      <c r="N116" t="str">
        <f ca="1">Pyramid!R118</f>
        <v/>
      </c>
      <c r="O116" t="str">
        <f ca="1">Pyramid!S118</f>
        <v/>
      </c>
      <c r="P116" t="str">
        <f ca="1">Pyramid!T118</f>
        <v/>
      </c>
      <c r="Q116" t="str">
        <f ca="1">Pyramid!U118</f>
        <v/>
      </c>
      <c r="R116" t="str">
        <f ca="1">Pyramid!V118</f>
        <v/>
      </c>
      <c r="S116" t="str">
        <f ca="1">Pyramid!W118</f>
        <v/>
      </c>
      <c r="T116" t="str">
        <f ca="1">Pyramid!X118</f>
        <v/>
      </c>
    </row>
    <row r="117" spans="1:20">
      <c r="A117" t="str">
        <f ca="1">Pyramid!E119</f>
        <v/>
      </c>
      <c r="B117" t="str">
        <f ca="1">Pyramid!F119</f>
        <v/>
      </c>
      <c r="C117" t="str">
        <f ca="1">Pyramid!G119</f>
        <v/>
      </c>
      <c r="D117" t="str">
        <f ca="1">Pyramid!H119</f>
        <v/>
      </c>
      <c r="E117" t="str">
        <f ca="1">Pyramid!I119</f>
        <v/>
      </c>
      <c r="F117" t="str">
        <f ca="1">Pyramid!J119</f>
        <v/>
      </c>
      <c r="G117" t="str">
        <f ca="1">Pyramid!K119</f>
        <v/>
      </c>
      <c r="H117" t="str">
        <f ca="1">Pyramid!L119</f>
        <v/>
      </c>
      <c r="I117" t="str">
        <f>Pyramid!M119</f>
        <v>29/6/2016</v>
      </c>
      <c r="J117">
        <f ca="1">Pyramid!N119</f>
        <v>0</v>
      </c>
      <c r="K117">
        <f ca="1">Pyramid!O119</f>
        <v>19168</v>
      </c>
      <c r="L117">
        <f ca="1">Pyramid!P119</f>
        <v>0</v>
      </c>
      <c r="M117" t="str">
        <f>Pyramid!Q119</f>
        <v>29/6/2016</v>
      </c>
      <c r="N117" t="str">
        <f ca="1">Pyramid!R119</f>
        <v/>
      </c>
      <c r="O117" t="str">
        <f ca="1">Pyramid!S119</f>
        <v/>
      </c>
      <c r="P117" t="str">
        <f ca="1">Pyramid!T119</f>
        <v/>
      </c>
      <c r="Q117" t="str">
        <f ca="1">Pyramid!U119</f>
        <v/>
      </c>
      <c r="R117" t="str">
        <f ca="1">Pyramid!V119</f>
        <v/>
      </c>
      <c r="S117" t="str">
        <f ca="1">Pyramid!W119</f>
        <v/>
      </c>
      <c r="T117" t="str">
        <f ca="1">Pyramid!X119</f>
        <v/>
      </c>
    </row>
    <row r="118" spans="1:20">
      <c r="A118" t="str">
        <f ca="1">Pyramid!E120</f>
        <v/>
      </c>
      <c r="B118" t="str">
        <f ca="1">Pyramid!F120</f>
        <v/>
      </c>
      <c r="C118" t="str">
        <f ca="1">Pyramid!G120</f>
        <v/>
      </c>
      <c r="D118" t="str">
        <f ca="1">Pyramid!H120</f>
        <v/>
      </c>
      <c r="E118" t="str">
        <f ca="1">Pyramid!I120</f>
        <v/>
      </c>
      <c r="F118" t="str">
        <f ca="1">Pyramid!J120</f>
        <v/>
      </c>
      <c r="G118" t="str">
        <f ca="1">Pyramid!K120</f>
        <v/>
      </c>
      <c r="H118" t="str">
        <f ca="1">Pyramid!L120</f>
        <v/>
      </c>
      <c r="I118" t="str">
        <f>Pyramid!M120</f>
        <v>28/7/2016</v>
      </c>
      <c r="J118">
        <f ca="1">Pyramid!N120</f>
        <v>0</v>
      </c>
      <c r="K118">
        <f ca="1">Pyramid!O120</f>
        <v>19168</v>
      </c>
      <c r="L118">
        <f ca="1">Pyramid!P120</f>
        <v>0</v>
      </c>
      <c r="M118" t="str">
        <f>Pyramid!Q120</f>
        <v>28/7/2016</v>
      </c>
      <c r="N118" t="str">
        <f ca="1">Pyramid!R120</f>
        <v/>
      </c>
      <c r="O118" t="str">
        <f ca="1">Pyramid!S120</f>
        <v/>
      </c>
      <c r="P118" t="str">
        <f ca="1">Pyramid!T120</f>
        <v/>
      </c>
      <c r="Q118" t="str">
        <f ca="1">Pyramid!U120</f>
        <v/>
      </c>
      <c r="R118" t="str">
        <f ca="1">Pyramid!V120</f>
        <v/>
      </c>
      <c r="S118" t="str">
        <f ca="1">Pyramid!W120</f>
        <v/>
      </c>
      <c r="T118" t="str">
        <f ca="1">Pyramid!X120</f>
        <v/>
      </c>
    </row>
    <row r="119" spans="1:20">
      <c r="A119" t="str">
        <f ca="1">Pyramid!E121</f>
        <v/>
      </c>
      <c r="B119" t="str">
        <f ca="1">Pyramid!F121</f>
        <v/>
      </c>
      <c r="C119" t="str">
        <f ca="1">Pyramid!G121</f>
        <v/>
      </c>
      <c r="D119" t="str">
        <f ca="1">Pyramid!H121</f>
        <v/>
      </c>
      <c r="E119" t="str">
        <f ca="1">Pyramid!I121</f>
        <v/>
      </c>
      <c r="F119" t="str">
        <f ca="1">Pyramid!J121</f>
        <v/>
      </c>
      <c r="G119" t="str">
        <f ca="1">Pyramid!K121</f>
        <v/>
      </c>
      <c r="H119" t="str">
        <f ca="1">Pyramid!L121</f>
        <v/>
      </c>
      <c r="I119" t="str">
        <f>Pyramid!M121</f>
        <v>30/8/2016</v>
      </c>
      <c r="J119">
        <f ca="1">Pyramid!N121</f>
        <v>0</v>
      </c>
      <c r="K119">
        <f ca="1">Pyramid!O121</f>
        <v>19168</v>
      </c>
      <c r="L119">
        <f ca="1">Pyramid!P121</f>
        <v>0</v>
      </c>
      <c r="M119" t="str">
        <f>Pyramid!Q121</f>
        <v>30/8/2016</v>
      </c>
      <c r="N119" t="str">
        <f ca="1">Pyramid!R121</f>
        <v/>
      </c>
      <c r="O119" t="str">
        <f ca="1">Pyramid!S121</f>
        <v/>
      </c>
      <c r="P119" t="str">
        <f ca="1">Pyramid!T121</f>
        <v/>
      </c>
      <c r="Q119" t="str">
        <f ca="1">Pyramid!U121</f>
        <v/>
      </c>
      <c r="R119" t="str">
        <f ca="1">Pyramid!V121</f>
        <v/>
      </c>
      <c r="S119" t="str">
        <f ca="1">Pyramid!W121</f>
        <v/>
      </c>
      <c r="T119" t="str">
        <f ca="1">Pyramid!X121</f>
        <v/>
      </c>
    </row>
    <row r="120" spans="1:20">
      <c r="A120" t="str">
        <f ca="1">Pyramid!E122</f>
        <v/>
      </c>
      <c r="B120" t="str">
        <f ca="1">Pyramid!F122</f>
        <v/>
      </c>
      <c r="C120" t="str">
        <f ca="1">Pyramid!G122</f>
        <v/>
      </c>
      <c r="D120" t="str">
        <f ca="1">Pyramid!H122</f>
        <v/>
      </c>
      <c r="E120" t="str">
        <f ca="1">Pyramid!I122</f>
        <v/>
      </c>
      <c r="F120" t="str">
        <f ca="1">Pyramid!J122</f>
        <v/>
      </c>
      <c r="G120" t="str">
        <f ca="1">Pyramid!K122</f>
        <v/>
      </c>
      <c r="H120" t="str">
        <f ca="1">Pyramid!L122</f>
        <v>28167 HK Equity</v>
      </c>
      <c r="I120" t="str">
        <f>Pyramid!M122</f>
        <v>29/9/2016</v>
      </c>
      <c r="J120">
        <f ca="1">Pyramid!N122</f>
        <v>1</v>
      </c>
      <c r="K120">
        <f ca="1">Pyramid!O122</f>
        <v>19168</v>
      </c>
      <c r="L120">
        <f ca="1">Pyramid!P122</f>
        <v>0</v>
      </c>
      <c r="M120" t="str">
        <f>Pyramid!Q122</f>
        <v>29/9/2016</v>
      </c>
      <c r="N120" t="str">
        <f ca="1">Pyramid!R122</f>
        <v/>
      </c>
      <c r="O120" t="str">
        <f ca="1">Pyramid!S122</f>
        <v/>
      </c>
      <c r="P120" t="str">
        <f ca="1">Pyramid!T122</f>
        <v/>
      </c>
      <c r="Q120" t="str">
        <f ca="1">Pyramid!U122</f>
        <v/>
      </c>
      <c r="R120" t="str">
        <f ca="1">Pyramid!V122</f>
        <v/>
      </c>
      <c r="S120" t="str">
        <f ca="1">Pyramid!W122</f>
        <v/>
      </c>
      <c r="T120" t="str">
        <f ca="1">Pyramid!X122</f>
        <v/>
      </c>
    </row>
    <row r="121" spans="1:20">
      <c r="A121" t="str">
        <f ca="1">Pyramid!E123</f>
        <v/>
      </c>
      <c r="B121" t="str">
        <f ca="1">Pyramid!F123</f>
        <v/>
      </c>
      <c r="C121" t="str">
        <f ca="1">Pyramid!G123</f>
        <v/>
      </c>
      <c r="D121" t="str">
        <f ca="1">Pyramid!H123</f>
        <v/>
      </c>
      <c r="E121" t="str">
        <f ca="1">Pyramid!I123</f>
        <v/>
      </c>
      <c r="F121" t="str">
        <f ca="1">Pyramid!J123</f>
        <v/>
      </c>
      <c r="G121" t="str">
        <f ca="1">Pyramid!K123</f>
        <v/>
      </c>
      <c r="H121" t="str">
        <f ca="1">Pyramid!L123</f>
        <v/>
      </c>
      <c r="I121" t="str">
        <f>Pyramid!M123</f>
        <v>28/10/2016</v>
      </c>
      <c r="J121">
        <f ca="1">Pyramid!N123</f>
        <v>0</v>
      </c>
      <c r="K121">
        <f ca="1">Pyramid!O123</f>
        <v>19168</v>
      </c>
      <c r="L121">
        <f ca="1">Pyramid!P123</f>
        <v>0</v>
      </c>
      <c r="M121" t="str">
        <f>Pyramid!Q123</f>
        <v>28/10/2016</v>
      </c>
      <c r="N121" t="str">
        <f ca="1">Pyramid!R123</f>
        <v/>
      </c>
      <c r="O121" t="str">
        <f ca="1">Pyramid!S123</f>
        <v/>
      </c>
      <c r="P121" t="str">
        <f ca="1">Pyramid!T123</f>
        <v/>
      </c>
      <c r="Q121" t="str">
        <f ca="1">Pyramid!U123</f>
        <v/>
      </c>
      <c r="R121" t="str">
        <f ca="1">Pyramid!V123</f>
        <v/>
      </c>
      <c r="S121" t="str">
        <f ca="1">Pyramid!W123</f>
        <v/>
      </c>
      <c r="T121" t="str">
        <f ca="1">Pyramid!X123</f>
        <v/>
      </c>
    </row>
    <row r="122" spans="1:20">
      <c r="A122" t="str">
        <f ca="1">Pyramid!E124</f>
        <v/>
      </c>
      <c r="B122" t="str">
        <f ca="1">Pyramid!F124</f>
        <v/>
      </c>
      <c r="C122" t="str">
        <f ca="1">Pyramid!G124</f>
        <v/>
      </c>
      <c r="D122" t="str">
        <f ca="1">Pyramid!H124</f>
        <v/>
      </c>
      <c r="E122" t="str">
        <f ca="1">Pyramid!I124</f>
        <v/>
      </c>
      <c r="F122" t="str">
        <f ca="1">Pyramid!J124</f>
        <v/>
      </c>
      <c r="G122" t="str">
        <f ca="1">Pyramid!K124</f>
        <v/>
      </c>
      <c r="H122" t="str">
        <f ca="1">Pyramid!L124</f>
        <v/>
      </c>
      <c r="I122" t="str">
        <f>Pyramid!M124</f>
        <v>29/6/2016</v>
      </c>
      <c r="J122">
        <f ca="1">Pyramid!N124</f>
        <v>0</v>
      </c>
      <c r="K122">
        <f ca="1">Pyramid!O124</f>
        <v>19200</v>
      </c>
      <c r="L122">
        <f ca="1">Pyramid!P124</f>
        <v>0</v>
      </c>
      <c r="M122" t="str">
        <f>Pyramid!Q124</f>
        <v>29/6/2016</v>
      </c>
      <c r="N122" t="str">
        <f ca="1">Pyramid!R124</f>
        <v/>
      </c>
      <c r="O122" t="str">
        <f ca="1">Pyramid!S124</f>
        <v/>
      </c>
      <c r="P122" t="str">
        <f ca="1">Pyramid!T124</f>
        <v/>
      </c>
      <c r="Q122" t="str">
        <f ca="1">Pyramid!U124</f>
        <v/>
      </c>
      <c r="R122" t="str">
        <f ca="1">Pyramid!V124</f>
        <v/>
      </c>
      <c r="S122" t="str">
        <f ca="1">Pyramid!W124</f>
        <v/>
      </c>
      <c r="T122" t="str">
        <f ca="1">Pyramid!X124</f>
        <v/>
      </c>
    </row>
    <row r="123" spans="1:20">
      <c r="A123" t="str">
        <f ca="1">Pyramid!E125</f>
        <v/>
      </c>
      <c r="B123" t="str">
        <f ca="1">Pyramid!F125</f>
        <v/>
      </c>
      <c r="C123" t="str">
        <f ca="1">Pyramid!G125</f>
        <v/>
      </c>
      <c r="D123" t="str">
        <f ca="1">Pyramid!H125</f>
        <v/>
      </c>
      <c r="E123" t="str">
        <f ca="1">Pyramid!I125</f>
        <v/>
      </c>
      <c r="F123" t="str">
        <f ca="1">Pyramid!J125</f>
        <v/>
      </c>
      <c r="G123" t="str">
        <f ca="1">Pyramid!K125</f>
        <v/>
      </c>
      <c r="H123" t="str">
        <f ca="1">Pyramid!L125</f>
        <v/>
      </c>
      <c r="I123" t="str">
        <f>Pyramid!M125</f>
        <v>28/7/2016</v>
      </c>
      <c r="J123">
        <f ca="1">Pyramid!N125</f>
        <v>0</v>
      </c>
      <c r="K123">
        <f ca="1">Pyramid!O125</f>
        <v>19200</v>
      </c>
      <c r="L123">
        <f ca="1">Pyramid!P125</f>
        <v>0</v>
      </c>
      <c r="M123" t="str">
        <f>Pyramid!Q125</f>
        <v>28/7/2016</v>
      </c>
      <c r="N123" t="str">
        <f ca="1">Pyramid!R125</f>
        <v/>
      </c>
      <c r="O123" t="str">
        <f ca="1">Pyramid!S125</f>
        <v/>
      </c>
      <c r="P123" t="str">
        <f ca="1">Pyramid!T125</f>
        <v/>
      </c>
      <c r="Q123" t="str">
        <f ca="1">Pyramid!U125</f>
        <v/>
      </c>
      <c r="R123" t="str">
        <f ca="1">Pyramid!V125</f>
        <v/>
      </c>
      <c r="S123" t="str">
        <f ca="1">Pyramid!W125</f>
        <v/>
      </c>
      <c r="T123" t="str">
        <f ca="1">Pyramid!X125</f>
        <v/>
      </c>
    </row>
    <row r="124" spans="1:20">
      <c r="A124" t="str">
        <f ca="1">Pyramid!E126</f>
        <v/>
      </c>
      <c r="B124" t="str">
        <f ca="1">Pyramid!F126</f>
        <v/>
      </c>
      <c r="C124" t="str">
        <f ca="1">Pyramid!G126</f>
        <v/>
      </c>
      <c r="D124" t="str">
        <f ca="1">Pyramid!H126</f>
        <v/>
      </c>
      <c r="E124" t="str">
        <f ca="1">Pyramid!I126</f>
        <v/>
      </c>
      <c r="F124" t="str">
        <f ca="1">Pyramid!J126</f>
        <v/>
      </c>
      <c r="G124" t="str">
        <f ca="1">Pyramid!K126</f>
        <v/>
      </c>
      <c r="H124" t="str">
        <f ca="1">Pyramid!L126</f>
        <v/>
      </c>
      <c r="I124" t="str">
        <f>Pyramid!M126</f>
        <v>30/8/2016</v>
      </c>
      <c r="J124">
        <f ca="1">Pyramid!N126</f>
        <v>0</v>
      </c>
      <c r="K124">
        <f ca="1">Pyramid!O126</f>
        <v>19200</v>
      </c>
      <c r="L124">
        <f ca="1">Pyramid!P126</f>
        <v>0</v>
      </c>
      <c r="M124" t="str">
        <f>Pyramid!Q126</f>
        <v>30/8/2016</v>
      </c>
      <c r="N124" t="str">
        <f ca="1">Pyramid!R126</f>
        <v/>
      </c>
      <c r="O124" t="str">
        <f ca="1">Pyramid!S126</f>
        <v/>
      </c>
      <c r="P124" t="str">
        <f ca="1">Pyramid!T126</f>
        <v/>
      </c>
      <c r="Q124" t="str">
        <f ca="1">Pyramid!U126</f>
        <v/>
      </c>
      <c r="R124" t="str">
        <f ca="1">Pyramid!V126</f>
        <v/>
      </c>
      <c r="S124" t="str">
        <f ca="1">Pyramid!W126</f>
        <v/>
      </c>
      <c r="T124" t="str">
        <f ca="1">Pyramid!X126</f>
        <v/>
      </c>
    </row>
    <row r="125" spans="1:20">
      <c r="A125" t="str">
        <f ca="1">Pyramid!E127</f>
        <v/>
      </c>
      <c r="B125" t="str">
        <f ca="1">Pyramid!F127</f>
        <v/>
      </c>
      <c r="C125" t="str">
        <f ca="1">Pyramid!G127</f>
        <v/>
      </c>
      <c r="D125" t="str">
        <f ca="1">Pyramid!H127</f>
        <v/>
      </c>
      <c r="E125" t="str">
        <f ca="1">Pyramid!I127</f>
        <v/>
      </c>
      <c r="F125" t="str">
        <f ca="1">Pyramid!J127</f>
        <v/>
      </c>
      <c r="G125" t="str">
        <f ca="1">Pyramid!K127</f>
        <v>26667 HK Equity</v>
      </c>
      <c r="H125" t="str">
        <f ca="1">Pyramid!L127</f>
        <v>25901 HK Equity</v>
      </c>
      <c r="I125" t="str">
        <f>Pyramid!M127</f>
        <v>29/9/2016</v>
      </c>
      <c r="J125">
        <f ca="1">Pyramid!N127</f>
        <v>2</v>
      </c>
      <c r="K125">
        <f ca="1">Pyramid!O127</f>
        <v>19200</v>
      </c>
      <c r="L125">
        <f ca="1">Pyramid!P127</f>
        <v>5</v>
      </c>
      <c r="M125" t="str">
        <f>Pyramid!Q127</f>
        <v>29/9/2016</v>
      </c>
      <c r="N125" t="str">
        <f ca="1">Pyramid!R127</f>
        <v>26849 HK Equity</v>
      </c>
      <c r="O125" t="str">
        <f ca="1">Pyramid!S127</f>
        <v>26511 HK Equity</v>
      </c>
      <c r="P125" t="str">
        <f ca="1">Pyramid!T127</f>
        <v>26896 HK Equity</v>
      </c>
      <c r="Q125" t="str">
        <f ca="1">Pyramid!U127</f>
        <v>27382 HK Equity</v>
      </c>
      <c r="R125" t="str">
        <f ca="1">Pyramid!V127</f>
        <v>28129 HK Equity</v>
      </c>
      <c r="S125" t="str">
        <f ca="1">Pyramid!W127</f>
        <v/>
      </c>
      <c r="T125" t="str">
        <f ca="1">Pyramid!X127</f>
        <v/>
      </c>
    </row>
    <row r="126" spans="1:20">
      <c r="A126" t="str">
        <f ca="1">Pyramid!E128</f>
        <v/>
      </c>
      <c r="B126" t="str">
        <f ca="1">Pyramid!F128</f>
        <v/>
      </c>
      <c r="C126" t="str">
        <f ca="1">Pyramid!G128</f>
        <v/>
      </c>
      <c r="D126" t="str">
        <f ca="1">Pyramid!H128</f>
        <v/>
      </c>
      <c r="E126" t="str">
        <f ca="1">Pyramid!I128</f>
        <v/>
      </c>
      <c r="F126" t="str">
        <f ca="1">Pyramid!J128</f>
        <v/>
      </c>
      <c r="G126" t="str">
        <f ca="1">Pyramid!K128</f>
        <v/>
      </c>
      <c r="H126" t="str">
        <f ca="1">Pyramid!L128</f>
        <v/>
      </c>
      <c r="I126" t="str">
        <f>Pyramid!M128</f>
        <v>28/10/2016</v>
      </c>
      <c r="J126">
        <f ca="1">Pyramid!N128</f>
        <v>0</v>
      </c>
      <c r="K126">
        <f ca="1">Pyramid!O128</f>
        <v>19200</v>
      </c>
      <c r="L126">
        <f ca="1">Pyramid!P128</f>
        <v>0</v>
      </c>
      <c r="M126" t="str">
        <f>Pyramid!Q128</f>
        <v>28/10/2016</v>
      </c>
      <c r="N126" t="str">
        <f ca="1">Pyramid!R128</f>
        <v/>
      </c>
      <c r="O126" t="str">
        <f ca="1">Pyramid!S128</f>
        <v/>
      </c>
      <c r="P126" t="str">
        <f ca="1">Pyramid!T128</f>
        <v/>
      </c>
      <c r="Q126" t="str">
        <f ca="1">Pyramid!U128</f>
        <v/>
      </c>
      <c r="R126" t="str">
        <f ca="1">Pyramid!V128</f>
        <v/>
      </c>
      <c r="S126" t="str">
        <f ca="1">Pyramid!W128</f>
        <v/>
      </c>
      <c r="T126" t="str">
        <f ca="1">Pyramid!X128</f>
        <v/>
      </c>
    </row>
    <row r="127" spans="1:20">
      <c r="A127" t="str">
        <f ca="1">Pyramid!E129</f>
        <v/>
      </c>
      <c r="B127" t="str">
        <f ca="1">Pyramid!F129</f>
        <v/>
      </c>
      <c r="C127" t="str">
        <f ca="1">Pyramid!G129</f>
        <v/>
      </c>
      <c r="D127" t="str">
        <f ca="1">Pyramid!H129</f>
        <v/>
      </c>
      <c r="E127" t="str">
        <f ca="1">Pyramid!I129</f>
        <v/>
      </c>
      <c r="F127" t="str">
        <f ca="1">Pyramid!J129</f>
        <v/>
      </c>
      <c r="G127" t="str">
        <f ca="1">Pyramid!K129</f>
        <v/>
      </c>
      <c r="H127" t="str">
        <f ca="1">Pyramid!L129</f>
        <v/>
      </c>
      <c r="I127" t="str">
        <f>Pyramid!M129</f>
        <v>29/6/2016</v>
      </c>
      <c r="J127">
        <f ca="1">Pyramid!N129</f>
        <v>0</v>
      </c>
      <c r="K127">
        <f ca="1">Pyramid!O129</f>
        <v>19288</v>
      </c>
      <c r="L127">
        <f ca="1">Pyramid!P129</f>
        <v>0</v>
      </c>
      <c r="M127" t="str">
        <f>Pyramid!Q129</f>
        <v>29/6/2016</v>
      </c>
      <c r="N127" t="str">
        <f ca="1">Pyramid!R129</f>
        <v/>
      </c>
      <c r="O127" t="str">
        <f ca="1">Pyramid!S129</f>
        <v/>
      </c>
      <c r="P127" t="str">
        <f ca="1">Pyramid!T129</f>
        <v/>
      </c>
      <c r="Q127" t="str">
        <f ca="1">Pyramid!U129</f>
        <v/>
      </c>
      <c r="R127" t="str">
        <f ca="1">Pyramid!V129</f>
        <v/>
      </c>
      <c r="S127" t="str">
        <f ca="1">Pyramid!W129</f>
        <v/>
      </c>
      <c r="T127" t="str">
        <f ca="1">Pyramid!X129</f>
        <v/>
      </c>
    </row>
    <row r="128" spans="1:20">
      <c r="A128" t="str">
        <f ca="1">Pyramid!E130</f>
        <v/>
      </c>
      <c r="B128" t="str">
        <f ca="1">Pyramid!F130</f>
        <v/>
      </c>
      <c r="C128" t="str">
        <f ca="1">Pyramid!G130</f>
        <v/>
      </c>
      <c r="D128" t="str">
        <f ca="1">Pyramid!H130</f>
        <v/>
      </c>
      <c r="E128" t="str">
        <f ca="1">Pyramid!I130</f>
        <v/>
      </c>
      <c r="F128" t="str">
        <f ca="1">Pyramid!J130</f>
        <v/>
      </c>
      <c r="G128" t="str">
        <f ca="1">Pyramid!K130</f>
        <v/>
      </c>
      <c r="H128" t="str">
        <f ca="1">Pyramid!L130</f>
        <v/>
      </c>
      <c r="I128" t="str">
        <f>Pyramid!M130</f>
        <v>28/7/2016</v>
      </c>
      <c r="J128">
        <f ca="1">Pyramid!N130</f>
        <v>0</v>
      </c>
      <c r="K128">
        <f ca="1">Pyramid!O130</f>
        <v>19288</v>
      </c>
      <c r="L128">
        <f ca="1">Pyramid!P130</f>
        <v>0</v>
      </c>
      <c r="M128" t="str">
        <f>Pyramid!Q130</f>
        <v>28/7/2016</v>
      </c>
      <c r="N128" t="str">
        <f ca="1">Pyramid!R130</f>
        <v/>
      </c>
      <c r="O128" t="str">
        <f ca="1">Pyramid!S130</f>
        <v/>
      </c>
      <c r="P128" t="str">
        <f ca="1">Pyramid!T130</f>
        <v/>
      </c>
      <c r="Q128" t="str">
        <f ca="1">Pyramid!U130</f>
        <v/>
      </c>
      <c r="R128" t="str">
        <f ca="1">Pyramid!V130</f>
        <v/>
      </c>
      <c r="S128" t="str">
        <f ca="1">Pyramid!W130</f>
        <v/>
      </c>
      <c r="T128" t="str">
        <f ca="1">Pyramid!X130</f>
        <v/>
      </c>
    </row>
    <row r="129" spans="1:20">
      <c r="A129" t="str">
        <f ca="1">Pyramid!E131</f>
        <v/>
      </c>
      <c r="B129" t="str">
        <f ca="1">Pyramid!F131</f>
        <v/>
      </c>
      <c r="C129" t="str">
        <f ca="1">Pyramid!G131</f>
        <v/>
      </c>
      <c r="D129" t="str">
        <f ca="1">Pyramid!H131</f>
        <v/>
      </c>
      <c r="E129" t="str">
        <f ca="1">Pyramid!I131</f>
        <v/>
      </c>
      <c r="F129" t="str">
        <f ca="1">Pyramid!J131</f>
        <v/>
      </c>
      <c r="G129" t="str">
        <f ca="1">Pyramid!K131</f>
        <v/>
      </c>
      <c r="H129" t="str">
        <f ca="1">Pyramid!L131</f>
        <v/>
      </c>
      <c r="I129" t="str">
        <f>Pyramid!M131</f>
        <v>30/8/2016</v>
      </c>
      <c r="J129">
        <f ca="1">Pyramid!N131</f>
        <v>0</v>
      </c>
      <c r="K129">
        <f ca="1">Pyramid!O131</f>
        <v>19288</v>
      </c>
      <c r="L129">
        <f ca="1">Pyramid!P131</f>
        <v>0</v>
      </c>
      <c r="M129" t="str">
        <f>Pyramid!Q131</f>
        <v>30/8/2016</v>
      </c>
      <c r="N129" t="str">
        <f ca="1">Pyramid!R131</f>
        <v/>
      </c>
      <c r="O129" t="str">
        <f ca="1">Pyramid!S131</f>
        <v/>
      </c>
      <c r="P129" t="str">
        <f ca="1">Pyramid!T131</f>
        <v/>
      </c>
      <c r="Q129" t="str">
        <f ca="1">Pyramid!U131</f>
        <v/>
      </c>
      <c r="R129" t="str">
        <f ca="1">Pyramid!V131</f>
        <v/>
      </c>
      <c r="S129" t="str">
        <f ca="1">Pyramid!W131</f>
        <v/>
      </c>
      <c r="T129" t="str">
        <f ca="1">Pyramid!X131</f>
        <v/>
      </c>
    </row>
    <row r="130" spans="1:20">
      <c r="A130" t="str">
        <f ca="1">Pyramid!E132</f>
        <v/>
      </c>
      <c r="B130" t="str">
        <f ca="1">Pyramid!F132</f>
        <v/>
      </c>
      <c r="C130" t="str">
        <f ca="1">Pyramid!G132</f>
        <v/>
      </c>
      <c r="D130" t="str">
        <f ca="1">Pyramid!H132</f>
        <v/>
      </c>
      <c r="E130" t="str">
        <f ca="1">Pyramid!I132</f>
        <v/>
      </c>
      <c r="F130" t="str">
        <f ca="1">Pyramid!J132</f>
        <v/>
      </c>
      <c r="G130" t="str">
        <f ca="1">Pyramid!K132</f>
        <v/>
      </c>
      <c r="H130" t="str">
        <f ca="1">Pyramid!L132</f>
        <v>28081 HK Equity</v>
      </c>
      <c r="I130" t="str">
        <f>Pyramid!M132</f>
        <v>29/9/2016</v>
      </c>
      <c r="J130">
        <f ca="1">Pyramid!N132</f>
        <v>1</v>
      </c>
      <c r="K130">
        <f ca="1">Pyramid!O132</f>
        <v>19288</v>
      </c>
      <c r="L130">
        <f ca="1">Pyramid!P132</f>
        <v>0</v>
      </c>
      <c r="M130" t="str">
        <f>Pyramid!Q132</f>
        <v>29/9/2016</v>
      </c>
      <c r="N130" t="str">
        <f ca="1">Pyramid!R132</f>
        <v/>
      </c>
      <c r="O130" t="str">
        <f ca="1">Pyramid!S132</f>
        <v/>
      </c>
      <c r="P130" t="str">
        <f ca="1">Pyramid!T132</f>
        <v/>
      </c>
      <c r="Q130" t="str">
        <f ca="1">Pyramid!U132</f>
        <v/>
      </c>
      <c r="R130" t="str">
        <f ca="1">Pyramid!V132</f>
        <v/>
      </c>
      <c r="S130" t="str">
        <f ca="1">Pyramid!W132</f>
        <v/>
      </c>
      <c r="T130" t="str">
        <f ca="1">Pyramid!X132</f>
        <v/>
      </c>
    </row>
    <row r="131" spans="1:20">
      <c r="A131" t="str">
        <f ca="1">Pyramid!E133</f>
        <v/>
      </c>
      <c r="B131" t="str">
        <f ca="1">Pyramid!F133</f>
        <v/>
      </c>
      <c r="C131" t="str">
        <f ca="1">Pyramid!G133</f>
        <v/>
      </c>
      <c r="D131" t="str">
        <f ca="1">Pyramid!H133</f>
        <v/>
      </c>
      <c r="E131" t="str">
        <f ca="1">Pyramid!I133</f>
        <v/>
      </c>
      <c r="F131" t="str">
        <f ca="1">Pyramid!J133</f>
        <v/>
      </c>
      <c r="G131" t="str">
        <f ca="1">Pyramid!K133</f>
        <v/>
      </c>
      <c r="H131" t="str">
        <f ca="1">Pyramid!L133</f>
        <v/>
      </c>
      <c r="I131" t="str">
        <f>Pyramid!M133</f>
        <v>28/10/2016</v>
      </c>
      <c r="J131">
        <f ca="1">Pyramid!N133</f>
        <v>0</v>
      </c>
      <c r="K131">
        <f ca="1">Pyramid!O133</f>
        <v>19288</v>
      </c>
      <c r="L131">
        <f ca="1">Pyramid!P133</f>
        <v>0</v>
      </c>
      <c r="M131" t="str">
        <f>Pyramid!Q133</f>
        <v>28/10/2016</v>
      </c>
      <c r="N131" t="str">
        <f ca="1">Pyramid!R133</f>
        <v/>
      </c>
      <c r="O131" t="str">
        <f ca="1">Pyramid!S133</f>
        <v/>
      </c>
      <c r="P131" t="str">
        <f ca="1">Pyramid!T133</f>
        <v/>
      </c>
      <c r="Q131" t="str">
        <f ca="1">Pyramid!U133</f>
        <v/>
      </c>
      <c r="R131" t="str">
        <f ca="1">Pyramid!V133</f>
        <v/>
      </c>
      <c r="S131" t="str">
        <f ca="1">Pyramid!W133</f>
        <v/>
      </c>
      <c r="T131" t="str">
        <f ca="1">Pyramid!X133</f>
        <v/>
      </c>
    </row>
    <row r="132" spans="1:20">
      <c r="A132" t="str">
        <f ca="1">Pyramid!E134</f>
        <v/>
      </c>
      <c r="B132" t="str">
        <f ca="1">Pyramid!F134</f>
        <v/>
      </c>
      <c r="C132" t="str">
        <f ca="1">Pyramid!G134</f>
        <v/>
      </c>
      <c r="D132" t="str">
        <f ca="1">Pyramid!H134</f>
        <v/>
      </c>
      <c r="E132" t="str">
        <f ca="1">Pyramid!I134</f>
        <v/>
      </c>
      <c r="F132" t="str">
        <f ca="1">Pyramid!J134</f>
        <v/>
      </c>
      <c r="G132" t="str">
        <f ca="1">Pyramid!K134</f>
        <v/>
      </c>
      <c r="H132" t="str">
        <f ca="1">Pyramid!L134</f>
        <v/>
      </c>
      <c r="I132" t="str">
        <f>Pyramid!M134</f>
        <v>29/6/2016</v>
      </c>
      <c r="J132">
        <f ca="1">Pyramid!N134</f>
        <v>0</v>
      </c>
      <c r="K132">
        <f ca="1">Pyramid!O134</f>
        <v>19400</v>
      </c>
      <c r="L132">
        <f ca="1">Pyramid!P134</f>
        <v>0</v>
      </c>
      <c r="M132" t="str">
        <f>Pyramid!Q134</f>
        <v>29/6/2016</v>
      </c>
      <c r="N132" t="str">
        <f ca="1">Pyramid!R134</f>
        <v/>
      </c>
      <c r="O132" t="str">
        <f ca="1">Pyramid!S134</f>
        <v/>
      </c>
      <c r="P132" t="str">
        <f ca="1">Pyramid!T134</f>
        <v/>
      </c>
      <c r="Q132" t="str">
        <f ca="1">Pyramid!U134</f>
        <v/>
      </c>
      <c r="R132" t="str">
        <f ca="1">Pyramid!V134</f>
        <v/>
      </c>
      <c r="S132" t="str">
        <f ca="1">Pyramid!W134</f>
        <v/>
      </c>
      <c r="T132" t="str">
        <f ca="1">Pyramid!X134</f>
        <v/>
      </c>
    </row>
    <row r="133" spans="1:20">
      <c r="A133" t="str">
        <f ca="1">Pyramid!E135</f>
        <v/>
      </c>
      <c r="B133" t="str">
        <f ca="1">Pyramid!F135</f>
        <v/>
      </c>
      <c r="C133" t="str">
        <f ca="1">Pyramid!G135</f>
        <v/>
      </c>
      <c r="D133" t="str">
        <f ca="1">Pyramid!H135</f>
        <v/>
      </c>
      <c r="E133" t="str">
        <f ca="1">Pyramid!I135</f>
        <v/>
      </c>
      <c r="F133" t="str">
        <f ca="1">Pyramid!J135</f>
        <v/>
      </c>
      <c r="G133" t="str">
        <f ca="1">Pyramid!K135</f>
        <v>25479 HK Equity</v>
      </c>
      <c r="H133" t="str">
        <f ca="1">Pyramid!L135</f>
        <v>26583 HK Equity</v>
      </c>
      <c r="I133" t="str">
        <f>Pyramid!M135</f>
        <v>28/7/2016</v>
      </c>
      <c r="J133">
        <f ca="1">Pyramid!N135</f>
        <v>2</v>
      </c>
      <c r="K133">
        <f ca="1">Pyramid!O135</f>
        <v>19400</v>
      </c>
      <c r="L133">
        <f ca="1">Pyramid!P135</f>
        <v>3</v>
      </c>
      <c r="M133" t="str">
        <f>Pyramid!Q135</f>
        <v>28/7/2016</v>
      </c>
      <c r="N133" t="str">
        <f ca="1">Pyramid!R135</f>
        <v>26712 HK Equity</v>
      </c>
      <c r="O133" t="str">
        <f ca="1">Pyramid!S135</f>
        <v>26939 HK Equity</v>
      </c>
      <c r="P133" t="str">
        <f ca="1">Pyramid!T135</f>
        <v>25306 HK Equity</v>
      </c>
      <c r="Q133" t="str">
        <f ca="1">Pyramid!U135</f>
        <v/>
      </c>
      <c r="R133" t="str">
        <f ca="1">Pyramid!V135</f>
        <v/>
      </c>
      <c r="S133" t="str">
        <f ca="1">Pyramid!W135</f>
        <v/>
      </c>
      <c r="T133" t="str">
        <f ca="1">Pyramid!X135</f>
        <v/>
      </c>
    </row>
    <row r="134" spans="1:20">
      <c r="A134" t="str">
        <f ca="1">Pyramid!E136</f>
        <v/>
      </c>
      <c r="B134" t="str">
        <f ca="1">Pyramid!F136</f>
        <v/>
      </c>
      <c r="C134" t="str">
        <f ca="1">Pyramid!G136</f>
        <v/>
      </c>
      <c r="D134" t="str">
        <f ca="1">Pyramid!H136</f>
        <v/>
      </c>
      <c r="E134" t="str">
        <f ca="1">Pyramid!I136</f>
        <v/>
      </c>
      <c r="F134" t="str">
        <f ca="1">Pyramid!J136</f>
        <v/>
      </c>
      <c r="G134" t="str">
        <f ca="1">Pyramid!K136</f>
        <v/>
      </c>
      <c r="H134" t="str">
        <f ca="1">Pyramid!L136</f>
        <v/>
      </c>
      <c r="I134" t="str">
        <f>Pyramid!M136</f>
        <v>30/8/2016</v>
      </c>
      <c r="J134">
        <f ca="1">Pyramid!N136</f>
        <v>0</v>
      </c>
      <c r="K134">
        <f ca="1">Pyramid!O136</f>
        <v>19400</v>
      </c>
      <c r="L134">
        <f ca="1">Pyramid!P136</f>
        <v>0</v>
      </c>
      <c r="M134" t="str">
        <f>Pyramid!Q136</f>
        <v>30/8/2016</v>
      </c>
      <c r="N134" t="str">
        <f ca="1">Pyramid!R136</f>
        <v/>
      </c>
      <c r="O134" t="str">
        <f ca="1">Pyramid!S136</f>
        <v/>
      </c>
      <c r="P134" t="str">
        <f ca="1">Pyramid!T136</f>
        <v/>
      </c>
      <c r="Q134" t="str">
        <f ca="1">Pyramid!U136</f>
        <v/>
      </c>
      <c r="R134" t="str">
        <f ca="1">Pyramid!V136</f>
        <v/>
      </c>
      <c r="S134" t="str">
        <f ca="1">Pyramid!W136</f>
        <v/>
      </c>
      <c r="T134" t="str">
        <f ca="1">Pyramid!X136</f>
        <v/>
      </c>
    </row>
    <row r="135" spans="1:20">
      <c r="A135" t="str">
        <f ca="1">Pyramid!E137</f>
        <v/>
      </c>
      <c r="B135" t="str">
        <f ca="1">Pyramid!F137</f>
        <v/>
      </c>
      <c r="C135" t="str">
        <f ca="1">Pyramid!G137</f>
        <v/>
      </c>
      <c r="D135" t="str">
        <f ca="1">Pyramid!H137</f>
        <v/>
      </c>
      <c r="E135" t="str">
        <f ca="1">Pyramid!I137</f>
        <v/>
      </c>
      <c r="F135" t="str">
        <f ca="1">Pyramid!J137</f>
        <v/>
      </c>
      <c r="G135" t="str">
        <f ca="1">Pyramid!K137</f>
        <v/>
      </c>
      <c r="H135" t="str">
        <f ca="1">Pyramid!L137</f>
        <v/>
      </c>
      <c r="I135" t="str">
        <f>Pyramid!M137</f>
        <v>29/9/2016</v>
      </c>
      <c r="J135">
        <f ca="1">Pyramid!N137</f>
        <v>0</v>
      </c>
      <c r="K135">
        <f ca="1">Pyramid!O137</f>
        <v>19400</v>
      </c>
      <c r="L135">
        <f ca="1">Pyramid!P137</f>
        <v>0</v>
      </c>
      <c r="M135" t="str">
        <f>Pyramid!Q137</f>
        <v>29/9/2016</v>
      </c>
      <c r="N135" t="str">
        <f ca="1">Pyramid!R137</f>
        <v/>
      </c>
      <c r="O135" t="str">
        <f ca="1">Pyramid!S137</f>
        <v/>
      </c>
      <c r="P135" t="str">
        <f ca="1">Pyramid!T137</f>
        <v/>
      </c>
      <c r="Q135" t="str">
        <f ca="1">Pyramid!U137</f>
        <v/>
      </c>
      <c r="R135" t="str">
        <f ca="1">Pyramid!V137</f>
        <v/>
      </c>
      <c r="S135" t="str">
        <f ca="1">Pyramid!W137</f>
        <v/>
      </c>
      <c r="T135" t="str">
        <f ca="1">Pyramid!X137</f>
        <v/>
      </c>
    </row>
    <row r="136" spans="1:20">
      <c r="A136" t="str">
        <f ca="1">Pyramid!E138</f>
        <v/>
      </c>
      <c r="B136" t="str">
        <f ca="1">Pyramid!F138</f>
        <v/>
      </c>
      <c r="C136" t="str">
        <f ca="1">Pyramid!G138</f>
        <v/>
      </c>
      <c r="D136" t="str">
        <f ca="1">Pyramid!H138</f>
        <v/>
      </c>
      <c r="E136" t="str">
        <f ca="1">Pyramid!I138</f>
        <v/>
      </c>
      <c r="F136" t="str">
        <f ca="1">Pyramid!J138</f>
        <v/>
      </c>
      <c r="G136" t="str">
        <f ca="1">Pyramid!K138</f>
        <v/>
      </c>
      <c r="H136" t="str">
        <f ca="1">Pyramid!L138</f>
        <v/>
      </c>
      <c r="I136" t="str">
        <f>Pyramid!M138</f>
        <v>28/10/2016</v>
      </c>
      <c r="J136">
        <f ca="1">Pyramid!N138</f>
        <v>0</v>
      </c>
      <c r="K136">
        <f ca="1">Pyramid!O138</f>
        <v>19400</v>
      </c>
      <c r="L136">
        <f ca="1">Pyramid!P138</f>
        <v>0</v>
      </c>
      <c r="M136" t="str">
        <f>Pyramid!Q138</f>
        <v>28/10/2016</v>
      </c>
      <c r="N136" t="str">
        <f ca="1">Pyramid!R138</f>
        <v/>
      </c>
      <c r="O136" t="str">
        <f ca="1">Pyramid!S138</f>
        <v/>
      </c>
      <c r="P136" t="str">
        <f ca="1">Pyramid!T138</f>
        <v/>
      </c>
      <c r="Q136" t="str">
        <f ca="1">Pyramid!U138</f>
        <v/>
      </c>
      <c r="R136" t="str">
        <f ca="1">Pyramid!V138</f>
        <v/>
      </c>
      <c r="S136" t="str">
        <f ca="1">Pyramid!W138</f>
        <v/>
      </c>
      <c r="T136" t="str">
        <f ca="1">Pyramid!X138</f>
        <v/>
      </c>
    </row>
    <row r="137" spans="1:20">
      <c r="A137" t="str">
        <f ca="1">Pyramid!E139</f>
        <v/>
      </c>
      <c r="B137" t="str">
        <f ca="1">Pyramid!F139</f>
        <v/>
      </c>
      <c r="C137" t="str">
        <f ca="1">Pyramid!G139</f>
        <v/>
      </c>
      <c r="D137" t="str">
        <f ca="1">Pyramid!H139</f>
        <v/>
      </c>
      <c r="E137" t="str">
        <f ca="1">Pyramid!I139</f>
        <v/>
      </c>
      <c r="F137" t="str">
        <f ca="1">Pyramid!J139</f>
        <v/>
      </c>
      <c r="G137" t="str">
        <f ca="1">Pyramid!K139</f>
        <v/>
      </c>
      <c r="H137" t="str">
        <f ca="1">Pyramid!L139</f>
        <v/>
      </c>
      <c r="I137" t="str">
        <f>Pyramid!M139</f>
        <v>29/6/2016</v>
      </c>
      <c r="J137">
        <f ca="1">Pyramid!N139</f>
        <v>0</v>
      </c>
      <c r="K137">
        <f ca="1">Pyramid!O139</f>
        <v>19408</v>
      </c>
      <c r="L137">
        <f ca="1">Pyramid!P139</f>
        <v>0</v>
      </c>
      <c r="M137" t="str">
        <f>Pyramid!Q139</f>
        <v>29/6/2016</v>
      </c>
      <c r="N137" t="str">
        <f ca="1">Pyramid!R139</f>
        <v/>
      </c>
      <c r="O137" t="str">
        <f ca="1">Pyramid!S139</f>
        <v/>
      </c>
      <c r="P137" t="str">
        <f ca="1">Pyramid!T139</f>
        <v/>
      </c>
      <c r="Q137" t="str">
        <f ca="1">Pyramid!U139</f>
        <v/>
      </c>
      <c r="R137" t="str">
        <f ca="1">Pyramid!V139</f>
        <v/>
      </c>
      <c r="S137" t="str">
        <f ca="1">Pyramid!W139</f>
        <v/>
      </c>
      <c r="T137" t="str">
        <f ca="1">Pyramid!X139</f>
        <v/>
      </c>
    </row>
    <row r="138" spans="1:20">
      <c r="A138" t="str">
        <f ca="1">Pyramid!E140</f>
        <v/>
      </c>
      <c r="B138" t="str">
        <f ca="1">Pyramid!F140</f>
        <v/>
      </c>
      <c r="C138" t="str">
        <f ca="1">Pyramid!G140</f>
        <v/>
      </c>
      <c r="D138" t="str">
        <f ca="1">Pyramid!H140</f>
        <v/>
      </c>
      <c r="E138" t="str">
        <f ca="1">Pyramid!I140</f>
        <v/>
      </c>
      <c r="F138" t="str">
        <f ca="1">Pyramid!J140</f>
        <v/>
      </c>
      <c r="G138" t="str">
        <f ca="1">Pyramid!K140</f>
        <v/>
      </c>
      <c r="H138" t="str">
        <f ca="1">Pyramid!L140</f>
        <v/>
      </c>
      <c r="I138" t="str">
        <f>Pyramid!M140</f>
        <v>28/7/2016</v>
      </c>
      <c r="J138">
        <f ca="1">Pyramid!N140</f>
        <v>0</v>
      </c>
      <c r="K138">
        <f ca="1">Pyramid!O140</f>
        <v>19408</v>
      </c>
      <c r="L138">
        <f ca="1">Pyramid!P140</f>
        <v>1</v>
      </c>
      <c r="M138" t="str">
        <f>Pyramid!Q140</f>
        <v>28/7/2016</v>
      </c>
      <c r="N138" t="str">
        <f ca="1">Pyramid!R140</f>
        <v>26147 HK Equity</v>
      </c>
      <c r="O138" t="str">
        <f ca="1">Pyramid!S140</f>
        <v/>
      </c>
      <c r="P138" t="str">
        <f ca="1">Pyramid!T140</f>
        <v/>
      </c>
      <c r="Q138" t="str">
        <f ca="1">Pyramid!U140</f>
        <v/>
      </c>
      <c r="R138" t="str">
        <f ca="1">Pyramid!V140</f>
        <v/>
      </c>
      <c r="S138" t="str">
        <f ca="1">Pyramid!W140</f>
        <v/>
      </c>
      <c r="T138" t="str">
        <f ca="1">Pyramid!X140</f>
        <v/>
      </c>
    </row>
    <row r="139" spans="1:20">
      <c r="A139" t="str">
        <f ca="1">Pyramid!E141</f>
        <v/>
      </c>
      <c r="B139" t="str">
        <f ca="1">Pyramid!F141</f>
        <v/>
      </c>
      <c r="C139" t="str">
        <f ca="1">Pyramid!G141</f>
        <v/>
      </c>
      <c r="D139" t="str">
        <f ca="1">Pyramid!H141</f>
        <v/>
      </c>
      <c r="E139" t="str">
        <f ca="1">Pyramid!I141</f>
        <v/>
      </c>
      <c r="F139" t="str">
        <f ca="1">Pyramid!J141</f>
        <v/>
      </c>
      <c r="G139" t="str">
        <f ca="1">Pyramid!K141</f>
        <v/>
      </c>
      <c r="H139" t="str">
        <f ca="1">Pyramid!L141</f>
        <v/>
      </c>
      <c r="I139" t="str">
        <f>Pyramid!M141</f>
        <v>30/8/2016</v>
      </c>
      <c r="J139">
        <f ca="1">Pyramid!N141</f>
        <v>0</v>
      </c>
      <c r="K139">
        <f ca="1">Pyramid!O141</f>
        <v>19408</v>
      </c>
      <c r="L139">
        <f ca="1">Pyramid!P141</f>
        <v>0</v>
      </c>
      <c r="M139" t="str">
        <f>Pyramid!Q141</f>
        <v>30/8/2016</v>
      </c>
      <c r="N139" t="str">
        <f ca="1">Pyramid!R141</f>
        <v/>
      </c>
      <c r="O139" t="str">
        <f ca="1">Pyramid!S141</f>
        <v/>
      </c>
      <c r="P139" t="str">
        <f ca="1">Pyramid!T141</f>
        <v/>
      </c>
      <c r="Q139" t="str">
        <f ca="1">Pyramid!U141</f>
        <v/>
      </c>
      <c r="R139" t="str">
        <f ca="1">Pyramid!V141</f>
        <v/>
      </c>
      <c r="S139" t="str">
        <f ca="1">Pyramid!W141</f>
        <v/>
      </c>
      <c r="T139" t="str">
        <f ca="1">Pyramid!X141</f>
        <v/>
      </c>
    </row>
    <row r="140" spans="1:20">
      <c r="A140" t="str">
        <f ca="1">Pyramid!E142</f>
        <v/>
      </c>
      <c r="B140" t="str">
        <f ca="1">Pyramid!F142</f>
        <v/>
      </c>
      <c r="C140" t="str">
        <f ca="1">Pyramid!G142</f>
        <v/>
      </c>
      <c r="D140" t="str">
        <f ca="1">Pyramid!H142</f>
        <v/>
      </c>
      <c r="E140" t="str">
        <f ca="1">Pyramid!I142</f>
        <v/>
      </c>
      <c r="F140" t="str">
        <f ca="1">Pyramid!J142</f>
        <v/>
      </c>
      <c r="G140" t="str">
        <f ca="1">Pyramid!K142</f>
        <v/>
      </c>
      <c r="H140" t="str">
        <f ca="1">Pyramid!L142</f>
        <v/>
      </c>
      <c r="I140" t="str">
        <f>Pyramid!M142</f>
        <v>29/9/2016</v>
      </c>
      <c r="J140">
        <f ca="1">Pyramid!N142</f>
        <v>0</v>
      </c>
      <c r="K140">
        <f ca="1">Pyramid!O142</f>
        <v>19408</v>
      </c>
      <c r="L140">
        <f ca="1">Pyramid!P142</f>
        <v>0</v>
      </c>
      <c r="M140" t="str">
        <f>Pyramid!Q142</f>
        <v>29/9/2016</v>
      </c>
      <c r="N140" t="str">
        <f ca="1">Pyramid!R142</f>
        <v/>
      </c>
      <c r="O140" t="str">
        <f ca="1">Pyramid!S142</f>
        <v/>
      </c>
      <c r="P140" t="str">
        <f ca="1">Pyramid!T142</f>
        <v/>
      </c>
      <c r="Q140" t="str">
        <f ca="1">Pyramid!U142</f>
        <v/>
      </c>
      <c r="R140" t="str">
        <f ca="1">Pyramid!V142</f>
        <v/>
      </c>
      <c r="S140" t="str">
        <f ca="1">Pyramid!W142</f>
        <v/>
      </c>
      <c r="T140" t="str">
        <f ca="1">Pyramid!X142</f>
        <v/>
      </c>
    </row>
    <row r="141" spans="1:20">
      <c r="A141" t="str">
        <f ca="1">Pyramid!E143</f>
        <v/>
      </c>
      <c r="B141" t="str">
        <f ca="1">Pyramid!F143</f>
        <v/>
      </c>
      <c r="C141" t="str">
        <f ca="1">Pyramid!G143</f>
        <v/>
      </c>
      <c r="D141" t="str">
        <f ca="1">Pyramid!H143</f>
        <v/>
      </c>
      <c r="E141" t="str">
        <f ca="1">Pyramid!I143</f>
        <v/>
      </c>
      <c r="F141" t="str">
        <f ca="1">Pyramid!J143</f>
        <v/>
      </c>
      <c r="G141" t="str">
        <f ca="1">Pyramid!K143</f>
        <v/>
      </c>
      <c r="H141" t="str">
        <f ca="1">Pyramid!L143</f>
        <v/>
      </c>
      <c r="I141" t="str">
        <f>Pyramid!M143</f>
        <v>28/10/2016</v>
      </c>
      <c r="J141">
        <f ca="1">Pyramid!N143</f>
        <v>0</v>
      </c>
      <c r="K141">
        <f ca="1">Pyramid!O143</f>
        <v>19408</v>
      </c>
      <c r="L141">
        <f ca="1">Pyramid!P143</f>
        <v>0</v>
      </c>
      <c r="M141" t="str">
        <f>Pyramid!Q143</f>
        <v>28/10/2016</v>
      </c>
      <c r="N141" t="str">
        <f ca="1">Pyramid!R143</f>
        <v/>
      </c>
      <c r="O141" t="str">
        <f ca="1">Pyramid!S143</f>
        <v/>
      </c>
      <c r="P141" t="str">
        <f ca="1">Pyramid!T143</f>
        <v/>
      </c>
      <c r="Q141" t="str">
        <f ca="1">Pyramid!U143</f>
        <v/>
      </c>
      <c r="R141" t="str">
        <f ca="1">Pyramid!V143</f>
        <v/>
      </c>
      <c r="S141" t="str">
        <f ca="1">Pyramid!W143</f>
        <v/>
      </c>
      <c r="T141" t="str">
        <f ca="1">Pyramid!X143</f>
        <v/>
      </c>
    </row>
    <row r="142" spans="1:20">
      <c r="A142" t="str">
        <f ca="1">Pyramid!E144</f>
        <v/>
      </c>
      <c r="B142" t="str">
        <f ca="1">Pyramid!F144</f>
        <v/>
      </c>
      <c r="C142" t="str">
        <f ca="1">Pyramid!G144</f>
        <v/>
      </c>
      <c r="D142" t="str">
        <f ca="1">Pyramid!H144</f>
        <v/>
      </c>
      <c r="E142" t="str">
        <f ca="1">Pyramid!I144</f>
        <v/>
      </c>
      <c r="F142" t="str">
        <f ca="1">Pyramid!J144</f>
        <v/>
      </c>
      <c r="G142" t="str">
        <f ca="1">Pyramid!K144</f>
        <v/>
      </c>
      <c r="H142" t="str">
        <f ca="1">Pyramid!L144</f>
        <v/>
      </c>
      <c r="I142" t="str">
        <f>Pyramid!M144</f>
        <v>29/6/2016</v>
      </c>
      <c r="J142">
        <f ca="1">Pyramid!N144</f>
        <v>0</v>
      </c>
      <c r="K142">
        <f ca="1">Pyramid!O144</f>
        <v>19488</v>
      </c>
      <c r="L142">
        <f ca="1">Pyramid!P144</f>
        <v>0</v>
      </c>
      <c r="M142" t="str">
        <f>Pyramid!Q144</f>
        <v>29/6/2016</v>
      </c>
      <c r="N142" t="str">
        <f ca="1">Pyramid!R144</f>
        <v/>
      </c>
      <c r="O142" t="str">
        <f ca="1">Pyramid!S144</f>
        <v/>
      </c>
      <c r="P142" t="str">
        <f ca="1">Pyramid!T144</f>
        <v/>
      </c>
      <c r="Q142" t="str">
        <f ca="1">Pyramid!U144</f>
        <v/>
      </c>
      <c r="R142" t="str">
        <f ca="1">Pyramid!V144</f>
        <v/>
      </c>
      <c r="S142" t="str">
        <f ca="1">Pyramid!W144</f>
        <v/>
      </c>
      <c r="T142" t="str">
        <f ca="1">Pyramid!X144</f>
        <v/>
      </c>
    </row>
    <row r="143" spans="1:20">
      <c r="A143" t="str">
        <f ca="1">Pyramid!E145</f>
        <v/>
      </c>
      <c r="B143" t="str">
        <f ca="1">Pyramid!F145</f>
        <v/>
      </c>
      <c r="C143" t="str">
        <f ca="1">Pyramid!G145</f>
        <v/>
      </c>
      <c r="D143" t="str">
        <f ca="1">Pyramid!H145</f>
        <v/>
      </c>
      <c r="E143" t="str">
        <f ca="1">Pyramid!I145</f>
        <v/>
      </c>
      <c r="F143" t="str">
        <f ca="1">Pyramid!J145</f>
        <v/>
      </c>
      <c r="G143" t="str">
        <f ca="1">Pyramid!K145</f>
        <v/>
      </c>
      <c r="H143" t="str">
        <f ca="1">Pyramid!L145</f>
        <v>25909 HK Equity</v>
      </c>
      <c r="I143" t="str">
        <f>Pyramid!M145</f>
        <v>28/7/2016</v>
      </c>
      <c r="J143">
        <f ca="1">Pyramid!N145</f>
        <v>1</v>
      </c>
      <c r="K143">
        <f ca="1">Pyramid!O145</f>
        <v>19488</v>
      </c>
      <c r="L143">
        <f ca="1">Pyramid!P145</f>
        <v>0</v>
      </c>
      <c r="M143" t="str">
        <f>Pyramid!Q145</f>
        <v>28/7/2016</v>
      </c>
      <c r="N143" t="str">
        <f ca="1">Pyramid!R145</f>
        <v/>
      </c>
      <c r="O143" t="str">
        <f ca="1">Pyramid!S145</f>
        <v/>
      </c>
      <c r="P143" t="str">
        <f ca="1">Pyramid!T145</f>
        <v/>
      </c>
      <c r="Q143" t="str">
        <f ca="1">Pyramid!U145</f>
        <v/>
      </c>
      <c r="R143" t="str">
        <f ca="1">Pyramid!V145</f>
        <v/>
      </c>
      <c r="S143" t="str">
        <f ca="1">Pyramid!W145</f>
        <v/>
      </c>
      <c r="T143" t="str">
        <f ca="1">Pyramid!X145</f>
        <v/>
      </c>
    </row>
    <row r="144" spans="1:20">
      <c r="A144" t="str">
        <f ca="1">Pyramid!E146</f>
        <v/>
      </c>
      <c r="B144" t="str">
        <f ca="1">Pyramid!F146</f>
        <v/>
      </c>
      <c r="C144" t="str">
        <f ca="1">Pyramid!G146</f>
        <v/>
      </c>
      <c r="D144" t="str">
        <f ca="1">Pyramid!H146</f>
        <v/>
      </c>
      <c r="E144" t="str">
        <f ca="1">Pyramid!I146</f>
        <v/>
      </c>
      <c r="F144" t="str">
        <f ca="1">Pyramid!J146</f>
        <v/>
      </c>
      <c r="G144" t="str">
        <f ca="1">Pyramid!K146</f>
        <v/>
      </c>
      <c r="H144" t="str">
        <f ca="1">Pyramid!L146</f>
        <v/>
      </c>
      <c r="I144" t="str">
        <f>Pyramid!M146</f>
        <v>30/8/2016</v>
      </c>
      <c r="J144">
        <f ca="1">Pyramid!N146</f>
        <v>0</v>
      </c>
      <c r="K144">
        <f ca="1">Pyramid!O146</f>
        <v>19488</v>
      </c>
      <c r="L144">
        <f ca="1">Pyramid!P146</f>
        <v>0</v>
      </c>
      <c r="M144" t="str">
        <f>Pyramid!Q146</f>
        <v>30/8/2016</v>
      </c>
      <c r="N144" t="str">
        <f ca="1">Pyramid!R146</f>
        <v/>
      </c>
      <c r="O144" t="str">
        <f ca="1">Pyramid!S146</f>
        <v/>
      </c>
      <c r="P144" t="str">
        <f ca="1">Pyramid!T146</f>
        <v/>
      </c>
      <c r="Q144" t="str">
        <f ca="1">Pyramid!U146</f>
        <v/>
      </c>
      <c r="R144" t="str">
        <f ca="1">Pyramid!V146</f>
        <v/>
      </c>
      <c r="S144" t="str">
        <f ca="1">Pyramid!W146</f>
        <v/>
      </c>
      <c r="T144" t="str">
        <f ca="1">Pyramid!X146</f>
        <v/>
      </c>
    </row>
    <row r="145" spans="1:20">
      <c r="A145" t="str">
        <f ca="1">Pyramid!E147</f>
        <v/>
      </c>
      <c r="B145" t="str">
        <f ca="1">Pyramid!F147</f>
        <v/>
      </c>
      <c r="C145" t="str">
        <f ca="1">Pyramid!G147</f>
        <v/>
      </c>
      <c r="D145" t="str">
        <f ca="1">Pyramid!H147</f>
        <v/>
      </c>
      <c r="E145" t="str">
        <f ca="1">Pyramid!I147</f>
        <v/>
      </c>
      <c r="F145" t="str">
        <f ca="1">Pyramid!J147</f>
        <v/>
      </c>
      <c r="G145" t="str">
        <f ca="1">Pyramid!K147</f>
        <v/>
      </c>
      <c r="H145" t="str">
        <f ca="1">Pyramid!L147</f>
        <v/>
      </c>
      <c r="I145" t="str">
        <f>Pyramid!M147</f>
        <v>29/9/2016</v>
      </c>
      <c r="J145">
        <f ca="1">Pyramid!N147</f>
        <v>0</v>
      </c>
      <c r="K145">
        <f ca="1">Pyramid!O147</f>
        <v>19488</v>
      </c>
      <c r="L145">
        <f ca="1">Pyramid!P147</f>
        <v>0</v>
      </c>
      <c r="M145" t="str">
        <f>Pyramid!Q147</f>
        <v>29/9/2016</v>
      </c>
      <c r="N145" t="str">
        <f ca="1">Pyramid!R147</f>
        <v/>
      </c>
      <c r="O145" t="str">
        <f ca="1">Pyramid!S147</f>
        <v/>
      </c>
      <c r="P145" t="str">
        <f ca="1">Pyramid!T147</f>
        <v/>
      </c>
      <c r="Q145" t="str">
        <f ca="1">Pyramid!U147</f>
        <v/>
      </c>
      <c r="R145" t="str">
        <f ca="1">Pyramid!V147</f>
        <v/>
      </c>
      <c r="S145" t="str">
        <f ca="1">Pyramid!W147</f>
        <v/>
      </c>
      <c r="T145" t="str">
        <f ca="1">Pyramid!X147</f>
        <v/>
      </c>
    </row>
    <row r="146" spans="1:20">
      <c r="A146" t="str">
        <f ca="1">Pyramid!E148</f>
        <v/>
      </c>
      <c r="B146" t="str">
        <f ca="1">Pyramid!F148</f>
        <v/>
      </c>
      <c r="C146" t="str">
        <f ca="1">Pyramid!G148</f>
        <v/>
      </c>
      <c r="D146" t="str">
        <f ca="1">Pyramid!H148</f>
        <v/>
      </c>
      <c r="E146" t="str">
        <f ca="1">Pyramid!I148</f>
        <v/>
      </c>
      <c r="F146" t="str">
        <f ca="1">Pyramid!J148</f>
        <v/>
      </c>
      <c r="G146" t="str">
        <f ca="1">Pyramid!K148</f>
        <v/>
      </c>
      <c r="H146" t="str">
        <f ca="1">Pyramid!L148</f>
        <v/>
      </c>
      <c r="I146" t="str">
        <f>Pyramid!M148</f>
        <v>28/10/2016</v>
      </c>
      <c r="J146">
        <f ca="1">Pyramid!N148</f>
        <v>0</v>
      </c>
      <c r="K146">
        <f ca="1">Pyramid!O148</f>
        <v>19488</v>
      </c>
      <c r="L146">
        <f ca="1">Pyramid!P148</f>
        <v>0</v>
      </c>
      <c r="M146" t="str">
        <f>Pyramid!Q148</f>
        <v>28/10/2016</v>
      </c>
      <c r="N146" t="str">
        <f ca="1">Pyramid!R148</f>
        <v/>
      </c>
      <c r="O146" t="str">
        <f ca="1">Pyramid!S148</f>
        <v/>
      </c>
      <c r="P146" t="str">
        <f ca="1">Pyramid!T148</f>
        <v/>
      </c>
      <c r="Q146" t="str">
        <f ca="1">Pyramid!U148</f>
        <v/>
      </c>
      <c r="R146" t="str">
        <f ca="1">Pyramid!V148</f>
        <v/>
      </c>
      <c r="S146" t="str">
        <f ca="1">Pyramid!W148</f>
        <v/>
      </c>
      <c r="T146" t="str">
        <f ca="1">Pyramid!X148</f>
        <v/>
      </c>
    </row>
    <row r="147" spans="1:20">
      <c r="A147" t="str">
        <f ca="1">Pyramid!E149</f>
        <v/>
      </c>
      <c r="B147" t="str">
        <f ca="1">Pyramid!F149</f>
        <v/>
      </c>
      <c r="C147" t="str">
        <f ca="1">Pyramid!G149</f>
        <v/>
      </c>
      <c r="D147" t="str">
        <f ca="1">Pyramid!H149</f>
        <v/>
      </c>
      <c r="E147" t="str">
        <f ca="1">Pyramid!I149</f>
        <v/>
      </c>
      <c r="F147" t="str">
        <f ca="1">Pyramid!J149</f>
        <v/>
      </c>
      <c r="G147" t="str">
        <f ca="1">Pyramid!K149</f>
        <v/>
      </c>
      <c r="H147" t="str">
        <f ca="1">Pyramid!L149</f>
        <v/>
      </c>
      <c r="I147" t="str">
        <f>Pyramid!M149</f>
        <v>29/6/2016</v>
      </c>
      <c r="J147">
        <f ca="1">Pyramid!N149</f>
        <v>0</v>
      </c>
      <c r="K147">
        <f ca="1">Pyramid!O149</f>
        <v>19500</v>
      </c>
      <c r="L147">
        <f ca="1">Pyramid!P149</f>
        <v>0</v>
      </c>
      <c r="M147" t="str">
        <f>Pyramid!Q149</f>
        <v>29/6/2016</v>
      </c>
      <c r="N147" t="str">
        <f ca="1">Pyramid!R149</f>
        <v/>
      </c>
      <c r="O147" t="str">
        <f ca="1">Pyramid!S149</f>
        <v/>
      </c>
      <c r="P147" t="str">
        <f ca="1">Pyramid!T149</f>
        <v/>
      </c>
      <c r="Q147" t="str">
        <f ca="1">Pyramid!U149</f>
        <v/>
      </c>
      <c r="R147" t="str">
        <f ca="1">Pyramid!V149</f>
        <v/>
      </c>
      <c r="S147" t="str">
        <f ca="1">Pyramid!W149</f>
        <v/>
      </c>
      <c r="T147" t="str">
        <f ca="1">Pyramid!X149</f>
        <v/>
      </c>
    </row>
    <row r="148" spans="1:20">
      <c r="A148" t="str">
        <f ca="1">Pyramid!E150</f>
        <v/>
      </c>
      <c r="B148" t="str">
        <f ca="1">Pyramid!F150</f>
        <v/>
      </c>
      <c r="C148" t="str">
        <f ca="1">Pyramid!G150</f>
        <v/>
      </c>
      <c r="D148" t="str">
        <f ca="1">Pyramid!H150</f>
        <v/>
      </c>
      <c r="E148" t="str">
        <f ca="1">Pyramid!I150</f>
        <v/>
      </c>
      <c r="F148" t="str">
        <f ca="1">Pyramid!J150</f>
        <v/>
      </c>
      <c r="G148" t="str">
        <f ca="1">Pyramid!K150</f>
        <v/>
      </c>
      <c r="H148" t="str">
        <f ca="1">Pyramid!L150</f>
        <v/>
      </c>
      <c r="I148" t="str">
        <f>Pyramid!M150</f>
        <v>28/7/2016</v>
      </c>
      <c r="J148">
        <f ca="1">Pyramid!N150</f>
        <v>0</v>
      </c>
      <c r="K148">
        <f ca="1">Pyramid!O150</f>
        <v>19500</v>
      </c>
      <c r="L148">
        <f ca="1">Pyramid!P150</f>
        <v>2</v>
      </c>
      <c r="M148" t="str">
        <f>Pyramid!Q150</f>
        <v>28/7/2016</v>
      </c>
      <c r="N148" t="str">
        <f ca="1">Pyramid!R150</f>
        <v>26704 HK Equity</v>
      </c>
      <c r="O148" t="str">
        <f ca="1">Pyramid!S150</f>
        <v>25377 HK Equity</v>
      </c>
      <c r="P148" t="str">
        <f ca="1">Pyramid!T150</f>
        <v/>
      </c>
      <c r="Q148" t="str">
        <f ca="1">Pyramid!U150</f>
        <v/>
      </c>
      <c r="R148" t="str">
        <f ca="1">Pyramid!V150</f>
        <v/>
      </c>
      <c r="S148" t="str">
        <f ca="1">Pyramid!W150</f>
        <v/>
      </c>
      <c r="T148" t="str">
        <f ca="1">Pyramid!X150</f>
        <v/>
      </c>
    </row>
    <row r="149" spans="1:20">
      <c r="A149" t="str">
        <f ca="1">Pyramid!E151</f>
        <v/>
      </c>
      <c r="B149" t="str">
        <f ca="1">Pyramid!F151</f>
        <v/>
      </c>
      <c r="C149" t="str">
        <f ca="1">Pyramid!G151</f>
        <v/>
      </c>
      <c r="D149" t="str">
        <f ca="1">Pyramid!H151</f>
        <v/>
      </c>
      <c r="E149" t="str">
        <f ca="1">Pyramid!I151</f>
        <v/>
      </c>
      <c r="F149" t="str">
        <f ca="1">Pyramid!J151</f>
        <v/>
      </c>
      <c r="G149" t="str">
        <f ca="1">Pyramid!K151</f>
        <v/>
      </c>
      <c r="H149" t="str">
        <f ca="1">Pyramid!L151</f>
        <v/>
      </c>
      <c r="I149" t="str">
        <f>Pyramid!M151</f>
        <v>30/8/2016</v>
      </c>
      <c r="J149">
        <f ca="1">Pyramid!N151</f>
        <v>0</v>
      </c>
      <c r="K149">
        <f ca="1">Pyramid!O151</f>
        <v>19500</v>
      </c>
      <c r="L149">
        <f ca="1">Pyramid!P151</f>
        <v>0</v>
      </c>
      <c r="M149" t="str">
        <f>Pyramid!Q151</f>
        <v>30/8/2016</v>
      </c>
      <c r="N149" t="str">
        <f ca="1">Pyramid!R151</f>
        <v/>
      </c>
      <c r="O149" t="str">
        <f ca="1">Pyramid!S151</f>
        <v/>
      </c>
      <c r="P149" t="str">
        <f ca="1">Pyramid!T151</f>
        <v/>
      </c>
      <c r="Q149" t="str">
        <f ca="1">Pyramid!U151</f>
        <v/>
      </c>
      <c r="R149" t="str">
        <f ca="1">Pyramid!V151</f>
        <v/>
      </c>
      <c r="S149" t="str">
        <f ca="1">Pyramid!W151</f>
        <v/>
      </c>
      <c r="T149" t="str">
        <f ca="1">Pyramid!X151</f>
        <v/>
      </c>
    </row>
    <row r="150" spans="1:20">
      <c r="A150" t="str">
        <f ca="1">Pyramid!E152</f>
        <v/>
      </c>
      <c r="B150" t="str">
        <f ca="1">Pyramid!F152</f>
        <v/>
      </c>
      <c r="C150" t="str">
        <f ca="1">Pyramid!G152</f>
        <v/>
      </c>
      <c r="D150" t="str">
        <f ca="1">Pyramid!H152</f>
        <v/>
      </c>
      <c r="E150" t="str">
        <f ca="1">Pyramid!I152</f>
        <v/>
      </c>
      <c r="F150" t="str">
        <f ca="1">Pyramid!J152</f>
        <v/>
      </c>
      <c r="G150" t="str">
        <f ca="1">Pyramid!K152</f>
        <v/>
      </c>
      <c r="H150" t="str">
        <f ca="1">Pyramid!L152</f>
        <v/>
      </c>
      <c r="I150" t="str">
        <f>Pyramid!M152</f>
        <v>29/9/2016</v>
      </c>
      <c r="J150">
        <f ca="1">Pyramid!N152</f>
        <v>0</v>
      </c>
      <c r="K150">
        <f ca="1">Pyramid!O152</f>
        <v>19500</v>
      </c>
      <c r="L150">
        <f ca="1">Pyramid!P152</f>
        <v>0</v>
      </c>
      <c r="M150" t="str">
        <f>Pyramid!Q152</f>
        <v>29/9/2016</v>
      </c>
      <c r="N150" t="str">
        <f ca="1">Pyramid!R152</f>
        <v/>
      </c>
      <c r="O150" t="str">
        <f ca="1">Pyramid!S152</f>
        <v/>
      </c>
      <c r="P150" t="str">
        <f ca="1">Pyramid!T152</f>
        <v/>
      </c>
      <c r="Q150" t="str">
        <f ca="1">Pyramid!U152</f>
        <v/>
      </c>
      <c r="R150" t="str">
        <f ca="1">Pyramid!V152</f>
        <v/>
      </c>
      <c r="S150" t="str">
        <f ca="1">Pyramid!W152</f>
        <v/>
      </c>
      <c r="T150" t="str">
        <f ca="1">Pyramid!X152</f>
        <v/>
      </c>
    </row>
    <row r="151" spans="1:20">
      <c r="A151" t="str">
        <f ca="1">Pyramid!E153</f>
        <v/>
      </c>
      <c r="B151" t="str">
        <f ca="1">Pyramid!F153</f>
        <v/>
      </c>
      <c r="C151" t="str">
        <f ca="1">Pyramid!G153</f>
        <v/>
      </c>
      <c r="D151" t="str">
        <f ca="1">Pyramid!H153</f>
        <v/>
      </c>
      <c r="E151" t="str">
        <f ca="1">Pyramid!I153</f>
        <v/>
      </c>
      <c r="F151" t="str">
        <f ca="1">Pyramid!J153</f>
        <v/>
      </c>
      <c r="G151" t="str">
        <f ca="1">Pyramid!K153</f>
        <v/>
      </c>
      <c r="H151" t="str">
        <f ca="1">Pyramid!L153</f>
        <v/>
      </c>
      <c r="I151" t="str">
        <f>Pyramid!M153</f>
        <v>28/10/2016</v>
      </c>
      <c r="J151">
        <f ca="1">Pyramid!N153</f>
        <v>0</v>
      </c>
      <c r="K151">
        <f ca="1">Pyramid!O153</f>
        <v>19500</v>
      </c>
      <c r="L151">
        <f ca="1">Pyramid!P153</f>
        <v>0</v>
      </c>
      <c r="M151" t="str">
        <f>Pyramid!Q153</f>
        <v>28/10/2016</v>
      </c>
      <c r="N151" t="str">
        <f ca="1">Pyramid!R153</f>
        <v/>
      </c>
      <c r="O151" t="str">
        <f ca="1">Pyramid!S153</f>
        <v/>
      </c>
      <c r="P151" t="str">
        <f ca="1">Pyramid!T153</f>
        <v/>
      </c>
      <c r="Q151" t="str">
        <f ca="1">Pyramid!U153</f>
        <v/>
      </c>
      <c r="R151" t="str">
        <f ca="1">Pyramid!V153</f>
        <v/>
      </c>
      <c r="S151" t="str">
        <f ca="1">Pyramid!W153</f>
        <v/>
      </c>
      <c r="T151" t="str">
        <f ca="1">Pyramid!X153</f>
        <v/>
      </c>
    </row>
    <row r="152" spans="1:20">
      <c r="A152" t="str">
        <f ca="1">Pyramid!E154</f>
        <v/>
      </c>
      <c r="B152" t="str">
        <f ca="1">Pyramid!F154</f>
        <v/>
      </c>
      <c r="C152" t="str">
        <f ca="1">Pyramid!G154</f>
        <v/>
      </c>
      <c r="D152" t="str">
        <f ca="1">Pyramid!H154</f>
        <v/>
      </c>
      <c r="E152" t="str">
        <f ca="1">Pyramid!I154</f>
        <v/>
      </c>
      <c r="F152" t="str">
        <f ca="1">Pyramid!J154</f>
        <v/>
      </c>
      <c r="G152" t="str">
        <f ca="1">Pyramid!K154</f>
        <v/>
      </c>
      <c r="H152" t="str">
        <f ca="1">Pyramid!L154</f>
        <v/>
      </c>
      <c r="I152" t="str">
        <f>Pyramid!M154</f>
        <v>29/6/2016</v>
      </c>
      <c r="J152">
        <f ca="1">Pyramid!N154</f>
        <v>0</v>
      </c>
      <c r="K152">
        <f ca="1">Pyramid!O154</f>
        <v>19600</v>
      </c>
      <c r="L152">
        <f ca="1">Pyramid!P154</f>
        <v>0</v>
      </c>
      <c r="M152" t="str">
        <f>Pyramid!Q154</f>
        <v>29/6/2016</v>
      </c>
      <c r="N152" t="str">
        <f ca="1">Pyramid!R154</f>
        <v/>
      </c>
      <c r="O152" t="str">
        <f ca="1">Pyramid!S154</f>
        <v/>
      </c>
      <c r="P152" t="str">
        <f ca="1">Pyramid!T154</f>
        <v/>
      </c>
      <c r="Q152" t="str">
        <f ca="1">Pyramid!U154</f>
        <v/>
      </c>
      <c r="R152" t="str">
        <f ca="1">Pyramid!V154</f>
        <v/>
      </c>
      <c r="S152" t="str">
        <f ca="1">Pyramid!W154</f>
        <v/>
      </c>
      <c r="T152" t="str">
        <f ca="1">Pyramid!X154</f>
        <v/>
      </c>
    </row>
    <row r="153" spans="1:20">
      <c r="A153" t="str">
        <f ca="1">Pyramid!E155</f>
        <v/>
      </c>
      <c r="B153" t="str">
        <f ca="1">Pyramid!F155</f>
        <v/>
      </c>
      <c r="C153" t="str">
        <f ca="1">Pyramid!G155</f>
        <v/>
      </c>
      <c r="D153" t="str">
        <f ca="1">Pyramid!H155</f>
        <v/>
      </c>
      <c r="E153" t="str">
        <f ca="1">Pyramid!I155</f>
        <v/>
      </c>
      <c r="F153" t="str">
        <f ca="1">Pyramid!J155</f>
        <v/>
      </c>
      <c r="G153" t="str">
        <f ca="1">Pyramid!K155</f>
        <v>25910 HK Equity</v>
      </c>
      <c r="H153" t="str">
        <f ca="1">Pyramid!L155</f>
        <v>25662 HK Equity</v>
      </c>
      <c r="I153" t="str">
        <f>Pyramid!M155</f>
        <v>28/7/2016</v>
      </c>
      <c r="J153">
        <f ca="1">Pyramid!N155</f>
        <v>2</v>
      </c>
      <c r="K153">
        <f ca="1">Pyramid!O155</f>
        <v>19600</v>
      </c>
      <c r="L153">
        <f ca="1">Pyramid!P155</f>
        <v>0</v>
      </c>
      <c r="M153" t="str">
        <f>Pyramid!Q155</f>
        <v>28/7/2016</v>
      </c>
      <c r="N153" t="str">
        <f ca="1">Pyramid!R155</f>
        <v/>
      </c>
      <c r="O153" t="str">
        <f ca="1">Pyramid!S155</f>
        <v/>
      </c>
      <c r="P153" t="str">
        <f ca="1">Pyramid!T155</f>
        <v/>
      </c>
      <c r="Q153" t="str">
        <f ca="1">Pyramid!U155</f>
        <v/>
      </c>
      <c r="R153" t="str">
        <f ca="1">Pyramid!V155</f>
        <v/>
      </c>
      <c r="S153" t="str">
        <f ca="1">Pyramid!W155</f>
        <v/>
      </c>
      <c r="T153" t="str">
        <f ca="1">Pyramid!X155</f>
        <v/>
      </c>
    </row>
    <row r="154" spans="1:20">
      <c r="A154" t="str">
        <f ca="1">Pyramid!E156</f>
        <v/>
      </c>
      <c r="B154" t="str">
        <f ca="1">Pyramid!F156</f>
        <v/>
      </c>
      <c r="C154" t="str">
        <f ca="1">Pyramid!G156</f>
        <v/>
      </c>
      <c r="D154" t="str">
        <f ca="1">Pyramid!H156</f>
        <v/>
      </c>
      <c r="E154" t="str">
        <f ca="1">Pyramid!I156</f>
        <v/>
      </c>
      <c r="F154" t="str">
        <f ca="1">Pyramid!J156</f>
        <v/>
      </c>
      <c r="G154" t="str">
        <f ca="1">Pyramid!K156</f>
        <v/>
      </c>
      <c r="H154" t="str">
        <f ca="1">Pyramid!L156</f>
        <v/>
      </c>
      <c r="I154" t="str">
        <f>Pyramid!M156</f>
        <v>30/8/2016</v>
      </c>
      <c r="J154">
        <f ca="1">Pyramid!N156</f>
        <v>0</v>
      </c>
      <c r="K154">
        <f ca="1">Pyramid!O156</f>
        <v>19600</v>
      </c>
      <c r="L154">
        <f ca="1">Pyramid!P156</f>
        <v>0</v>
      </c>
      <c r="M154" t="str">
        <f>Pyramid!Q156</f>
        <v>30/8/2016</v>
      </c>
      <c r="N154" t="str">
        <f ca="1">Pyramid!R156</f>
        <v/>
      </c>
      <c r="O154" t="str">
        <f ca="1">Pyramid!S156</f>
        <v/>
      </c>
      <c r="P154" t="str">
        <f ca="1">Pyramid!T156</f>
        <v/>
      </c>
      <c r="Q154" t="str">
        <f ca="1">Pyramid!U156</f>
        <v/>
      </c>
      <c r="R154" t="str">
        <f ca="1">Pyramid!V156</f>
        <v/>
      </c>
      <c r="S154" t="str">
        <f ca="1">Pyramid!W156</f>
        <v/>
      </c>
      <c r="T154" t="str">
        <f ca="1">Pyramid!X156</f>
        <v/>
      </c>
    </row>
    <row r="155" spans="1:20">
      <c r="A155" t="str">
        <f ca="1">Pyramid!E157</f>
        <v/>
      </c>
      <c r="B155" t="str">
        <f ca="1">Pyramid!F157</f>
        <v/>
      </c>
      <c r="C155" t="str">
        <f ca="1">Pyramid!G157</f>
        <v/>
      </c>
      <c r="D155" t="str">
        <f ca="1">Pyramid!H157</f>
        <v/>
      </c>
      <c r="E155" t="str">
        <f ca="1">Pyramid!I157</f>
        <v/>
      </c>
      <c r="F155" t="str">
        <f ca="1">Pyramid!J157</f>
        <v/>
      </c>
      <c r="G155" t="str">
        <f ca="1">Pyramid!K157</f>
        <v/>
      </c>
      <c r="H155" t="str">
        <f ca="1">Pyramid!L157</f>
        <v>25804 HK Equity</v>
      </c>
      <c r="I155" t="str">
        <f>Pyramid!M157</f>
        <v>29/9/2016</v>
      </c>
      <c r="J155">
        <f ca="1">Pyramid!N157</f>
        <v>1</v>
      </c>
      <c r="K155">
        <f ca="1">Pyramid!O157</f>
        <v>19600</v>
      </c>
      <c r="L155">
        <f ca="1">Pyramid!P157</f>
        <v>0</v>
      </c>
      <c r="M155" t="str">
        <f>Pyramid!Q157</f>
        <v>29/9/2016</v>
      </c>
      <c r="N155" t="str">
        <f ca="1">Pyramid!R157</f>
        <v/>
      </c>
      <c r="O155" t="str">
        <f ca="1">Pyramid!S157</f>
        <v/>
      </c>
      <c r="P155" t="str">
        <f ca="1">Pyramid!T157</f>
        <v/>
      </c>
      <c r="Q155" t="str">
        <f ca="1">Pyramid!U157</f>
        <v/>
      </c>
      <c r="R155" t="str">
        <f ca="1">Pyramid!V157</f>
        <v/>
      </c>
      <c r="S155" t="str">
        <f ca="1">Pyramid!W157</f>
        <v/>
      </c>
      <c r="T155" t="str">
        <f ca="1">Pyramid!X157</f>
        <v/>
      </c>
    </row>
    <row r="156" spans="1:20">
      <c r="A156" t="str">
        <f ca="1">Pyramid!E158</f>
        <v/>
      </c>
      <c r="B156" t="str">
        <f ca="1">Pyramid!F158</f>
        <v/>
      </c>
      <c r="C156" t="str">
        <f ca="1">Pyramid!G158</f>
        <v/>
      </c>
      <c r="D156" t="str">
        <f ca="1">Pyramid!H158</f>
        <v/>
      </c>
      <c r="E156" t="str">
        <f ca="1">Pyramid!I158</f>
        <v/>
      </c>
      <c r="F156" t="str">
        <f ca="1">Pyramid!J158</f>
        <v/>
      </c>
      <c r="G156" t="str">
        <f ca="1">Pyramid!K158</f>
        <v/>
      </c>
      <c r="H156" t="str">
        <f ca="1">Pyramid!L158</f>
        <v/>
      </c>
      <c r="I156" t="str">
        <f>Pyramid!M158</f>
        <v>28/10/2016</v>
      </c>
      <c r="J156">
        <f ca="1">Pyramid!N158</f>
        <v>0</v>
      </c>
      <c r="K156">
        <f ca="1">Pyramid!O158</f>
        <v>19600</v>
      </c>
      <c r="L156">
        <f ca="1">Pyramid!P158</f>
        <v>0</v>
      </c>
      <c r="M156" t="str">
        <f>Pyramid!Q158</f>
        <v>28/10/2016</v>
      </c>
      <c r="N156" t="str">
        <f ca="1">Pyramid!R158</f>
        <v/>
      </c>
      <c r="O156" t="str">
        <f ca="1">Pyramid!S158</f>
        <v/>
      </c>
      <c r="P156" t="str">
        <f ca="1">Pyramid!T158</f>
        <v/>
      </c>
      <c r="Q156" t="str">
        <f ca="1">Pyramid!U158</f>
        <v/>
      </c>
      <c r="R156" t="str">
        <f ca="1">Pyramid!V158</f>
        <v/>
      </c>
      <c r="S156" t="str">
        <f ca="1">Pyramid!W158</f>
        <v/>
      </c>
      <c r="T156" t="str">
        <f ca="1">Pyramid!X158</f>
        <v/>
      </c>
    </row>
    <row r="157" spans="1:20">
      <c r="A157" t="str">
        <f ca="1">Pyramid!E159</f>
        <v/>
      </c>
      <c r="B157" t="str">
        <f ca="1">Pyramid!F159</f>
        <v/>
      </c>
      <c r="C157" t="str">
        <f ca="1">Pyramid!G159</f>
        <v/>
      </c>
      <c r="D157" t="str">
        <f ca="1">Pyramid!H159</f>
        <v/>
      </c>
      <c r="E157" t="str">
        <f ca="1">Pyramid!I159</f>
        <v/>
      </c>
      <c r="F157" t="str">
        <f ca="1">Pyramid!J159</f>
        <v/>
      </c>
      <c r="G157" t="str">
        <f ca="1">Pyramid!K159</f>
        <v/>
      </c>
      <c r="H157" t="str">
        <f ca="1">Pyramid!L159</f>
        <v/>
      </c>
      <c r="I157" t="str">
        <f>Pyramid!M159</f>
        <v>29/6/2016</v>
      </c>
      <c r="J157">
        <f ca="1">Pyramid!N159</f>
        <v>0</v>
      </c>
      <c r="K157">
        <f ca="1">Pyramid!O159</f>
        <v>19698</v>
      </c>
      <c r="L157">
        <f ca="1">Pyramid!P159</f>
        <v>0</v>
      </c>
      <c r="M157" t="str">
        <f>Pyramid!Q159</f>
        <v>29/6/2016</v>
      </c>
      <c r="N157" t="str">
        <f ca="1">Pyramid!R159</f>
        <v/>
      </c>
      <c r="O157" t="str">
        <f ca="1">Pyramid!S159</f>
        <v/>
      </c>
      <c r="P157" t="str">
        <f ca="1">Pyramid!T159</f>
        <v/>
      </c>
      <c r="Q157" t="str">
        <f ca="1">Pyramid!U159</f>
        <v/>
      </c>
      <c r="R157" t="str">
        <f ca="1">Pyramid!V159</f>
        <v/>
      </c>
      <c r="S157" t="str">
        <f ca="1">Pyramid!W159</f>
        <v/>
      </c>
      <c r="T157" t="str">
        <f ca="1">Pyramid!X159</f>
        <v/>
      </c>
    </row>
    <row r="158" spans="1:20">
      <c r="A158" t="str">
        <f ca="1">Pyramid!E160</f>
        <v/>
      </c>
      <c r="B158" t="str">
        <f ca="1">Pyramid!F160</f>
        <v/>
      </c>
      <c r="C158" t="str">
        <f ca="1">Pyramid!G160</f>
        <v/>
      </c>
      <c r="D158" t="str">
        <f ca="1">Pyramid!H160</f>
        <v/>
      </c>
      <c r="E158" t="str">
        <f ca="1">Pyramid!I160</f>
        <v/>
      </c>
      <c r="F158" t="str">
        <f ca="1">Pyramid!J160</f>
        <v/>
      </c>
      <c r="G158" t="str">
        <f ca="1">Pyramid!K160</f>
        <v/>
      </c>
      <c r="H158" t="str">
        <f ca="1">Pyramid!L160</f>
        <v>26487 HK Equity</v>
      </c>
      <c r="I158" t="str">
        <f>Pyramid!M160</f>
        <v>28/7/2016</v>
      </c>
      <c r="J158">
        <f ca="1">Pyramid!N160</f>
        <v>1</v>
      </c>
      <c r="K158">
        <f ca="1">Pyramid!O160</f>
        <v>19698</v>
      </c>
      <c r="L158">
        <f ca="1">Pyramid!P160</f>
        <v>0</v>
      </c>
      <c r="M158" t="str">
        <f>Pyramid!Q160</f>
        <v>28/7/2016</v>
      </c>
      <c r="N158" t="str">
        <f ca="1">Pyramid!R160</f>
        <v/>
      </c>
      <c r="O158" t="str">
        <f ca="1">Pyramid!S160</f>
        <v/>
      </c>
      <c r="P158" t="str">
        <f ca="1">Pyramid!T160</f>
        <v/>
      </c>
      <c r="Q158" t="str">
        <f ca="1">Pyramid!U160</f>
        <v/>
      </c>
      <c r="R158" t="str">
        <f ca="1">Pyramid!V160</f>
        <v/>
      </c>
      <c r="S158" t="str">
        <f ca="1">Pyramid!W160</f>
        <v/>
      </c>
      <c r="T158" t="str">
        <f ca="1">Pyramid!X160</f>
        <v/>
      </c>
    </row>
    <row r="159" spans="1:20">
      <c r="A159" t="str">
        <f ca="1">Pyramid!E161</f>
        <v/>
      </c>
      <c r="B159" t="str">
        <f ca="1">Pyramid!F161</f>
        <v/>
      </c>
      <c r="C159" t="str">
        <f ca="1">Pyramid!G161</f>
        <v/>
      </c>
      <c r="D159" t="str">
        <f ca="1">Pyramid!H161</f>
        <v/>
      </c>
      <c r="E159" t="str">
        <f ca="1">Pyramid!I161</f>
        <v/>
      </c>
      <c r="F159" t="str">
        <f ca="1">Pyramid!J161</f>
        <v/>
      </c>
      <c r="G159" t="str">
        <f ca="1">Pyramid!K161</f>
        <v/>
      </c>
      <c r="H159" t="str">
        <f ca="1">Pyramid!L161</f>
        <v/>
      </c>
      <c r="I159" t="str">
        <f>Pyramid!M161</f>
        <v>30/8/2016</v>
      </c>
      <c r="J159">
        <f ca="1">Pyramid!N161</f>
        <v>0</v>
      </c>
      <c r="K159">
        <f ca="1">Pyramid!O161</f>
        <v>19698</v>
      </c>
      <c r="L159">
        <f ca="1">Pyramid!P161</f>
        <v>0</v>
      </c>
      <c r="M159" t="str">
        <f>Pyramid!Q161</f>
        <v>30/8/2016</v>
      </c>
      <c r="N159" t="str">
        <f ca="1">Pyramid!R161</f>
        <v/>
      </c>
      <c r="O159" t="str">
        <f ca="1">Pyramid!S161</f>
        <v/>
      </c>
      <c r="P159" t="str">
        <f ca="1">Pyramid!T161</f>
        <v/>
      </c>
      <c r="Q159" t="str">
        <f ca="1">Pyramid!U161</f>
        <v/>
      </c>
      <c r="R159" t="str">
        <f ca="1">Pyramid!V161</f>
        <v/>
      </c>
      <c r="S159" t="str">
        <f ca="1">Pyramid!W161</f>
        <v/>
      </c>
      <c r="T159" t="str">
        <f ca="1">Pyramid!X161</f>
        <v/>
      </c>
    </row>
    <row r="160" spans="1:20">
      <c r="A160" t="str">
        <f ca="1">Pyramid!E162</f>
        <v/>
      </c>
      <c r="B160" t="str">
        <f ca="1">Pyramid!F162</f>
        <v/>
      </c>
      <c r="C160" t="str">
        <f ca="1">Pyramid!G162</f>
        <v/>
      </c>
      <c r="D160" t="str">
        <f ca="1">Pyramid!H162</f>
        <v/>
      </c>
      <c r="E160" t="str">
        <f ca="1">Pyramid!I162</f>
        <v/>
      </c>
      <c r="F160" t="str">
        <f ca="1">Pyramid!J162</f>
        <v/>
      </c>
      <c r="G160" t="str">
        <f ca="1">Pyramid!K162</f>
        <v/>
      </c>
      <c r="H160" t="str">
        <f ca="1">Pyramid!L162</f>
        <v/>
      </c>
      <c r="I160" t="str">
        <f>Pyramid!M162</f>
        <v>29/9/2016</v>
      </c>
      <c r="J160">
        <f ca="1">Pyramid!N162</f>
        <v>0</v>
      </c>
      <c r="K160">
        <f ca="1">Pyramid!O162</f>
        <v>19698</v>
      </c>
      <c r="L160">
        <f ca="1">Pyramid!P162</f>
        <v>0</v>
      </c>
      <c r="M160" t="str">
        <f>Pyramid!Q162</f>
        <v>29/9/2016</v>
      </c>
      <c r="N160" t="str">
        <f ca="1">Pyramid!R162</f>
        <v/>
      </c>
      <c r="O160" t="str">
        <f ca="1">Pyramid!S162</f>
        <v/>
      </c>
      <c r="P160" t="str">
        <f ca="1">Pyramid!T162</f>
        <v/>
      </c>
      <c r="Q160" t="str">
        <f ca="1">Pyramid!U162</f>
        <v/>
      </c>
      <c r="R160" t="str">
        <f ca="1">Pyramid!V162</f>
        <v/>
      </c>
      <c r="S160" t="str">
        <f ca="1">Pyramid!W162</f>
        <v/>
      </c>
      <c r="T160" t="str">
        <f ca="1">Pyramid!X162</f>
        <v/>
      </c>
    </row>
    <row r="161" spans="1:20">
      <c r="A161" t="str">
        <f ca="1">Pyramid!E163</f>
        <v/>
      </c>
      <c r="B161" t="str">
        <f ca="1">Pyramid!F163</f>
        <v/>
      </c>
      <c r="C161" t="str">
        <f ca="1">Pyramid!G163</f>
        <v/>
      </c>
      <c r="D161" t="str">
        <f ca="1">Pyramid!H163</f>
        <v/>
      </c>
      <c r="E161" t="str">
        <f ca="1">Pyramid!I163</f>
        <v/>
      </c>
      <c r="F161" t="str">
        <f ca="1">Pyramid!J163</f>
        <v/>
      </c>
      <c r="G161" t="str">
        <f ca="1">Pyramid!K163</f>
        <v/>
      </c>
      <c r="H161" t="str">
        <f ca="1">Pyramid!L163</f>
        <v/>
      </c>
      <c r="I161" t="str">
        <f>Pyramid!M163</f>
        <v>28/10/2016</v>
      </c>
      <c r="J161">
        <f ca="1">Pyramid!N163</f>
        <v>0</v>
      </c>
      <c r="K161">
        <f ca="1">Pyramid!O163</f>
        <v>19698</v>
      </c>
      <c r="L161">
        <f ca="1">Pyramid!P163</f>
        <v>0</v>
      </c>
      <c r="M161" t="str">
        <f>Pyramid!Q163</f>
        <v>28/10/2016</v>
      </c>
      <c r="N161" t="str">
        <f ca="1">Pyramid!R163</f>
        <v/>
      </c>
      <c r="O161" t="str">
        <f ca="1">Pyramid!S163</f>
        <v/>
      </c>
      <c r="P161" t="str">
        <f ca="1">Pyramid!T163</f>
        <v/>
      </c>
      <c r="Q161" t="str">
        <f ca="1">Pyramid!U163</f>
        <v/>
      </c>
      <c r="R161" t="str">
        <f ca="1">Pyramid!V163</f>
        <v/>
      </c>
      <c r="S161" t="str">
        <f ca="1">Pyramid!W163</f>
        <v/>
      </c>
      <c r="T161" t="str">
        <f ca="1">Pyramid!X163</f>
        <v/>
      </c>
    </row>
    <row r="162" spans="1:20">
      <c r="A162" t="str">
        <f ca="1">Pyramid!E164</f>
        <v/>
      </c>
      <c r="B162" t="str">
        <f ca="1">Pyramid!F164</f>
        <v/>
      </c>
      <c r="C162" t="str">
        <f ca="1">Pyramid!G164</f>
        <v/>
      </c>
      <c r="D162" t="str">
        <f ca="1">Pyramid!H164</f>
        <v/>
      </c>
      <c r="E162" t="str">
        <f ca="1">Pyramid!I164</f>
        <v/>
      </c>
      <c r="F162" t="str">
        <f ca="1">Pyramid!J164</f>
        <v/>
      </c>
      <c r="G162" t="str">
        <f ca="1">Pyramid!K164</f>
        <v/>
      </c>
      <c r="H162" t="str">
        <f ca="1">Pyramid!L164</f>
        <v/>
      </c>
      <c r="I162" t="str">
        <f>Pyramid!M164</f>
        <v>29/6/2016</v>
      </c>
      <c r="J162">
        <f ca="1">Pyramid!N164</f>
        <v>0</v>
      </c>
      <c r="K162">
        <f ca="1">Pyramid!O164</f>
        <v>19708</v>
      </c>
      <c r="L162">
        <f ca="1">Pyramid!P164</f>
        <v>0</v>
      </c>
      <c r="M162" t="str">
        <f>Pyramid!Q164</f>
        <v>29/6/2016</v>
      </c>
      <c r="N162" t="str">
        <f ca="1">Pyramid!R164</f>
        <v/>
      </c>
      <c r="O162" t="str">
        <f ca="1">Pyramid!S164</f>
        <v/>
      </c>
      <c r="P162" t="str">
        <f ca="1">Pyramid!T164</f>
        <v/>
      </c>
      <c r="Q162" t="str">
        <f ca="1">Pyramid!U164</f>
        <v/>
      </c>
      <c r="R162" t="str">
        <f ca="1">Pyramid!V164</f>
        <v/>
      </c>
      <c r="S162" t="str">
        <f ca="1">Pyramid!W164</f>
        <v/>
      </c>
      <c r="T162" t="str">
        <f ca="1">Pyramid!X164</f>
        <v/>
      </c>
    </row>
    <row r="163" spans="1:20">
      <c r="A163" t="str">
        <f ca="1">Pyramid!E165</f>
        <v/>
      </c>
      <c r="B163" t="str">
        <f ca="1">Pyramid!F165</f>
        <v/>
      </c>
      <c r="C163" t="str">
        <f ca="1">Pyramid!G165</f>
        <v/>
      </c>
      <c r="D163" t="str">
        <f ca="1">Pyramid!H165</f>
        <v/>
      </c>
      <c r="E163" t="str">
        <f ca="1">Pyramid!I165</f>
        <v/>
      </c>
      <c r="F163" t="str">
        <f ca="1">Pyramid!J165</f>
        <v/>
      </c>
      <c r="G163" t="str">
        <f ca="1">Pyramid!K165</f>
        <v/>
      </c>
      <c r="H163" t="str">
        <f ca="1">Pyramid!L165</f>
        <v/>
      </c>
      <c r="I163" t="str">
        <f>Pyramid!M165</f>
        <v>28/7/2016</v>
      </c>
      <c r="J163">
        <f ca="1">Pyramid!N165</f>
        <v>0</v>
      </c>
      <c r="K163">
        <f ca="1">Pyramid!O165</f>
        <v>19708</v>
      </c>
      <c r="L163">
        <f ca="1">Pyramid!P165</f>
        <v>1</v>
      </c>
      <c r="M163" t="str">
        <f>Pyramid!Q165</f>
        <v>28/7/2016</v>
      </c>
      <c r="N163" t="str">
        <f ca="1">Pyramid!R165</f>
        <v>26921 HK Equity</v>
      </c>
      <c r="O163" t="str">
        <f ca="1">Pyramid!S165</f>
        <v/>
      </c>
      <c r="P163" t="str">
        <f ca="1">Pyramid!T165</f>
        <v/>
      </c>
      <c r="Q163" t="str">
        <f ca="1">Pyramid!U165</f>
        <v/>
      </c>
      <c r="R163" t="str">
        <f ca="1">Pyramid!V165</f>
        <v/>
      </c>
      <c r="S163" t="str">
        <f ca="1">Pyramid!W165</f>
        <v/>
      </c>
      <c r="T163" t="str">
        <f ca="1">Pyramid!X165</f>
        <v/>
      </c>
    </row>
    <row r="164" spans="1:20">
      <c r="A164" t="str">
        <f ca="1">Pyramid!E166</f>
        <v/>
      </c>
      <c r="B164" t="str">
        <f ca="1">Pyramid!F166</f>
        <v/>
      </c>
      <c r="C164" t="str">
        <f ca="1">Pyramid!G166</f>
        <v/>
      </c>
      <c r="D164" t="str">
        <f ca="1">Pyramid!H166</f>
        <v/>
      </c>
      <c r="E164" t="str">
        <f ca="1">Pyramid!I166</f>
        <v/>
      </c>
      <c r="F164" t="str">
        <f ca="1">Pyramid!J166</f>
        <v/>
      </c>
      <c r="G164" t="str">
        <f ca="1">Pyramid!K166</f>
        <v/>
      </c>
      <c r="H164" t="str">
        <f ca="1">Pyramid!L166</f>
        <v/>
      </c>
      <c r="I164" t="str">
        <f>Pyramid!M166</f>
        <v>30/8/2016</v>
      </c>
      <c r="J164">
        <f ca="1">Pyramid!N166</f>
        <v>0</v>
      </c>
      <c r="K164">
        <f ca="1">Pyramid!O166</f>
        <v>19708</v>
      </c>
      <c r="L164">
        <f ca="1">Pyramid!P166</f>
        <v>0</v>
      </c>
      <c r="M164" t="str">
        <f>Pyramid!Q166</f>
        <v>30/8/2016</v>
      </c>
      <c r="N164" t="str">
        <f ca="1">Pyramid!R166</f>
        <v/>
      </c>
      <c r="O164" t="str">
        <f ca="1">Pyramid!S166</f>
        <v/>
      </c>
      <c r="P164" t="str">
        <f ca="1">Pyramid!T166</f>
        <v/>
      </c>
      <c r="Q164" t="str">
        <f ca="1">Pyramid!U166</f>
        <v/>
      </c>
      <c r="R164" t="str">
        <f ca="1">Pyramid!V166</f>
        <v/>
      </c>
      <c r="S164" t="str">
        <f ca="1">Pyramid!W166</f>
        <v/>
      </c>
      <c r="T164" t="str">
        <f ca="1">Pyramid!X166</f>
        <v/>
      </c>
    </row>
    <row r="165" spans="1:20">
      <c r="A165" t="str">
        <f ca="1">Pyramid!E167</f>
        <v/>
      </c>
      <c r="B165" t="str">
        <f ca="1">Pyramid!F167</f>
        <v/>
      </c>
      <c r="C165" t="str">
        <f ca="1">Pyramid!G167</f>
        <v/>
      </c>
      <c r="D165" t="str">
        <f ca="1">Pyramid!H167</f>
        <v/>
      </c>
      <c r="E165" t="str">
        <f ca="1">Pyramid!I167</f>
        <v/>
      </c>
      <c r="F165" t="str">
        <f ca="1">Pyramid!J167</f>
        <v/>
      </c>
      <c r="G165" t="str">
        <f ca="1">Pyramid!K167</f>
        <v/>
      </c>
      <c r="H165" t="str">
        <f ca="1">Pyramid!L167</f>
        <v/>
      </c>
      <c r="I165" t="str">
        <f>Pyramid!M167</f>
        <v>29/9/2016</v>
      </c>
      <c r="J165">
        <f ca="1">Pyramid!N167</f>
        <v>0</v>
      </c>
      <c r="K165">
        <f ca="1">Pyramid!O167</f>
        <v>19708</v>
      </c>
      <c r="L165">
        <f ca="1">Pyramid!P167</f>
        <v>0</v>
      </c>
      <c r="M165" t="str">
        <f>Pyramid!Q167</f>
        <v>29/9/2016</v>
      </c>
      <c r="N165" t="str">
        <f ca="1">Pyramid!R167</f>
        <v/>
      </c>
      <c r="O165" t="str">
        <f ca="1">Pyramid!S167</f>
        <v/>
      </c>
      <c r="P165" t="str">
        <f ca="1">Pyramid!T167</f>
        <v/>
      </c>
      <c r="Q165" t="str">
        <f ca="1">Pyramid!U167</f>
        <v/>
      </c>
      <c r="R165" t="str">
        <f ca="1">Pyramid!V167</f>
        <v/>
      </c>
      <c r="S165" t="str">
        <f ca="1">Pyramid!W167</f>
        <v/>
      </c>
      <c r="T165" t="str">
        <f ca="1">Pyramid!X167</f>
        <v/>
      </c>
    </row>
    <row r="166" spans="1:20">
      <c r="A166" t="str">
        <f ca="1">Pyramid!E168</f>
        <v/>
      </c>
      <c r="B166" t="str">
        <f ca="1">Pyramid!F168</f>
        <v/>
      </c>
      <c r="C166" t="str">
        <f ca="1">Pyramid!G168</f>
        <v/>
      </c>
      <c r="D166" t="str">
        <f ca="1">Pyramid!H168</f>
        <v/>
      </c>
      <c r="E166" t="str">
        <f ca="1">Pyramid!I168</f>
        <v/>
      </c>
      <c r="F166" t="str">
        <f ca="1">Pyramid!J168</f>
        <v/>
      </c>
      <c r="G166" t="str">
        <f ca="1">Pyramid!K168</f>
        <v/>
      </c>
      <c r="H166" t="str">
        <f ca="1">Pyramid!L168</f>
        <v/>
      </c>
      <c r="I166" t="str">
        <f>Pyramid!M168</f>
        <v>28/10/2016</v>
      </c>
      <c r="J166">
        <f ca="1">Pyramid!N168</f>
        <v>0</v>
      </c>
      <c r="K166">
        <f ca="1">Pyramid!O168</f>
        <v>19708</v>
      </c>
      <c r="L166">
        <f ca="1">Pyramid!P168</f>
        <v>1</v>
      </c>
      <c r="M166" t="str">
        <f>Pyramid!Q168</f>
        <v>28/10/2016</v>
      </c>
      <c r="N166" t="str">
        <f ca="1">Pyramid!R168</f>
        <v>27827 HK Equity</v>
      </c>
      <c r="O166" t="str">
        <f ca="1">Pyramid!S168</f>
        <v/>
      </c>
      <c r="P166" t="str">
        <f ca="1">Pyramid!T168</f>
        <v/>
      </c>
      <c r="Q166" t="str">
        <f ca="1">Pyramid!U168</f>
        <v/>
      </c>
      <c r="R166" t="str">
        <f ca="1">Pyramid!V168</f>
        <v/>
      </c>
      <c r="S166" t="str">
        <f ca="1">Pyramid!W168</f>
        <v/>
      </c>
      <c r="T166" t="str">
        <f ca="1">Pyramid!X168</f>
        <v/>
      </c>
    </row>
    <row r="167" spans="1:20">
      <c r="A167" t="str">
        <f ca="1">Pyramid!E169</f>
        <v/>
      </c>
      <c r="B167" t="str">
        <f ca="1">Pyramid!F169</f>
        <v/>
      </c>
      <c r="C167" t="str">
        <f ca="1">Pyramid!G169</f>
        <v/>
      </c>
      <c r="D167" t="str">
        <f ca="1">Pyramid!H169</f>
        <v/>
      </c>
      <c r="E167" t="str">
        <f ca="1">Pyramid!I169</f>
        <v/>
      </c>
      <c r="F167" t="str">
        <f ca="1">Pyramid!J169</f>
        <v/>
      </c>
      <c r="G167" t="str">
        <f ca="1">Pyramid!K169</f>
        <v/>
      </c>
      <c r="H167" t="str">
        <f ca="1">Pyramid!L169</f>
        <v/>
      </c>
      <c r="I167" t="str">
        <f>Pyramid!M169</f>
        <v>29/6/2016</v>
      </c>
      <c r="J167">
        <f ca="1">Pyramid!N169</f>
        <v>0</v>
      </c>
      <c r="K167">
        <f ca="1">Pyramid!O169</f>
        <v>19710</v>
      </c>
      <c r="L167">
        <f ca="1">Pyramid!P169</f>
        <v>0</v>
      </c>
      <c r="M167" t="str">
        <f>Pyramid!Q169</f>
        <v>29/6/2016</v>
      </c>
      <c r="N167" t="str">
        <f ca="1">Pyramid!R169</f>
        <v/>
      </c>
      <c r="O167" t="str">
        <f ca="1">Pyramid!S169</f>
        <v/>
      </c>
      <c r="P167" t="str">
        <f ca="1">Pyramid!T169</f>
        <v/>
      </c>
      <c r="Q167" t="str">
        <f ca="1">Pyramid!U169</f>
        <v/>
      </c>
      <c r="R167" t="str">
        <f ca="1">Pyramid!V169</f>
        <v/>
      </c>
      <c r="S167" t="str">
        <f ca="1">Pyramid!W169</f>
        <v/>
      </c>
      <c r="T167" t="str">
        <f ca="1">Pyramid!X169</f>
        <v/>
      </c>
    </row>
    <row r="168" spans="1:20">
      <c r="A168" t="str">
        <f ca="1">Pyramid!E170</f>
        <v/>
      </c>
      <c r="B168" t="str">
        <f ca="1">Pyramid!F170</f>
        <v/>
      </c>
      <c r="C168" t="str">
        <f ca="1">Pyramid!G170</f>
        <v/>
      </c>
      <c r="D168" t="str">
        <f ca="1">Pyramid!H170</f>
        <v/>
      </c>
      <c r="E168" t="str">
        <f ca="1">Pyramid!I170</f>
        <v/>
      </c>
      <c r="F168" t="str">
        <f ca="1">Pyramid!J170</f>
        <v/>
      </c>
      <c r="G168" t="str">
        <f ca="1">Pyramid!K170</f>
        <v/>
      </c>
      <c r="H168" t="str">
        <f ca="1">Pyramid!L170</f>
        <v/>
      </c>
      <c r="I168" t="str">
        <f>Pyramid!M170</f>
        <v>28/7/2016</v>
      </c>
      <c r="J168">
        <f ca="1">Pyramid!N170</f>
        <v>0</v>
      </c>
      <c r="K168">
        <f ca="1">Pyramid!O170</f>
        <v>19710</v>
      </c>
      <c r="L168">
        <f ca="1">Pyramid!P170</f>
        <v>0</v>
      </c>
      <c r="M168" t="str">
        <f>Pyramid!Q170</f>
        <v>28/7/2016</v>
      </c>
      <c r="N168" t="str">
        <f ca="1">Pyramid!R170</f>
        <v/>
      </c>
      <c r="O168" t="str">
        <f ca="1">Pyramid!S170</f>
        <v/>
      </c>
      <c r="P168" t="str">
        <f ca="1">Pyramid!T170</f>
        <v/>
      </c>
      <c r="Q168" t="str">
        <f ca="1">Pyramid!U170</f>
        <v/>
      </c>
      <c r="R168" t="str">
        <f ca="1">Pyramid!V170</f>
        <v/>
      </c>
      <c r="S168" t="str">
        <f ca="1">Pyramid!W170</f>
        <v/>
      </c>
      <c r="T168" t="str">
        <f ca="1">Pyramid!X170</f>
        <v/>
      </c>
    </row>
    <row r="169" spans="1:20">
      <c r="A169" t="str">
        <f ca="1">Pyramid!E171</f>
        <v/>
      </c>
      <c r="B169" t="str">
        <f ca="1">Pyramid!F171</f>
        <v/>
      </c>
      <c r="C169" t="str">
        <f ca="1">Pyramid!G171</f>
        <v/>
      </c>
      <c r="D169" t="str">
        <f ca="1">Pyramid!H171</f>
        <v/>
      </c>
      <c r="E169" t="str">
        <f ca="1">Pyramid!I171</f>
        <v/>
      </c>
      <c r="F169" t="str">
        <f ca="1">Pyramid!J171</f>
        <v/>
      </c>
      <c r="G169" t="str">
        <f ca="1">Pyramid!K171</f>
        <v/>
      </c>
      <c r="H169" t="str">
        <f ca="1">Pyramid!L171</f>
        <v/>
      </c>
      <c r="I169" t="str">
        <f>Pyramid!M171</f>
        <v>30/8/2016</v>
      </c>
      <c r="J169">
        <f ca="1">Pyramid!N171</f>
        <v>0</v>
      </c>
      <c r="K169">
        <f ca="1">Pyramid!O171</f>
        <v>19710</v>
      </c>
      <c r="L169">
        <f ca="1">Pyramid!P171</f>
        <v>0</v>
      </c>
      <c r="M169" t="str">
        <f>Pyramid!Q171</f>
        <v>30/8/2016</v>
      </c>
      <c r="N169" t="str">
        <f ca="1">Pyramid!R171</f>
        <v/>
      </c>
      <c r="O169" t="str">
        <f ca="1">Pyramid!S171</f>
        <v/>
      </c>
      <c r="P169" t="str">
        <f ca="1">Pyramid!T171</f>
        <v/>
      </c>
      <c r="Q169" t="str">
        <f ca="1">Pyramid!U171</f>
        <v/>
      </c>
      <c r="R169" t="str">
        <f ca="1">Pyramid!V171</f>
        <v/>
      </c>
      <c r="S169" t="str">
        <f ca="1">Pyramid!W171</f>
        <v/>
      </c>
      <c r="T169" t="str">
        <f ca="1">Pyramid!X171</f>
        <v/>
      </c>
    </row>
    <row r="170" spans="1:20">
      <c r="A170" t="str">
        <f ca="1">Pyramid!E172</f>
        <v/>
      </c>
      <c r="B170" t="str">
        <f ca="1">Pyramid!F172</f>
        <v/>
      </c>
      <c r="C170" t="str">
        <f ca="1">Pyramid!G172</f>
        <v/>
      </c>
      <c r="D170" t="str">
        <f ca="1">Pyramid!H172</f>
        <v/>
      </c>
      <c r="E170" t="str">
        <f ca="1">Pyramid!I172</f>
        <v/>
      </c>
      <c r="F170" t="str">
        <f ca="1">Pyramid!J172</f>
        <v/>
      </c>
      <c r="G170" t="str">
        <f ca="1">Pyramid!K172</f>
        <v/>
      </c>
      <c r="H170" t="str">
        <f ca="1">Pyramid!L172</f>
        <v/>
      </c>
      <c r="I170" t="str">
        <f>Pyramid!M172</f>
        <v>29/9/2016</v>
      </c>
      <c r="J170">
        <f ca="1">Pyramid!N172</f>
        <v>0</v>
      </c>
      <c r="K170">
        <f ca="1">Pyramid!O172</f>
        <v>19710</v>
      </c>
      <c r="L170">
        <f ca="1">Pyramid!P172</f>
        <v>0</v>
      </c>
      <c r="M170" t="str">
        <f>Pyramid!Q172</f>
        <v>29/9/2016</v>
      </c>
      <c r="N170" t="str">
        <f ca="1">Pyramid!R172</f>
        <v/>
      </c>
      <c r="O170" t="str">
        <f ca="1">Pyramid!S172</f>
        <v/>
      </c>
      <c r="P170" t="str">
        <f ca="1">Pyramid!T172</f>
        <v/>
      </c>
      <c r="Q170" t="str">
        <f ca="1">Pyramid!U172</f>
        <v/>
      </c>
      <c r="R170" t="str">
        <f ca="1">Pyramid!V172</f>
        <v/>
      </c>
      <c r="S170" t="str">
        <f ca="1">Pyramid!W172</f>
        <v/>
      </c>
      <c r="T170" t="str">
        <f ca="1">Pyramid!X172</f>
        <v/>
      </c>
    </row>
    <row r="171" spans="1:20">
      <c r="A171" t="str">
        <f ca="1">Pyramid!E173</f>
        <v/>
      </c>
      <c r="B171" t="str">
        <f ca="1">Pyramid!F173</f>
        <v/>
      </c>
      <c r="C171" t="str">
        <f ca="1">Pyramid!G173</f>
        <v/>
      </c>
      <c r="D171" t="str">
        <f ca="1">Pyramid!H173</f>
        <v/>
      </c>
      <c r="E171" t="str">
        <f ca="1">Pyramid!I173</f>
        <v/>
      </c>
      <c r="F171" t="str">
        <f ca="1">Pyramid!J173</f>
        <v/>
      </c>
      <c r="G171" t="str">
        <f ca="1">Pyramid!K173</f>
        <v/>
      </c>
      <c r="H171" t="str">
        <f ca="1">Pyramid!L173</f>
        <v/>
      </c>
      <c r="I171" t="str">
        <f>Pyramid!M173</f>
        <v>28/10/2016</v>
      </c>
      <c r="J171">
        <f ca="1">Pyramid!N173</f>
        <v>0</v>
      </c>
      <c r="K171">
        <f ca="1">Pyramid!O173</f>
        <v>19710</v>
      </c>
      <c r="L171">
        <f ca="1">Pyramid!P173</f>
        <v>1</v>
      </c>
      <c r="M171" t="str">
        <f>Pyramid!Q173</f>
        <v>28/10/2016</v>
      </c>
      <c r="N171" t="str">
        <f ca="1">Pyramid!R173</f>
        <v>27893 HK Equity</v>
      </c>
      <c r="O171" t="str">
        <f ca="1">Pyramid!S173</f>
        <v/>
      </c>
      <c r="P171" t="str">
        <f ca="1">Pyramid!T173</f>
        <v/>
      </c>
      <c r="Q171" t="str">
        <f ca="1">Pyramid!U173</f>
        <v/>
      </c>
      <c r="R171" t="str">
        <f ca="1">Pyramid!V173</f>
        <v/>
      </c>
      <c r="S171" t="str">
        <f ca="1">Pyramid!W173</f>
        <v/>
      </c>
      <c r="T171" t="str">
        <f ca="1">Pyramid!X173</f>
        <v/>
      </c>
    </row>
    <row r="172" spans="1:20">
      <c r="A172" t="str">
        <f ca="1">Pyramid!E174</f>
        <v/>
      </c>
      <c r="B172" t="str">
        <f ca="1">Pyramid!F174</f>
        <v/>
      </c>
      <c r="C172" t="str">
        <f ca="1">Pyramid!G174</f>
        <v/>
      </c>
      <c r="D172" t="str">
        <f ca="1">Pyramid!H174</f>
        <v/>
      </c>
      <c r="E172" t="str">
        <f ca="1">Pyramid!I174</f>
        <v/>
      </c>
      <c r="F172" t="str">
        <f ca="1">Pyramid!J174</f>
        <v/>
      </c>
      <c r="G172" t="str">
        <f ca="1">Pyramid!K174</f>
        <v/>
      </c>
      <c r="H172" t="str">
        <f ca="1">Pyramid!L174</f>
        <v/>
      </c>
      <c r="I172" t="str">
        <f>Pyramid!M174</f>
        <v>29/6/2016</v>
      </c>
      <c r="J172">
        <f ca="1">Pyramid!N174</f>
        <v>0</v>
      </c>
      <c r="K172">
        <f ca="1">Pyramid!O174</f>
        <v>19768</v>
      </c>
      <c r="L172">
        <f ca="1">Pyramid!P174</f>
        <v>0</v>
      </c>
      <c r="M172" t="str">
        <f>Pyramid!Q174</f>
        <v>29/6/2016</v>
      </c>
      <c r="N172" t="str">
        <f ca="1">Pyramid!R174</f>
        <v/>
      </c>
      <c r="O172" t="str">
        <f ca="1">Pyramid!S174</f>
        <v/>
      </c>
      <c r="P172" t="str">
        <f ca="1">Pyramid!T174</f>
        <v/>
      </c>
      <c r="Q172" t="str">
        <f ca="1">Pyramid!U174</f>
        <v/>
      </c>
      <c r="R172" t="str">
        <f ca="1">Pyramid!V174</f>
        <v/>
      </c>
      <c r="S172" t="str">
        <f ca="1">Pyramid!W174</f>
        <v/>
      </c>
      <c r="T172" t="str">
        <f ca="1">Pyramid!X174</f>
        <v/>
      </c>
    </row>
    <row r="173" spans="1:20">
      <c r="A173" t="str">
        <f ca="1">Pyramid!E175</f>
        <v/>
      </c>
      <c r="B173" t="str">
        <f ca="1">Pyramid!F175</f>
        <v/>
      </c>
      <c r="C173" t="str">
        <f ca="1">Pyramid!G175</f>
        <v/>
      </c>
      <c r="D173" t="str">
        <f ca="1">Pyramid!H175</f>
        <v/>
      </c>
      <c r="E173" t="str">
        <f ca="1">Pyramid!I175</f>
        <v/>
      </c>
      <c r="F173" t="str">
        <f ca="1">Pyramid!J175</f>
        <v/>
      </c>
      <c r="G173" t="str">
        <f ca="1">Pyramid!K175</f>
        <v/>
      </c>
      <c r="H173" t="str">
        <f ca="1">Pyramid!L175</f>
        <v/>
      </c>
      <c r="I173" t="str">
        <f>Pyramid!M175</f>
        <v>28/7/2016</v>
      </c>
      <c r="J173">
        <f ca="1">Pyramid!N175</f>
        <v>0</v>
      </c>
      <c r="K173">
        <f ca="1">Pyramid!O175</f>
        <v>19768</v>
      </c>
      <c r="L173">
        <f ca="1">Pyramid!P175</f>
        <v>0</v>
      </c>
      <c r="M173" t="str">
        <f>Pyramid!Q175</f>
        <v>28/7/2016</v>
      </c>
      <c r="N173" t="str">
        <f ca="1">Pyramid!R175</f>
        <v/>
      </c>
      <c r="O173" t="str">
        <f ca="1">Pyramid!S175</f>
        <v/>
      </c>
      <c r="P173" t="str">
        <f ca="1">Pyramid!T175</f>
        <v/>
      </c>
      <c r="Q173" t="str">
        <f ca="1">Pyramid!U175</f>
        <v/>
      </c>
      <c r="R173" t="str">
        <f ca="1">Pyramid!V175</f>
        <v/>
      </c>
      <c r="S173" t="str">
        <f ca="1">Pyramid!W175</f>
        <v/>
      </c>
      <c r="T173" t="str">
        <f ca="1">Pyramid!X175</f>
        <v/>
      </c>
    </row>
    <row r="174" spans="1:20">
      <c r="A174" t="str">
        <f ca="1">Pyramid!E176</f>
        <v/>
      </c>
      <c r="B174" t="str">
        <f ca="1">Pyramid!F176</f>
        <v/>
      </c>
      <c r="C174" t="str">
        <f ca="1">Pyramid!G176</f>
        <v/>
      </c>
      <c r="D174" t="str">
        <f ca="1">Pyramid!H176</f>
        <v/>
      </c>
      <c r="E174" t="str">
        <f ca="1">Pyramid!I176</f>
        <v/>
      </c>
      <c r="F174" t="str">
        <f ca="1">Pyramid!J176</f>
        <v/>
      </c>
      <c r="G174" t="str">
        <f ca="1">Pyramid!K176</f>
        <v/>
      </c>
      <c r="H174" t="str">
        <f ca="1">Pyramid!L176</f>
        <v/>
      </c>
      <c r="I174" t="str">
        <f>Pyramid!M176</f>
        <v>30/8/2016</v>
      </c>
      <c r="J174">
        <f ca="1">Pyramid!N176</f>
        <v>0</v>
      </c>
      <c r="K174">
        <f ca="1">Pyramid!O176</f>
        <v>19768</v>
      </c>
      <c r="L174">
        <f ca="1">Pyramid!P176</f>
        <v>0</v>
      </c>
      <c r="M174" t="str">
        <f>Pyramid!Q176</f>
        <v>30/8/2016</v>
      </c>
      <c r="N174" t="str">
        <f ca="1">Pyramid!R176</f>
        <v/>
      </c>
      <c r="O174" t="str">
        <f ca="1">Pyramid!S176</f>
        <v/>
      </c>
      <c r="P174" t="str">
        <f ca="1">Pyramid!T176</f>
        <v/>
      </c>
      <c r="Q174" t="str">
        <f ca="1">Pyramid!U176</f>
        <v/>
      </c>
      <c r="R174" t="str">
        <f ca="1">Pyramid!V176</f>
        <v/>
      </c>
      <c r="S174" t="str">
        <f ca="1">Pyramid!W176</f>
        <v/>
      </c>
      <c r="T174" t="str">
        <f ca="1">Pyramid!X176</f>
        <v/>
      </c>
    </row>
    <row r="175" spans="1:20">
      <c r="A175" t="str">
        <f ca="1">Pyramid!E177</f>
        <v/>
      </c>
      <c r="B175" t="str">
        <f ca="1">Pyramid!F177</f>
        <v/>
      </c>
      <c r="C175" t="str">
        <f ca="1">Pyramid!G177</f>
        <v/>
      </c>
      <c r="D175" t="str">
        <f ca="1">Pyramid!H177</f>
        <v/>
      </c>
      <c r="E175" t="str">
        <f ca="1">Pyramid!I177</f>
        <v/>
      </c>
      <c r="F175" t="str">
        <f ca="1">Pyramid!J177</f>
        <v/>
      </c>
      <c r="G175" t="str">
        <f ca="1">Pyramid!K177</f>
        <v/>
      </c>
      <c r="H175" t="str">
        <f ca="1">Pyramid!L177</f>
        <v/>
      </c>
      <c r="I175" t="str">
        <f>Pyramid!M177</f>
        <v>29/9/2016</v>
      </c>
      <c r="J175">
        <f ca="1">Pyramid!N177</f>
        <v>0</v>
      </c>
      <c r="K175">
        <f ca="1">Pyramid!O177</f>
        <v>19768</v>
      </c>
      <c r="L175">
        <f ca="1">Pyramid!P177</f>
        <v>0</v>
      </c>
      <c r="M175" t="str">
        <f>Pyramid!Q177</f>
        <v>29/9/2016</v>
      </c>
      <c r="N175" t="str">
        <f ca="1">Pyramid!R177</f>
        <v/>
      </c>
      <c r="O175" t="str">
        <f ca="1">Pyramid!S177</f>
        <v/>
      </c>
      <c r="P175" t="str">
        <f ca="1">Pyramid!T177</f>
        <v/>
      </c>
      <c r="Q175" t="str">
        <f ca="1">Pyramid!U177</f>
        <v/>
      </c>
      <c r="R175" t="str">
        <f ca="1">Pyramid!V177</f>
        <v/>
      </c>
      <c r="S175" t="str">
        <f ca="1">Pyramid!W177</f>
        <v/>
      </c>
      <c r="T175" t="str">
        <f ca="1">Pyramid!X177</f>
        <v/>
      </c>
    </row>
    <row r="176" spans="1:20">
      <c r="A176" t="str">
        <f ca="1">Pyramid!E178</f>
        <v/>
      </c>
      <c r="B176" t="str">
        <f ca="1">Pyramid!F178</f>
        <v/>
      </c>
      <c r="C176" t="str">
        <f ca="1">Pyramid!G178</f>
        <v/>
      </c>
      <c r="D176" t="str">
        <f ca="1">Pyramid!H178</f>
        <v/>
      </c>
      <c r="E176" t="str">
        <f ca="1">Pyramid!I178</f>
        <v/>
      </c>
      <c r="F176" t="str">
        <f ca="1">Pyramid!J178</f>
        <v/>
      </c>
      <c r="G176" t="str">
        <f ca="1">Pyramid!K178</f>
        <v/>
      </c>
      <c r="H176" t="str">
        <f ca="1">Pyramid!L178</f>
        <v>28025 HK Equity</v>
      </c>
      <c r="I176" t="str">
        <f>Pyramid!M178</f>
        <v>28/10/2016</v>
      </c>
      <c r="J176">
        <f ca="1">Pyramid!N178</f>
        <v>1</v>
      </c>
      <c r="K176">
        <f ca="1">Pyramid!O178</f>
        <v>19768</v>
      </c>
      <c r="L176">
        <f ca="1">Pyramid!P178</f>
        <v>0</v>
      </c>
      <c r="M176" t="str">
        <f>Pyramid!Q178</f>
        <v>28/10/2016</v>
      </c>
      <c r="N176" t="str">
        <f ca="1">Pyramid!R178</f>
        <v/>
      </c>
      <c r="O176" t="str">
        <f ca="1">Pyramid!S178</f>
        <v/>
      </c>
      <c r="P176" t="str">
        <f ca="1">Pyramid!T178</f>
        <v/>
      </c>
      <c r="Q176" t="str">
        <f ca="1">Pyramid!U178</f>
        <v/>
      </c>
      <c r="R176" t="str">
        <f ca="1">Pyramid!V178</f>
        <v/>
      </c>
      <c r="S176" t="str">
        <f ca="1">Pyramid!W178</f>
        <v/>
      </c>
      <c r="T176" t="str">
        <f ca="1">Pyramid!X178</f>
        <v/>
      </c>
    </row>
    <row r="177" spans="1:20">
      <c r="A177" t="str">
        <f ca="1">Pyramid!E179</f>
        <v/>
      </c>
      <c r="B177" t="str">
        <f ca="1">Pyramid!F179</f>
        <v/>
      </c>
      <c r="C177" t="str">
        <f ca="1">Pyramid!G179</f>
        <v/>
      </c>
      <c r="D177" t="str">
        <f ca="1">Pyramid!H179</f>
        <v/>
      </c>
      <c r="E177" t="str">
        <f ca="1">Pyramid!I179</f>
        <v/>
      </c>
      <c r="F177" t="str">
        <f ca="1">Pyramid!J179</f>
        <v/>
      </c>
      <c r="G177" t="str">
        <f ca="1">Pyramid!K179</f>
        <v/>
      </c>
      <c r="H177" t="str">
        <f ca="1">Pyramid!L179</f>
        <v/>
      </c>
      <c r="I177" t="str">
        <f>Pyramid!M179</f>
        <v>29/6/2016</v>
      </c>
      <c r="J177">
        <f ca="1">Pyramid!N179</f>
        <v>0</v>
      </c>
      <c r="K177">
        <f ca="1">Pyramid!O179</f>
        <v>19800</v>
      </c>
      <c r="L177">
        <f ca="1">Pyramid!P179</f>
        <v>0</v>
      </c>
      <c r="M177" t="str">
        <f>Pyramid!Q179</f>
        <v>29/6/2016</v>
      </c>
      <c r="N177" t="str">
        <f ca="1">Pyramid!R179</f>
        <v/>
      </c>
      <c r="O177" t="str">
        <f ca="1">Pyramid!S179</f>
        <v/>
      </c>
      <c r="P177" t="str">
        <f ca="1">Pyramid!T179</f>
        <v/>
      </c>
      <c r="Q177" t="str">
        <f ca="1">Pyramid!U179</f>
        <v/>
      </c>
      <c r="R177" t="str">
        <f ca="1">Pyramid!V179</f>
        <v/>
      </c>
      <c r="S177" t="str">
        <f ca="1">Pyramid!W179</f>
        <v/>
      </c>
      <c r="T177" t="str">
        <f ca="1">Pyramid!X179</f>
        <v/>
      </c>
    </row>
    <row r="178" spans="1:20">
      <c r="A178" t="str">
        <f ca="1">Pyramid!E180</f>
        <v/>
      </c>
      <c r="B178" t="str">
        <f ca="1">Pyramid!F180</f>
        <v/>
      </c>
      <c r="C178" t="str">
        <f ca="1">Pyramid!G180</f>
        <v/>
      </c>
      <c r="D178" t="str">
        <f ca="1">Pyramid!H180</f>
        <v/>
      </c>
      <c r="E178" t="str">
        <f ca="1">Pyramid!I180</f>
        <v/>
      </c>
      <c r="F178" t="str">
        <f ca="1">Pyramid!J180</f>
        <v/>
      </c>
      <c r="G178" t="str">
        <f ca="1">Pyramid!K180</f>
        <v/>
      </c>
      <c r="H178" t="str">
        <f ca="1">Pyramid!L180</f>
        <v/>
      </c>
      <c r="I178" t="str">
        <f>Pyramid!M180</f>
        <v>28/7/2016</v>
      </c>
      <c r="J178">
        <f ca="1">Pyramid!N180</f>
        <v>0</v>
      </c>
      <c r="K178">
        <f ca="1">Pyramid!O180</f>
        <v>19800</v>
      </c>
      <c r="L178">
        <f ca="1">Pyramid!P180</f>
        <v>3</v>
      </c>
      <c r="M178" t="str">
        <f>Pyramid!Q180</f>
        <v>28/7/2016</v>
      </c>
      <c r="N178" t="str">
        <f ca="1">Pyramid!R180</f>
        <v>25272 HK Equity</v>
      </c>
      <c r="O178" t="str">
        <f ca="1">Pyramid!S180</f>
        <v>27284 HK Equity</v>
      </c>
      <c r="P178" t="str">
        <f ca="1">Pyramid!T180</f>
        <v>27129 HK Equity</v>
      </c>
      <c r="Q178" t="str">
        <f ca="1">Pyramid!U180</f>
        <v/>
      </c>
      <c r="R178" t="str">
        <f ca="1">Pyramid!V180</f>
        <v/>
      </c>
      <c r="S178" t="str">
        <f ca="1">Pyramid!W180</f>
        <v/>
      </c>
      <c r="T178" t="str">
        <f ca="1">Pyramid!X180</f>
        <v/>
      </c>
    </row>
    <row r="179" spans="1:20">
      <c r="A179" t="str">
        <f ca="1">Pyramid!E181</f>
        <v/>
      </c>
      <c r="B179" t="str">
        <f ca="1">Pyramid!F181</f>
        <v/>
      </c>
      <c r="C179" t="str">
        <f ca="1">Pyramid!G181</f>
        <v/>
      </c>
      <c r="D179" t="str">
        <f ca="1">Pyramid!H181</f>
        <v/>
      </c>
      <c r="E179" t="str">
        <f ca="1">Pyramid!I181</f>
        <v/>
      </c>
      <c r="F179" t="str">
        <f ca="1">Pyramid!J181</f>
        <v>28120 HK Equity</v>
      </c>
      <c r="G179" t="str">
        <f ca="1">Pyramid!K181</f>
        <v>26585 HK Equity</v>
      </c>
      <c r="H179" t="str">
        <f ca="1">Pyramid!L181</f>
        <v>26092 HK Equity</v>
      </c>
      <c r="I179" t="str">
        <f>Pyramid!M181</f>
        <v>30/8/2016</v>
      </c>
      <c r="J179">
        <f ca="1">Pyramid!N181</f>
        <v>3</v>
      </c>
      <c r="K179">
        <f ca="1">Pyramid!O181</f>
        <v>19800</v>
      </c>
      <c r="L179">
        <f ca="1">Pyramid!P181</f>
        <v>0</v>
      </c>
      <c r="M179" t="str">
        <f>Pyramid!Q181</f>
        <v>30/8/2016</v>
      </c>
      <c r="N179" t="str">
        <f ca="1">Pyramid!R181</f>
        <v/>
      </c>
      <c r="O179" t="str">
        <f ca="1">Pyramid!S181</f>
        <v/>
      </c>
      <c r="P179" t="str">
        <f ca="1">Pyramid!T181</f>
        <v/>
      </c>
      <c r="Q179" t="str">
        <f ca="1">Pyramid!U181</f>
        <v/>
      </c>
      <c r="R179" t="str">
        <f ca="1">Pyramid!V181</f>
        <v/>
      </c>
      <c r="S179" t="str">
        <f ca="1">Pyramid!W181</f>
        <v/>
      </c>
      <c r="T179" t="str">
        <f ca="1">Pyramid!X181</f>
        <v/>
      </c>
    </row>
    <row r="180" spans="1:20">
      <c r="A180" t="str">
        <f ca="1">Pyramid!E182</f>
        <v/>
      </c>
      <c r="B180" t="str">
        <f ca="1">Pyramid!F182</f>
        <v/>
      </c>
      <c r="C180" t="str">
        <f ca="1">Pyramid!G182</f>
        <v/>
      </c>
      <c r="D180" t="str">
        <f ca="1">Pyramid!H182</f>
        <v/>
      </c>
      <c r="E180" t="str">
        <f ca="1">Pyramid!I182</f>
        <v/>
      </c>
      <c r="F180" t="str">
        <f ca="1">Pyramid!J182</f>
        <v/>
      </c>
      <c r="G180" t="str">
        <f ca="1">Pyramid!K182</f>
        <v/>
      </c>
      <c r="H180" t="str">
        <f ca="1">Pyramid!L182</f>
        <v/>
      </c>
      <c r="I180" t="str">
        <f>Pyramid!M182</f>
        <v>29/9/2016</v>
      </c>
      <c r="J180">
        <f ca="1">Pyramid!N182</f>
        <v>0</v>
      </c>
      <c r="K180">
        <f ca="1">Pyramid!O182</f>
        <v>19800</v>
      </c>
      <c r="L180">
        <f ca="1">Pyramid!P182</f>
        <v>0</v>
      </c>
      <c r="M180" t="str">
        <f>Pyramid!Q182</f>
        <v>29/9/2016</v>
      </c>
      <c r="N180" t="str">
        <f ca="1">Pyramid!R182</f>
        <v/>
      </c>
      <c r="O180" t="str">
        <f ca="1">Pyramid!S182</f>
        <v/>
      </c>
      <c r="P180" t="str">
        <f ca="1">Pyramid!T182</f>
        <v/>
      </c>
      <c r="Q180" t="str">
        <f ca="1">Pyramid!U182</f>
        <v/>
      </c>
      <c r="R180" t="str">
        <f ca="1">Pyramid!V182</f>
        <v/>
      </c>
      <c r="S180" t="str">
        <f ca="1">Pyramid!W182</f>
        <v/>
      </c>
      <c r="T180" t="str">
        <f ca="1">Pyramid!X182</f>
        <v/>
      </c>
    </row>
    <row r="181" spans="1:20">
      <c r="A181" t="str">
        <f ca="1">Pyramid!E183</f>
        <v/>
      </c>
      <c r="B181" t="str">
        <f ca="1">Pyramid!F183</f>
        <v/>
      </c>
      <c r="C181" t="str">
        <f ca="1">Pyramid!G183</f>
        <v/>
      </c>
      <c r="D181" t="str">
        <f ca="1">Pyramid!H183</f>
        <v/>
      </c>
      <c r="E181" t="str">
        <f ca="1">Pyramid!I183</f>
        <v/>
      </c>
      <c r="F181" t="str">
        <f ca="1">Pyramid!J183</f>
        <v/>
      </c>
      <c r="G181" t="str">
        <f ca="1">Pyramid!K183</f>
        <v>28374 HK Equity</v>
      </c>
      <c r="H181" t="str">
        <f ca="1">Pyramid!L183</f>
        <v>26390 HK Equity</v>
      </c>
      <c r="I181" t="str">
        <f>Pyramid!M183</f>
        <v>28/10/2016</v>
      </c>
      <c r="J181">
        <f ca="1">Pyramid!N183</f>
        <v>2</v>
      </c>
      <c r="K181">
        <f ca="1">Pyramid!O183</f>
        <v>19800</v>
      </c>
      <c r="L181">
        <f ca="1">Pyramid!P183</f>
        <v>1</v>
      </c>
      <c r="M181" t="str">
        <f>Pyramid!Q183</f>
        <v>28/10/2016</v>
      </c>
      <c r="N181" t="str">
        <f ca="1">Pyramid!R183</f>
        <v>27394 HK Equity</v>
      </c>
      <c r="O181" t="str">
        <f ca="1">Pyramid!S183</f>
        <v/>
      </c>
      <c r="P181" t="str">
        <f ca="1">Pyramid!T183</f>
        <v/>
      </c>
      <c r="Q181" t="str">
        <f ca="1">Pyramid!U183</f>
        <v/>
      </c>
      <c r="R181" t="str">
        <f ca="1">Pyramid!V183</f>
        <v/>
      </c>
      <c r="S181" t="str">
        <f ca="1">Pyramid!W183</f>
        <v/>
      </c>
      <c r="T181" t="str">
        <f ca="1">Pyramid!X183</f>
        <v/>
      </c>
    </row>
    <row r="182" spans="1:20">
      <c r="A182" t="str">
        <f ca="1">Pyramid!E184</f>
        <v/>
      </c>
      <c r="B182" t="str">
        <f ca="1">Pyramid!F184</f>
        <v/>
      </c>
      <c r="C182" t="str">
        <f ca="1">Pyramid!G184</f>
        <v/>
      </c>
      <c r="D182" t="str">
        <f ca="1">Pyramid!H184</f>
        <v/>
      </c>
      <c r="E182" t="str">
        <f ca="1">Pyramid!I184</f>
        <v/>
      </c>
      <c r="F182" t="str">
        <f ca="1">Pyramid!J184</f>
        <v/>
      </c>
      <c r="G182" t="str">
        <f ca="1">Pyramid!K184</f>
        <v/>
      </c>
      <c r="H182" t="str">
        <f ca="1">Pyramid!L184</f>
        <v/>
      </c>
      <c r="I182" t="str">
        <f>Pyramid!M184</f>
        <v>29/6/2016</v>
      </c>
      <c r="J182">
        <f ca="1">Pyramid!N184</f>
        <v>0</v>
      </c>
      <c r="K182">
        <f ca="1">Pyramid!O184</f>
        <v>19888</v>
      </c>
      <c r="L182">
        <f ca="1">Pyramid!P184</f>
        <v>0</v>
      </c>
      <c r="M182" t="str">
        <f>Pyramid!Q184</f>
        <v>29/6/2016</v>
      </c>
      <c r="N182" t="str">
        <f ca="1">Pyramid!R184</f>
        <v/>
      </c>
      <c r="O182" t="str">
        <f ca="1">Pyramid!S184</f>
        <v/>
      </c>
      <c r="P182" t="str">
        <f ca="1">Pyramid!T184</f>
        <v/>
      </c>
      <c r="Q182" t="str">
        <f ca="1">Pyramid!U184</f>
        <v/>
      </c>
      <c r="R182" t="str">
        <f ca="1">Pyramid!V184</f>
        <v/>
      </c>
      <c r="S182" t="str">
        <f ca="1">Pyramid!W184</f>
        <v/>
      </c>
      <c r="T182" t="str">
        <f ca="1">Pyramid!X184</f>
        <v/>
      </c>
    </row>
    <row r="183" spans="1:20">
      <c r="A183" t="str">
        <f ca="1">Pyramid!E185</f>
        <v/>
      </c>
      <c r="B183" t="str">
        <f ca="1">Pyramid!F185</f>
        <v/>
      </c>
      <c r="C183" t="str">
        <f ca="1">Pyramid!G185</f>
        <v/>
      </c>
      <c r="D183" t="str">
        <f ca="1">Pyramid!H185</f>
        <v/>
      </c>
      <c r="E183" t="str">
        <f ca="1">Pyramid!I185</f>
        <v/>
      </c>
      <c r="F183" t="str">
        <f ca="1">Pyramid!J185</f>
        <v/>
      </c>
      <c r="G183" t="str">
        <f ca="1">Pyramid!K185</f>
        <v/>
      </c>
      <c r="H183" t="str">
        <f ca="1">Pyramid!L185</f>
        <v/>
      </c>
      <c r="I183" t="str">
        <f>Pyramid!M185</f>
        <v>28/7/2016</v>
      </c>
      <c r="J183">
        <f ca="1">Pyramid!N185</f>
        <v>0</v>
      </c>
      <c r="K183">
        <f ca="1">Pyramid!O185</f>
        <v>19888</v>
      </c>
      <c r="L183">
        <f ca="1">Pyramid!P185</f>
        <v>0</v>
      </c>
      <c r="M183" t="str">
        <f>Pyramid!Q185</f>
        <v>28/7/2016</v>
      </c>
      <c r="N183" t="str">
        <f ca="1">Pyramid!R185</f>
        <v/>
      </c>
      <c r="O183" t="str">
        <f ca="1">Pyramid!S185</f>
        <v/>
      </c>
      <c r="P183" t="str">
        <f ca="1">Pyramid!T185</f>
        <v/>
      </c>
      <c r="Q183" t="str">
        <f ca="1">Pyramid!U185</f>
        <v/>
      </c>
      <c r="R183" t="str">
        <f ca="1">Pyramid!V185</f>
        <v/>
      </c>
      <c r="S183" t="str">
        <f ca="1">Pyramid!W185</f>
        <v/>
      </c>
      <c r="T183" t="str">
        <f ca="1">Pyramid!X185</f>
        <v/>
      </c>
    </row>
    <row r="184" spans="1:20">
      <c r="A184" t="str">
        <f ca="1">Pyramid!E186</f>
        <v/>
      </c>
      <c r="B184" t="str">
        <f ca="1">Pyramid!F186</f>
        <v/>
      </c>
      <c r="C184" t="str">
        <f ca="1">Pyramid!G186</f>
        <v/>
      </c>
      <c r="D184" t="str">
        <f ca="1">Pyramid!H186</f>
        <v/>
      </c>
      <c r="E184" t="str">
        <f ca="1">Pyramid!I186</f>
        <v/>
      </c>
      <c r="F184" t="str">
        <f ca="1">Pyramid!J186</f>
        <v/>
      </c>
      <c r="G184" t="str">
        <f ca="1">Pyramid!K186</f>
        <v/>
      </c>
      <c r="H184" t="str">
        <f ca="1">Pyramid!L186</f>
        <v/>
      </c>
      <c r="I184" t="str">
        <f>Pyramid!M186</f>
        <v>30/8/2016</v>
      </c>
      <c r="J184">
        <f ca="1">Pyramid!N186</f>
        <v>0</v>
      </c>
      <c r="K184">
        <f ca="1">Pyramid!O186</f>
        <v>19888</v>
      </c>
      <c r="L184">
        <f ca="1">Pyramid!P186</f>
        <v>0</v>
      </c>
      <c r="M184" t="str">
        <f>Pyramid!Q186</f>
        <v>30/8/2016</v>
      </c>
      <c r="N184" t="str">
        <f ca="1">Pyramid!R186</f>
        <v/>
      </c>
      <c r="O184" t="str">
        <f ca="1">Pyramid!S186</f>
        <v/>
      </c>
      <c r="P184" t="str">
        <f ca="1">Pyramid!T186</f>
        <v/>
      </c>
      <c r="Q184" t="str">
        <f ca="1">Pyramid!U186</f>
        <v/>
      </c>
      <c r="R184" t="str">
        <f ca="1">Pyramid!V186</f>
        <v/>
      </c>
      <c r="S184" t="str">
        <f ca="1">Pyramid!W186</f>
        <v/>
      </c>
      <c r="T184" t="str">
        <f ca="1">Pyramid!X186</f>
        <v/>
      </c>
    </row>
    <row r="185" spans="1:20">
      <c r="A185" t="str">
        <f ca="1">Pyramid!E187</f>
        <v/>
      </c>
      <c r="B185" t="str">
        <f ca="1">Pyramid!F187</f>
        <v/>
      </c>
      <c r="C185" t="str">
        <f ca="1">Pyramid!G187</f>
        <v/>
      </c>
      <c r="D185" t="str">
        <f ca="1">Pyramid!H187</f>
        <v/>
      </c>
      <c r="E185" t="str">
        <f ca="1">Pyramid!I187</f>
        <v/>
      </c>
      <c r="F185" t="str">
        <f ca="1">Pyramid!J187</f>
        <v/>
      </c>
      <c r="G185" t="str">
        <f ca="1">Pyramid!K187</f>
        <v/>
      </c>
      <c r="H185" t="str">
        <f ca="1">Pyramid!L187</f>
        <v/>
      </c>
      <c r="I185" t="str">
        <f>Pyramid!M187</f>
        <v>29/9/2016</v>
      </c>
      <c r="J185">
        <f ca="1">Pyramid!N187</f>
        <v>0</v>
      </c>
      <c r="K185">
        <f ca="1">Pyramid!O187</f>
        <v>19888</v>
      </c>
      <c r="L185">
        <f ca="1">Pyramid!P187</f>
        <v>0</v>
      </c>
      <c r="M185" t="str">
        <f>Pyramid!Q187</f>
        <v>29/9/2016</v>
      </c>
      <c r="N185" t="str">
        <f ca="1">Pyramid!R187</f>
        <v/>
      </c>
      <c r="O185" t="str">
        <f ca="1">Pyramid!S187</f>
        <v/>
      </c>
      <c r="P185" t="str">
        <f ca="1">Pyramid!T187</f>
        <v/>
      </c>
      <c r="Q185" t="str">
        <f ca="1">Pyramid!U187</f>
        <v/>
      </c>
      <c r="R185" t="str">
        <f ca="1">Pyramid!V187</f>
        <v/>
      </c>
      <c r="S185" t="str">
        <f ca="1">Pyramid!W187</f>
        <v/>
      </c>
      <c r="T185" t="str">
        <f ca="1">Pyramid!X187</f>
        <v/>
      </c>
    </row>
    <row r="186" spans="1:20">
      <c r="A186" t="str">
        <f ca="1">Pyramid!E188</f>
        <v/>
      </c>
      <c r="B186" t="str">
        <f ca="1">Pyramid!F188</f>
        <v/>
      </c>
      <c r="C186" t="str">
        <f ca="1">Pyramid!G188</f>
        <v/>
      </c>
      <c r="D186" t="str">
        <f ca="1">Pyramid!H188</f>
        <v/>
      </c>
      <c r="E186" t="str">
        <f ca="1">Pyramid!I188</f>
        <v/>
      </c>
      <c r="F186" t="str">
        <f ca="1">Pyramid!J188</f>
        <v/>
      </c>
      <c r="G186" t="str">
        <f ca="1">Pyramid!K188</f>
        <v/>
      </c>
      <c r="H186" t="str">
        <f ca="1">Pyramid!L188</f>
        <v>28080 HK Equity</v>
      </c>
      <c r="I186" t="str">
        <f>Pyramid!M188</f>
        <v>28/10/2016</v>
      </c>
      <c r="J186">
        <f ca="1">Pyramid!N188</f>
        <v>1</v>
      </c>
      <c r="K186">
        <f ca="1">Pyramid!O188</f>
        <v>19888</v>
      </c>
      <c r="L186">
        <f ca="1">Pyramid!P188</f>
        <v>0</v>
      </c>
      <c r="M186" t="str">
        <f>Pyramid!Q188</f>
        <v>28/10/2016</v>
      </c>
      <c r="N186" t="str">
        <f ca="1">Pyramid!R188</f>
        <v/>
      </c>
      <c r="O186" t="str">
        <f ca="1">Pyramid!S188</f>
        <v/>
      </c>
      <c r="P186" t="str">
        <f ca="1">Pyramid!T188</f>
        <v/>
      </c>
      <c r="Q186" t="str">
        <f ca="1">Pyramid!U188</f>
        <v/>
      </c>
      <c r="R186" t="str">
        <f ca="1">Pyramid!V188</f>
        <v/>
      </c>
      <c r="S186" t="str">
        <f ca="1">Pyramid!W188</f>
        <v/>
      </c>
      <c r="T186" t="str">
        <f ca="1">Pyramid!X188</f>
        <v/>
      </c>
    </row>
    <row r="187" spans="1:20">
      <c r="A187" t="str">
        <f ca="1">Pyramid!E189</f>
        <v/>
      </c>
      <c r="B187" t="str">
        <f ca="1">Pyramid!F189</f>
        <v/>
      </c>
      <c r="C187" t="str">
        <f ca="1">Pyramid!G189</f>
        <v/>
      </c>
      <c r="D187" t="str">
        <f ca="1">Pyramid!H189</f>
        <v>25618 HK Equity</v>
      </c>
      <c r="E187" t="str">
        <f ca="1">Pyramid!I189</f>
        <v>11153 HK Equity</v>
      </c>
      <c r="F187" t="str">
        <f ca="1">Pyramid!J189</f>
        <v>25473 HK Equity</v>
      </c>
      <c r="G187" t="str">
        <f ca="1">Pyramid!K189</f>
        <v>24315 HK Equity</v>
      </c>
      <c r="H187" t="str">
        <f ca="1">Pyramid!L189</f>
        <v>25599 HK Equity</v>
      </c>
      <c r="I187" t="str">
        <f>Pyramid!M189</f>
        <v>29/6/2016</v>
      </c>
      <c r="J187">
        <f ca="1">Pyramid!N189</f>
        <v>5</v>
      </c>
      <c r="K187">
        <f ca="1">Pyramid!O189</f>
        <v>20000</v>
      </c>
      <c r="L187">
        <f ca="1">Pyramid!P189</f>
        <v>3</v>
      </c>
      <c r="M187" t="str">
        <f>Pyramid!Q189</f>
        <v>29/6/2016</v>
      </c>
      <c r="N187" t="str">
        <f ca="1">Pyramid!R189</f>
        <v>24684 HK Equity</v>
      </c>
      <c r="O187" t="str">
        <f ca="1">Pyramid!S189</f>
        <v>22822 HK Equity</v>
      </c>
      <c r="P187" t="str">
        <f ca="1">Pyramid!T189</f>
        <v>26014 HK Equity</v>
      </c>
      <c r="Q187" t="str">
        <f ca="1">Pyramid!U189</f>
        <v/>
      </c>
      <c r="R187" t="str">
        <f ca="1">Pyramid!V189</f>
        <v/>
      </c>
      <c r="S187" t="str">
        <f ca="1">Pyramid!W189</f>
        <v/>
      </c>
      <c r="T187" t="str">
        <f ca="1">Pyramid!X189</f>
        <v/>
      </c>
    </row>
    <row r="188" spans="1:20">
      <c r="A188" t="str">
        <f ca="1">Pyramid!E190</f>
        <v/>
      </c>
      <c r="B188" t="str">
        <f ca="1">Pyramid!F190</f>
        <v/>
      </c>
      <c r="C188" t="str">
        <f ca="1">Pyramid!G190</f>
        <v/>
      </c>
      <c r="D188" t="str">
        <f ca="1">Pyramid!H190</f>
        <v/>
      </c>
      <c r="E188" t="str">
        <f ca="1">Pyramid!I190</f>
        <v/>
      </c>
      <c r="F188" t="str">
        <f ca="1">Pyramid!J190</f>
        <v/>
      </c>
      <c r="G188" t="str">
        <f ca="1">Pyramid!K190</f>
        <v/>
      </c>
      <c r="H188" t="str">
        <f ca="1">Pyramid!L190</f>
        <v/>
      </c>
      <c r="I188" t="str">
        <f>Pyramid!M190</f>
        <v>28/7/2016</v>
      </c>
      <c r="J188">
        <f ca="1">Pyramid!N190</f>
        <v>0</v>
      </c>
      <c r="K188">
        <f ca="1">Pyramid!O190</f>
        <v>20000</v>
      </c>
      <c r="L188">
        <f ca="1">Pyramid!P190</f>
        <v>0</v>
      </c>
      <c r="M188" t="str">
        <f>Pyramid!Q190</f>
        <v>28/7/2016</v>
      </c>
      <c r="N188" t="str">
        <f ca="1">Pyramid!R190</f>
        <v/>
      </c>
      <c r="O188" t="str">
        <f ca="1">Pyramid!S190</f>
        <v/>
      </c>
      <c r="P188" t="str">
        <f ca="1">Pyramid!T190</f>
        <v/>
      </c>
      <c r="Q188" t="str">
        <f ca="1">Pyramid!U190</f>
        <v/>
      </c>
      <c r="R188" t="str">
        <f ca="1">Pyramid!V190</f>
        <v/>
      </c>
      <c r="S188" t="str">
        <f ca="1">Pyramid!W190</f>
        <v/>
      </c>
      <c r="T188" t="str">
        <f ca="1">Pyramid!X190</f>
        <v/>
      </c>
    </row>
    <row r="189" spans="1:20">
      <c r="A189" t="str">
        <f ca="1">Pyramid!E191</f>
        <v/>
      </c>
      <c r="B189" t="str">
        <f ca="1">Pyramid!F191</f>
        <v/>
      </c>
      <c r="C189" t="str">
        <f ca="1">Pyramid!G191</f>
        <v/>
      </c>
      <c r="D189" t="str">
        <f ca="1">Pyramid!H191</f>
        <v/>
      </c>
      <c r="E189" t="str">
        <f ca="1">Pyramid!I191</f>
        <v/>
      </c>
      <c r="F189" t="str">
        <f ca="1">Pyramid!J191</f>
        <v/>
      </c>
      <c r="G189" t="str">
        <f ca="1">Pyramid!K191</f>
        <v/>
      </c>
      <c r="H189" t="str">
        <f ca="1">Pyramid!L191</f>
        <v/>
      </c>
      <c r="I189" t="str">
        <f>Pyramid!M191</f>
        <v>30/8/2016</v>
      </c>
      <c r="J189">
        <f ca="1">Pyramid!N191</f>
        <v>0</v>
      </c>
      <c r="K189">
        <f ca="1">Pyramid!O191</f>
        <v>20000</v>
      </c>
      <c r="L189">
        <f ca="1">Pyramid!P191</f>
        <v>0</v>
      </c>
      <c r="M189" t="str">
        <f>Pyramid!Q191</f>
        <v>30/8/2016</v>
      </c>
      <c r="N189" t="str">
        <f ca="1">Pyramid!R191</f>
        <v/>
      </c>
      <c r="O189" t="str">
        <f ca="1">Pyramid!S191</f>
        <v/>
      </c>
      <c r="P189" t="str">
        <f ca="1">Pyramid!T191</f>
        <v/>
      </c>
      <c r="Q189" t="str">
        <f ca="1">Pyramid!U191</f>
        <v/>
      </c>
      <c r="R189" t="str">
        <f ca="1">Pyramid!V191</f>
        <v/>
      </c>
      <c r="S189" t="str">
        <f ca="1">Pyramid!W191</f>
        <v/>
      </c>
      <c r="T189" t="str">
        <f ca="1">Pyramid!X191</f>
        <v/>
      </c>
    </row>
    <row r="190" spans="1:20">
      <c r="A190" t="str">
        <f ca="1">Pyramid!E192</f>
        <v/>
      </c>
      <c r="B190" t="str">
        <f ca="1">Pyramid!F192</f>
        <v/>
      </c>
      <c r="C190" t="str">
        <f ca="1">Pyramid!G192</f>
        <v/>
      </c>
      <c r="D190" t="str">
        <f ca="1">Pyramid!H192</f>
        <v/>
      </c>
      <c r="E190" t="str">
        <f ca="1">Pyramid!I192</f>
        <v/>
      </c>
      <c r="F190" t="str">
        <f ca="1">Pyramid!J192</f>
        <v/>
      </c>
      <c r="G190" t="str">
        <f ca="1">Pyramid!K192</f>
        <v/>
      </c>
      <c r="H190" t="str">
        <f ca="1">Pyramid!L192</f>
        <v/>
      </c>
      <c r="I190" t="str">
        <f>Pyramid!M192</f>
        <v>29/9/2016</v>
      </c>
      <c r="J190">
        <f ca="1">Pyramid!N192</f>
        <v>0</v>
      </c>
      <c r="K190">
        <f ca="1">Pyramid!O192</f>
        <v>20000</v>
      </c>
      <c r="L190">
        <f ca="1">Pyramid!P192</f>
        <v>0</v>
      </c>
      <c r="M190" t="str">
        <f>Pyramid!Q192</f>
        <v>29/9/2016</v>
      </c>
      <c r="N190" t="str">
        <f ca="1">Pyramid!R192</f>
        <v/>
      </c>
      <c r="O190" t="str">
        <f ca="1">Pyramid!S192</f>
        <v/>
      </c>
      <c r="P190" t="str">
        <f ca="1">Pyramid!T192</f>
        <v/>
      </c>
      <c r="Q190" t="str">
        <f ca="1">Pyramid!U192</f>
        <v/>
      </c>
      <c r="R190" t="str">
        <f ca="1">Pyramid!V192</f>
        <v/>
      </c>
      <c r="S190" t="str">
        <f ca="1">Pyramid!W192</f>
        <v/>
      </c>
      <c r="T190" t="str">
        <f ca="1">Pyramid!X192</f>
        <v/>
      </c>
    </row>
    <row r="191" spans="1:20">
      <c r="A191" t="str">
        <f ca="1">Pyramid!E193</f>
        <v/>
      </c>
      <c r="B191" t="str">
        <f ca="1">Pyramid!F193</f>
        <v/>
      </c>
      <c r="C191" t="str">
        <f ca="1">Pyramid!G193</f>
        <v/>
      </c>
      <c r="D191" t="str">
        <f ca="1">Pyramid!H193</f>
        <v/>
      </c>
      <c r="E191" t="str">
        <f ca="1">Pyramid!I193</f>
        <v/>
      </c>
      <c r="F191" t="str">
        <f ca="1">Pyramid!J193</f>
        <v/>
      </c>
      <c r="G191" t="str">
        <f ca="1">Pyramid!K193</f>
        <v/>
      </c>
      <c r="H191" t="str">
        <f ca="1">Pyramid!L193</f>
        <v/>
      </c>
      <c r="I191" t="str">
        <f>Pyramid!M193</f>
        <v>28/10/2016</v>
      </c>
      <c r="J191">
        <f ca="1">Pyramid!N193</f>
        <v>0</v>
      </c>
      <c r="K191">
        <f ca="1">Pyramid!O193</f>
        <v>20000</v>
      </c>
      <c r="L191">
        <f ca="1">Pyramid!P193</f>
        <v>2</v>
      </c>
      <c r="M191" t="str">
        <f>Pyramid!Q193</f>
        <v>28/10/2016</v>
      </c>
      <c r="N191" t="str">
        <f ca="1">Pyramid!R193</f>
        <v>27360 HK Equity</v>
      </c>
      <c r="O191" t="str">
        <f ca="1">Pyramid!S193</f>
        <v>27356 HK Equity</v>
      </c>
      <c r="P191" t="str">
        <f ca="1">Pyramid!T193</f>
        <v/>
      </c>
      <c r="Q191" t="str">
        <f ca="1">Pyramid!U193</f>
        <v/>
      </c>
      <c r="R191" t="str">
        <f ca="1">Pyramid!V193</f>
        <v/>
      </c>
      <c r="S191" t="str">
        <f ca="1">Pyramid!W193</f>
        <v/>
      </c>
      <c r="T191" t="str">
        <f ca="1">Pyramid!X193</f>
        <v/>
      </c>
    </row>
    <row r="192" spans="1:20">
      <c r="A192" t="str">
        <f ca="1">Pyramid!E194</f>
        <v/>
      </c>
      <c r="B192" t="str">
        <f ca="1">Pyramid!F194</f>
        <v/>
      </c>
      <c r="C192" t="str">
        <f ca="1">Pyramid!G194</f>
        <v/>
      </c>
      <c r="D192" t="str">
        <f ca="1">Pyramid!H194</f>
        <v/>
      </c>
      <c r="E192" t="str">
        <f ca="1">Pyramid!I194</f>
        <v/>
      </c>
      <c r="F192" t="str">
        <f ca="1">Pyramid!J194</f>
        <v/>
      </c>
      <c r="G192" t="str">
        <f ca="1">Pyramid!K194</f>
        <v/>
      </c>
      <c r="H192" t="str">
        <f ca="1">Pyramid!L194</f>
        <v>25722 HK Equity</v>
      </c>
      <c r="I192" t="str">
        <f>Pyramid!M194</f>
        <v>29/6/2016</v>
      </c>
      <c r="J192">
        <f ca="1">Pyramid!N194</f>
        <v>1</v>
      </c>
      <c r="K192">
        <f ca="1">Pyramid!O194</f>
        <v>20088</v>
      </c>
      <c r="L192">
        <f ca="1">Pyramid!P194</f>
        <v>1</v>
      </c>
      <c r="M192" t="str">
        <f>Pyramid!Q194</f>
        <v>29/6/2016</v>
      </c>
      <c r="N192" t="str">
        <f ca="1">Pyramid!R194</f>
        <v>22990 HK Equity</v>
      </c>
      <c r="O192" t="str">
        <f ca="1">Pyramid!S194</f>
        <v/>
      </c>
      <c r="P192" t="str">
        <f ca="1">Pyramid!T194</f>
        <v/>
      </c>
      <c r="Q192" t="str">
        <f ca="1">Pyramid!U194</f>
        <v/>
      </c>
      <c r="R192" t="str">
        <f ca="1">Pyramid!V194</f>
        <v/>
      </c>
      <c r="S192" t="str">
        <f ca="1">Pyramid!W194</f>
        <v/>
      </c>
      <c r="T192" t="str">
        <f ca="1">Pyramid!X194</f>
        <v/>
      </c>
    </row>
    <row r="193" spans="1:20">
      <c r="A193" t="str">
        <f ca="1">Pyramid!E195</f>
        <v/>
      </c>
      <c r="B193" t="str">
        <f ca="1">Pyramid!F195</f>
        <v/>
      </c>
      <c r="C193" t="str">
        <f ca="1">Pyramid!G195</f>
        <v/>
      </c>
      <c r="D193" t="str">
        <f ca="1">Pyramid!H195</f>
        <v/>
      </c>
      <c r="E193" t="str">
        <f ca="1">Pyramid!I195</f>
        <v/>
      </c>
      <c r="F193" t="str">
        <f ca="1">Pyramid!J195</f>
        <v/>
      </c>
      <c r="G193" t="str">
        <f ca="1">Pyramid!K195</f>
        <v/>
      </c>
      <c r="H193" t="str">
        <f ca="1">Pyramid!L195</f>
        <v/>
      </c>
      <c r="I193" t="str">
        <f>Pyramid!M195</f>
        <v>28/7/2016</v>
      </c>
      <c r="J193">
        <f ca="1">Pyramid!N195</f>
        <v>0</v>
      </c>
      <c r="K193">
        <f ca="1">Pyramid!O195</f>
        <v>20088</v>
      </c>
      <c r="L193">
        <f ca="1">Pyramid!P195</f>
        <v>0</v>
      </c>
      <c r="M193" t="str">
        <f>Pyramid!Q195</f>
        <v>28/7/2016</v>
      </c>
      <c r="N193" t="str">
        <f ca="1">Pyramid!R195</f>
        <v/>
      </c>
      <c r="O193" t="str">
        <f ca="1">Pyramid!S195</f>
        <v/>
      </c>
      <c r="P193" t="str">
        <f ca="1">Pyramid!T195</f>
        <v/>
      </c>
      <c r="Q193" t="str">
        <f ca="1">Pyramid!U195</f>
        <v/>
      </c>
      <c r="R193" t="str">
        <f ca="1">Pyramid!V195</f>
        <v/>
      </c>
      <c r="S193" t="str">
        <f ca="1">Pyramid!W195</f>
        <v/>
      </c>
      <c r="T193" t="str">
        <f ca="1">Pyramid!X195</f>
        <v/>
      </c>
    </row>
    <row r="194" spans="1:20">
      <c r="A194" t="str">
        <f ca="1">Pyramid!E196</f>
        <v/>
      </c>
      <c r="B194" t="str">
        <f ca="1">Pyramid!F196</f>
        <v/>
      </c>
      <c r="C194" t="str">
        <f ca="1">Pyramid!G196</f>
        <v/>
      </c>
      <c r="D194" t="str">
        <f ca="1">Pyramid!H196</f>
        <v/>
      </c>
      <c r="E194" t="str">
        <f ca="1">Pyramid!I196</f>
        <v/>
      </c>
      <c r="F194" t="str">
        <f ca="1">Pyramid!J196</f>
        <v/>
      </c>
      <c r="G194" t="str">
        <f ca="1">Pyramid!K196</f>
        <v/>
      </c>
      <c r="H194" t="str">
        <f ca="1">Pyramid!L196</f>
        <v/>
      </c>
      <c r="I194" t="str">
        <f>Pyramid!M196</f>
        <v>30/8/2016</v>
      </c>
      <c r="J194">
        <f ca="1">Pyramid!N196</f>
        <v>0</v>
      </c>
      <c r="K194">
        <f ca="1">Pyramid!O196</f>
        <v>20088</v>
      </c>
      <c r="L194">
        <f ca="1">Pyramid!P196</f>
        <v>0</v>
      </c>
      <c r="M194" t="str">
        <f>Pyramid!Q196</f>
        <v>30/8/2016</v>
      </c>
      <c r="N194" t="str">
        <f ca="1">Pyramid!R196</f>
        <v/>
      </c>
      <c r="O194" t="str">
        <f ca="1">Pyramid!S196</f>
        <v/>
      </c>
      <c r="P194" t="str">
        <f ca="1">Pyramid!T196</f>
        <v/>
      </c>
      <c r="Q194" t="str">
        <f ca="1">Pyramid!U196</f>
        <v/>
      </c>
      <c r="R194" t="str">
        <f ca="1">Pyramid!V196</f>
        <v/>
      </c>
      <c r="S194" t="str">
        <f ca="1">Pyramid!W196</f>
        <v/>
      </c>
      <c r="T194" t="str">
        <f ca="1">Pyramid!X196</f>
        <v/>
      </c>
    </row>
    <row r="195" spans="1:20">
      <c r="A195" t="str">
        <f ca="1">Pyramid!E197</f>
        <v/>
      </c>
      <c r="B195" t="str">
        <f ca="1">Pyramid!F197</f>
        <v/>
      </c>
      <c r="C195" t="str">
        <f ca="1">Pyramid!G197</f>
        <v/>
      </c>
      <c r="D195" t="str">
        <f ca="1">Pyramid!H197</f>
        <v/>
      </c>
      <c r="E195" t="str">
        <f ca="1">Pyramid!I197</f>
        <v/>
      </c>
      <c r="F195" t="str">
        <f ca="1">Pyramid!J197</f>
        <v/>
      </c>
      <c r="G195" t="str">
        <f ca="1">Pyramid!K197</f>
        <v/>
      </c>
      <c r="H195" t="str">
        <f ca="1">Pyramid!L197</f>
        <v/>
      </c>
      <c r="I195" t="str">
        <f>Pyramid!M197</f>
        <v>29/9/2016</v>
      </c>
      <c r="J195">
        <f ca="1">Pyramid!N197</f>
        <v>0</v>
      </c>
      <c r="K195">
        <f ca="1">Pyramid!O197</f>
        <v>20088</v>
      </c>
      <c r="L195">
        <f ca="1">Pyramid!P197</f>
        <v>0</v>
      </c>
      <c r="M195" t="str">
        <f>Pyramid!Q197</f>
        <v>29/9/2016</v>
      </c>
      <c r="N195" t="str">
        <f ca="1">Pyramid!R197</f>
        <v/>
      </c>
      <c r="O195" t="str">
        <f ca="1">Pyramid!S197</f>
        <v/>
      </c>
      <c r="P195" t="str">
        <f ca="1">Pyramid!T197</f>
        <v/>
      </c>
      <c r="Q195" t="str">
        <f ca="1">Pyramid!U197</f>
        <v/>
      </c>
      <c r="R195" t="str">
        <f ca="1">Pyramid!V197</f>
        <v/>
      </c>
      <c r="S195" t="str">
        <f ca="1">Pyramid!W197</f>
        <v/>
      </c>
      <c r="T195" t="str">
        <f ca="1">Pyramid!X197</f>
        <v/>
      </c>
    </row>
    <row r="196" spans="1:20">
      <c r="A196" t="str">
        <f ca="1">Pyramid!E198</f>
        <v/>
      </c>
      <c r="B196" t="str">
        <f ca="1">Pyramid!F198</f>
        <v/>
      </c>
      <c r="C196" t="str">
        <f ca="1">Pyramid!G198</f>
        <v/>
      </c>
      <c r="D196" t="str">
        <f ca="1">Pyramid!H198</f>
        <v/>
      </c>
      <c r="E196" t="str">
        <f ca="1">Pyramid!I198</f>
        <v/>
      </c>
      <c r="F196" t="str">
        <f ca="1">Pyramid!J198</f>
        <v/>
      </c>
      <c r="G196" t="str">
        <f ca="1">Pyramid!K198</f>
        <v/>
      </c>
      <c r="H196" t="str">
        <f ca="1">Pyramid!L198</f>
        <v/>
      </c>
      <c r="I196" t="str">
        <f>Pyramid!M198</f>
        <v>28/10/2016</v>
      </c>
      <c r="J196">
        <f ca="1">Pyramid!N198</f>
        <v>0</v>
      </c>
      <c r="K196">
        <f ca="1">Pyramid!O198</f>
        <v>20088</v>
      </c>
      <c r="L196">
        <f ca="1">Pyramid!P198</f>
        <v>0</v>
      </c>
      <c r="M196" t="str">
        <f>Pyramid!Q198</f>
        <v>28/10/2016</v>
      </c>
      <c r="N196" t="str">
        <f ca="1">Pyramid!R198</f>
        <v/>
      </c>
      <c r="O196" t="str">
        <f ca="1">Pyramid!S198</f>
        <v/>
      </c>
      <c r="P196" t="str">
        <f ca="1">Pyramid!T198</f>
        <v/>
      </c>
      <c r="Q196" t="str">
        <f ca="1">Pyramid!U198</f>
        <v/>
      </c>
      <c r="R196" t="str">
        <f ca="1">Pyramid!V198</f>
        <v/>
      </c>
      <c r="S196" t="str">
        <f ca="1">Pyramid!W198</f>
        <v/>
      </c>
      <c r="T196" t="str">
        <f ca="1">Pyramid!X198</f>
        <v/>
      </c>
    </row>
    <row r="197" spans="1:20">
      <c r="A197" t="str">
        <f ca="1">Pyramid!E199</f>
        <v/>
      </c>
      <c r="B197" t="str">
        <f ca="1">Pyramid!F199</f>
        <v/>
      </c>
      <c r="C197" t="str">
        <f ca="1">Pyramid!G199</f>
        <v/>
      </c>
      <c r="D197" t="str">
        <f ca="1">Pyramid!H199</f>
        <v/>
      </c>
      <c r="E197" t="str">
        <f ca="1">Pyramid!I199</f>
        <v/>
      </c>
      <c r="F197" t="str">
        <f ca="1">Pyramid!J199</f>
        <v/>
      </c>
      <c r="G197" t="str">
        <f ca="1">Pyramid!K199</f>
        <v/>
      </c>
      <c r="H197" t="str">
        <f ca="1">Pyramid!L199</f>
        <v/>
      </c>
      <c r="I197" t="str">
        <f>Pyramid!M199</f>
        <v>29/6/2016</v>
      </c>
      <c r="J197">
        <f ca="1">Pyramid!N199</f>
        <v>0</v>
      </c>
      <c r="K197">
        <f ca="1">Pyramid!O199</f>
        <v>20200</v>
      </c>
      <c r="L197">
        <f ca="1">Pyramid!P199</f>
        <v>0</v>
      </c>
      <c r="M197" t="str">
        <f>Pyramid!Q199</f>
        <v>29/6/2016</v>
      </c>
      <c r="N197" t="str">
        <f ca="1">Pyramid!R199</f>
        <v/>
      </c>
      <c r="O197" t="str">
        <f ca="1">Pyramid!S199</f>
        <v/>
      </c>
      <c r="P197" t="str">
        <f ca="1">Pyramid!T199</f>
        <v/>
      </c>
      <c r="Q197" t="str">
        <f ca="1">Pyramid!U199</f>
        <v/>
      </c>
      <c r="R197" t="str">
        <f ca="1">Pyramid!V199</f>
        <v/>
      </c>
      <c r="S197" t="str">
        <f ca="1">Pyramid!W199</f>
        <v/>
      </c>
      <c r="T197" t="str">
        <f ca="1">Pyramid!X199</f>
        <v/>
      </c>
    </row>
    <row r="198" spans="1:20">
      <c r="A198" t="str">
        <f ca="1">Pyramid!E200</f>
        <v/>
      </c>
      <c r="B198" t="str">
        <f ca="1">Pyramid!F200</f>
        <v/>
      </c>
      <c r="C198" t="str">
        <f ca="1">Pyramid!G200</f>
        <v/>
      </c>
      <c r="D198" t="str">
        <f ca="1">Pyramid!H200</f>
        <v/>
      </c>
      <c r="E198" t="str">
        <f ca="1">Pyramid!I200</f>
        <v/>
      </c>
      <c r="F198" t="str">
        <f ca="1">Pyramid!J200</f>
        <v/>
      </c>
      <c r="G198" t="str">
        <f ca="1">Pyramid!K200</f>
        <v/>
      </c>
      <c r="H198" t="str">
        <f ca="1">Pyramid!L200</f>
        <v/>
      </c>
      <c r="I198" t="str">
        <f>Pyramid!M200</f>
        <v>28/7/2016</v>
      </c>
      <c r="J198">
        <f ca="1">Pyramid!N200</f>
        <v>0</v>
      </c>
      <c r="K198">
        <f ca="1">Pyramid!O200</f>
        <v>20200</v>
      </c>
      <c r="L198">
        <f ca="1">Pyramid!P200</f>
        <v>0</v>
      </c>
      <c r="M198" t="str">
        <f>Pyramid!Q200</f>
        <v>28/7/2016</v>
      </c>
      <c r="N198" t="str">
        <f ca="1">Pyramid!R200</f>
        <v/>
      </c>
      <c r="O198" t="str">
        <f ca="1">Pyramid!S200</f>
        <v/>
      </c>
      <c r="P198" t="str">
        <f ca="1">Pyramid!T200</f>
        <v/>
      </c>
      <c r="Q198" t="str">
        <f ca="1">Pyramid!U200</f>
        <v/>
      </c>
      <c r="R198" t="str">
        <f ca="1">Pyramid!V200</f>
        <v/>
      </c>
      <c r="S198" t="str">
        <f ca="1">Pyramid!W200</f>
        <v/>
      </c>
      <c r="T198" t="str">
        <f ca="1">Pyramid!X200</f>
        <v/>
      </c>
    </row>
    <row r="199" spans="1:20">
      <c r="A199" t="str">
        <f ca="1">Pyramid!E201</f>
        <v/>
      </c>
      <c r="B199" t="str">
        <f ca="1">Pyramid!F201</f>
        <v/>
      </c>
      <c r="C199" t="str">
        <f ca="1">Pyramid!G201</f>
        <v/>
      </c>
      <c r="D199" t="str">
        <f ca="1">Pyramid!H201</f>
        <v/>
      </c>
      <c r="E199" t="str">
        <f ca="1">Pyramid!I201</f>
        <v/>
      </c>
      <c r="F199" t="str">
        <f ca="1">Pyramid!J201</f>
        <v/>
      </c>
      <c r="G199" t="str">
        <f ca="1">Pyramid!K201</f>
        <v>25787 HK Equity</v>
      </c>
      <c r="H199" t="str">
        <f ca="1">Pyramid!L201</f>
        <v>27286 HK Equity</v>
      </c>
      <c r="I199" t="str">
        <f>Pyramid!M201</f>
        <v>30/8/2016</v>
      </c>
      <c r="J199">
        <f ca="1">Pyramid!N201</f>
        <v>2</v>
      </c>
      <c r="K199">
        <f ca="1">Pyramid!O201</f>
        <v>20200</v>
      </c>
      <c r="L199">
        <f ca="1">Pyramid!P201</f>
        <v>0</v>
      </c>
      <c r="M199" t="str">
        <f>Pyramid!Q201</f>
        <v>30/8/2016</v>
      </c>
      <c r="N199" t="str">
        <f ca="1">Pyramid!R201</f>
        <v/>
      </c>
      <c r="O199" t="str">
        <f ca="1">Pyramid!S201</f>
        <v/>
      </c>
      <c r="P199" t="str">
        <f ca="1">Pyramid!T201</f>
        <v/>
      </c>
      <c r="Q199" t="str">
        <f ca="1">Pyramid!U201</f>
        <v/>
      </c>
      <c r="R199" t="str">
        <f ca="1">Pyramid!V201</f>
        <v/>
      </c>
      <c r="S199" t="str">
        <f ca="1">Pyramid!W201</f>
        <v/>
      </c>
      <c r="T199" t="str">
        <f ca="1">Pyramid!X201</f>
        <v/>
      </c>
    </row>
    <row r="200" spans="1:20">
      <c r="A200" t="str">
        <f ca="1">Pyramid!E202</f>
        <v/>
      </c>
      <c r="B200" t="str">
        <f ca="1">Pyramid!F202</f>
        <v/>
      </c>
      <c r="C200" t="str">
        <f ca="1">Pyramid!G202</f>
        <v/>
      </c>
      <c r="D200" t="str">
        <f ca="1">Pyramid!H202</f>
        <v/>
      </c>
      <c r="E200" t="str">
        <f ca="1">Pyramid!I202</f>
        <v/>
      </c>
      <c r="F200" t="str">
        <f ca="1">Pyramid!J202</f>
        <v/>
      </c>
      <c r="G200" t="str">
        <f ca="1">Pyramid!K202</f>
        <v>26589 HK Equity</v>
      </c>
      <c r="H200" t="str">
        <f ca="1">Pyramid!L202</f>
        <v>25803 HK Equity</v>
      </c>
      <c r="I200" t="str">
        <f>Pyramid!M202</f>
        <v>29/9/2016</v>
      </c>
      <c r="J200">
        <f ca="1">Pyramid!N202</f>
        <v>2</v>
      </c>
      <c r="K200">
        <f ca="1">Pyramid!O202</f>
        <v>20200</v>
      </c>
      <c r="L200">
        <f ca="1">Pyramid!P202</f>
        <v>0</v>
      </c>
      <c r="M200" t="str">
        <f>Pyramid!Q202</f>
        <v>29/9/2016</v>
      </c>
      <c r="N200" t="str">
        <f ca="1">Pyramid!R202</f>
        <v/>
      </c>
      <c r="O200" t="str">
        <f ca="1">Pyramid!S202</f>
        <v/>
      </c>
      <c r="P200" t="str">
        <f ca="1">Pyramid!T202</f>
        <v/>
      </c>
      <c r="Q200" t="str">
        <f ca="1">Pyramid!U202</f>
        <v/>
      </c>
      <c r="R200" t="str">
        <f ca="1">Pyramid!V202</f>
        <v/>
      </c>
      <c r="S200" t="str">
        <f ca="1">Pyramid!W202</f>
        <v/>
      </c>
      <c r="T200" t="str">
        <f ca="1">Pyramid!X202</f>
        <v/>
      </c>
    </row>
    <row r="201" spans="1:20">
      <c r="A201" t="str">
        <f ca="1">Pyramid!E203</f>
        <v/>
      </c>
      <c r="B201" t="str">
        <f ca="1">Pyramid!F203</f>
        <v/>
      </c>
      <c r="C201" t="str">
        <f ca="1">Pyramid!G203</f>
        <v/>
      </c>
      <c r="D201" t="str">
        <f ca="1">Pyramid!H203</f>
        <v/>
      </c>
      <c r="E201" t="str">
        <f ca="1">Pyramid!I203</f>
        <v/>
      </c>
      <c r="F201" t="str">
        <f ca="1">Pyramid!J203</f>
        <v/>
      </c>
      <c r="G201" t="str">
        <f ca="1">Pyramid!K203</f>
        <v/>
      </c>
      <c r="H201" t="str">
        <f ca="1">Pyramid!L203</f>
        <v/>
      </c>
      <c r="I201" t="str">
        <f>Pyramid!M203</f>
        <v>28/10/2016</v>
      </c>
      <c r="J201">
        <f ca="1">Pyramid!N203</f>
        <v>0</v>
      </c>
      <c r="K201">
        <f ca="1">Pyramid!O203</f>
        <v>20200</v>
      </c>
      <c r="L201">
        <f ca="1">Pyramid!P203</f>
        <v>0</v>
      </c>
      <c r="M201" t="str">
        <f>Pyramid!Q203</f>
        <v>28/10/2016</v>
      </c>
      <c r="N201" t="str">
        <f ca="1">Pyramid!R203</f>
        <v/>
      </c>
      <c r="O201" t="str">
        <f ca="1">Pyramid!S203</f>
        <v/>
      </c>
      <c r="P201" t="str">
        <f ca="1">Pyramid!T203</f>
        <v/>
      </c>
      <c r="Q201" t="str">
        <f ca="1">Pyramid!U203</f>
        <v/>
      </c>
      <c r="R201" t="str">
        <f ca="1">Pyramid!V203</f>
        <v/>
      </c>
      <c r="S201" t="str">
        <f ca="1">Pyramid!W203</f>
        <v/>
      </c>
      <c r="T201" t="str">
        <f ca="1">Pyramid!X203</f>
        <v/>
      </c>
    </row>
    <row r="202" spans="1:20">
      <c r="A202" t="str">
        <f ca="1">Pyramid!E204</f>
        <v/>
      </c>
      <c r="B202" t="str">
        <f ca="1">Pyramid!F204</f>
        <v/>
      </c>
      <c r="C202" t="str">
        <f ca="1">Pyramid!G204</f>
        <v/>
      </c>
      <c r="D202" t="str">
        <f ca="1">Pyramid!H204</f>
        <v/>
      </c>
      <c r="E202" t="str">
        <f ca="1">Pyramid!I204</f>
        <v/>
      </c>
      <c r="F202" t="str">
        <f ca="1">Pyramid!J204</f>
        <v/>
      </c>
      <c r="G202" t="str">
        <f ca="1">Pyramid!K204</f>
        <v/>
      </c>
      <c r="H202" t="str">
        <f ca="1">Pyramid!L204</f>
        <v/>
      </c>
      <c r="I202" t="str">
        <f>Pyramid!M204</f>
        <v>29/6/2016</v>
      </c>
      <c r="J202">
        <f ca="1">Pyramid!N204</f>
        <v>0</v>
      </c>
      <c r="K202">
        <f ca="1">Pyramid!O204</f>
        <v>20298</v>
      </c>
      <c r="L202">
        <f ca="1">Pyramid!P204</f>
        <v>0</v>
      </c>
      <c r="M202" t="str">
        <f>Pyramid!Q204</f>
        <v>29/6/2016</v>
      </c>
      <c r="N202" t="str">
        <f ca="1">Pyramid!R204</f>
        <v/>
      </c>
      <c r="O202" t="str">
        <f ca="1">Pyramid!S204</f>
        <v/>
      </c>
      <c r="P202" t="str">
        <f ca="1">Pyramid!T204</f>
        <v/>
      </c>
      <c r="Q202" t="str">
        <f ca="1">Pyramid!U204</f>
        <v/>
      </c>
      <c r="R202" t="str">
        <f ca="1">Pyramid!V204</f>
        <v/>
      </c>
      <c r="S202" t="str">
        <f ca="1">Pyramid!W204</f>
        <v/>
      </c>
      <c r="T202" t="str">
        <f ca="1">Pyramid!X204</f>
        <v/>
      </c>
    </row>
    <row r="203" spans="1:20">
      <c r="A203" t="str">
        <f ca="1">Pyramid!E205</f>
        <v/>
      </c>
      <c r="B203" t="str">
        <f ca="1">Pyramid!F205</f>
        <v/>
      </c>
      <c r="C203" t="str">
        <f ca="1">Pyramid!G205</f>
        <v/>
      </c>
      <c r="D203" t="str">
        <f ca="1">Pyramid!H205</f>
        <v/>
      </c>
      <c r="E203" t="str">
        <f ca="1">Pyramid!I205</f>
        <v/>
      </c>
      <c r="F203" t="str">
        <f ca="1">Pyramid!J205</f>
        <v/>
      </c>
      <c r="G203" t="str">
        <f ca="1">Pyramid!K205</f>
        <v/>
      </c>
      <c r="H203" t="str">
        <f ca="1">Pyramid!L205</f>
        <v/>
      </c>
      <c r="I203" t="str">
        <f>Pyramid!M205</f>
        <v>28/7/2016</v>
      </c>
      <c r="J203">
        <f ca="1">Pyramid!N205</f>
        <v>0</v>
      </c>
      <c r="K203">
        <f ca="1">Pyramid!O205</f>
        <v>20298</v>
      </c>
      <c r="L203">
        <f ca="1">Pyramid!P205</f>
        <v>0</v>
      </c>
      <c r="M203" t="str">
        <f>Pyramid!Q205</f>
        <v>28/7/2016</v>
      </c>
      <c r="N203" t="str">
        <f ca="1">Pyramid!R205</f>
        <v/>
      </c>
      <c r="O203" t="str">
        <f ca="1">Pyramid!S205</f>
        <v/>
      </c>
      <c r="P203" t="str">
        <f ca="1">Pyramid!T205</f>
        <v/>
      </c>
      <c r="Q203" t="str">
        <f ca="1">Pyramid!U205</f>
        <v/>
      </c>
      <c r="R203" t="str">
        <f ca="1">Pyramid!V205</f>
        <v/>
      </c>
      <c r="S203" t="str">
        <f ca="1">Pyramid!W205</f>
        <v/>
      </c>
      <c r="T203" t="str">
        <f ca="1">Pyramid!X205</f>
        <v/>
      </c>
    </row>
    <row r="204" spans="1:20">
      <c r="A204" t="str">
        <f ca="1">Pyramid!E206</f>
        <v/>
      </c>
      <c r="B204" t="str">
        <f ca="1">Pyramid!F206</f>
        <v/>
      </c>
      <c r="C204" t="str">
        <f ca="1">Pyramid!G206</f>
        <v/>
      </c>
      <c r="D204" t="str">
        <f ca="1">Pyramid!H206</f>
        <v/>
      </c>
      <c r="E204" t="str">
        <f ca="1">Pyramid!I206</f>
        <v/>
      </c>
      <c r="F204" t="str">
        <f ca="1">Pyramid!J206</f>
        <v/>
      </c>
      <c r="G204" t="str">
        <f ca="1">Pyramid!K206</f>
        <v/>
      </c>
      <c r="H204" t="str">
        <f ca="1">Pyramid!L206</f>
        <v>26559 HK Equity</v>
      </c>
      <c r="I204" t="str">
        <f>Pyramid!M206</f>
        <v>30/8/2016</v>
      </c>
      <c r="J204">
        <f ca="1">Pyramid!N206</f>
        <v>1</v>
      </c>
      <c r="K204">
        <f ca="1">Pyramid!O206</f>
        <v>20298</v>
      </c>
      <c r="L204">
        <f ca="1">Pyramid!P206</f>
        <v>0</v>
      </c>
      <c r="M204" t="str">
        <f>Pyramid!Q206</f>
        <v>30/8/2016</v>
      </c>
      <c r="N204" t="str">
        <f ca="1">Pyramid!R206</f>
        <v/>
      </c>
      <c r="O204" t="str">
        <f ca="1">Pyramid!S206</f>
        <v/>
      </c>
      <c r="P204" t="str">
        <f ca="1">Pyramid!T206</f>
        <v/>
      </c>
      <c r="Q204" t="str">
        <f ca="1">Pyramid!U206</f>
        <v/>
      </c>
      <c r="R204" t="str">
        <f ca="1">Pyramid!V206</f>
        <v/>
      </c>
      <c r="S204" t="str">
        <f ca="1">Pyramid!W206</f>
        <v/>
      </c>
      <c r="T204" t="str">
        <f ca="1">Pyramid!X206</f>
        <v/>
      </c>
    </row>
    <row r="205" spans="1:20">
      <c r="A205" t="str">
        <f ca="1">Pyramid!E207</f>
        <v/>
      </c>
      <c r="B205" t="str">
        <f ca="1">Pyramid!F207</f>
        <v/>
      </c>
      <c r="C205" t="str">
        <f ca="1">Pyramid!G207</f>
        <v/>
      </c>
      <c r="D205" t="str">
        <f ca="1">Pyramid!H207</f>
        <v/>
      </c>
      <c r="E205" t="str">
        <f ca="1">Pyramid!I207</f>
        <v/>
      </c>
      <c r="F205" t="str">
        <f ca="1">Pyramid!J207</f>
        <v/>
      </c>
      <c r="G205" t="str">
        <f ca="1">Pyramid!K207</f>
        <v/>
      </c>
      <c r="H205" t="str">
        <f ca="1">Pyramid!L207</f>
        <v/>
      </c>
      <c r="I205" t="str">
        <f>Pyramid!M207</f>
        <v>29/9/2016</v>
      </c>
      <c r="J205">
        <f ca="1">Pyramid!N207</f>
        <v>0</v>
      </c>
      <c r="K205">
        <f ca="1">Pyramid!O207</f>
        <v>20298</v>
      </c>
      <c r="L205">
        <f ca="1">Pyramid!P207</f>
        <v>1</v>
      </c>
      <c r="M205" t="str">
        <f>Pyramid!Q207</f>
        <v>29/9/2016</v>
      </c>
      <c r="N205" t="str">
        <f ca="1">Pyramid!R207</f>
        <v>27562 HK Equity</v>
      </c>
      <c r="O205" t="str">
        <f ca="1">Pyramid!S207</f>
        <v/>
      </c>
      <c r="P205" t="str">
        <f ca="1">Pyramid!T207</f>
        <v/>
      </c>
      <c r="Q205" t="str">
        <f ca="1">Pyramid!U207</f>
        <v/>
      </c>
      <c r="R205" t="str">
        <f ca="1">Pyramid!V207</f>
        <v/>
      </c>
      <c r="S205" t="str">
        <f ca="1">Pyramid!W207</f>
        <v/>
      </c>
      <c r="T205" t="str">
        <f ca="1">Pyramid!X207</f>
        <v/>
      </c>
    </row>
    <row r="206" spans="1:20">
      <c r="A206" t="str">
        <f ca="1">Pyramid!E208</f>
        <v/>
      </c>
      <c r="B206" t="str">
        <f ca="1">Pyramid!F208</f>
        <v/>
      </c>
      <c r="C206" t="str">
        <f ca="1">Pyramid!G208</f>
        <v/>
      </c>
      <c r="D206" t="str">
        <f ca="1">Pyramid!H208</f>
        <v/>
      </c>
      <c r="E206" t="str">
        <f ca="1">Pyramid!I208</f>
        <v/>
      </c>
      <c r="F206" t="str">
        <f ca="1">Pyramid!J208</f>
        <v/>
      </c>
      <c r="G206" t="str">
        <f ca="1">Pyramid!K208</f>
        <v/>
      </c>
      <c r="H206" t="str">
        <f ca="1">Pyramid!L208</f>
        <v/>
      </c>
      <c r="I206" t="str">
        <f>Pyramid!M208</f>
        <v>28/10/2016</v>
      </c>
      <c r="J206">
        <f ca="1">Pyramid!N208</f>
        <v>0</v>
      </c>
      <c r="K206">
        <f ca="1">Pyramid!O208</f>
        <v>20298</v>
      </c>
      <c r="L206">
        <f ca="1">Pyramid!P208</f>
        <v>0</v>
      </c>
      <c r="M206" t="str">
        <f>Pyramid!Q208</f>
        <v>28/10/2016</v>
      </c>
      <c r="N206" t="str">
        <f ca="1">Pyramid!R208</f>
        <v/>
      </c>
      <c r="O206" t="str">
        <f ca="1">Pyramid!S208</f>
        <v/>
      </c>
      <c r="P206" t="str">
        <f ca="1">Pyramid!T208</f>
        <v/>
      </c>
      <c r="Q206" t="str">
        <f ca="1">Pyramid!U208</f>
        <v/>
      </c>
      <c r="R206" t="str">
        <f ca="1">Pyramid!V208</f>
        <v/>
      </c>
      <c r="S206" t="str">
        <f ca="1">Pyramid!W208</f>
        <v/>
      </c>
      <c r="T206" t="str">
        <f ca="1">Pyramid!X208</f>
        <v/>
      </c>
    </row>
    <row r="207" spans="1:20">
      <c r="A207" t="str">
        <f ca="1">Pyramid!E209</f>
        <v/>
      </c>
      <c r="B207" t="str">
        <f ca="1">Pyramid!F209</f>
        <v/>
      </c>
      <c r="C207" t="str">
        <f ca="1">Pyramid!G209</f>
        <v/>
      </c>
      <c r="D207" t="str">
        <f ca="1">Pyramid!H209</f>
        <v/>
      </c>
      <c r="E207" t="str">
        <f ca="1">Pyramid!I209</f>
        <v/>
      </c>
      <c r="F207" t="str">
        <f ca="1">Pyramid!J209</f>
        <v/>
      </c>
      <c r="G207" t="str">
        <f ca="1">Pyramid!K209</f>
        <v/>
      </c>
      <c r="H207" t="str">
        <f ca="1">Pyramid!L209</f>
        <v/>
      </c>
      <c r="I207" t="str">
        <f>Pyramid!M209</f>
        <v>29/6/2016</v>
      </c>
      <c r="J207">
        <f ca="1">Pyramid!N209</f>
        <v>0</v>
      </c>
      <c r="K207">
        <f ca="1">Pyramid!O209</f>
        <v>20300</v>
      </c>
      <c r="L207">
        <f ca="1">Pyramid!P209</f>
        <v>0</v>
      </c>
      <c r="M207" t="str">
        <f>Pyramid!Q209</f>
        <v>29/6/2016</v>
      </c>
      <c r="N207" t="str">
        <f ca="1">Pyramid!R209</f>
        <v/>
      </c>
      <c r="O207" t="str">
        <f ca="1">Pyramid!S209</f>
        <v/>
      </c>
      <c r="P207" t="str">
        <f ca="1">Pyramid!T209</f>
        <v/>
      </c>
      <c r="Q207" t="str">
        <f ca="1">Pyramid!U209</f>
        <v/>
      </c>
      <c r="R207" t="str">
        <f ca="1">Pyramid!V209</f>
        <v/>
      </c>
      <c r="S207" t="str">
        <f ca="1">Pyramid!W209</f>
        <v/>
      </c>
      <c r="T207" t="str">
        <f ca="1">Pyramid!X209</f>
        <v/>
      </c>
    </row>
    <row r="208" spans="1:20">
      <c r="A208" t="str">
        <f ca="1">Pyramid!E210</f>
        <v/>
      </c>
      <c r="B208" t="str">
        <f ca="1">Pyramid!F210</f>
        <v/>
      </c>
      <c r="C208" t="str">
        <f ca="1">Pyramid!G210</f>
        <v/>
      </c>
      <c r="D208" t="str">
        <f ca="1">Pyramid!H210</f>
        <v/>
      </c>
      <c r="E208" t="str">
        <f ca="1">Pyramid!I210</f>
        <v/>
      </c>
      <c r="F208" t="str">
        <f ca="1">Pyramid!J210</f>
        <v/>
      </c>
      <c r="G208" t="str">
        <f ca="1">Pyramid!K210</f>
        <v/>
      </c>
      <c r="H208" t="str">
        <f ca="1">Pyramid!L210</f>
        <v/>
      </c>
      <c r="I208" t="str">
        <f>Pyramid!M210</f>
        <v>28/7/2016</v>
      </c>
      <c r="J208">
        <f ca="1">Pyramid!N210</f>
        <v>0</v>
      </c>
      <c r="K208">
        <f ca="1">Pyramid!O210</f>
        <v>20300</v>
      </c>
      <c r="L208">
        <f ca="1">Pyramid!P210</f>
        <v>0</v>
      </c>
      <c r="M208" t="str">
        <f>Pyramid!Q210</f>
        <v>28/7/2016</v>
      </c>
      <c r="N208" t="str">
        <f ca="1">Pyramid!R210</f>
        <v/>
      </c>
      <c r="O208" t="str">
        <f ca="1">Pyramid!S210</f>
        <v/>
      </c>
      <c r="P208" t="str">
        <f ca="1">Pyramid!T210</f>
        <v/>
      </c>
      <c r="Q208" t="str">
        <f ca="1">Pyramid!U210</f>
        <v/>
      </c>
      <c r="R208" t="str">
        <f ca="1">Pyramid!V210</f>
        <v/>
      </c>
      <c r="S208" t="str">
        <f ca="1">Pyramid!W210</f>
        <v/>
      </c>
      <c r="T208" t="str">
        <f ca="1">Pyramid!X210</f>
        <v/>
      </c>
    </row>
    <row r="209" spans="1:20">
      <c r="A209" t="str">
        <f ca="1">Pyramid!E211</f>
        <v/>
      </c>
      <c r="B209" t="str">
        <f ca="1">Pyramid!F211</f>
        <v/>
      </c>
      <c r="C209" t="str">
        <f ca="1">Pyramid!G211</f>
        <v/>
      </c>
      <c r="D209" t="str">
        <f ca="1">Pyramid!H211</f>
        <v/>
      </c>
      <c r="E209" t="str">
        <f ca="1">Pyramid!I211</f>
        <v/>
      </c>
      <c r="F209" t="str">
        <f ca="1">Pyramid!J211</f>
        <v/>
      </c>
      <c r="G209" t="str">
        <f ca="1">Pyramid!K211</f>
        <v/>
      </c>
      <c r="H209" t="str">
        <f ca="1">Pyramid!L211</f>
        <v/>
      </c>
      <c r="I209" t="str">
        <f>Pyramid!M211</f>
        <v>30/8/2016</v>
      </c>
      <c r="J209">
        <f ca="1">Pyramid!N211</f>
        <v>0</v>
      </c>
      <c r="K209">
        <f ca="1">Pyramid!O211</f>
        <v>20300</v>
      </c>
      <c r="L209">
        <f ca="1">Pyramid!P211</f>
        <v>0</v>
      </c>
      <c r="M209" t="str">
        <f>Pyramid!Q211</f>
        <v>30/8/2016</v>
      </c>
      <c r="N209" t="str">
        <f ca="1">Pyramid!R211</f>
        <v/>
      </c>
      <c r="O209" t="str">
        <f ca="1">Pyramid!S211</f>
        <v/>
      </c>
      <c r="P209" t="str">
        <f ca="1">Pyramid!T211</f>
        <v/>
      </c>
      <c r="Q209" t="str">
        <f ca="1">Pyramid!U211</f>
        <v/>
      </c>
      <c r="R209" t="str">
        <f ca="1">Pyramid!V211</f>
        <v/>
      </c>
      <c r="S209" t="str">
        <f ca="1">Pyramid!W211</f>
        <v/>
      </c>
      <c r="T209" t="str">
        <f ca="1">Pyramid!X211</f>
        <v/>
      </c>
    </row>
    <row r="210" spans="1:20">
      <c r="A210" t="str">
        <f ca="1">Pyramid!E212</f>
        <v/>
      </c>
      <c r="B210" t="str">
        <f ca="1">Pyramid!F212</f>
        <v/>
      </c>
      <c r="C210" t="str">
        <f ca="1">Pyramid!G212</f>
        <v/>
      </c>
      <c r="D210" t="str">
        <f ca="1">Pyramid!H212</f>
        <v/>
      </c>
      <c r="E210" t="str">
        <f ca="1">Pyramid!I212</f>
        <v/>
      </c>
      <c r="F210" t="str">
        <f ca="1">Pyramid!J212</f>
        <v/>
      </c>
      <c r="G210" t="str">
        <f ca="1">Pyramid!K212</f>
        <v/>
      </c>
      <c r="H210" t="str">
        <f ca="1">Pyramid!L212</f>
        <v/>
      </c>
      <c r="I210" t="str">
        <f>Pyramid!M212</f>
        <v>29/9/2016</v>
      </c>
      <c r="J210">
        <f ca="1">Pyramid!N212</f>
        <v>0</v>
      </c>
      <c r="K210">
        <f ca="1">Pyramid!O212</f>
        <v>20300</v>
      </c>
      <c r="L210">
        <f ca="1">Pyramid!P212</f>
        <v>1</v>
      </c>
      <c r="M210" t="str">
        <f>Pyramid!Q212</f>
        <v>29/9/2016</v>
      </c>
      <c r="N210" t="str">
        <f ca="1">Pyramid!R212</f>
        <v>27891 HK Equity</v>
      </c>
      <c r="O210" t="str">
        <f ca="1">Pyramid!S212</f>
        <v/>
      </c>
      <c r="P210" t="str">
        <f ca="1">Pyramid!T212</f>
        <v/>
      </c>
      <c r="Q210" t="str">
        <f ca="1">Pyramid!U212</f>
        <v/>
      </c>
      <c r="R210" t="str">
        <f ca="1">Pyramid!V212</f>
        <v/>
      </c>
      <c r="S210" t="str">
        <f ca="1">Pyramid!W212</f>
        <v/>
      </c>
      <c r="T210" t="str">
        <f ca="1">Pyramid!X212</f>
        <v/>
      </c>
    </row>
    <row r="211" spans="1:20">
      <c r="A211" t="str">
        <f ca="1">Pyramid!E213</f>
        <v/>
      </c>
      <c r="B211" t="str">
        <f ca="1">Pyramid!F213</f>
        <v/>
      </c>
      <c r="C211" t="str">
        <f ca="1">Pyramid!G213</f>
        <v/>
      </c>
      <c r="D211" t="str">
        <f ca="1">Pyramid!H213</f>
        <v/>
      </c>
      <c r="E211" t="str">
        <f ca="1">Pyramid!I213</f>
        <v/>
      </c>
      <c r="F211" t="str">
        <f ca="1">Pyramid!J213</f>
        <v/>
      </c>
      <c r="G211" t="str">
        <f ca="1">Pyramid!K213</f>
        <v/>
      </c>
      <c r="H211" t="str">
        <f ca="1">Pyramid!L213</f>
        <v/>
      </c>
      <c r="I211" t="str">
        <f>Pyramid!M213</f>
        <v>28/10/2016</v>
      </c>
      <c r="J211">
        <f ca="1">Pyramid!N213</f>
        <v>0</v>
      </c>
      <c r="K211">
        <f ca="1">Pyramid!O213</f>
        <v>20300</v>
      </c>
      <c r="L211">
        <f ca="1">Pyramid!P213</f>
        <v>0</v>
      </c>
      <c r="M211" t="str">
        <f>Pyramid!Q213</f>
        <v>28/10/2016</v>
      </c>
      <c r="N211" t="str">
        <f ca="1">Pyramid!R213</f>
        <v/>
      </c>
      <c r="O211" t="str">
        <f ca="1">Pyramid!S213</f>
        <v/>
      </c>
      <c r="P211" t="str">
        <f ca="1">Pyramid!T213</f>
        <v/>
      </c>
      <c r="Q211" t="str">
        <f ca="1">Pyramid!U213</f>
        <v/>
      </c>
      <c r="R211" t="str">
        <f ca="1">Pyramid!V213</f>
        <v/>
      </c>
      <c r="S211" t="str">
        <f ca="1">Pyramid!W213</f>
        <v/>
      </c>
      <c r="T211" t="str">
        <f ca="1">Pyramid!X213</f>
        <v/>
      </c>
    </row>
    <row r="212" spans="1:20">
      <c r="A212" t="str">
        <f ca="1">Pyramid!E214</f>
        <v/>
      </c>
      <c r="B212" t="str">
        <f ca="1">Pyramid!F214</f>
        <v/>
      </c>
      <c r="C212" t="str">
        <f ca="1">Pyramid!G214</f>
        <v/>
      </c>
      <c r="D212" t="str">
        <f ca="1">Pyramid!H214</f>
        <v/>
      </c>
      <c r="E212" t="str">
        <f ca="1">Pyramid!I214</f>
        <v/>
      </c>
      <c r="F212" t="str">
        <f ca="1">Pyramid!J214</f>
        <v/>
      </c>
      <c r="G212" t="str">
        <f ca="1">Pyramid!K214</f>
        <v/>
      </c>
      <c r="H212" t="str">
        <f ca="1">Pyramid!L214</f>
        <v/>
      </c>
      <c r="I212" t="str">
        <f>Pyramid!M214</f>
        <v>29/6/2016</v>
      </c>
      <c r="J212">
        <f ca="1">Pyramid!N214</f>
        <v>0</v>
      </c>
      <c r="K212">
        <f ca="1">Pyramid!O214</f>
        <v>20400</v>
      </c>
      <c r="L212">
        <f ca="1">Pyramid!P214</f>
        <v>0</v>
      </c>
      <c r="M212" t="str">
        <f>Pyramid!Q214</f>
        <v>29/6/2016</v>
      </c>
      <c r="N212" t="str">
        <f ca="1">Pyramid!R214</f>
        <v/>
      </c>
      <c r="O212" t="str">
        <f ca="1">Pyramid!S214</f>
        <v/>
      </c>
      <c r="P212" t="str">
        <f ca="1">Pyramid!T214</f>
        <v/>
      </c>
      <c r="Q212" t="str">
        <f ca="1">Pyramid!U214</f>
        <v/>
      </c>
      <c r="R212" t="str">
        <f ca="1">Pyramid!V214</f>
        <v/>
      </c>
      <c r="S212" t="str">
        <f ca="1">Pyramid!W214</f>
        <v/>
      </c>
      <c r="T212" t="str">
        <f ca="1">Pyramid!X214</f>
        <v/>
      </c>
    </row>
    <row r="213" spans="1:20">
      <c r="A213" t="str">
        <f ca="1">Pyramid!E215</f>
        <v/>
      </c>
      <c r="B213" t="str">
        <f ca="1">Pyramid!F215</f>
        <v/>
      </c>
      <c r="C213" t="str">
        <f ca="1">Pyramid!G215</f>
        <v/>
      </c>
      <c r="D213" t="str">
        <f ca="1">Pyramid!H215</f>
        <v/>
      </c>
      <c r="E213" t="str">
        <f ca="1">Pyramid!I215</f>
        <v/>
      </c>
      <c r="F213" t="str">
        <f ca="1">Pyramid!J215</f>
        <v/>
      </c>
      <c r="G213" t="str">
        <f ca="1">Pyramid!K215</f>
        <v>25712 HK Equity</v>
      </c>
      <c r="H213" t="str">
        <f ca="1">Pyramid!L215</f>
        <v>25326 HK Equity</v>
      </c>
      <c r="I213" t="str">
        <f>Pyramid!M215</f>
        <v>28/7/2016</v>
      </c>
      <c r="J213">
        <f ca="1">Pyramid!N215</f>
        <v>2</v>
      </c>
      <c r="K213">
        <f ca="1">Pyramid!O215</f>
        <v>20400</v>
      </c>
      <c r="L213">
        <f ca="1">Pyramid!P215</f>
        <v>1</v>
      </c>
      <c r="M213" t="str">
        <f>Pyramid!Q215</f>
        <v>28/7/2016</v>
      </c>
      <c r="N213" t="str">
        <f ca="1">Pyramid!R215</f>
        <v>27153 HK Equity</v>
      </c>
      <c r="O213" t="str">
        <f ca="1">Pyramid!S215</f>
        <v/>
      </c>
      <c r="P213" t="str">
        <f ca="1">Pyramid!T215</f>
        <v/>
      </c>
      <c r="Q213" t="str">
        <f ca="1">Pyramid!U215</f>
        <v/>
      </c>
      <c r="R213" t="str">
        <f ca="1">Pyramid!V215</f>
        <v/>
      </c>
      <c r="S213" t="str">
        <f ca="1">Pyramid!W215</f>
        <v/>
      </c>
      <c r="T213" t="str">
        <f ca="1">Pyramid!X215</f>
        <v/>
      </c>
    </row>
    <row r="214" spans="1:20">
      <c r="A214" t="str">
        <f ca="1">Pyramid!E216</f>
        <v/>
      </c>
      <c r="B214" t="str">
        <f ca="1">Pyramid!F216</f>
        <v/>
      </c>
      <c r="C214" t="str">
        <f ca="1">Pyramid!G216</f>
        <v/>
      </c>
      <c r="D214" t="str">
        <f ca="1">Pyramid!H216</f>
        <v/>
      </c>
      <c r="E214" t="str">
        <f ca="1">Pyramid!I216</f>
        <v/>
      </c>
      <c r="F214" t="str">
        <f ca="1">Pyramid!J216</f>
        <v/>
      </c>
      <c r="G214" t="str">
        <f ca="1">Pyramid!K216</f>
        <v/>
      </c>
      <c r="H214" t="str">
        <f ca="1">Pyramid!L216</f>
        <v/>
      </c>
      <c r="I214" t="str">
        <f>Pyramid!M216</f>
        <v>30/8/2016</v>
      </c>
      <c r="J214">
        <f ca="1">Pyramid!N216</f>
        <v>0</v>
      </c>
      <c r="K214">
        <f ca="1">Pyramid!O216</f>
        <v>20400</v>
      </c>
      <c r="L214">
        <f ca="1">Pyramid!P216</f>
        <v>0</v>
      </c>
      <c r="M214" t="str">
        <f>Pyramid!Q216</f>
        <v>30/8/2016</v>
      </c>
      <c r="N214" t="str">
        <f ca="1">Pyramid!R216</f>
        <v/>
      </c>
      <c r="O214" t="str">
        <f ca="1">Pyramid!S216</f>
        <v/>
      </c>
      <c r="P214" t="str">
        <f ca="1">Pyramid!T216</f>
        <v/>
      </c>
      <c r="Q214" t="str">
        <f ca="1">Pyramid!U216</f>
        <v/>
      </c>
      <c r="R214" t="str">
        <f ca="1">Pyramid!V216</f>
        <v/>
      </c>
      <c r="S214" t="str">
        <f ca="1">Pyramid!W216</f>
        <v/>
      </c>
      <c r="T214" t="str">
        <f ca="1">Pyramid!X216</f>
        <v/>
      </c>
    </row>
    <row r="215" spans="1:20">
      <c r="A215" t="str">
        <f ca="1">Pyramid!E217</f>
        <v/>
      </c>
      <c r="B215" t="str">
        <f ca="1">Pyramid!F217</f>
        <v/>
      </c>
      <c r="C215" t="str">
        <f ca="1">Pyramid!G217</f>
        <v/>
      </c>
      <c r="D215" t="str">
        <f ca="1">Pyramid!H217</f>
        <v/>
      </c>
      <c r="E215" t="str">
        <f ca="1">Pyramid!I217</f>
        <v/>
      </c>
      <c r="F215" t="str">
        <f ca="1">Pyramid!J217</f>
        <v/>
      </c>
      <c r="G215" t="str">
        <f ca="1">Pyramid!K217</f>
        <v/>
      </c>
      <c r="H215" t="str">
        <f ca="1">Pyramid!L217</f>
        <v/>
      </c>
      <c r="I215" t="str">
        <f>Pyramid!M217</f>
        <v>29/9/2016</v>
      </c>
      <c r="J215">
        <f ca="1">Pyramid!N217</f>
        <v>0</v>
      </c>
      <c r="K215">
        <f ca="1">Pyramid!O217</f>
        <v>20400</v>
      </c>
      <c r="L215">
        <f ca="1">Pyramid!P217</f>
        <v>2</v>
      </c>
      <c r="M215" t="str">
        <f>Pyramid!Q217</f>
        <v>29/9/2016</v>
      </c>
      <c r="N215" t="str">
        <f ca="1">Pyramid!R217</f>
        <v>24830 HK Equity</v>
      </c>
      <c r="O215" t="str">
        <f ca="1">Pyramid!S217</f>
        <v>24452 HK Equity</v>
      </c>
      <c r="P215" t="str">
        <f ca="1">Pyramid!T217</f>
        <v/>
      </c>
      <c r="Q215" t="str">
        <f ca="1">Pyramid!U217</f>
        <v/>
      </c>
      <c r="R215" t="str">
        <f ca="1">Pyramid!V217</f>
        <v/>
      </c>
      <c r="S215" t="str">
        <f ca="1">Pyramid!W217</f>
        <v/>
      </c>
      <c r="T215" t="str">
        <f ca="1">Pyramid!X217</f>
        <v/>
      </c>
    </row>
    <row r="216" spans="1:20">
      <c r="A216" t="str">
        <f ca="1">Pyramid!E218</f>
        <v/>
      </c>
      <c r="B216" t="str">
        <f ca="1">Pyramid!F218</f>
        <v/>
      </c>
      <c r="C216" t="str">
        <f ca="1">Pyramid!G218</f>
        <v/>
      </c>
      <c r="D216" t="str">
        <f ca="1">Pyramid!H218</f>
        <v/>
      </c>
      <c r="E216" t="str">
        <f ca="1">Pyramid!I218</f>
        <v/>
      </c>
      <c r="F216" t="str">
        <f ca="1">Pyramid!J218</f>
        <v/>
      </c>
      <c r="G216" t="str">
        <f ca="1">Pyramid!K218</f>
        <v/>
      </c>
      <c r="H216" t="str">
        <f ca="1">Pyramid!L218</f>
        <v/>
      </c>
      <c r="I216" t="str">
        <f>Pyramid!M218</f>
        <v>28/10/2016</v>
      </c>
      <c r="J216">
        <f ca="1">Pyramid!N218</f>
        <v>0</v>
      </c>
      <c r="K216">
        <f ca="1">Pyramid!O218</f>
        <v>20400</v>
      </c>
      <c r="L216">
        <f ca="1">Pyramid!P218</f>
        <v>0</v>
      </c>
      <c r="M216" t="str">
        <f>Pyramid!Q218</f>
        <v>28/10/2016</v>
      </c>
      <c r="N216" t="str">
        <f ca="1">Pyramid!R218</f>
        <v/>
      </c>
      <c r="O216" t="str">
        <f ca="1">Pyramid!S218</f>
        <v/>
      </c>
      <c r="P216" t="str">
        <f ca="1">Pyramid!T218</f>
        <v/>
      </c>
      <c r="Q216" t="str">
        <f ca="1">Pyramid!U218</f>
        <v/>
      </c>
      <c r="R216" t="str">
        <f ca="1">Pyramid!V218</f>
        <v/>
      </c>
      <c r="S216" t="str">
        <f ca="1">Pyramid!W218</f>
        <v/>
      </c>
      <c r="T216" t="str">
        <f ca="1">Pyramid!X218</f>
        <v/>
      </c>
    </row>
    <row r="217" spans="1:20">
      <c r="A217" t="str">
        <f ca="1">Pyramid!E219</f>
        <v/>
      </c>
      <c r="B217" t="str">
        <f ca="1">Pyramid!F219</f>
        <v/>
      </c>
      <c r="C217" t="str">
        <f ca="1">Pyramid!G219</f>
        <v/>
      </c>
      <c r="D217" t="str">
        <f ca="1">Pyramid!H219</f>
        <v/>
      </c>
      <c r="E217" t="str">
        <f ca="1">Pyramid!I219</f>
        <v/>
      </c>
      <c r="F217" t="str">
        <f ca="1">Pyramid!J219</f>
        <v/>
      </c>
      <c r="G217" t="str">
        <f ca="1">Pyramid!K219</f>
        <v/>
      </c>
      <c r="H217" t="str">
        <f ca="1">Pyramid!L219</f>
        <v/>
      </c>
      <c r="I217" t="str">
        <f>Pyramid!M219</f>
        <v>29/6/2016</v>
      </c>
      <c r="J217">
        <f ca="1">Pyramid!N219</f>
        <v>0</v>
      </c>
      <c r="K217">
        <f ca="1">Pyramid!O219</f>
        <v>20488</v>
      </c>
      <c r="L217">
        <f ca="1">Pyramid!P219</f>
        <v>0</v>
      </c>
      <c r="M217" t="str">
        <f>Pyramid!Q219</f>
        <v>29/6/2016</v>
      </c>
      <c r="N217" t="str">
        <f ca="1">Pyramid!R219</f>
        <v/>
      </c>
      <c r="O217" t="str">
        <f ca="1">Pyramid!S219</f>
        <v/>
      </c>
      <c r="P217" t="str">
        <f ca="1">Pyramid!T219</f>
        <v/>
      </c>
      <c r="Q217" t="str">
        <f ca="1">Pyramid!U219</f>
        <v/>
      </c>
      <c r="R217" t="str">
        <f ca="1">Pyramid!V219</f>
        <v/>
      </c>
      <c r="S217" t="str">
        <f ca="1">Pyramid!W219</f>
        <v/>
      </c>
      <c r="T217" t="str">
        <f ca="1">Pyramid!X219</f>
        <v/>
      </c>
    </row>
    <row r="218" spans="1:20">
      <c r="A218" t="str">
        <f ca="1">Pyramid!E220</f>
        <v/>
      </c>
      <c r="B218" t="str">
        <f ca="1">Pyramid!F220</f>
        <v/>
      </c>
      <c r="C218" t="str">
        <f ca="1">Pyramid!G220</f>
        <v/>
      </c>
      <c r="D218" t="str">
        <f ca="1">Pyramid!H220</f>
        <v/>
      </c>
      <c r="E218" t="str">
        <f ca="1">Pyramid!I220</f>
        <v/>
      </c>
      <c r="F218" t="str">
        <f ca="1">Pyramid!J220</f>
        <v/>
      </c>
      <c r="G218" t="str">
        <f ca="1">Pyramid!K220</f>
        <v/>
      </c>
      <c r="H218" t="str">
        <f ca="1">Pyramid!L220</f>
        <v/>
      </c>
      <c r="I218" t="str">
        <f>Pyramid!M220</f>
        <v>28/7/2016</v>
      </c>
      <c r="J218">
        <f ca="1">Pyramid!N220</f>
        <v>0</v>
      </c>
      <c r="K218">
        <f ca="1">Pyramid!O220</f>
        <v>20488</v>
      </c>
      <c r="L218">
        <f ca="1">Pyramid!P220</f>
        <v>1</v>
      </c>
      <c r="M218" t="str">
        <f>Pyramid!Q220</f>
        <v>28/7/2016</v>
      </c>
      <c r="N218" t="str">
        <f ca="1">Pyramid!R220</f>
        <v>25357 HK Equity</v>
      </c>
      <c r="O218" t="str">
        <f ca="1">Pyramid!S220</f>
        <v/>
      </c>
      <c r="P218" t="str">
        <f ca="1">Pyramid!T220</f>
        <v/>
      </c>
      <c r="Q218" t="str">
        <f ca="1">Pyramid!U220</f>
        <v/>
      </c>
      <c r="R218" t="str">
        <f ca="1">Pyramid!V220</f>
        <v/>
      </c>
      <c r="S218" t="str">
        <f ca="1">Pyramid!W220</f>
        <v/>
      </c>
      <c r="T218" t="str">
        <f ca="1">Pyramid!X220</f>
        <v/>
      </c>
    </row>
    <row r="219" spans="1:20">
      <c r="A219" t="str">
        <f ca="1">Pyramid!E221</f>
        <v/>
      </c>
      <c r="B219" t="str">
        <f ca="1">Pyramid!F221</f>
        <v/>
      </c>
      <c r="C219" t="str">
        <f ca="1">Pyramid!G221</f>
        <v/>
      </c>
      <c r="D219" t="str">
        <f ca="1">Pyramid!H221</f>
        <v/>
      </c>
      <c r="E219" t="str">
        <f ca="1">Pyramid!I221</f>
        <v/>
      </c>
      <c r="F219" t="str">
        <f ca="1">Pyramid!J221</f>
        <v/>
      </c>
      <c r="G219" t="str">
        <f ca="1">Pyramid!K221</f>
        <v/>
      </c>
      <c r="H219" t="str">
        <f ca="1">Pyramid!L221</f>
        <v/>
      </c>
      <c r="I219" t="str">
        <f>Pyramid!M221</f>
        <v>30/8/2016</v>
      </c>
      <c r="J219">
        <f ca="1">Pyramid!N221</f>
        <v>0</v>
      </c>
      <c r="K219">
        <f ca="1">Pyramid!O221</f>
        <v>20488</v>
      </c>
      <c r="L219">
        <f ca="1">Pyramid!P221</f>
        <v>0</v>
      </c>
      <c r="M219" t="str">
        <f>Pyramid!Q221</f>
        <v>30/8/2016</v>
      </c>
      <c r="N219" t="str">
        <f ca="1">Pyramid!R221</f>
        <v/>
      </c>
      <c r="O219" t="str">
        <f ca="1">Pyramid!S221</f>
        <v/>
      </c>
      <c r="P219" t="str">
        <f ca="1">Pyramid!T221</f>
        <v/>
      </c>
      <c r="Q219" t="str">
        <f ca="1">Pyramid!U221</f>
        <v/>
      </c>
      <c r="R219" t="str">
        <f ca="1">Pyramid!V221</f>
        <v/>
      </c>
      <c r="S219" t="str">
        <f ca="1">Pyramid!W221</f>
        <v/>
      </c>
      <c r="T219" t="str">
        <f ca="1">Pyramid!X221</f>
        <v/>
      </c>
    </row>
    <row r="220" spans="1:20">
      <c r="A220" t="str">
        <f ca="1">Pyramid!E222</f>
        <v/>
      </c>
      <c r="B220" t="str">
        <f ca="1">Pyramid!F222</f>
        <v/>
      </c>
      <c r="C220" t="str">
        <f ca="1">Pyramid!G222</f>
        <v/>
      </c>
      <c r="D220" t="str">
        <f ca="1">Pyramid!H222</f>
        <v/>
      </c>
      <c r="E220" t="str">
        <f ca="1">Pyramid!I222</f>
        <v/>
      </c>
      <c r="F220" t="str">
        <f ca="1">Pyramid!J222</f>
        <v/>
      </c>
      <c r="G220" t="str">
        <f ca="1">Pyramid!K222</f>
        <v/>
      </c>
      <c r="H220" t="str">
        <f ca="1">Pyramid!L222</f>
        <v/>
      </c>
      <c r="I220" t="str">
        <f>Pyramid!M222</f>
        <v>29/9/2016</v>
      </c>
      <c r="J220">
        <f ca="1">Pyramid!N222</f>
        <v>0</v>
      </c>
      <c r="K220">
        <f ca="1">Pyramid!O222</f>
        <v>20488</v>
      </c>
      <c r="L220">
        <f ca="1">Pyramid!P222</f>
        <v>0</v>
      </c>
      <c r="M220" t="str">
        <f>Pyramid!Q222</f>
        <v>29/9/2016</v>
      </c>
      <c r="N220" t="str">
        <f ca="1">Pyramid!R222</f>
        <v/>
      </c>
      <c r="O220" t="str">
        <f ca="1">Pyramid!S222</f>
        <v/>
      </c>
      <c r="P220" t="str">
        <f ca="1">Pyramid!T222</f>
        <v/>
      </c>
      <c r="Q220" t="str">
        <f ca="1">Pyramid!U222</f>
        <v/>
      </c>
      <c r="R220" t="str">
        <f ca="1">Pyramid!V222</f>
        <v/>
      </c>
      <c r="S220" t="str">
        <f ca="1">Pyramid!W222</f>
        <v/>
      </c>
      <c r="T220" t="str">
        <f ca="1">Pyramid!X222</f>
        <v/>
      </c>
    </row>
    <row r="221" spans="1:20">
      <c r="A221" t="str">
        <f ca="1">Pyramid!E223</f>
        <v/>
      </c>
      <c r="B221" t="str">
        <f ca="1">Pyramid!F223</f>
        <v/>
      </c>
      <c r="C221" t="str">
        <f ca="1">Pyramid!G223</f>
        <v/>
      </c>
      <c r="D221" t="str">
        <f ca="1">Pyramid!H223</f>
        <v/>
      </c>
      <c r="E221" t="str">
        <f ca="1">Pyramid!I223</f>
        <v/>
      </c>
      <c r="F221" t="str">
        <f ca="1">Pyramid!J223</f>
        <v/>
      </c>
      <c r="G221" t="str">
        <f ca="1">Pyramid!K223</f>
        <v/>
      </c>
      <c r="H221" t="str">
        <f ca="1">Pyramid!L223</f>
        <v/>
      </c>
      <c r="I221" t="str">
        <f>Pyramid!M223</f>
        <v>28/10/2016</v>
      </c>
      <c r="J221">
        <f ca="1">Pyramid!N223</f>
        <v>0</v>
      </c>
      <c r="K221">
        <f ca="1">Pyramid!O223</f>
        <v>20488</v>
      </c>
      <c r="L221">
        <f ca="1">Pyramid!P223</f>
        <v>0</v>
      </c>
      <c r="M221" t="str">
        <f>Pyramid!Q223</f>
        <v>28/10/2016</v>
      </c>
      <c r="N221" t="str">
        <f ca="1">Pyramid!R223</f>
        <v/>
      </c>
      <c r="O221" t="str">
        <f ca="1">Pyramid!S223</f>
        <v/>
      </c>
      <c r="P221" t="str">
        <f ca="1">Pyramid!T223</f>
        <v/>
      </c>
      <c r="Q221" t="str">
        <f ca="1">Pyramid!U223</f>
        <v/>
      </c>
      <c r="R221" t="str">
        <f ca="1">Pyramid!V223</f>
        <v/>
      </c>
      <c r="S221" t="str">
        <f ca="1">Pyramid!W223</f>
        <v/>
      </c>
      <c r="T221" t="str">
        <f ca="1">Pyramid!X223</f>
        <v/>
      </c>
    </row>
    <row r="222" spans="1:20">
      <c r="A222" t="str">
        <f ca="1">Pyramid!E224</f>
        <v/>
      </c>
      <c r="B222" t="str">
        <f ca="1">Pyramid!F224</f>
        <v/>
      </c>
      <c r="C222" t="str">
        <f ca="1">Pyramid!G224</f>
        <v/>
      </c>
      <c r="D222" t="str">
        <f ca="1">Pyramid!H224</f>
        <v/>
      </c>
      <c r="E222" t="str">
        <f ca="1">Pyramid!I224</f>
        <v/>
      </c>
      <c r="F222" t="str">
        <f ca="1">Pyramid!J224</f>
        <v/>
      </c>
      <c r="G222" t="str">
        <f ca="1">Pyramid!K224</f>
        <v/>
      </c>
      <c r="H222" t="str">
        <f ca="1">Pyramid!L224</f>
        <v/>
      </c>
      <c r="I222" t="str">
        <f>Pyramid!M224</f>
        <v>29/6/2016</v>
      </c>
      <c r="J222">
        <f ca="1">Pyramid!N224</f>
        <v>0</v>
      </c>
      <c r="K222">
        <f ca="1">Pyramid!O224</f>
        <v>20500</v>
      </c>
      <c r="L222">
        <f ca="1">Pyramid!P224</f>
        <v>0</v>
      </c>
      <c r="M222" t="str">
        <f>Pyramid!Q224</f>
        <v>29/6/2016</v>
      </c>
      <c r="N222" t="str">
        <f ca="1">Pyramid!R224</f>
        <v/>
      </c>
      <c r="O222" t="str">
        <f ca="1">Pyramid!S224</f>
        <v/>
      </c>
      <c r="P222" t="str">
        <f ca="1">Pyramid!T224</f>
        <v/>
      </c>
      <c r="Q222" t="str">
        <f ca="1">Pyramid!U224</f>
        <v/>
      </c>
      <c r="R222" t="str">
        <f ca="1">Pyramid!V224</f>
        <v/>
      </c>
      <c r="S222" t="str">
        <f ca="1">Pyramid!W224</f>
        <v/>
      </c>
      <c r="T222" t="str">
        <f ca="1">Pyramid!X224</f>
        <v/>
      </c>
    </row>
    <row r="223" spans="1:20">
      <c r="A223" t="str">
        <f ca="1">Pyramid!E225</f>
        <v/>
      </c>
      <c r="B223" t="str">
        <f ca="1">Pyramid!F225</f>
        <v/>
      </c>
      <c r="C223" t="str">
        <f ca="1">Pyramid!G225</f>
        <v/>
      </c>
      <c r="D223" t="str">
        <f ca="1">Pyramid!H225</f>
        <v/>
      </c>
      <c r="E223" t="str">
        <f ca="1">Pyramid!I225</f>
        <v/>
      </c>
      <c r="F223" t="str">
        <f ca="1">Pyramid!J225</f>
        <v/>
      </c>
      <c r="G223" t="str">
        <f ca="1">Pyramid!K225</f>
        <v/>
      </c>
      <c r="H223" t="str">
        <f ca="1">Pyramid!L225</f>
        <v/>
      </c>
      <c r="I223" t="str">
        <f>Pyramid!M225</f>
        <v>28/7/2016</v>
      </c>
      <c r="J223">
        <f ca="1">Pyramid!N225</f>
        <v>0</v>
      </c>
      <c r="K223">
        <f ca="1">Pyramid!O225</f>
        <v>20500</v>
      </c>
      <c r="L223">
        <f ca="1">Pyramid!P225</f>
        <v>0</v>
      </c>
      <c r="M223" t="str">
        <f>Pyramid!Q225</f>
        <v>28/7/2016</v>
      </c>
      <c r="N223" t="str">
        <f ca="1">Pyramid!R225</f>
        <v/>
      </c>
      <c r="O223" t="str">
        <f ca="1">Pyramid!S225</f>
        <v/>
      </c>
      <c r="P223" t="str">
        <f ca="1">Pyramid!T225</f>
        <v/>
      </c>
      <c r="Q223" t="str">
        <f ca="1">Pyramid!U225</f>
        <v/>
      </c>
      <c r="R223" t="str">
        <f ca="1">Pyramid!V225</f>
        <v/>
      </c>
      <c r="S223" t="str">
        <f ca="1">Pyramid!W225</f>
        <v/>
      </c>
      <c r="T223" t="str">
        <f ca="1">Pyramid!X225</f>
        <v/>
      </c>
    </row>
    <row r="224" spans="1:20">
      <c r="A224" t="str">
        <f ca="1">Pyramid!E226</f>
        <v/>
      </c>
      <c r="B224" t="str">
        <f ca="1">Pyramid!F226</f>
        <v/>
      </c>
      <c r="C224" t="str">
        <f ca="1">Pyramid!G226</f>
        <v/>
      </c>
      <c r="D224" t="str">
        <f ca="1">Pyramid!H226</f>
        <v/>
      </c>
      <c r="E224" t="str">
        <f ca="1">Pyramid!I226</f>
        <v/>
      </c>
      <c r="F224" t="str">
        <f ca="1">Pyramid!J226</f>
        <v/>
      </c>
      <c r="G224" t="str">
        <f ca="1">Pyramid!K226</f>
        <v/>
      </c>
      <c r="H224" t="str">
        <f ca="1">Pyramid!L226</f>
        <v/>
      </c>
      <c r="I224" t="str">
        <f>Pyramid!M226</f>
        <v>30/8/2016</v>
      </c>
      <c r="J224">
        <f ca="1">Pyramid!N226</f>
        <v>0</v>
      </c>
      <c r="K224">
        <f ca="1">Pyramid!O226</f>
        <v>20500</v>
      </c>
      <c r="L224">
        <f ca="1">Pyramid!P226</f>
        <v>0</v>
      </c>
      <c r="M224" t="str">
        <f>Pyramid!Q226</f>
        <v>30/8/2016</v>
      </c>
      <c r="N224" t="str">
        <f ca="1">Pyramid!R226</f>
        <v/>
      </c>
      <c r="O224" t="str">
        <f ca="1">Pyramid!S226</f>
        <v/>
      </c>
      <c r="P224" t="str">
        <f ca="1">Pyramid!T226</f>
        <v/>
      </c>
      <c r="Q224" t="str">
        <f ca="1">Pyramid!U226</f>
        <v/>
      </c>
      <c r="R224" t="str">
        <f ca="1">Pyramid!V226</f>
        <v/>
      </c>
      <c r="S224" t="str">
        <f ca="1">Pyramid!W226</f>
        <v/>
      </c>
      <c r="T224" t="str">
        <f ca="1">Pyramid!X226</f>
        <v/>
      </c>
    </row>
    <row r="225" spans="1:20">
      <c r="A225" t="str">
        <f ca="1">Pyramid!E227</f>
        <v/>
      </c>
      <c r="B225" t="str">
        <f ca="1">Pyramid!F227</f>
        <v/>
      </c>
      <c r="C225" t="str">
        <f ca="1">Pyramid!G227</f>
        <v/>
      </c>
      <c r="D225" t="str">
        <f ca="1">Pyramid!H227</f>
        <v/>
      </c>
      <c r="E225" t="str">
        <f ca="1">Pyramid!I227</f>
        <v/>
      </c>
      <c r="F225" t="str">
        <f ca="1">Pyramid!J227</f>
        <v/>
      </c>
      <c r="G225" t="str">
        <f ca="1">Pyramid!K227</f>
        <v/>
      </c>
      <c r="H225" t="str">
        <f ca="1">Pyramid!L227</f>
        <v/>
      </c>
      <c r="I225" t="str">
        <f>Pyramid!M227</f>
        <v>29/9/2016</v>
      </c>
      <c r="J225">
        <f ca="1">Pyramid!N227</f>
        <v>0</v>
      </c>
      <c r="K225">
        <f ca="1">Pyramid!O227</f>
        <v>20500</v>
      </c>
      <c r="L225">
        <f ca="1">Pyramid!P227</f>
        <v>1</v>
      </c>
      <c r="M225" t="str">
        <f>Pyramid!Q227</f>
        <v>29/9/2016</v>
      </c>
      <c r="N225" t="str">
        <f ca="1">Pyramid!R227</f>
        <v>23885 HK Equity</v>
      </c>
      <c r="O225" t="str">
        <f ca="1">Pyramid!S227</f>
        <v/>
      </c>
      <c r="P225" t="str">
        <f ca="1">Pyramid!T227</f>
        <v/>
      </c>
      <c r="Q225" t="str">
        <f ca="1">Pyramid!U227</f>
        <v/>
      </c>
      <c r="R225" t="str">
        <f ca="1">Pyramid!V227</f>
        <v/>
      </c>
      <c r="S225" t="str">
        <f ca="1">Pyramid!W227</f>
        <v/>
      </c>
      <c r="T225" t="str">
        <f ca="1">Pyramid!X227</f>
        <v/>
      </c>
    </row>
    <row r="226" spans="1:20">
      <c r="A226" t="str">
        <f ca="1">Pyramid!E228</f>
        <v/>
      </c>
      <c r="B226" t="str">
        <f ca="1">Pyramid!F228</f>
        <v/>
      </c>
      <c r="C226" t="str">
        <f ca="1">Pyramid!G228</f>
        <v/>
      </c>
      <c r="D226" t="str">
        <f ca="1">Pyramid!H228</f>
        <v/>
      </c>
      <c r="E226" t="str">
        <f ca="1">Pyramid!I228</f>
        <v/>
      </c>
      <c r="F226" t="str">
        <f ca="1">Pyramid!J228</f>
        <v/>
      </c>
      <c r="G226" t="str">
        <f ca="1">Pyramid!K228</f>
        <v/>
      </c>
      <c r="H226" t="str">
        <f ca="1">Pyramid!L228</f>
        <v/>
      </c>
      <c r="I226" t="str">
        <f>Pyramid!M228</f>
        <v>28/10/2016</v>
      </c>
      <c r="J226">
        <f ca="1">Pyramid!N228</f>
        <v>0</v>
      </c>
      <c r="K226">
        <f ca="1">Pyramid!O228</f>
        <v>20500</v>
      </c>
      <c r="L226">
        <f ca="1">Pyramid!P228</f>
        <v>0</v>
      </c>
      <c r="M226" t="str">
        <f>Pyramid!Q228</f>
        <v>28/10/2016</v>
      </c>
      <c r="N226" t="str">
        <f ca="1">Pyramid!R228</f>
        <v/>
      </c>
      <c r="O226" t="str">
        <f ca="1">Pyramid!S228</f>
        <v/>
      </c>
      <c r="P226" t="str">
        <f ca="1">Pyramid!T228</f>
        <v/>
      </c>
      <c r="Q226" t="str">
        <f ca="1">Pyramid!U228</f>
        <v/>
      </c>
      <c r="R226" t="str">
        <f ca="1">Pyramid!V228</f>
        <v/>
      </c>
      <c r="S226" t="str">
        <f ca="1">Pyramid!W228</f>
        <v/>
      </c>
      <c r="T226" t="str">
        <f ca="1">Pyramid!X228</f>
        <v/>
      </c>
    </row>
    <row r="227" spans="1:20">
      <c r="A227" t="str">
        <f ca="1">Pyramid!E229</f>
        <v/>
      </c>
      <c r="B227" t="str">
        <f ca="1">Pyramid!F229</f>
        <v/>
      </c>
      <c r="C227" t="str">
        <f ca="1">Pyramid!G229</f>
        <v/>
      </c>
      <c r="D227" t="str">
        <f ca="1">Pyramid!H229</f>
        <v/>
      </c>
      <c r="E227" t="str">
        <f ca="1">Pyramid!I229</f>
        <v/>
      </c>
      <c r="F227" t="str">
        <f ca="1">Pyramid!J229</f>
        <v/>
      </c>
      <c r="G227" t="str">
        <f ca="1">Pyramid!K229</f>
        <v/>
      </c>
      <c r="H227" t="str">
        <f ca="1">Pyramid!L229</f>
        <v/>
      </c>
      <c r="I227" t="str">
        <f>Pyramid!M229</f>
        <v>29/6/2016</v>
      </c>
      <c r="J227">
        <f ca="1">Pyramid!N229</f>
        <v>0</v>
      </c>
      <c r="K227">
        <f ca="1">Pyramid!O229</f>
        <v>20600</v>
      </c>
      <c r="L227">
        <f ca="1">Pyramid!P229</f>
        <v>0</v>
      </c>
      <c r="M227" t="str">
        <f>Pyramid!Q229</f>
        <v>29/6/2016</v>
      </c>
      <c r="N227" t="str">
        <f ca="1">Pyramid!R229</f>
        <v/>
      </c>
      <c r="O227" t="str">
        <f ca="1">Pyramid!S229</f>
        <v/>
      </c>
      <c r="P227" t="str">
        <f ca="1">Pyramid!T229</f>
        <v/>
      </c>
      <c r="Q227" t="str">
        <f ca="1">Pyramid!U229</f>
        <v/>
      </c>
      <c r="R227" t="str">
        <f ca="1">Pyramid!V229</f>
        <v/>
      </c>
      <c r="S227" t="str">
        <f ca="1">Pyramid!W229</f>
        <v/>
      </c>
      <c r="T227" t="str">
        <f ca="1">Pyramid!X229</f>
        <v/>
      </c>
    </row>
    <row r="228" spans="1:20">
      <c r="A228" t="str">
        <f ca="1">Pyramid!E230</f>
        <v/>
      </c>
      <c r="B228" t="str">
        <f ca="1">Pyramid!F230</f>
        <v/>
      </c>
      <c r="C228" t="str">
        <f ca="1">Pyramid!G230</f>
        <v/>
      </c>
      <c r="D228" t="str">
        <f ca="1">Pyramid!H230</f>
        <v/>
      </c>
      <c r="E228" t="str">
        <f ca="1">Pyramid!I230</f>
        <v/>
      </c>
      <c r="F228" t="str">
        <f ca="1">Pyramid!J230</f>
        <v/>
      </c>
      <c r="G228" t="str">
        <f ca="1">Pyramid!K230</f>
        <v/>
      </c>
      <c r="H228" t="str">
        <f ca="1">Pyramid!L230</f>
        <v/>
      </c>
      <c r="I228" t="str">
        <f>Pyramid!M230</f>
        <v>28/7/2016</v>
      </c>
      <c r="J228">
        <f ca="1">Pyramid!N230</f>
        <v>0</v>
      </c>
      <c r="K228">
        <f ca="1">Pyramid!O230</f>
        <v>20600</v>
      </c>
      <c r="L228">
        <f ca="1">Pyramid!P230</f>
        <v>0</v>
      </c>
      <c r="M228" t="str">
        <f>Pyramid!Q230</f>
        <v>28/7/2016</v>
      </c>
      <c r="N228" t="str">
        <f ca="1">Pyramid!R230</f>
        <v/>
      </c>
      <c r="O228" t="str">
        <f ca="1">Pyramid!S230</f>
        <v/>
      </c>
      <c r="P228" t="str">
        <f ca="1">Pyramid!T230</f>
        <v/>
      </c>
      <c r="Q228" t="str">
        <f ca="1">Pyramid!U230</f>
        <v/>
      </c>
      <c r="R228" t="str">
        <f ca="1">Pyramid!V230</f>
        <v/>
      </c>
      <c r="S228" t="str">
        <f ca="1">Pyramid!W230</f>
        <v/>
      </c>
      <c r="T228" t="str">
        <f ca="1">Pyramid!X230</f>
        <v/>
      </c>
    </row>
    <row r="229" spans="1:20">
      <c r="A229" t="str">
        <f ca="1">Pyramid!E231</f>
        <v/>
      </c>
      <c r="B229" t="str">
        <f ca="1">Pyramid!F231</f>
        <v/>
      </c>
      <c r="C229" t="str">
        <f ca="1">Pyramid!G231</f>
        <v/>
      </c>
      <c r="D229" t="str">
        <f ca="1">Pyramid!H231</f>
        <v/>
      </c>
      <c r="E229" t="str">
        <f ca="1">Pyramid!I231</f>
        <v>25949 HK Equity</v>
      </c>
      <c r="F229" t="str">
        <f ca="1">Pyramid!J231</f>
        <v>27914 HK Equity</v>
      </c>
      <c r="G229" t="str">
        <f ca="1">Pyramid!K231</f>
        <v>25600 HK Equity</v>
      </c>
      <c r="H229" t="str">
        <f ca="1">Pyramid!L231</f>
        <v>26747 HK Equity</v>
      </c>
      <c r="I229" t="str">
        <f>Pyramid!M231</f>
        <v>30/8/2016</v>
      </c>
      <c r="J229">
        <f ca="1">Pyramid!N231</f>
        <v>4</v>
      </c>
      <c r="K229">
        <f ca="1">Pyramid!O231</f>
        <v>20600</v>
      </c>
      <c r="L229">
        <f ca="1">Pyramid!P231</f>
        <v>0</v>
      </c>
      <c r="M229" t="str">
        <f>Pyramid!Q231</f>
        <v>30/8/2016</v>
      </c>
      <c r="N229" t="str">
        <f ca="1">Pyramid!R231</f>
        <v/>
      </c>
      <c r="O229" t="str">
        <f ca="1">Pyramid!S231</f>
        <v/>
      </c>
      <c r="P229" t="str">
        <f ca="1">Pyramid!T231</f>
        <v/>
      </c>
      <c r="Q229" t="str">
        <f ca="1">Pyramid!U231</f>
        <v/>
      </c>
      <c r="R229" t="str">
        <f ca="1">Pyramid!V231</f>
        <v/>
      </c>
      <c r="S229" t="str">
        <f ca="1">Pyramid!W231</f>
        <v/>
      </c>
      <c r="T229" t="str">
        <f ca="1">Pyramid!X231</f>
        <v/>
      </c>
    </row>
    <row r="230" spans="1:20">
      <c r="A230" t="str">
        <f ca="1">Pyramid!E232</f>
        <v/>
      </c>
      <c r="B230" t="str">
        <f ca="1">Pyramid!F232</f>
        <v/>
      </c>
      <c r="C230" t="str">
        <f ca="1">Pyramid!G232</f>
        <v/>
      </c>
      <c r="D230" t="str">
        <f ca="1">Pyramid!H232</f>
        <v/>
      </c>
      <c r="E230" t="str">
        <f ca="1">Pyramid!I232</f>
        <v/>
      </c>
      <c r="F230" t="str">
        <f ca="1">Pyramid!J232</f>
        <v/>
      </c>
      <c r="G230" t="str">
        <f ca="1">Pyramid!K232</f>
        <v/>
      </c>
      <c r="H230" t="str">
        <f ca="1">Pyramid!L232</f>
        <v/>
      </c>
      <c r="I230" t="str">
        <f>Pyramid!M232</f>
        <v>29/9/2016</v>
      </c>
      <c r="J230">
        <f ca="1">Pyramid!N232</f>
        <v>0</v>
      </c>
      <c r="K230">
        <f ca="1">Pyramid!O232</f>
        <v>20600</v>
      </c>
      <c r="L230">
        <f ca="1">Pyramid!P232</f>
        <v>2</v>
      </c>
      <c r="M230" t="str">
        <f>Pyramid!Q232</f>
        <v>29/9/2016</v>
      </c>
      <c r="N230" t="str">
        <f ca="1">Pyramid!R232</f>
        <v>23538 HK Equity</v>
      </c>
      <c r="O230" t="str">
        <f ca="1">Pyramid!S232</f>
        <v>27592 HK Equity</v>
      </c>
      <c r="P230" t="str">
        <f ca="1">Pyramid!T232</f>
        <v/>
      </c>
      <c r="Q230" t="str">
        <f ca="1">Pyramid!U232</f>
        <v/>
      </c>
      <c r="R230" t="str">
        <f ca="1">Pyramid!V232</f>
        <v/>
      </c>
      <c r="S230" t="str">
        <f ca="1">Pyramid!W232</f>
        <v/>
      </c>
      <c r="T230" t="str">
        <f ca="1">Pyramid!X232</f>
        <v/>
      </c>
    </row>
    <row r="231" spans="1:20">
      <c r="A231" t="str">
        <f ca="1">Pyramid!E233</f>
        <v/>
      </c>
      <c r="B231" t="str">
        <f ca="1">Pyramid!F233</f>
        <v/>
      </c>
      <c r="C231" t="str">
        <f ca="1">Pyramid!G233</f>
        <v/>
      </c>
      <c r="D231" t="str">
        <f ca="1">Pyramid!H233</f>
        <v/>
      </c>
      <c r="E231" t="str">
        <f ca="1">Pyramid!I233</f>
        <v/>
      </c>
      <c r="F231" t="str">
        <f ca="1">Pyramid!J233</f>
        <v/>
      </c>
      <c r="G231" t="str">
        <f ca="1">Pyramid!K233</f>
        <v/>
      </c>
      <c r="H231" t="str">
        <f ca="1">Pyramid!L233</f>
        <v/>
      </c>
      <c r="I231" t="str">
        <f>Pyramid!M233</f>
        <v>28/10/2016</v>
      </c>
      <c r="J231">
        <f ca="1">Pyramid!N233</f>
        <v>0</v>
      </c>
      <c r="K231">
        <f ca="1">Pyramid!O233</f>
        <v>20600</v>
      </c>
      <c r="L231">
        <f ca="1">Pyramid!P233</f>
        <v>0</v>
      </c>
      <c r="M231" t="str">
        <f>Pyramid!Q233</f>
        <v>28/10/2016</v>
      </c>
      <c r="N231" t="str">
        <f ca="1">Pyramid!R233</f>
        <v/>
      </c>
      <c r="O231" t="str">
        <f ca="1">Pyramid!S233</f>
        <v/>
      </c>
      <c r="P231" t="str">
        <f ca="1">Pyramid!T233</f>
        <v/>
      </c>
      <c r="Q231" t="str">
        <f ca="1">Pyramid!U233</f>
        <v/>
      </c>
      <c r="R231" t="str">
        <f ca="1">Pyramid!V233</f>
        <v/>
      </c>
      <c r="S231" t="str">
        <f ca="1">Pyramid!W233</f>
        <v/>
      </c>
      <c r="T231" t="str">
        <f ca="1">Pyramid!X233</f>
        <v/>
      </c>
    </row>
    <row r="232" spans="1:20">
      <c r="A232" t="str">
        <f ca="1">Pyramid!E234</f>
        <v/>
      </c>
      <c r="B232" t="str">
        <f ca="1">Pyramid!F234</f>
        <v/>
      </c>
      <c r="C232" t="str">
        <f ca="1">Pyramid!G234</f>
        <v/>
      </c>
      <c r="D232" t="str">
        <f ca="1">Pyramid!H234</f>
        <v/>
      </c>
      <c r="E232" t="str">
        <f ca="1">Pyramid!I234</f>
        <v/>
      </c>
      <c r="F232" t="str">
        <f ca="1">Pyramid!J234</f>
        <v/>
      </c>
      <c r="G232" t="str">
        <f ca="1">Pyramid!K234</f>
        <v/>
      </c>
      <c r="H232" t="str">
        <f ca="1">Pyramid!L234</f>
        <v/>
      </c>
      <c r="I232" t="str">
        <f>Pyramid!M234</f>
        <v>29/6/2016</v>
      </c>
      <c r="J232">
        <f ca="1">Pyramid!N234</f>
        <v>0</v>
      </c>
      <c r="K232">
        <f ca="1">Pyramid!O234</f>
        <v>20698</v>
      </c>
      <c r="L232">
        <f ca="1">Pyramid!P234</f>
        <v>0</v>
      </c>
      <c r="M232" t="str">
        <f>Pyramid!Q234</f>
        <v>29/6/2016</v>
      </c>
      <c r="N232" t="str">
        <f ca="1">Pyramid!R234</f>
        <v/>
      </c>
      <c r="O232" t="str">
        <f ca="1">Pyramid!S234</f>
        <v/>
      </c>
      <c r="P232" t="str">
        <f ca="1">Pyramid!T234</f>
        <v/>
      </c>
      <c r="Q232" t="str">
        <f ca="1">Pyramid!U234</f>
        <v/>
      </c>
      <c r="R232" t="str">
        <f ca="1">Pyramid!V234</f>
        <v/>
      </c>
      <c r="S232" t="str">
        <f ca="1">Pyramid!W234</f>
        <v/>
      </c>
      <c r="T232" t="str">
        <f ca="1">Pyramid!X234</f>
        <v/>
      </c>
    </row>
    <row r="233" spans="1:20">
      <c r="A233" t="str">
        <f ca="1">Pyramid!E235</f>
        <v/>
      </c>
      <c r="B233" t="str">
        <f ca="1">Pyramid!F235</f>
        <v/>
      </c>
      <c r="C233" t="str">
        <f ca="1">Pyramid!G235</f>
        <v/>
      </c>
      <c r="D233" t="str">
        <f ca="1">Pyramid!H235</f>
        <v/>
      </c>
      <c r="E233" t="str">
        <f ca="1">Pyramid!I235</f>
        <v/>
      </c>
      <c r="F233" t="str">
        <f ca="1">Pyramid!J235</f>
        <v/>
      </c>
      <c r="G233" t="str">
        <f ca="1">Pyramid!K235</f>
        <v/>
      </c>
      <c r="H233" t="str">
        <f ca="1">Pyramid!L235</f>
        <v/>
      </c>
      <c r="I233" t="str">
        <f>Pyramid!M235</f>
        <v>28/7/2016</v>
      </c>
      <c r="J233">
        <f ca="1">Pyramid!N235</f>
        <v>0</v>
      </c>
      <c r="K233">
        <f ca="1">Pyramid!O235</f>
        <v>20698</v>
      </c>
      <c r="L233">
        <f ca="1">Pyramid!P235</f>
        <v>0</v>
      </c>
      <c r="M233" t="str">
        <f>Pyramid!Q235</f>
        <v>28/7/2016</v>
      </c>
      <c r="N233" t="str">
        <f ca="1">Pyramid!R235</f>
        <v/>
      </c>
      <c r="O233" t="str">
        <f ca="1">Pyramid!S235</f>
        <v/>
      </c>
      <c r="P233" t="str">
        <f ca="1">Pyramid!T235</f>
        <v/>
      </c>
      <c r="Q233" t="str">
        <f ca="1">Pyramid!U235</f>
        <v/>
      </c>
      <c r="R233" t="str">
        <f ca="1">Pyramid!V235</f>
        <v/>
      </c>
      <c r="S233" t="str">
        <f ca="1">Pyramid!W235</f>
        <v/>
      </c>
      <c r="T233" t="str">
        <f ca="1">Pyramid!X235</f>
        <v/>
      </c>
    </row>
    <row r="234" spans="1:20">
      <c r="A234" t="str">
        <f ca="1">Pyramid!E236</f>
        <v/>
      </c>
      <c r="B234" t="str">
        <f ca="1">Pyramid!F236</f>
        <v/>
      </c>
      <c r="C234" t="str">
        <f ca="1">Pyramid!G236</f>
        <v/>
      </c>
      <c r="D234" t="str">
        <f ca="1">Pyramid!H236</f>
        <v/>
      </c>
      <c r="E234" t="str">
        <f ca="1">Pyramid!I236</f>
        <v/>
      </c>
      <c r="F234" t="str">
        <f ca="1">Pyramid!J236</f>
        <v/>
      </c>
      <c r="G234" t="str">
        <f ca="1">Pyramid!K236</f>
        <v/>
      </c>
      <c r="H234" t="str">
        <f ca="1">Pyramid!L236</f>
        <v>25959 HK Equity</v>
      </c>
      <c r="I234" t="str">
        <f>Pyramid!M236</f>
        <v>30/8/2016</v>
      </c>
      <c r="J234">
        <f ca="1">Pyramid!N236</f>
        <v>1</v>
      </c>
      <c r="K234">
        <f ca="1">Pyramid!O236</f>
        <v>20698</v>
      </c>
      <c r="L234">
        <f ca="1">Pyramid!P236</f>
        <v>0</v>
      </c>
      <c r="M234" t="str">
        <f>Pyramid!Q236</f>
        <v>30/8/2016</v>
      </c>
      <c r="N234" t="str">
        <f ca="1">Pyramid!R236</f>
        <v/>
      </c>
      <c r="O234" t="str">
        <f ca="1">Pyramid!S236</f>
        <v/>
      </c>
      <c r="P234" t="str">
        <f ca="1">Pyramid!T236</f>
        <v/>
      </c>
      <c r="Q234" t="str">
        <f ca="1">Pyramid!U236</f>
        <v/>
      </c>
      <c r="R234" t="str">
        <f ca="1">Pyramid!V236</f>
        <v/>
      </c>
      <c r="S234" t="str">
        <f ca="1">Pyramid!W236</f>
        <v/>
      </c>
      <c r="T234" t="str">
        <f ca="1">Pyramid!X236</f>
        <v/>
      </c>
    </row>
    <row r="235" spans="1:20">
      <c r="A235" t="str">
        <f ca="1">Pyramid!E237</f>
        <v/>
      </c>
      <c r="B235" t="str">
        <f ca="1">Pyramid!F237</f>
        <v/>
      </c>
      <c r="C235" t="str">
        <f ca="1">Pyramid!G237</f>
        <v/>
      </c>
      <c r="D235" t="str">
        <f ca="1">Pyramid!H237</f>
        <v/>
      </c>
      <c r="E235" t="str">
        <f ca="1">Pyramid!I237</f>
        <v/>
      </c>
      <c r="F235" t="str">
        <f ca="1">Pyramid!J237</f>
        <v/>
      </c>
      <c r="G235" t="str">
        <f ca="1">Pyramid!K237</f>
        <v/>
      </c>
      <c r="H235" t="str">
        <f ca="1">Pyramid!L237</f>
        <v/>
      </c>
      <c r="I235" t="str">
        <f>Pyramid!M237</f>
        <v>29/9/2016</v>
      </c>
      <c r="J235">
        <f ca="1">Pyramid!N237</f>
        <v>0</v>
      </c>
      <c r="K235">
        <f ca="1">Pyramid!O237</f>
        <v>20698</v>
      </c>
      <c r="L235">
        <f ca="1">Pyramid!P237</f>
        <v>0</v>
      </c>
      <c r="M235" t="str">
        <f>Pyramid!Q237</f>
        <v>29/9/2016</v>
      </c>
      <c r="N235" t="str">
        <f ca="1">Pyramid!R237</f>
        <v/>
      </c>
      <c r="O235" t="str">
        <f ca="1">Pyramid!S237</f>
        <v/>
      </c>
      <c r="P235" t="str">
        <f ca="1">Pyramid!T237</f>
        <v/>
      </c>
      <c r="Q235" t="str">
        <f ca="1">Pyramid!U237</f>
        <v/>
      </c>
      <c r="R235" t="str">
        <f ca="1">Pyramid!V237</f>
        <v/>
      </c>
      <c r="S235" t="str">
        <f ca="1">Pyramid!W237</f>
        <v/>
      </c>
      <c r="T235" t="str">
        <f ca="1">Pyramid!X237</f>
        <v/>
      </c>
    </row>
    <row r="236" spans="1:20">
      <c r="A236" t="str">
        <f ca="1">Pyramid!E238</f>
        <v/>
      </c>
      <c r="B236" t="str">
        <f ca="1">Pyramid!F238</f>
        <v/>
      </c>
      <c r="C236" t="str">
        <f ca="1">Pyramid!G238</f>
        <v/>
      </c>
      <c r="D236" t="str">
        <f ca="1">Pyramid!H238</f>
        <v/>
      </c>
      <c r="E236" t="str">
        <f ca="1">Pyramid!I238</f>
        <v/>
      </c>
      <c r="F236" t="str">
        <f ca="1">Pyramid!J238</f>
        <v/>
      </c>
      <c r="G236" t="str">
        <f ca="1">Pyramid!K238</f>
        <v/>
      </c>
      <c r="H236" t="str">
        <f ca="1">Pyramid!L238</f>
        <v/>
      </c>
      <c r="I236" t="str">
        <f>Pyramid!M238</f>
        <v>28/10/2016</v>
      </c>
      <c r="J236">
        <f ca="1">Pyramid!N238</f>
        <v>0</v>
      </c>
      <c r="K236">
        <f ca="1">Pyramid!O238</f>
        <v>20698</v>
      </c>
      <c r="L236">
        <f ca="1">Pyramid!P238</f>
        <v>0</v>
      </c>
      <c r="M236" t="str">
        <f>Pyramid!Q238</f>
        <v>28/10/2016</v>
      </c>
      <c r="N236" t="str">
        <f ca="1">Pyramid!R238</f>
        <v/>
      </c>
      <c r="O236" t="str">
        <f ca="1">Pyramid!S238</f>
        <v/>
      </c>
      <c r="P236" t="str">
        <f ca="1">Pyramid!T238</f>
        <v/>
      </c>
      <c r="Q236" t="str">
        <f ca="1">Pyramid!U238</f>
        <v/>
      </c>
      <c r="R236" t="str">
        <f ca="1">Pyramid!V238</f>
        <v/>
      </c>
      <c r="S236" t="str">
        <f ca="1">Pyramid!W238</f>
        <v/>
      </c>
      <c r="T236" t="str">
        <f ca="1">Pyramid!X238</f>
        <v/>
      </c>
    </row>
    <row r="237" spans="1:20">
      <c r="A237" t="str">
        <f ca="1">Pyramid!E239</f>
        <v/>
      </c>
      <c r="B237" t="str">
        <f ca="1">Pyramid!F239</f>
        <v/>
      </c>
      <c r="C237" t="str">
        <f ca="1">Pyramid!G239</f>
        <v/>
      </c>
      <c r="D237" t="str">
        <f ca="1">Pyramid!H239</f>
        <v/>
      </c>
      <c r="E237" t="str">
        <f ca="1">Pyramid!I239</f>
        <v/>
      </c>
      <c r="F237" t="str">
        <f ca="1">Pyramid!J239</f>
        <v/>
      </c>
      <c r="G237" t="str">
        <f ca="1">Pyramid!K239</f>
        <v/>
      </c>
      <c r="H237" t="str">
        <f ca="1">Pyramid!L239</f>
        <v/>
      </c>
      <c r="I237" t="str">
        <f>Pyramid!M239</f>
        <v>29/6/2016</v>
      </c>
      <c r="J237">
        <f ca="1">Pyramid!N239</f>
        <v>0</v>
      </c>
      <c r="K237">
        <f ca="1">Pyramid!O239</f>
        <v>20800</v>
      </c>
      <c r="L237">
        <f ca="1">Pyramid!P239</f>
        <v>0</v>
      </c>
      <c r="M237" t="str">
        <f>Pyramid!Q239</f>
        <v>29/6/2016</v>
      </c>
      <c r="N237" t="str">
        <f ca="1">Pyramid!R239</f>
        <v/>
      </c>
      <c r="O237" t="str">
        <f ca="1">Pyramid!S239</f>
        <v/>
      </c>
      <c r="P237" t="str">
        <f ca="1">Pyramid!T239</f>
        <v/>
      </c>
      <c r="Q237" t="str">
        <f ca="1">Pyramid!U239</f>
        <v/>
      </c>
      <c r="R237" t="str">
        <f ca="1">Pyramid!V239</f>
        <v/>
      </c>
      <c r="S237" t="str">
        <f ca="1">Pyramid!W239</f>
        <v/>
      </c>
      <c r="T237" t="str">
        <f ca="1">Pyramid!X239</f>
        <v/>
      </c>
    </row>
    <row r="238" spans="1:20">
      <c r="A238" t="str">
        <f ca="1">Pyramid!E240</f>
        <v/>
      </c>
      <c r="B238" t="str">
        <f ca="1">Pyramid!F240</f>
        <v/>
      </c>
      <c r="C238" t="str">
        <f ca="1">Pyramid!G240</f>
        <v/>
      </c>
      <c r="D238" t="str">
        <f ca="1">Pyramid!H240</f>
        <v/>
      </c>
      <c r="E238" t="str">
        <f ca="1">Pyramid!I240</f>
        <v/>
      </c>
      <c r="F238" t="str">
        <f ca="1">Pyramid!J240</f>
        <v>25457 HK Equity</v>
      </c>
      <c r="G238" t="str">
        <f ca="1">Pyramid!K240</f>
        <v>25270 HK Equity</v>
      </c>
      <c r="H238" t="str">
        <f ca="1">Pyramid!L240</f>
        <v>26225 HK Equity</v>
      </c>
      <c r="I238" t="str">
        <f>Pyramid!M240</f>
        <v>28/7/2016</v>
      </c>
      <c r="J238">
        <f ca="1">Pyramid!N240</f>
        <v>3</v>
      </c>
      <c r="K238">
        <f ca="1">Pyramid!O240</f>
        <v>20800</v>
      </c>
      <c r="L238">
        <f ca="1">Pyramid!P240</f>
        <v>0</v>
      </c>
      <c r="M238" t="str">
        <f>Pyramid!Q240</f>
        <v>28/7/2016</v>
      </c>
      <c r="N238" t="str">
        <f ca="1">Pyramid!R240</f>
        <v/>
      </c>
      <c r="O238" t="str">
        <f ca="1">Pyramid!S240</f>
        <v/>
      </c>
      <c r="P238" t="str">
        <f ca="1">Pyramid!T240</f>
        <v/>
      </c>
      <c r="Q238" t="str">
        <f ca="1">Pyramid!U240</f>
        <v/>
      </c>
      <c r="R238" t="str">
        <f ca="1">Pyramid!V240</f>
        <v/>
      </c>
      <c r="S238" t="str">
        <f ca="1">Pyramid!W240</f>
        <v/>
      </c>
      <c r="T238" t="str">
        <f ca="1">Pyramid!X240</f>
        <v/>
      </c>
    </row>
    <row r="239" spans="1:20">
      <c r="A239" t="str">
        <f ca="1">Pyramid!E241</f>
        <v/>
      </c>
      <c r="B239" t="str">
        <f ca="1">Pyramid!F241</f>
        <v/>
      </c>
      <c r="C239" t="str">
        <f ca="1">Pyramid!G241</f>
        <v/>
      </c>
      <c r="D239" t="str">
        <f ca="1">Pyramid!H241</f>
        <v/>
      </c>
      <c r="E239" t="str">
        <f ca="1">Pyramid!I241</f>
        <v/>
      </c>
      <c r="F239" t="str">
        <f ca="1">Pyramid!J241</f>
        <v/>
      </c>
      <c r="G239" t="str">
        <f ca="1">Pyramid!K241</f>
        <v/>
      </c>
      <c r="H239" t="str">
        <f ca="1">Pyramid!L241</f>
        <v/>
      </c>
      <c r="I239" t="str">
        <f>Pyramid!M241</f>
        <v>30/8/2016</v>
      </c>
      <c r="J239">
        <f ca="1">Pyramid!N241</f>
        <v>0</v>
      </c>
      <c r="K239">
        <f ca="1">Pyramid!O241</f>
        <v>20800</v>
      </c>
      <c r="L239">
        <f ca="1">Pyramid!P241</f>
        <v>0</v>
      </c>
      <c r="M239" t="str">
        <f>Pyramid!Q241</f>
        <v>30/8/2016</v>
      </c>
      <c r="N239" t="str">
        <f ca="1">Pyramid!R241</f>
        <v/>
      </c>
      <c r="O239" t="str">
        <f ca="1">Pyramid!S241</f>
        <v/>
      </c>
      <c r="P239" t="str">
        <f ca="1">Pyramid!T241</f>
        <v/>
      </c>
      <c r="Q239" t="str">
        <f ca="1">Pyramid!U241</f>
        <v/>
      </c>
      <c r="R239" t="str">
        <f ca="1">Pyramid!V241</f>
        <v/>
      </c>
      <c r="S239" t="str">
        <f ca="1">Pyramid!W241</f>
        <v/>
      </c>
      <c r="T239" t="str">
        <f ca="1">Pyramid!X241</f>
        <v/>
      </c>
    </row>
    <row r="240" spans="1:20">
      <c r="A240" t="str">
        <f ca="1">Pyramid!E242</f>
        <v/>
      </c>
      <c r="B240" t="str">
        <f ca="1">Pyramid!F242</f>
        <v/>
      </c>
      <c r="C240" t="str">
        <f ca="1">Pyramid!G242</f>
        <v/>
      </c>
      <c r="D240" t="str">
        <f ca="1">Pyramid!H242</f>
        <v/>
      </c>
      <c r="E240" t="str">
        <f ca="1">Pyramid!I242</f>
        <v/>
      </c>
      <c r="F240" t="str">
        <f ca="1">Pyramid!J242</f>
        <v/>
      </c>
      <c r="G240" t="str">
        <f ca="1">Pyramid!K242</f>
        <v/>
      </c>
      <c r="H240" t="str">
        <f ca="1">Pyramid!L242</f>
        <v/>
      </c>
      <c r="I240" t="str">
        <f>Pyramid!M242</f>
        <v>29/9/2016</v>
      </c>
      <c r="J240">
        <f ca="1">Pyramid!N242</f>
        <v>0</v>
      </c>
      <c r="K240">
        <f ca="1">Pyramid!O242</f>
        <v>20800</v>
      </c>
      <c r="L240">
        <f ca="1">Pyramid!P242</f>
        <v>3</v>
      </c>
      <c r="M240" t="str">
        <f>Pyramid!Q242</f>
        <v>29/9/2016</v>
      </c>
      <c r="N240" t="str">
        <f ca="1">Pyramid!R242</f>
        <v>27422 HK Equity</v>
      </c>
      <c r="O240" t="str">
        <f ca="1">Pyramid!S242</f>
        <v>26915 HK Equity</v>
      </c>
      <c r="P240" t="str">
        <f ca="1">Pyramid!T242</f>
        <v>27459 HK Equity</v>
      </c>
      <c r="Q240" t="str">
        <f ca="1">Pyramid!U242</f>
        <v/>
      </c>
      <c r="R240" t="str">
        <f ca="1">Pyramid!V242</f>
        <v/>
      </c>
      <c r="S240" t="str">
        <f ca="1">Pyramid!W242</f>
        <v/>
      </c>
      <c r="T240" t="str">
        <f ca="1">Pyramid!X242</f>
        <v/>
      </c>
    </row>
    <row r="241" spans="1:20">
      <c r="A241" t="str">
        <f ca="1">Pyramid!E243</f>
        <v/>
      </c>
      <c r="B241" t="str">
        <f ca="1">Pyramid!F243</f>
        <v/>
      </c>
      <c r="C241" t="str">
        <f ca="1">Pyramid!G243</f>
        <v/>
      </c>
      <c r="D241" t="str">
        <f ca="1">Pyramid!H243</f>
        <v/>
      </c>
      <c r="E241" t="str">
        <f ca="1">Pyramid!I243</f>
        <v/>
      </c>
      <c r="F241" t="str">
        <f ca="1">Pyramid!J243</f>
        <v/>
      </c>
      <c r="G241" t="str">
        <f ca="1">Pyramid!K243</f>
        <v/>
      </c>
      <c r="H241" t="str">
        <f ca="1">Pyramid!L243</f>
        <v/>
      </c>
      <c r="I241" t="str">
        <f>Pyramid!M243</f>
        <v>28/10/2016</v>
      </c>
      <c r="J241">
        <f ca="1">Pyramid!N243</f>
        <v>0</v>
      </c>
      <c r="K241">
        <f ca="1">Pyramid!O243</f>
        <v>20800</v>
      </c>
      <c r="L241">
        <f ca="1">Pyramid!P243</f>
        <v>0</v>
      </c>
      <c r="M241" t="str">
        <f>Pyramid!Q243</f>
        <v>28/10/2016</v>
      </c>
      <c r="N241" t="str">
        <f ca="1">Pyramid!R243</f>
        <v/>
      </c>
      <c r="O241" t="str">
        <f ca="1">Pyramid!S243</f>
        <v/>
      </c>
      <c r="P241" t="str">
        <f ca="1">Pyramid!T243</f>
        <v/>
      </c>
      <c r="Q241" t="str">
        <f ca="1">Pyramid!U243</f>
        <v/>
      </c>
      <c r="R241" t="str">
        <f ca="1">Pyramid!V243</f>
        <v/>
      </c>
      <c r="S241" t="str">
        <f ca="1">Pyramid!W243</f>
        <v/>
      </c>
      <c r="T241" t="str">
        <f ca="1">Pyramid!X243</f>
        <v/>
      </c>
    </row>
    <row r="242" spans="1:20">
      <c r="A242" t="str">
        <f ca="1">Pyramid!E244</f>
        <v/>
      </c>
      <c r="B242" t="str">
        <f ca="1">Pyramid!F244</f>
        <v/>
      </c>
      <c r="C242" t="str">
        <f ca="1">Pyramid!G244</f>
        <v/>
      </c>
      <c r="D242" t="str">
        <f ca="1">Pyramid!H244</f>
        <v/>
      </c>
      <c r="E242" t="str">
        <f ca="1">Pyramid!I244</f>
        <v/>
      </c>
      <c r="F242" t="str">
        <f ca="1">Pyramid!J244</f>
        <v/>
      </c>
      <c r="G242" t="str">
        <f ca="1">Pyramid!K244</f>
        <v/>
      </c>
      <c r="H242" t="str">
        <f ca="1">Pyramid!L244</f>
        <v/>
      </c>
      <c r="I242" t="str">
        <f>Pyramid!M244</f>
        <v>29/6/2016</v>
      </c>
      <c r="J242">
        <f ca="1">Pyramid!N244</f>
        <v>0</v>
      </c>
      <c r="K242">
        <f ca="1">Pyramid!O244</f>
        <v>20900</v>
      </c>
      <c r="L242">
        <f ca="1">Pyramid!P244</f>
        <v>1</v>
      </c>
      <c r="M242" t="str">
        <f>Pyramid!Q244</f>
        <v>29/6/2016</v>
      </c>
      <c r="N242" t="str">
        <f ca="1">Pyramid!R244</f>
        <v>24451 HK Equity</v>
      </c>
      <c r="O242" t="str">
        <f ca="1">Pyramid!S244</f>
        <v/>
      </c>
      <c r="P242" t="str">
        <f ca="1">Pyramid!T244</f>
        <v/>
      </c>
      <c r="Q242" t="str">
        <f ca="1">Pyramid!U244</f>
        <v/>
      </c>
      <c r="R242" t="str">
        <f ca="1">Pyramid!V244</f>
        <v/>
      </c>
      <c r="S242" t="str">
        <f ca="1">Pyramid!W244</f>
        <v/>
      </c>
      <c r="T242" t="str">
        <f ca="1">Pyramid!X244</f>
        <v/>
      </c>
    </row>
    <row r="243" spans="1:20">
      <c r="A243" t="str">
        <f ca="1">Pyramid!E245</f>
        <v/>
      </c>
      <c r="B243" t="str">
        <f ca="1">Pyramid!F245</f>
        <v/>
      </c>
      <c r="C243" t="str">
        <f ca="1">Pyramid!G245</f>
        <v/>
      </c>
      <c r="D243" t="str">
        <f ca="1">Pyramid!H245</f>
        <v/>
      </c>
      <c r="E243" t="str">
        <f ca="1">Pyramid!I245</f>
        <v/>
      </c>
      <c r="F243" t="str">
        <f ca="1">Pyramid!J245</f>
        <v/>
      </c>
      <c r="G243" t="str">
        <f ca="1">Pyramid!K245</f>
        <v/>
      </c>
      <c r="H243" t="str">
        <f ca="1">Pyramid!L245</f>
        <v/>
      </c>
      <c r="I243" t="str">
        <f>Pyramid!M245</f>
        <v>28/7/2016</v>
      </c>
      <c r="J243">
        <f ca="1">Pyramid!N245</f>
        <v>0</v>
      </c>
      <c r="K243">
        <f ca="1">Pyramid!O245</f>
        <v>20900</v>
      </c>
      <c r="L243">
        <f ca="1">Pyramid!P245</f>
        <v>0</v>
      </c>
      <c r="M243" t="str">
        <f>Pyramid!Q245</f>
        <v>28/7/2016</v>
      </c>
      <c r="N243" t="str">
        <f ca="1">Pyramid!R245</f>
        <v/>
      </c>
      <c r="O243" t="str">
        <f ca="1">Pyramid!S245</f>
        <v/>
      </c>
      <c r="P243" t="str">
        <f ca="1">Pyramid!T245</f>
        <v/>
      </c>
      <c r="Q243" t="str">
        <f ca="1">Pyramid!U245</f>
        <v/>
      </c>
      <c r="R243" t="str">
        <f ca="1">Pyramid!V245</f>
        <v/>
      </c>
      <c r="S243" t="str">
        <f ca="1">Pyramid!W245</f>
        <v/>
      </c>
      <c r="T243" t="str">
        <f ca="1">Pyramid!X245</f>
        <v/>
      </c>
    </row>
    <row r="244" spans="1:20">
      <c r="A244" t="str">
        <f ca="1">Pyramid!E246</f>
        <v/>
      </c>
      <c r="B244" t="str">
        <f ca="1">Pyramid!F246</f>
        <v/>
      </c>
      <c r="C244" t="str">
        <f ca="1">Pyramid!G246</f>
        <v/>
      </c>
      <c r="D244" t="str">
        <f ca="1">Pyramid!H246</f>
        <v/>
      </c>
      <c r="E244" t="str">
        <f ca="1">Pyramid!I246</f>
        <v/>
      </c>
      <c r="F244" t="str">
        <f ca="1">Pyramid!J246</f>
        <v/>
      </c>
      <c r="G244" t="str">
        <f ca="1">Pyramid!K246</f>
        <v/>
      </c>
      <c r="H244" t="str">
        <f ca="1">Pyramid!L246</f>
        <v/>
      </c>
      <c r="I244" t="str">
        <f>Pyramid!M246</f>
        <v>30/8/2016</v>
      </c>
      <c r="J244">
        <f ca="1">Pyramid!N246</f>
        <v>0</v>
      </c>
      <c r="K244">
        <f ca="1">Pyramid!O246</f>
        <v>20900</v>
      </c>
      <c r="L244">
        <f ca="1">Pyramid!P246</f>
        <v>1</v>
      </c>
      <c r="M244" t="str">
        <f>Pyramid!Q246</f>
        <v>30/8/2016</v>
      </c>
      <c r="N244" t="str">
        <f ca="1">Pyramid!R246</f>
        <v>27821 HK Equity</v>
      </c>
      <c r="O244" t="str">
        <f ca="1">Pyramid!S246</f>
        <v/>
      </c>
      <c r="P244" t="str">
        <f ca="1">Pyramid!T246</f>
        <v/>
      </c>
      <c r="Q244" t="str">
        <f ca="1">Pyramid!U246</f>
        <v/>
      </c>
      <c r="R244" t="str">
        <f ca="1">Pyramid!V246</f>
        <v/>
      </c>
      <c r="S244" t="str">
        <f ca="1">Pyramid!W246</f>
        <v/>
      </c>
      <c r="T244" t="str">
        <f ca="1">Pyramid!X246</f>
        <v/>
      </c>
    </row>
    <row r="245" spans="1:20">
      <c r="A245" t="str">
        <f ca="1">Pyramid!E247</f>
        <v/>
      </c>
      <c r="B245" t="str">
        <f ca="1">Pyramid!F247</f>
        <v/>
      </c>
      <c r="C245" t="str">
        <f ca="1">Pyramid!G247</f>
        <v/>
      </c>
      <c r="D245" t="str">
        <f ca="1">Pyramid!H247</f>
        <v/>
      </c>
      <c r="E245" t="str">
        <f ca="1">Pyramid!I247</f>
        <v/>
      </c>
      <c r="F245" t="str">
        <f ca="1">Pyramid!J247</f>
        <v/>
      </c>
      <c r="G245" t="str">
        <f ca="1">Pyramid!K247</f>
        <v/>
      </c>
      <c r="H245" t="str">
        <f ca="1">Pyramid!L247</f>
        <v/>
      </c>
      <c r="I245" t="str">
        <f>Pyramid!M247</f>
        <v>29/9/2016</v>
      </c>
      <c r="J245">
        <f ca="1">Pyramid!N247</f>
        <v>0</v>
      </c>
      <c r="K245">
        <f ca="1">Pyramid!O247</f>
        <v>20900</v>
      </c>
      <c r="L245">
        <f ca="1">Pyramid!P247</f>
        <v>0</v>
      </c>
      <c r="M245" t="str">
        <f>Pyramid!Q247</f>
        <v>29/9/2016</v>
      </c>
      <c r="N245" t="str">
        <f ca="1">Pyramid!R247</f>
        <v/>
      </c>
      <c r="O245" t="str">
        <f ca="1">Pyramid!S247</f>
        <v/>
      </c>
      <c r="P245" t="str">
        <f ca="1">Pyramid!T247</f>
        <v/>
      </c>
      <c r="Q245" t="str">
        <f ca="1">Pyramid!U247</f>
        <v/>
      </c>
      <c r="R245" t="str">
        <f ca="1">Pyramid!V247</f>
        <v/>
      </c>
      <c r="S245" t="str">
        <f ca="1">Pyramid!W247</f>
        <v/>
      </c>
      <c r="T245" t="str">
        <f ca="1">Pyramid!X247</f>
        <v/>
      </c>
    </row>
    <row r="246" spans="1:20">
      <c r="A246" t="str">
        <f ca="1">Pyramid!E248</f>
        <v/>
      </c>
      <c r="B246" t="str">
        <f ca="1">Pyramid!F248</f>
        <v/>
      </c>
      <c r="C246" t="str">
        <f ca="1">Pyramid!G248</f>
        <v/>
      </c>
      <c r="D246" t="str">
        <f ca="1">Pyramid!H248</f>
        <v/>
      </c>
      <c r="E246" t="str">
        <f ca="1">Pyramid!I248</f>
        <v/>
      </c>
      <c r="F246" t="str">
        <f ca="1">Pyramid!J248</f>
        <v/>
      </c>
      <c r="G246" t="str">
        <f ca="1">Pyramid!K248</f>
        <v/>
      </c>
      <c r="H246" t="str">
        <f ca="1">Pyramid!L248</f>
        <v/>
      </c>
      <c r="I246" t="str">
        <f>Pyramid!M248</f>
        <v>28/10/2016</v>
      </c>
      <c r="J246">
        <f ca="1">Pyramid!N248</f>
        <v>0</v>
      </c>
      <c r="K246">
        <f ca="1">Pyramid!O248</f>
        <v>20900</v>
      </c>
      <c r="L246">
        <f ca="1">Pyramid!P248</f>
        <v>0</v>
      </c>
      <c r="M246" t="str">
        <f>Pyramid!Q248</f>
        <v>28/10/2016</v>
      </c>
      <c r="N246" t="str">
        <f ca="1">Pyramid!R248</f>
        <v/>
      </c>
      <c r="O246" t="str">
        <f ca="1">Pyramid!S248</f>
        <v/>
      </c>
      <c r="P246" t="str">
        <f ca="1">Pyramid!T248</f>
        <v/>
      </c>
      <c r="Q246" t="str">
        <f ca="1">Pyramid!U248</f>
        <v/>
      </c>
      <c r="R246" t="str">
        <f ca="1">Pyramid!V248</f>
        <v/>
      </c>
      <c r="S246" t="str">
        <f ca="1">Pyramid!W248</f>
        <v/>
      </c>
      <c r="T246" t="str">
        <f ca="1">Pyramid!X248</f>
        <v/>
      </c>
    </row>
    <row r="247" spans="1:20">
      <c r="A247" t="str">
        <f ca="1">Pyramid!E249</f>
        <v/>
      </c>
      <c r="B247" t="str">
        <f ca="1">Pyramid!F249</f>
        <v/>
      </c>
      <c r="C247" t="str">
        <f ca="1">Pyramid!G249</f>
        <v/>
      </c>
      <c r="D247" t="str">
        <f ca="1">Pyramid!H249</f>
        <v/>
      </c>
      <c r="E247" t="str">
        <f ca="1">Pyramid!I249</f>
        <v>24680 HK Equity</v>
      </c>
      <c r="F247" t="str">
        <f ca="1">Pyramid!J249</f>
        <v>25489 HK Equity</v>
      </c>
      <c r="G247" t="str">
        <f ca="1">Pyramid!K249</f>
        <v>24376 HK Equity</v>
      </c>
      <c r="H247" t="str">
        <f ca="1">Pyramid!L249</f>
        <v>12276 HK Equity</v>
      </c>
      <c r="I247" t="str">
        <f>Pyramid!M249</f>
        <v>29/6/2016</v>
      </c>
      <c r="J247">
        <f ca="1">Pyramid!N249</f>
        <v>4</v>
      </c>
      <c r="K247">
        <f ca="1">Pyramid!O249</f>
        <v>21000</v>
      </c>
      <c r="L247">
        <f ca="1">Pyramid!P249</f>
        <v>2</v>
      </c>
      <c r="M247" t="str">
        <f>Pyramid!Q249</f>
        <v>29/6/2016</v>
      </c>
      <c r="N247" t="str">
        <f ca="1">Pyramid!R249</f>
        <v>24425 HK Equity</v>
      </c>
      <c r="O247" t="str">
        <f ca="1">Pyramid!S249</f>
        <v>22997 HK Equity</v>
      </c>
      <c r="P247" t="str">
        <f ca="1">Pyramid!T249</f>
        <v/>
      </c>
      <c r="Q247" t="str">
        <f ca="1">Pyramid!U249</f>
        <v/>
      </c>
      <c r="R247" t="str">
        <f ca="1">Pyramid!V249</f>
        <v/>
      </c>
      <c r="S247" t="str">
        <f ca="1">Pyramid!W249</f>
        <v/>
      </c>
      <c r="T247" t="str">
        <f ca="1">Pyramid!X249</f>
        <v/>
      </c>
    </row>
    <row r="248" spans="1:20">
      <c r="A248" t="str">
        <f ca="1">Pyramid!E250</f>
        <v/>
      </c>
      <c r="B248" t="str">
        <f ca="1">Pyramid!F250</f>
        <v/>
      </c>
      <c r="C248" t="str">
        <f ca="1">Pyramid!G250</f>
        <v/>
      </c>
      <c r="D248" t="str">
        <f ca="1">Pyramid!H250</f>
        <v/>
      </c>
      <c r="E248" t="str">
        <f ca="1">Pyramid!I250</f>
        <v/>
      </c>
      <c r="F248" t="str">
        <f ca="1">Pyramid!J250</f>
        <v/>
      </c>
      <c r="G248" t="str">
        <f ca="1">Pyramid!K250</f>
        <v/>
      </c>
      <c r="H248" t="str">
        <f ca="1">Pyramid!L250</f>
        <v/>
      </c>
      <c r="I248" t="str">
        <f>Pyramid!M250</f>
        <v>28/7/2016</v>
      </c>
      <c r="J248">
        <f ca="1">Pyramid!N250</f>
        <v>0</v>
      </c>
      <c r="K248">
        <f ca="1">Pyramid!O250</f>
        <v>21000</v>
      </c>
      <c r="L248">
        <f ca="1">Pyramid!P250</f>
        <v>0</v>
      </c>
      <c r="M248" t="str">
        <f>Pyramid!Q250</f>
        <v>28/7/2016</v>
      </c>
      <c r="N248" t="str">
        <f ca="1">Pyramid!R250</f>
        <v/>
      </c>
      <c r="O248" t="str">
        <f ca="1">Pyramid!S250</f>
        <v/>
      </c>
      <c r="P248" t="str">
        <f ca="1">Pyramid!T250</f>
        <v/>
      </c>
      <c r="Q248" t="str">
        <f ca="1">Pyramid!U250</f>
        <v/>
      </c>
      <c r="R248" t="str">
        <f ca="1">Pyramid!V250</f>
        <v/>
      </c>
      <c r="S248" t="str">
        <f ca="1">Pyramid!W250</f>
        <v/>
      </c>
      <c r="T248" t="str">
        <f ca="1">Pyramid!X250</f>
        <v/>
      </c>
    </row>
    <row r="249" spans="1:20">
      <c r="A249" t="str">
        <f ca="1">Pyramid!E251</f>
        <v/>
      </c>
      <c r="B249" t="str">
        <f ca="1">Pyramid!F251</f>
        <v/>
      </c>
      <c r="C249" t="str">
        <f ca="1">Pyramid!G251</f>
        <v/>
      </c>
      <c r="D249" t="str">
        <f ca="1">Pyramid!H251</f>
        <v/>
      </c>
      <c r="E249" t="str">
        <f ca="1">Pyramid!I251</f>
        <v/>
      </c>
      <c r="F249" t="str">
        <f ca="1">Pyramid!J251</f>
        <v/>
      </c>
      <c r="G249" t="str">
        <f ca="1">Pyramid!K251</f>
        <v/>
      </c>
      <c r="H249" t="str">
        <f ca="1">Pyramid!L251</f>
        <v/>
      </c>
      <c r="I249" t="str">
        <f>Pyramid!M251</f>
        <v>30/8/2016</v>
      </c>
      <c r="J249">
        <f ca="1">Pyramid!N251</f>
        <v>0</v>
      </c>
      <c r="K249">
        <f ca="1">Pyramid!O251</f>
        <v>21000</v>
      </c>
      <c r="L249">
        <f ca="1">Pyramid!P251</f>
        <v>3</v>
      </c>
      <c r="M249" t="str">
        <f>Pyramid!Q251</f>
        <v>30/8/2016</v>
      </c>
      <c r="N249" t="str">
        <f ca="1">Pyramid!R251</f>
        <v>23535 HK Equity</v>
      </c>
      <c r="O249" t="str">
        <f ca="1">Pyramid!S251</f>
        <v>27666 HK Equity</v>
      </c>
      <c r="P249" t="str">
        <f ca="1">Pyramid!T251</f>
        <v>27596 HK Equity</v>
      </c>
      <c r="Q249" t="str">
        <f ca="1">Pyramid!U251</f>
        <v/>
      </c>
      <c r="R249" t="str">
        <f ca="1">Pyramid!V251</f>
        <v/>
      </c>
      <c r="S249" t="str">
        <f ca="1">Pyramid!W251</f>
        <v/>
      </c>
      <c r="T249" t="str">
        <f ca="1">Pyramid!X251</f>
        <v/>
      </c>
    </row>
    <row r="250" spans="1:20">
      <c r="A250" t="str">
        <f ca="1">Pyramid!E252</f>
        <v/>
      </c>
      <c r="B250" t="str">
        <f ca="1">Pyramid!F252</f>
        <v/>
      </c>
      <c r="C250" t="str">
        <f ca="1">Pyramid!G252</f>
        <v/>
      </c>
      <c r="D250" t="str">
        <f ca="1">Pyramid!H252</f>
        <v/>
      </c>
      <c r="E250" t="str">
        <f ca="1">Pyramid!I252</f>
        <v>25483 HK Equity</v>
      </c>
      <c r="F250" t="str">
        <f ca="1">Pyramid!J252</f>
        <v>26206 HK Equity</v>
      </c>
      <c r="G250" t="str">
        <f ca="1">Pyramid!K252</f>
        <v>26748 HK Equity</v>
      </c>
      <c r="H250" t="str">
        <f ca="1">Pyramid!L252</f>
        <v>26788 HK Equity</v>
      </c>
      <c r="I250" t="str">
        <f>Pyramid!M252</f>
        <v>29/9/2016</v>
      </c>
      <c r="J250">
        <f ca="1">Pyramid!N252</f>
        <v>4</v>
      </c>
      <c r="K250">
        <f ca="1">Pyramid!O252</f>
        <v>21000</v>
      </c>
      <c r="L250">
        <f ca="1">Pyramid!P252</f>
        <v>0</v>
      </c>
      <c r="M250" t="str">
        <f>Pyramid!Q252</f>
        <v>29/9/2016</v>
      </c>
      <c r="N250" t="str">
        <f ca="1">Pyramid!R252</f>
        <v/>
      </c>
      <c r="O250" t="str">
        <f ca="1">Pyramid!S252</f>
        <v/>
      </c>
      <c r="P250" t="str">
        <f ca="1">Pyramid!T252</f>
        <v/>
      </c>
      <c r="Q250" t="str">
        <f ca="1">Pyramid!U252</f>
        <v/>
      </c>
      <c r="R250" t="str">
        <f ca="1">Pyramid!V252</f>
        <v/>
      </c>
      <c r="S250" t="str">
        <f ca="1">Pyramid!W252</f>
        <v/>
      </c>
      <c r="T250" t="str">
        <f ca="1">Pyramid!X252</f>
        <v/>
      </c>
    </row>
    <row r="251" spans="1:20">
      <c r="A251" t="str">
        <f ca="1">Pyramid!E253</f>
        <v/>
      </c>
      <c r="B251" t="str">
        <f ca="1">Pyramid!F253</f>
        <v/>
      </c>
      <c r="C251" t="str">
        <f ca="1">Pyramid!G253</f>
        <v/>
      </c>
      <c r="D251" t="str">
        <f ca="1">Pyramid!H253</f>
        <v/>
      </c>
      <c r="E251" t="str">
        <f ca="1">Pyramid!I253</f>
        <v/>
      </c>
      <c r="F251" t="str">
        <f ca="1">Pyramid!J253</f>
        <v/>
      </c>
      <c r="G251" t="str">
        <f ca="1">Pyramid!K253</f>
        <v/>
      </c>
      <c r="H251" t="str">
        <f ca="1">Pyramid!L253</f>
        <v/>
      </c>
      <c r="I251" t="str">
        <f>Pyramid!M253</f>
        <v>28/10/2016</v>
      </c>
      <c r="J251">
        <f ca="1">Pyramid!N253</f>
        <v>0</v>
      </c>
      <c r="K251">
        <f ca="1">Pyramid!O253</f>
        <v>21000</v>
      </c>
      <c r="L251">
        <f ca="1">Pyramid!P253</f>
        <v>0</v>
      </c>
      <c r="M251" t="str">
        <f>Pyramid!Q253</f>
        <v>28/10/2016</v>
      </c>
      <c r="N251" t="str">
        <f ca="1">Pyramid!R253</f>
        <v/>
      </c>
      <c r="O251" t="str">
        <f ca="1">Pyramid!S253</f>
        <v/>
      </c>
      <c r="P251" t="str">
        <f ca="1">Pyramid!T253</f>
        <v/>
      </c>
      <c r="Q251" t="str">
        <f ca="1">Pyramid!U253</f>
        <v/>
      </c>
      <c r="R251" t="str">
        <f ca="1">Pyramid!V253</f>
        <v/>
      </c>
      <c r="S251" t="str">
        <f ca="1">Pyramid!W253</f>
        <v/>
      </c>
      <c r="T251" t="str">
        <f ca="1">Pyramid!X253</f>
        <v/>
      </c>
    </row>
    <row r="252" spans="1:20">
      <c r="A252" t="str">
        <f ca="1">Pyramid!E254</f>
        <v/>
      </c>
      <c r="B252" t="str">
        <f ca="1">Pyramid!F254</f>
        <v/>
      </c>
      <c r="C252" t="str">
        <f ca="1">Pyramid!G254</f>
        <v/>
      </c>
      <c r="D252" t="str">
        <f ca="1">Pyramid!H254</f>
        <v/>
      </c>
      <c r="E252" t="str">
        <f ca="1">Pyramid!I254</f>
        <v/>
      </c>
      <c r="F252" t="str">
        <f ca="1">Pyramid!J254</f>
        <v/>
      </c>
      <c r="G252" t="str">
        <f ca="1">Pyramid!K254</f>
        <v/>
      </c>
      <c r="H252" t="str">
        <f ca="1">Pyramid!L254</f>
        <v/>
      </c>
      <c r="I252" t="str">
        <f>Pyramid!M254</f>
        <v>29/6/2016</v>
      </c>
      <c r="J252">
        <f ca="1">Pyramid!N254</f>
        <v>0</v>
      </c>
      <c r="K252">
        <f ca="1">Pyramid!O254</f>
        <v>21088</v>
      </c>
      <c r="L252">
        <f ca="1">Pyramid!P254</f>
        <v>0</v>
      </c>
      <c r="M252" t="str">
        <f>Pyramid!Q254</f>
        <v>29/6/2016</v>
      </c>
      <c r="N252" t="str">
        <f ca="1">Pyramid!R254</f>
        <v/>
      </c>
      <c r="O252" t="str">
        <f ca="1">Pyramid!S254</f>
        <v/>
      </c>
      <c r="P252" t="str">
        <f ca="1">Pyramid!T254</f>
        <v/>
      </c>
      <c r="Q252" t="str">
        <f ca="1">Pyramid!U254</f>
        <v/>
      </c>
      <c r="R252" t="str">
        <f ca="1">Pyramid!V254</f>
        <v/>
      </c>
      <c r="S252" t="str">
        <f ca="1">Pyramid!W254</f>
        <v/>
      </c>
      <c r="T252" t="str">
        <f ca="1">Pyramid!X254</f>
        <v/>
      </c>
    </row>
    <row r="253" spans="1:20">
      <c r="A253" t="str">
        <f ca="1">Pyramid!E255</f>
        <v/>
      </c>
      <c r="B253" t="str">
        <f ca="1">Pyramid!F255</f>
        <v/>
      </c>
      <c r="C253" t="str">
        <f ca="1">Pyramid!G255</f>
        <v/>
      </c>
      <c r="D253" t="str">
        <f ca="1">Pyramid!H255</f>
        <v/>
      </c>
      <c r="E253" t="str">
        <f ca="1">Pyramid!I255</f>
        <v/>
      </c>
      <c r="F253" t="str">
        <f ca="1">Pyramid!J255</f>
        <v/>
      </c>
      <c r="G253" t="str">
        <f ca="1">Pyramid!K255</f>
        <v/>
      </c>
      <c r="H253" t="str">
        <f ca="1">Pyramid!L255</f>
        <v/>
      </c>
      <c r="I253" t="str">
        <f>Pyramid!M255</f>
        <v>28/7/2016</v>
      </c>
      <c r="J253">
        <f ca="1">Pyramid!N255</f>
        <v>0</v>
      </c>
      <c r="K253">
        <f ca="1">Pyramid!O255</f>
        <v>21088</v>
      </c>
      <c r="L253">
        <f ca="1">Pyramid!P255</f>
        <v>0</v>
      </c>
      <c r="M253" t="str">
        <f>Pyramid!Q255</f>
        <v>28/7/2016</v>
      </c>
      <c r="N253" t="str">
        <f ca="1">Pyramid!R255</f>
        <v/>
      </c>
      <c r="O253" t="str">
        <f ca="1">Pyramid!S255</f>
        <v/>
      </c>
      <c r="P253" t="str">
        <f ca="1">Pyramid!T255</f>
        <v/>
      </c>
      <c r="Q253" t="str">
        <f ca="1">Pyramid!U255</f>
        <v/>
      </c>
      <c r="R253" t="str">
        <f ca="1">Pyramid!V255</f>
        <v/>
      </c>
      <c r="S253" t="str">
        <f ca="1">Pyramid!W255</f>
        <v/>
      </c>
      <c r="T253" t="str">
        <f ca="1">Pyramid!X255</f>
        <v/>
      </c>
    </row>
    <row r="254" spans="1:20">
      <c r="A254" t="str">
        <f ca="1">Pyramid!E256</f>
        <v/>
      </c>
      <c r="B254" t="str">
        <f ca="1">Pyramid!F256</f>
        <v/>
      </c>
      <c r="C254" t="str">
        <f ca="1">Pyramid!G256</f>
        <v/>
      </c>
      <c r="D254" t="str">
        <f ca="1">Pyramid!H256</f>
        <v/>
      </c>
      <c r="E254" t="str">
        <f ca="1">Pyramid!I256</f>
        <v/>
      </c>
      <c r="F254" t="str">
        <f ca="1">Pyramid!J256</f>
        <v/>
      </c>
      <c r="G254" t="str">
        <f ca="1">Pyramid!K256</f>
        <v/>
      </c>
      <c r="H254" t="str">
        <f ca="1">Pyramid!L256</f>
        <v/>
      </c>
      <c r="I254" t="str">
        <f>Pyramid!M256</f>
        <v>30/8/2016</v>
      </c>
      <c r="J254">
        <f ca="1">Pyramid!N256</f>
        <v>0</v>
      </c>
      <c r="K254">
        <f ca="1">Pyramid!O256</f>
        <v>21088</v>
      </c>
      <c r="L254">
        <f ca="1">Pyramid!P256</f>
        <v>1</v>
      </c>
      <c r="M254" t="str">
        <f>Pyramid!Q256</f>
        <v>30/8/2016</v>
      </c>
      <c r="N254" t="str">
        <f ca="1">Pyramid!R256</f>
        <v>27828 HK Equity</v>
      </c>
      <c r="O254" t="str">
        <f ca="1">Pyramid!S256</f>
        <v/>
      </c>
      <c r="P254" t="str">
        <f ca="1">Pyramid!T256</f>
        <v/>
      </c>
      <c r="Q254" t="str">
        <f ca="1">Pyramid!U256</f>
        <v/>
      </c>
      <c r="R254" t="str">
        <f ca="1">Pyramid!V256</f>
        <v/>
      </c>
      <c r="S254" t="str">
        <f ca="1">Pyramid!W256</f>
        <v/>
      </c>
      <c r="T254" t="str">
        <f ca="1">Pyramid!X256</f>
        <v/>
      </c>
    </row>
    <row r="255" spans="1:20">
      <c r="A255" t="str">
        <f ca="1">Pyramid!E257</f>
        <v/>
      </c>
      <c r="B255" t="str">
        <f ca="1">Pyramid!F257</f>
        <v/>
      </c>
      <c r="C255" t="str">
        <f ca="1">Pyramid!G257</f>
        <v/>
      </c>
      <c r="D255" t="str">
        <f ca="1">Pyramid!H257</f>
        <v/>
      </c>
      <c r="E255" t="str">
        <f ca="1">Pyramid!I257</f>
        <v/>
      </c>
      <c r="F255" t="str">
        <f ca="1">Pyramid!J257</f>
        <v/>
      </c>
      <c r="G255" t="str">
        <f ca="1">Pyramid!K257</f>
        <v/>
      </c>
      <c r="H255" t="str">
        <f ca="1">Pyramid!L257</f>
        <v>25960 HK Equity</v>
      </c>
      <c r="I255" t="str">
        <f>Pyramid!M257</f>
        <v>29/9/2016</v>
      </c>
      <c r="J255">
        <f ca="1">Pyramid!N257</f>
        <v>1</v>
      </c>
      <c r="K255">
        <f ca="1">Pyramid!O257</f>
        <v>21088</v>
      </c>
      <c r="L255">
        <f ca="1">Pyramid!P257</f>
        <v>0</v>
      </c>
      <c r="M255" t="str">
        <f>Pyramid!Q257</f>
        <v>29/9/2016</v>
      </c>
      <c r="N255" t="str">
        <f ca="1">Pyramid!R257</f>
        <v/>
      </c>
      <c r="O255" t="str">
        <f ca="1">Pyramid!S257</f>
        <v/>
      </c>
      <c r="P255" t="str">
        <f ca="1">Pyramid!T257</f>
        <v/>
      </c>
      <c r="Q255" t="str">
        <f ca="1">Pyramid!U257</f>
        <v/>
      </c>
      <c r="R255" t="str">
        <f ca="1">Pyramid!V257</f>
        <v/>
      </c>
      <c r="S255" t="str">
        <f ca="1">Pyramid!W257</f>
        <v/>
      </c>
      <c r="T255" t="str">
        <f ca="1">Pyramid!X257</f>
        <v/>
      </c>
    </row>
    <row r="256" spans="1:20">
      <c r="A256" t="str">
        <f ca="1">Pyramid!E258</f>
        <v/>
      </c>
      <c r="B256" t="str">
        <f ca="1">Pyramid!F258</f>
        <v/>
      </c>
      <c r="C256" t="str">
        <f ca="1">Pyramid!G258</f>
        <v/>
      </c>
      <c r="D256" t="str">
        <f ca="1">Pyramid!H258</f>
        <v/>
      </c>
      <c r="E256" t="str">
        <f ca="1">Pyramid!I258</f>
        <v/>
      </c>
      <c r="F256" t="str">
        <f ca="1">Pyramid!J258</f>
        <v/>
      </c>
      <c r="G256" t="str">
        <f ca="1">Pyramid!K258</f>
        <v/>
      </c>
      <c r="H256" t="str">
        <f ca="1">Pyramid!L258</f>
        <v/>
      </c>
      <c r="I256" t="str">
        <f>Pyramid!M258</f>
        <v>28/10/2016</v>
      </c>
      <c r="J256">
        <f ca="1">Pyramid!N258</f>
        <v>0</v>
      </c>
      <c r="K256">
        <f ca="1">Pyramid!O258</f>
        <v>21088</v>
      </c>
      <c r="L256">
        <f ca="1">Pyramid!P258</f>
        <v>0</v>
      </c>
      <c r="M256" t="str">
        <f>Pyramid!Q258</f>
        <v>28/10/2016</v>
      </c>
      <c r="N256" t="str">
        <f ca="1">Pyramid!R258</f>
        <v/>
      </c>
      <c r="O256" t="str">
        <f ca="1">Pyramid!S258</f>
        <v/>
      </c>
      <c r="P256" t="str">
        <f ca="1">Pyramid!T258</f>
        <v/>
      </c>
      <c r="Q256" t="str">
        <f ca="1">Pyramid!U258</f>
        <v/>
      </c>
      <c r="R256" t="str">
        <f ca="1">Pyramid!V258</f>
        <v/>
      </c>
      <c r="S256" t="str">
        <f ca="1">Pyramid!W258</f>
        <v/>
      </c>
      <c r="T256" t="str">
        <f ca="1">Pyramid!X258</f>
        <v/>
      </c>
    </row>
    <row r="257" spans="1:20">
      <c r="A257" t="str">
        <f ca="1">Pyramid!E259</f>
        <v/>
      </c>
      <c r="B257" t="str">
        <f ca="1">Pyramid!F259</f>
        <v/>
      </c>
      <c r="C257" t="str">
        <f ca="1">Pyramid!G259</f>
        <v/>
      </c>
      <c r="D257" t="str">
        <f ca="1">Pyramid!H259</f>
        <v/>
      </c>
      <c r="E257" t="str">
        <f ca="1">Pyramid!I259</f>
        <v/>
      </c>
      <c r="F257" t="str">
        <f ca="1">Pyramid!J259</f>
        <v/>
      </c>
      <c r="G257" t="str">
        <f ca="1">Pyramid!K259</f>
        <v/>
      </c>
      <c r="H257" t="str">
        <f ca="1">Pyramid!L259</f>
        <v>24262 HK Equity</v>
      </c>
      <c r="I257" t="str">
        <f>Pyramid!M259</f>
        <v>29/6/2016</v>
      </c>
      <c r="J257">
        <f ca="1">Pyramid!N259</f>
        <v>1</v>
      </c>
      <c r="K257">
        <f ca="1">Pyramid!O259</f>
        <v>21100</v>
      </c>
      <c r="L257">
        <f ca="1">Pyramid!P259</f>
        <v>0</v>
      </c>
      <c r="M257" t="str">
        <f>Pyramid!Q259</f>
        <v>29/6/2016</v>
      </c>
      <c r="N257" t="str">
        <f ca="1">Pyramid!R259</f>
        <v/>
      </c>
      <c r="O257" t="str">
        <f ca="1">Pyramid!S259</f>
        <v/>
      </c>
      <c r="P257" t="str">
        <f ca="1">Pyramid!T259</f>
        <v/>
      </c>
      <c r="Q257" t="str">
        <f ca="1">Pyramid!U259</f>
        <v/>
      </c>
      <c r="R257" t="str">
        <f ca="1">Pyramid!V259</f>
        <v/>
      </c>
      <c r="S257" t="str">
        <f ca="1">Pyramid!W259</f>
        <v/>
      </c>
      <c r="T257" t="str">
        <f ca="1">Pyramid!X259</f>
        <v/>
      </c>
    </row>
    <row r="258" spans="1:20">
      <c r="A258" t="str">
        <f ca="1">Pyramid!E260</f>
        <v/>
      </c>
      <c r="B258" t="str">
        <f ca="1">Pyramid!F260</f>
        <v/>
      </c>
      <c r="C258" t="str">
        <f ca="1">Pyramid!G260</f>
        <v/>
      </c>
      <c r="D258" t="str">
        <f ca="1">Pyramid!H260</f>
        <v/>
      </c>
      <c r="E258" t="str">
        <f ca="1">Pyramid!I260</f>
        <v/>
      </c>
      <c r="F258" t="str">
        <f ca="1">Pyramid!J260</f>
        <v/>
      </c>
      <c r="G258" t="str">
        <f ca="1">Pyramid!K260</f>
        <v/>
      </c>
      <c r="H258" t="str">
        <f ca="1">Pyramid!L260</f>
        <v/>
      </c>
      <c r="I258" t="str">
        <f>Pyramid!M260</f>
        <v>28/7/2016</v>
      </c>
      <c r="J258">
        <f ca="1">Pyramid!N260</f>
        <v>0</v>
      </c>
      <c r="K258">
        <f ca="1">Pyramid!O260</f>
        <v>21100</v>
      </c>
      <c r="L258">
        <f ca="1">Pyramid!P260</f>
        <v>0</v>
      </c>
      <c r="M258" t="str">
        <f>Pyramid!Q260</f>
        <v>28/7/2016</v>
      </c>
      <c r="N258" t="str">
        <f ca="1">Pyramid!R260</f>
        <v/>
      </c>
      <c r="O258" t="str">
        <f ca="1">Pyramid!S260</f>
        <v/>
      </c>
      <c r="P258" t="str">
        <f ca="1">Pyramid!T260</f>
        <v/>
      </c>
      <c r="Q258" t="str">
        <f ca="1">Pyramid!U260</f>
        <v/>
      </c>
      <c r="R258" t="str">
        <f ca="1">Pyramid!V260</f>
        <v/>
      </c>
      <c r="S258" t="str">
        <f ca="1">Pyramid!W260</f>
        <v/>
      </c>
      <c r="T258" t="str">
        <f ca="1">Pyramid!X260</f>
        <v/>
      </c>
    </row>
    <row r="259" spans="1:20">
      <c r="A259" t="str">
        <f ca="1">Pyramid!E261</f>
        <v/>
      </c>
      <c r="B259" t="str">
        <f ca="1">Pyramid!F261</f>
        <v/>
      </c>
      <c r="C259" t="str">
        <f ca="1">Pyramid!G261</f>
        <v/>
      </c>
      <c r="D259" t="str">
        <f ca="1">Pyramid!H261</f>
        <v/>
      </c>
      <c r="E259" t="str">
        <f ca="1">Pyramid!I261</f>
        <v/>
      </c>
      <c r="F259" t="str">
        <f ca="1">Pyramid!J261</f>
        <v/>
      </c>
      <c r="G259" t="str">
        <f ca="1">Pyramid!K261</f>
        <v/>
      </c>
      <c r="H259" t="str">
        <f ca="1">Pyramid!L261</f>
        <v/>
      </c>
      <c r="I259" t="str">
        <f>Pyramid!M261</f>
        <v>30/8/2016</v>
      </c>
      <c r="J259">
        <f ca="1">Pyramid!N261</f>
        <v>0</v>
      </c>
      <c r="K259">
        <f ca="1">Pyramid!O261</f>
        <v>21100</v>
      </c>
      <c r="L259">
        <f ca="1">Pyramid!P261</f>
        <v>0</v>
      </c>
      <c r="M259" t="str">
        <f>Pyramid!Q261</f>
        <v>30/8/2016</v>
      </c>
      <c r="N259" t="str">
        <f ca="1">Pyramid!R261</f>
        <v/>
      </c>
      <c r="O259" t="str">
        <f ca="1">Pyramid!S261</f>
        <v/>
      </c>
      <c r="P259" t="str">
        <f ca="1">Pyramid!T261</f>
        <v/>
      </c>
      <c r="Q259" t="str">
        <f ca="1">Pyramid!U261</f>
        <v/>
      </c>
      <c r="R259" t="str">
        <f ca="1">Pyramid!V261</f>
        <v/>
      </c>
      <c r="S259" t="str">
        <f ca="1">Pyramid!W261</f>
        <v/>
      </c>
      <c r="T259" t="str">
        <f ca="1">Pyramid!X261</f>
        <v/>
      </c>
    </row>
    <row r="260" spans="1:20">
      <c r="A260" t="str">
        <f ca="1">Pyramid!E262</f>
        <v/>
      </c>
      <c r="B260" t="str">
        <f ca="1">Pyramid!F262</f>
        <v/>
      </c>
      <c r="C260" t="str">
        <f ca="1">Pyramid!G262</f>
        <v/>
      </c>
      <c r="D260" t="str">
        <f ca="1">Pyramid!H262</f>
        <v/>
      </c>
      <c r="E260" t="str">
        <f ca="1">Pyramid!I262</f>
        <v/>
      </c>
      <c r="F260" t="str">
        <f ca="1">Pyramid!J262</f>
        <v/>
      </c>
      <c r="G260" t="str">
        <f ca="1">Pyramid!K262</f>
        <v/>
      </c>
      <c r="H260" t="str">
        <f ca="1">Pyramid!L262</f>
        <v/>
      </c>
      <c r="I260" t="str">
        <f>Pyramid!M262</f>
        <v>29/9/2016</v>
      </c>
      <c r="J260">
        <f ca="1">Pyramid!N262</f>
        <v>0</v>
      </c>
      <c r="K260">
        <f ca="1">Pyramid!O262</f>
        <v>21100</v>
      </c>
      <c r="L260">
        <f ca="1">Pyramid!P262</f>
        <v>0</v>
      </c>
      <c r="M260" t="str">
        <f>Pyramid!Q262</f>
        <v>29/9/2016</v>
      </c>
      <c r="N260" t="str">
        <f ca="1">Pyramid!R262</f>
        <v/>
      </c>
      <c r="O260" t="str">
        <f ca="1">Pyramid!S262</f>
        <v/>
      </c>
      <c r="P260" t="str">
        <f ca="1">Pyramid!T262</f>
        <v/>
      </c>
      <c r="Q260" t="str">
        <f ca="1">Pyramid!U262</f>
        <v/>
      </c>
      <c r="R260" t="str">
        <f ca="1">Pyramid!V262</f>
        <v/>
      </c>
      <c r="S260" t="str">
        <f ca="1">Pyramid!W262</f>
        <v/>
      </c>
      <c r="T260" t="str">
        <f ca="1">Pyramid!X262</f>
        <v/>
      </c>
    </row>
    <row r="261" spans="1:20">
      <c r="A261" t="str">
        <f ca="1">Pyramid!E263</f>
        <v/>
      </c>
      <c r="B261" t="str">
        <f ca="1">Pyramid!F263</f>
        <v/>
      </c>
      <c r="C261" t="str">
        <f ca="1">Pyramid!G263</f>
        <v/>
      </c>
      <c r="D261" t="str">
        <f ca="1">Pyramid!H263</f>
        <v/>
      </c>
      <c r="E261" t="str">
        <f ca="1">Pyramid!I263</f>
        <v/>
      </c>
      <c r="F261" t="str">
        <f ca="1">Pyramid!J263</f>
        <v/>
      </c>
      <c r="G261" t="str">
        <f ca="1">Pyramid!K263</f>
        <v/>
      </c>
      <c r="H261" t="str">
        <f ca="1">Pyramid!L263</f>
        <v/>
      </c>
      <c r="I261" t="str">
        <f>Pyramid!M263</f>
        <v>28/10/2016</v>
      </c>
      <c r="J261">
        <f ca="1">Pyramid!N263</f>
        <v>0</v>
      </c>
      <c r="K261">
        <f ca="1">Pyramid!O263</f>
        <v>21100</v>
      </c>
      <c r="L261">
        <f ca="1">Pyramid!P263</f>
        <v>0</v>
      </c>
      <c r="M261" t="str">
        <f>Pyramid!Q263</f>
        <v>28/10/2016</v>
      </c>
      <c r="N261" t="str">
        <f ca="1">Pyramid!R263</f>
        <v/>
      </c>
      <c r="O261" t="str">
        <f ca="1">Pyramid!S263</f>
        <v/>
      </c>
      <c r="P261" t="str">
        <f ca="1">Pyramid!T263</f>
        <v/>
      </c>
      <c r="Q261" t="str">
        <f ca="1">Pyramid!U263</f>
        <v/>
      </c>
      <c r="R261" t="str">
        <f ca="1">Pyramid!V263</f>
        <v/>
      </c>
      <c r="S261" t="str">
        <f ca="1">Pyramid!W263</f>
        <v/>
      </c>
      <c r="T261" t="str">
        <f ca="1">Pyramid!X263</f>
        <v/>
      </c>
    </row>
    <row r="262" spans="1:20">
      <c r="A262" t="str">
        <f ca="1">Pyramid!E264</f>
        <v/>
      </c>
      <c r="B262" t="str">
        <f ca="1">Pyramid!F264</f>
        <v/>
      </c>
      <c r="C262" t="str">
        <f ca="1">Pyramid!G264</f>
        <v/>
      </c>
      <c r="D262" t="str">
        <f ca="1">Pyramid!H264</f>
        <v/>
      </c>
      <c r="E262" t="str">
        <f ca="1">Pyramid!I264</f>
        <v/>
      </c>
      <c r="F262" t="str">
        <f ca="1">Pyramid!J264</f>
        <v/>
      </c>
      <c r="G262" t="str">
        <f ca="1">Pyramid!K264</f>
        <v/>
      </c>
      <c r="H262" t="str">
        <f ca="1">Pyramid!L264</f>
        <v/>
      </c>
      <c r="I262" t="str">
        <f>Pyramid!M264</f>
        <v>29/6/2016</v>
      </c>
      <c r="J262">
        <f ca="1">Pyramid!N264</f>
        <v>0</v>
      </c>
      <c r="K262">
        <f ca="1">Pyramid!O264</f>
        <v>21400</v>
      </c>
      <c r="L262">
        <f ca="1">Pyramid!P264</f>
        <v>0</v>
      </c>
      <c r="M262" t="str">
        <f>Pyramid!Q264</f>
        <v>29/6/2016</v>
      </c>
      <c r="N262" t="str">
        <f ca="1">Pyramid!R264</f>
        <v/>
      </c>
      <c r="O262" t="str">
        <f ca="1">Pyramid!S264</f>
        <v/>
      </c>
      <c r="P262" t="str">
        <f ca="1">Pyramid!T264</f>
        <v/>
      </c>
      <c r="Q262" t="str">
        <f ca="1">Pyramid!U264</f>
        <v/>
      </c>
      <c r="R262" t="str">
        <f ca="1">Pyramid!V264</f>
        <v/>
      </c>
      <c r="S262" t="str">
        <f ca="1">Pyramid!W264</f>
        <v/>
      </c>
      <c r="T262" t="str">
        <f ca="1">Pyramid!X264</f>
        <v/>
      </c>
    </row>
    <row r="263" spans="1:20">
      <c r="A263" t="str">
        <f ca="1">Pyramid!E265</f>
        <v/>
      </c>
      <c r="B263" t="str">
        <f ca="1">Pyramid!F265</f>
        <v/>
      </c>
      <c r="C263" t="str">
        <f ca="1">Pyramid!G265</f>
        <v/>
      </c>
      <c r="D263" t="str">
        <f ca="1">Pyramid!H265</f>
        <v/>
      </c>
      <c r="E263" t="str">
        <f ca="1">Pyramid!I265</f>
        <v/>
      </c>
      <c r="F263" t="str">
        <f ca="1">Pyramid!J265</f>
        <v/>
      </c>
      <c r="G263" t="str">
        <f ca="1">Pyramid!K265</f>
        <v/>
      </c>
      <c r="H263" t="str">
        <f ca="1">Pyramid!L265</f>
        <v/>
      </c>
      <c r="I263" t="str">
        <f>Pyramid!M265</f>
        <v>28/7/2016</v>
      </c>
      <c r="J263">
        <f ca="1">Pyramid!N265</f>
        <v>0</v>
      </c>
      <c r="K263">
        <f ca="1">Pyramid!O265</f>
        <v>21400</v>
      </c>
      <c r="L263">
        <f ca="1">Pyramid!P265</f>
        <v>1</v>
      </c>
      <c r="M263" t="str">
        <f>Pyramid!Q265</f>
        <v>28/7/2016</v>
      </c>
      <c r="N263" t="str">
        <f ca="1">Pyramid!R265</f>
        <v>27564 HK Equity</v>
      </c>
      <c r="O263" t="str">
        <f ca="1">Pyramid!S265</f>
        <v/>
      </c>
      <c r="P263" t="str">
        <f ca="1">Pyramid!T265</f>
        <v/>
      </c>
      <c r="Q263" t="str">
        <f ca="1">Pyramid!U265</f>
        <v/>
      </c>
      <c r="R263" t="str">
        <f ca="1">Pyramid!V265</f>
        <v/>
      </c>
      <c r="S263" t="str">
        <f ca="1">Pyramid!W265</f>
        <v/>
      </c>
      <c r="T263" t="str">
        <f ca="1">Pyramid!X265</f>
        <v/>
      </c>
    </row>
    <row r="264" spans="1:20">
      <c r="A264" t="str">
        <f ca="1">Pyramid!E266</f>
        <v/>
      </c>
      <c r="B264" t="str">
        <f ca="1">Pyramid!F266</f>
        <v/>
      </c>
      <c r="C264" t="str">
        <f ca="1">Pyramid!G266</f>
        <v/>
      </c>
      <c r="D264" t="str">
        <f ca="1">Pyramid!H266</f>
        <v/>
      </c>
      <c r="E264" t="str">
        <f ca="1">Pyramid!I266</f>
        <v/>
      </c>
      <c r="F264" t="str">
        <f ca="1">Pyramid!J266</f>
        <v>25236 HK Equity</v>
      </c>
      <c r="G264" t="str">
        <f ca="1">Pyramid!K266</f>
        <v>25679 HK Equity</v>
      </c>
      <c r="H264" t="str">
        <f ca="1">Pyramid!L266</f>
        <v>26987 HK Equity</v>
      </c>
      <c r="I264" t="str">
        <f>Pyramid!M266</f>
        <v>30/8/2016</v>
      </c>
      <c r="J264">
        <f ca="1">Pyramid!N266</f>
        <v>3</v>
      </c>
      <c r="K264">
        <f ca="1">Pyramid!O266</f>
        <v>21400</v>
      </c>
      <c r="L264">
        <f ca="1">Pyramid!P266</f>
        <v>0</v>
      </c>
      <c r="M264" t="str">
        <f>Pyramid!Q266</f>
        <v>30/8/2016</v>
      </c>
      <c r="N264" t="str">
        <f ca="1">Pyramid!R266</f>
        <v/>
      </c>
      <c r="O264" t="str">
        <f ca="1">Pyramid!S266</f>
        <v/>
      </c>
      <c r="P264" t="str">
        <f ca="1">Pyramid!T266</f>
        <v/>
      </c>
      <c r="Q264" t="str">
        <f ca="1">Pyramid!U266</f>
        <v/>
      </c>
      <c r="R264" t="str">
        <f ca="1">Pyramid!V266</f>
        <v/>
      </c>
      <c r="S264" t="str">
        <f ca="1">Pyramid!W266</f>
        <v/>
      </c>
      <c r="T264" t="str">
        <f ca="1">Pyramid!X266</f>
        <v/>
      </c>
    </row>
    <row r="265" spans="1:20">
      <c r="A265" t="str">
        <f ca="1">Pyramid!E267</f>
        <v/>
      </c>
      <c r="B265" t="str">
        <f ca="1">Pyramid!F267</f>
        <v/>
      </c>
      <c r="C265" t="str">
        <f ca="1">Pyramid!G267</f>
        <v/>
      </c>
      <c r="D265" t="str">
        <f ca="1">Pyramid!H267</f>
        <v/>
      </c>
      <c r="E265" t="str">
        <f ca="1">Pyramid!I267</f>
        <v/>
      </c>
      <c r="F265" t="str">
        <f ca="1">Pyramid!J267</f>
        <v>26753 HK Equity</v>
      </c>
      <c r="G265" t="str">
        <f ca="1">Pyramid!K267</f>
        <v>26756 HK Equity</v>
      </c>
      <c r="H265" t="str">
        <f ca="1">Pyramid!L267</f>
        <v>26121 HK Equity</v>
      </c>
      <c r="I265" t="str">
        <f>Pyramid!M267</f>
        <v>29/9/2016</v>
      </c>
      <c r="J265">
        <f ca="1">Pyramid!N267</f>
        <v>3</v>
      </c>
      <c r="K265">
        <f ca="1">Pyramid!O267</f>
        <v>21400</v>
      </c>
      <c r="L265">
        <f ca="1">Pyramid!P267</f>
        <v>0</v>
      </c>
      <c r="M265" t="str">
        <f>Pyramid!Q267</f>
        <v>29/9/2016</v>
      </c>
      <c r="N265" t="str">
        <f ca="1">Pyramid!R267</f>
        <v/>
      </c>
      <c r="O265" t="str">
        <f ca="1">Pyramid!S267</f>
        <v/>
      </c>
      <c r="P265" t="str">
        <f ca="1">Pyramid!T267</f>
        <v/>
      </c>
      <c r="Q265" t="str">
        <f ca="1">Pyramid!U267</f>
        <v/>
      </c>
      <c r="R265" t="str">
        <f ca="1">Pyramid!V267</f>
        <v/>
      </c>
      <c r="S265" t="str">
        <f ca="1">Pyramid!W267</f>
        <v/>
      </c>
      <c r="T265" t="str">
        <f ca="1">Pyramid!X267</f>
        <v/>
      </c>
    </row>
    <row r="266" spans="1:20">
      <c r="A266" t="str">
        <f ca="1">Pyramid!E268</f>
        <v/>
      </c>
      <c r="B266" t="str">
        <f ca="1">Pyramid!F268</f>
        <v/>
      </c>
      <c r="C266" t="str">
        <f ca="1">Pyramid!G268</f>
        <v/>
      </c>
      <c r="D266" t="str">
        <f ca="1">Pyramid!H268</f>
        <v/>
      </c>
      <c r="E266" t="str">
        <f ca="1">Pyramid!I268</f>
        <v/>
      </c>
      <c r="F266" t="str">
        <f ca="1">Pyramid!J268</f>
        <v/>
      </c>
      <c r="G266" t="str">
        <f ca="1">Pyramid!K268</f>
        <v/>
      </c>
      <c r="H266" t="str">
        <f ca="1">Pyramid!L268</f>
        <v/>
      </c>
      <c r="I266" t="str">
        <f>Pyramid!M268</f>
        <v>28/10/2016</v>
      </c>
      <c r="J266">
        <f ca="1">Pyramid!N268</f>
        <v>0</v>
      </c>
      <c r="K266">
        <f ca="1">Pyramid!O268</f>
        <v>21400</v>
      </c>
      <c r="L266">
        <f ca="1">Pyramid!P268</f>
        <v>1</v>
      </c>
      <c r="M266" t="str">
        <f>Pyramid!Q268</f>
        <v>28/10/2016</v>
      </c>
      <c r="N266" t="str">
        <f ca="1">Pyramid!R268</f>
        <v>27465 HK Equity</v>
      </c>
      <c r="O266" t="str">
        <f ca="1">Pyramid!S268</f>
        <v/>
      </c>
      <c r="P266" t="str">
        <f ca="1">Pyramid!T268</f>
        <v/>
      </c>
      <c r="Q266" t="str">
        <f ca="1">Pyramid!U268</f>
        <v/>
      </c>
      <c r="R266" t="str">
        <f ca="1">Pyramid!V268</f>
        <v/>
      </c>
      <c r="S266" t="str">
        <f ca="1">Pyramid!W268</f>
        <v/>
      </c>
      <c r="T266" t="str">
        <f ca="1">Pyramid!X268</f>
        <v/>
      </c>
    </row>
    <row r="267" spans="1:20">
      <c r="A267" t="str">
        <f ca="1">Pyramid!E269</f>
        <v/>
      </c>
      <c r="B267" t="str">
        <f ca="1">Pyramid!F269</f>
        <v/>
      </c>
      <c r="C267" t="str">
        <f ca="1">Pyramid!G269</f>
        <v/>
      </c>
      <c r="D267" t="str">
        <f ca="1">Pyramid!H269</f>
        <v/>
      </c>
      <c r="E267" t="str">
        <f ca="1">Pyramid!I269</f>
        <v/>
      </c>
      <c r="F267" t="str">
        <f ca="1">Pyramid!J269</f>
        <v/>
      </c>
      <c r="G267" t="str">
        <f ca="1">Pyramid!K269</f>
        <v/>
      </c>
      <c r="H267" t="str">
        <f ca="1">Pyramid!L269</f>
        <v/>
      </c>
      <c r="I267" t="str">
        <f>Pyramid!M269</f>
        <v>29/6/2016</v>
      </c>
      <c r="J267">
        <f ca="1">Pyramid!N269</f>
        <v>0</v>
      </c>
      <c r="K267">
        <f ca="1">Pyramid!O269</f>
        <v>21498</v>
      </c>
      <c r="L267">
        <f ca="1">Pyramid!P269</f>
        <v>0</v>
      </c>
      <c r="M267" t="str">
        <f>Pyramid!Q269</f>
        <v>29/6/2016</v>
      </c>
      <c r="N267" t="str">
        <f ca="1">Pyramid!R269</f>
        <v/>
      </c>
      <c r="O267" t="str">
        <f ca="1">Pyramid!S269</f>
        <v/>
      </c>
      <c r="P267" t="str">
        <f ca="1">Pyramid!T269</f>
        <v/>
      </c>
      <c r="Q267" t="str">
        <f ca="1">Pyramid!U269</f>
        <v/>
      </c>
      <c r="R267" t="str">
        <f ca="1">Pyramid!V269</f>
        <v/>
      </c>
      <c r="S267" t="str">
        <f ca="1">Pyramid!W269</f>
        <v/>
      </c>
      <c r="T267" t="str">
        <f ca="1">Pyramid!X269</f>
        <v/>
      </c>
    </row>
    <row r="268" spans="1:20">
      <c r="A268" t="str">
        <f ca="1">Pyramid!E270</f>
        <v/>
      </c>
      <c r="B268" t="str">
        <f ca="1">Pyramid!F270</f>
        <v/>
      </c>
      <c r="C268" t="str">
        <f ca="1">Pyramid!G270</f>
        <v/>
      </c>
      <c r="D268" t="str">
        <f ca="1">Pyramid!H270</f>
        <v/>
      </c>
      <c r="E268" t="str">
        <f ca="1">Pyramid!I270</f>
        <v/>
      </c>
      <c r="F268" t="str">
        <f ca="1">Pyramid!J270</f>
        <v/>
      </c>
      <c r="G268" t="str">
        <f ca="1">Pyramid!K270</f>
        <v/>
      </c>
      <c r="H268" t="str">
        <f ca="1">Pyramid!L270</f>
        <v/>
      </c>
      <c r="I268" t="str">
        <f>Pyramid!M270</f>
        <v>28/7/2016</v>
      </c>
      <c r="J268">
        <f ca="1">Pyramid!N270</f>
        <v>0</v>
      </c>
      <c r="K268">
        <f ca="1">Pyramid!O270</f>
        <v>21498</v>
      </c>
      <c r="L268">
        <f ca="1">Pyramid!P270</f>
        <v>0</v>
      </c>
      <c r="M268" t="str">
        <f>Pyramid!Q270</f>
        <v>28/7/2016</v>
      </c>
      <c r="N268" t="str">
        <f ca="1">Pyramid!R270</f>
        <v/>
      </c>
      <c r="O268" t="str">
        <f ca="1">Pyramid!S270</f>
        <v/>
      </c>
      <c r="P268" t="str">
        <f ca="1">Pyramid!T270</f>
        <v/>
      </c>
      <c r="Q268" t="str">
        <f ca="1">Pyramid!U270</f>
        <v/>
      </c>
      <c r="R268" t="str">
        <f ca="1">Pyramid!V270</f>
        <v/>
      </c>
      <c r="S268" t="str">
        <f ca="1">Pyramid!W270</f>
        <v/>
      </c>
      <c r="T268" t="str">
        <f ca="1">Pyramid!X270</f>
        <v/>
      </c>
    </row>
    <row r="269" spans="1:20">
      <c r="A269" t="str">
        <f ca="1">Pyramid!E271</f>
        <v/>
      </c>
      <c r="B269" t="str">
        <f ca="1">Pyramid!F271</f>
        <v/>
      </c>
      <c r="C269" t="str">
        <f ca="1">Pyramid!G271</f>
        <v/>
      </c>
      <c r="D269" t="str">
        <f ca="1">Pyramid!H271</f>
        <v/>
      </c>
      <c r="E269" t="str">
        <f ca="1">Pyramid!I271</f>
        <v/>
      </c>
      <c r="F269" t="str">
        <f ca="1">Pyramid!J271</f>
        <v/>
      </c>
      <c r="G269" t="str">
        <f ca="1">Pyramid!K271</f>
        <v/>
      </c>
      <c r="H269" t="str">
        <f ca="1">Pyramid!L271</f>
        <v/>
      </c>
      <c r="I269" t="str">
        <f>Pyramid!M271</f>
        <v>30/8/2016</v>
      </c>
      <c r="J269">
        <f ca="1">Pyramid!N271</f>
        <v>0</v>
      </c>
      <c r="K269">
        <f ca="1">Pyramid!O271</f>
        <v>21498</v>
      </c>
      <c r="L269">
        <f ca="1">Pyramid!P271</f>
        <v>0</v>
      </c>
      <c r="M269" t="str">
        <f>Pyramid!Q271</f>
        <v>30/8/2016</v>
      </c>
      <c r="N269" t="str">
        <f ca="1">Pyramid!R271</f>
        <v/>
      </c>
      <c r="O269" t="str">
        <f ca="1">Pyramid!S271</f>
        <v/>
      </c>
      <c r="P269" t="str">
        <f ca="1">Pyramid!T271</f>
        <v/>
      </c>
      <c r="Q269" t="str">
        <f ca="1">Pyramid!U271</f>
        <v/>
      </c>
      <c r="R269" t="str">
        <f ca="1">Pyramid!V271</f>
        <v/>
      </c>
      <c r="S269" t="str">
        <f ca="1">Pyramid!W271</f>
        <v/>
      </c>
      <c r="T269" t="str">
        <f ca="1">Pyramid!X271</f>
        <v/>
      </c>
    </row>
    <row r="270" spans="1:20">
      <c r="A270" t="str">
        <f ca="1">Pyramid!E272</f>
        <v/>
      </c>
      <c r="B270" t="str">
        <f ca="1">Pyramid!F272</f>
        <v/>
      </c>
      <c r="C270" t="str">
        <f ca="1">Pyramid!G272</f>
        <v/>
      </c>
      <c r="D270" t="str">
        <f ca="1">Pyramid!H272</f>
        <v/>
      </c>
      <c r="E270" t="str">
        <f ca="1">Pyramid!I272</f>
        <v/>
      </c>
      <c r="F270" t="str">
        <f ca="1">Pyramid!J272</f>
        <v/>
      </c>
      <c r="G270" t="str">
        <f ca="1">Pyramid!K272</f>
        <v/>
      </c>
      <c r="H270" t="str">
        <f ca="1">Pyramid!L272</f>
        <v>26488 HK Equity</v>
      </c>
      <c r="I270" t="str">
        <f>Pyramid!M272</f>
        <v>29/9/2016</v>
      </c>
      <c r="J270">
        <f ca="1">Pyramid!N272</f>
        <v>1</v>
      </c>
      <c r="K270">
        <f ca="1">Pyramid!O272</f>
        <v>21498</v>
      </c>
      <c r="L270">
        <f ca="1">Pyramid!P272</f>
        <v>0</v>
      </c>
      <c r="M270" t="str">
        <f>Pyramid!Q272</f>
        <v>29/9/2016</v>
      </c>
      <c r="N270" t="str">
        <f ca="1">Pyramid!R272</f>
        <v/>
      </c>
      <c r="O270" t="str">
        <f ca="1">Pyramid!S272</f>
        <v/>
      </c>
      <c r="P270" t="str">
        <f ca="1">Pyramid!T272</f>
        <v/>
      </c>
      <c r="Q270" t="str">
        <f ca="1">Pyramid!U272</f>
        <v/>
      </c>
      <c r="R270" t="str">
        <f ca="1">Pyramid!V272</f>
        <v/>
      </c>
      <c r="S270" t="str">
        <f ca="1">Pyramid!W272</f>
        <v/>
      </c>
      <c r="T270" t="str">
        <f ca="1">Pyramid!X272</f>
        <v/>
      </c>
    </row>
    <row r="271" spans="1:20">
      <c r="A271" t="str">
        <f ca="1">Pyramid!E273</f>
        <v/>
      </c>
      <c r="B271" t="str">
        <f ca="1">Pyramid!F273</f>
        <v/>
      </c>
      <c r="C271" t="str">
        <f ca="1">Pyramid!G273</f>
        <v/>
      </c>
      <c r="D271" t="str">
        <f ca="1">Pyramid!H273</f>
        <v/>
      </c>
      <c r="E271" t="str">
        <f ca="1">Pyramid!I273</f>
        <v/>
      </c>
      <c r="F271" t="str">
        <f ca="1">Pyramid!J273</f>
        <v/>
      </c>
      <c r="G271" t="str">
        <f ca="1">Pyramid!K273</f>
        <v/>
      </c>
      <c r="H271" t="str">
        <f ca="1">Pyramid!L273</f>
        <v/>
      </c>
      <c r="I271" t="str">
        <f>Pyramid!M273</f>
        <v>28/10/2016</v>
      </c>
      <c r="J271">
        <f ca="1">Pyramid!N273</f>
        <v>0</v>
      </c>
      <c r="K271">
        <f ca="1">Pyramid!O273</f>
        <v>21498</v>
      </c>
      <c r="L271">
        <f ca="1">Pyramid!P273</f>
        <v>0</v>
      </c>
      <c r="M271" t="str">
        <f>Pyramid!Q273</f>
        <v>28/10/2016</v>
      </c>
      <c r="N271" t="str">
        <f ca="1">Pyramid!R273</f>
        <v/>
      </c>
      <c r="O271" t="str">
        <f ca="1">Pyramid!S273</f>
        <v/>
      </c>
      <c r="P271" t="str">
        <f ca="1">Pyramid!T273</f>
        <v/>
      </c>
      <c r="Q271" t="str">
        <f ca="1">Pyramid!U273</f>
        <v/>
      </c>
      <c r="R271" t="str">
        <f ca="1">Pyramid!V273</f>
        <v/>
      </c>
      <c r="S271" t="str">
        <f ca="1">Pyramid!W273</f>
        <v/>
      </c>
      <c r="T271" t="str">
        <f ca="1">Pyramid!X273</f>
        <v/>
      </c>
    </row>
    <row r="272" spans="1:20">
      <c r="A272" t="str">
        <f ca="1">Pyramid!E274</f>
        <v/>
      </c>
      <c r="B272" t="str">
        <f ca="1">Pyramid!F274</f>
        <v/>
      </c>
      <c r="C272" t="str">
        <f ca="1">Pyramid!G274</f>
        <v/>
      </c>
      <c r="D272" t="str">
        <f ca="1">Pyramid!H274</f>
        <v/>
      </c>
      <c r="E272" t="str">
        <f ca="1">Pyramid!I274</f>
        <v/>
      </c>
      <c r="F272" t="str">
        <f ca="1">Pyramid!J274</f>
        <v/>
      </c>
      <c r="G272" t="str">
        <f ca="1">Pyramid!K274</f>
        <v/>
      </c>
      <c r="H272" t="str">
        <f ca="1">Pyramid!L274</f>
        <v/>
      </c>
      <c r="I272" t="str">
        <f>Pyramid!M274</f>
        <v>29/6/2016</v>
      </c>
      <c r="J272">
        <f ca="1">Pyramid!N274</f>
        <v>0</v>
      </c>
      <c r="K272">
        <f ca="1">Pyramid!O274</f>
        <v>21500</v>
      </c>
      <c r="L272">
        <f ca="1">Pyramid!P274</f>
        <v>0</v>
      </c>
      <c r="M272" t="str">
        <f>Pyramid!Q274</f>
        <v>29/6/2016</v>
      </c>
      <c r="N272" t="str">
        <f ca="1">Pyramid!R274</f>
        <v/>
      </c>
      <c r="O272" t="str">
        <f ca="1">Pyramid!S274</f>
        <v/>
      </c>
      <c r="P272" t="str">
        <f ca="1">Pyramid!T274</f>
        <v/>
      </c>
      <c r="Q272" t="str">
        <f ca="1">Pyramid!U274</f>
        <v/>
      </c>
      <c r="R272" t="str">
        <f ca="1">Pyramid!V274</f>
        <v/>
      </c>
      <c r="S272" t="str">
        <f ca="1">Pyramid!W274</f>
        <v/>
      </c>
      <c r="T272" t="str">
        <f ca="1">Pyramid!X274</f>
        <v/>
      </c>
    </row>
    <row r="273" spans="1:20">
      <c r="A273" t="str">
        <f ca="1">Pyramid!E275</f>
        <v/>
      </c>
      <c r="B273" t="str">
        <f ca="1">Pyramid!F275</f>
        <v/>
      </c>
      <c r="C273" t="str">
        <f ca="1">Pyramid!G275</f>
        <v/>
      </c>
      <c r="D273" t="str">
        <f ca="1">Pyramid!H275</f>
        <v/>
      </c>
      <c r="E273" t="str">
        <f ca="1">Pyramid!I275</f>
        <v/>
      </c>
      <c r="F273" t="str">
        <f ca="1">Pyramid!J275</f>
        <v/>
      </c>
      <c r="G273" t="str">
        <f ca="1">Pyramid!K275</f>
        <v/>
      </c>
      <c r="H273" t="str">
        <f ca="1">Pyramid!L275</f>
        <v/>
      </c>
      <c r="I273" t="str">
        <f>Pyramid!M275</f>
        <v>28/7/2016</v>
      </c>
      <c r="J273">
        <f ca="1">Pyramid!N275</f>
        <v>0</v>
      </c>
      <c r="K273">
        <f ca="1">Pyramid!O275</f>
        <v>21500</v>
      </c>
      <c r="L273">
        <f ca="1">Pyramid!P275</f>
        <v>3</v>
      </c>
      <c r="M273" t="str">
        <f>Pyramid!Q275</f>
        <v>28/7/2016</v>
      </c>
      <c r="N273" t="str">
        <f ca="1">Pyramid!R275</f>
        <v>27594 HK Equity</v>
      </c>
      <c r="O273" t="str">
        <f ca="1">Pyramid!S275</f>
        <v>24427 HK Equity</v>
      </c>
      <c r="P273" t="str">
        <f ca="1">Pyramid!T275</f>
        <v>27188 HK Equity</v>
      </c>
      <c r="Q273" t="str">
        <f ca="1">Pyramid!U275</f>
        <v/>
      </c>
      <c r="R273" t="str">
        <f ca="1">Pyramid!V275</f>
        <v/>
      </c>
      <c r="S273" t="str">
        <f ca="1">Pyramid!W275</f>
        <v/>
      </c>
      <c r="T273" t="str">
        <f ca="1">Pyramid!X275</f>
        <v/>
      </c>
    </row>
    <row r="274" spans="1:20">
      <c r="A274" t="str">
        <f ca="1">Pyramid!E276</f>
        <v/>
      </c>
      <c r="B274" t="str">
        <f ca="1">Pyramid!F276</f>
        <v/>
      </c>
      <c r="C274" t="str">
        <f ca="1">Pyramid!G276</f>
        <v/>
      </c>
      <c r="D274" t="str">
        <f ca="1">Pyramid!H276</f>
        <v/>
      </c>
      <c r="E274" t="str">
        <f ca="1">Pyramid!I276</f>
        <v/>
      </c>
      <c r="F274" t="str">
        <f ca="1">Pyramid!J276</f>
        <v/>
      </c>
      <c r="G274" t="str">
        <f ca="1">Pyramid!K276</f>
        <v/>
      </c>
      <c r="H274" t="str">
        <f ca="1">Pyramid!L276</f>
        <v>27760 HK Equity</v>
      </c>
      <c r="I274" t="str">
        <f>Pyramid!M276</f>
        <v>30/8/2016</v>
      </c>
      <c r="J274">
        <f ca="1">Pyramid!N276</f>
        <v>1</v>
      </c>
      <c r="K274">
        <f ca="1">Pyramid!O276</f>
        <v>21500</v>
      </c>
      <c r="L274">
        <f ca="1">Pyramid!P276</f>
        <v>0</v>
      </c>
      <c r="M274" t="str">
        <f>Pyramid!Q276</f>
        <v>30/8/2016</v>
      </c>
      <c r="N274" t="str">
        <f ca="1">Pyramid!R276</f>
        <v/>
      </c>
      <c r="O274" t="str">
        <f ca="1">Pyramid!S276</f>
        <v/>
      </c>
      <c r="P274" t="str">
        <f ca="1">Pyramid!T276</f>
        <v/>
      </c>
      <c r="Q274" t="str">
        <f ca="1">Pyramid!U276</f>
        <v/>
      </c>
      <c r="R274" t="str">
        <f ca="1">Pyramid!V276</f>
        <v/>
      </c>
      <c r="S274" t="str">
        <f ca="1">Pyramid!W276</f>
        <v/>
      </c>
      <c r="T274" t="str">
        <f ca="1">Pyramid!X276</f>
        <v/>
      </c>
    </row>
    <row r="275" spans="1:20">
      <c r="A275" t="str">
        <f ca="1">Pyramid!E277</f>
        <v/>
      </c>
      <c r="B275" t="str">
        <f ca="1">Pyramid!F277</f>
        <v/>
      </c>
      <c r="C275" t="str">
        <f ca="1">Pyramid!G277</f>
        <v/>
      </c>
      <c r="D275" t="str">
        <f ca="1">Pyramid!H277</f>
        <v/>
      </c>
      <c r="E275" t="str">
        <f ca="1">Pyramid!I277</f>
        <v/>
      </c>
      <c r="F275" t="str">
        <f ca="1">Pyramid!J277</f>
        <v/>
      </c>
      <c r="G275" t="str">
        <f ca="1">Pyramid!K277</f>
        <v/>
      </c>
      <c r="H275" t="str">
        <f ca="1">Pyramid!L277</f>
        <v/>
      </c>
      <c r="I275" t="str">
        <f>Pyramid!M277</f>
        <v>29/9/2016</v>
      </c>
      <c r="J275">
        <f ca="1">Pyramid!N277</f>
        <v>0</v>
      </c>
      <c r="K275">
        <f ca="1">Pyramid!O277</f>
        <v>21500</v>
      </c>
      <c r="L275">
        <f ca="1">Pyramid!P277</f>
        <v>0</v>
      </c>
      <c r="M275" t="str">
        <f>Pyramid!Q277</f>
        <v>29/9/2016</v>
      </c>
      <c r="N275" t="str">
        <f ca="1">Pyramid!R277</f>
        <v/>
      </c>
      <c r="O275" t="str">
        <f ca="1">Pyramid!S277</f>
        <v/>
      </c>
      <c r="P275" t="str">
        <f ca="1">Pyramid!T277</f>
        <v/>
      </c>
      <c r="Q275" t="str">
        <f ca="1">Pyramid!U277</f>
        <v/>
      </c>
      <c r="R275" t="str">
        <f ca="1">Pyramid!V277</f>
        <v/>
      </c>
      <c r="S275" t="str">
        <f ca="1">Pyramid!W277</f>
        <v/>
      </c>
      <c r="T275" t="str">
        <f ca="1">Pyramid!X277</f>
        <v/>
      </c>
    </row>
    <row r="276" spans="1:20">
      <c r="A276" t="str">
        <f ca="1">Pyramid!E278</f>
        <v/>
      </c>
      <c r="B276" t="str">
        <f ca="1">Pyramid!F278</f>
        <v/>
      </c>
      <c r="C276" t="str">
        <f ca="1">Pyramid!G278</f>
        <v/>
      </c>
      <c r="D276" t="str">
        <f ca="1">Pyramid!H278</f>
        <v/>
      </c>
      <c r="E276" t="str">
        <f ca="1">Pyramid!I278</f>
        <v/>
      </c>
      <c r="F276" t="str">
        <f ca="1">Pyramid!J278</f>
        <v/>
      </c>
      <c r="G276" t="str">
        <f ca="1">Pyramid!K278</f>
        <v/>
      </c>
      <c r="H276" t="str">
        <f ca="1">Pyramid!L278</f>
        <v/>
      </c>
      <c r="I276" t="str">
        <f>Pyramid!M278</f>
        <v>28/10/2016</v>
      </c>
      <c r="J276">
        <f ca="1">Pyramid!N278</f>
        <v>0</v>
      </c>
      <c r="K276">
        <f ca="1">Pyramid!O278</f>
        <v>21500</v>
      </c>
      <c r="L276">
        <f ca="1">Pyramid!P278</f>
        <v>0</v>
      </c>
      <c r="M276" t="str">
        <f>Pyramid!Q278</f>
        <v>28/10/2016</v>
      </c>
      <c r="N276" t="str">
        <f ca="1">Pyramid!R278</f>
        <v/>
      </c>
      <c r="O276" t="str">
        <f ca="1">Pyramid!S278</f>
        <v/>
      </c>
      <c r="P276" t="str">
        <f ca="1">Pyramid!T278</f>
        <v/>
      </c>
      <c r="Q276" t="str">
        <f ca="1">Pyramid!U278</f>
        <v/>
      </c>
      <c r="R276" t="str">
        <f ca="1">Pyramid!V278</f>
        <v/>
      </c>
      <c r="S276" t="str">
        <f ca="1">Pyramid!W278</f>
        <v/>
      </c>
      <c r="T276" t="str">
        <f ca="1">Pyramid!X278</f>
        <v/>
      </c>
    </row>
    <row r="277" spans="1:20">
      <c r="A277" t="str">
        <f ca="1">Pyramid!E279</f>
        <v/>
      </c>
      <c r="B277" t="str">
        <f ca="1">Pyramid!F279</f>
        <v/>
      </c>
      <c r="C277" t="str">
        <f ca="1">Pyramid!G279</f>
        <v/>
      </c>
      <c r="D277" t="str">
        <f ca="1">Pyramid!H279</f>
        <v/>
      </c>
      <c r="E277" t="str">
        <f ca="1">Pyramid!I279</f>
        <v/>
      </c>
      <c r="F277" t="str">
        <f ca="1">Pyramid!J279</f>
        <v/>
      </c>
      <c r="G277" t="str">
        <f ca="1">Pyramid!K279</f>
        <v/>
      </c>
      <c r="H277" t="str">
        <f ca="1">Pyramid!L279</f>
        <v/>
      </c>
      <c r="I277" t="str">
        <f>Pyramid!M279</f>
        <v>29/6/2016</v>
      </c>
      <c r="J277">
        <f ca="1">Pyramid!N279</f>
        <v>0</v>
      </c>
      <c r="K277">
        <f ca="1">Pyramid!O279</f>
        <v>21600</v>
      </c>
      <c r="L277">
        <f ca="1">Pyramid!P279</f>
        <v>2</v>
      </c>
      <c r="M277" t="str">
        <f>Pyramid!Q279</f>
        <v>29/6/2016</v>
      </c>
      <c r="N277" t="str">
        <f ca="1">Pyramid!R279</f>
        <v>24831 HK Equity</v>
      </c>
      <c r="O277" t="str">
        <f ca="1">Pyramid!S279</f>
        <v>23524 HK Equity</v>
      </c>
      <c r="P277" t="str">
        <f ca="1">Pyramid!T279</f>
        <v/>
      </c>
      <c r="Q277" t="str">
        <f ca="1">Pyramid!U279</f>
        <v/>
      </c>
      <c r="R277" t="str">
        <f ca="1">Pyramid!V279</f>
        <v/>
      </c>
      <c r="S277" t="str">
        <f ca="1">Pyramid!W279</f>
        <v/>
      </c>
      <c r="T277" t="str">
        <f ca="1">Pyramid!X279</f>
        <v/>
      </c>
    </row>
    <row r="278" spans="1:20">
      <c r="A278" t="str">
        <f ca="1">Pyramid!E280</f>
        <v/>
      </c>
      <c r="B278" t="str">
        <f ca="1">Pyramid!F280</f>
        <v/>
      </c>
      <c r="C278" t="str">
        <f ca="1">Pyramid!G280</f>
        <v/>
      </c>
      <c r="D278" t="str">
        <f ca="1">Pyramid!H280</f>
        <v/>
      </c>
      <c r="E278" t="str">
        <f ca="1">Pyramid!I280</f>
        <v/>
      </c>
      <c r="F278" t="str">
        <f ca="1">Pyramid!J280</f>
        <v/>
      </c>
      <c r="G278" t="str">
        <f ca="1">Pyramid!K280</f>
        <v>24984 HK Equity</v>
      </c>
      <c r="H278" t="str">
        <f ca="1">Pyramid!L280</f>
        <v>25447 HK Equity</v>
      </c>
      <c r="I278" t="str">
        <f>Pyramid!M280</f>
        <v>28/7/2016</v>
      </c>
      <c r="J278">
        <f ca="1">Pyramid!N280</f>
        <v>2</v>
      </c>
      <c r="K278">
        <f ca="1">Pyramid!O280</f>
        <v>21600</v>
      </c>
      <c r="L278">
        <f ca="1">Pyramid!P280</f>
        <v>1</v>
      </c>
      <c r="M278" t="str">
        <f>Pyramid!Q280</f>
        <v>28/7/2016</v>
      </c>
      <c r="N278" t="str">
        <f ca="1">Pyramid!R280</f>
        <v>27608 HK Equity</v>
      </c>
      <c r="O278" t="str">
        <f ca="1">Pyramid!S280</f>
        <v/>
      </c>
      <c r="P278" t="str">
        <f ca="1">Pyramid!T280</f>
        <v/>
      </c>
      <c r="Q278" t="str">
        <f ca="1">Pyramid!U280</f>
        <v/>
      </c>
      <c r="R278" t="str">
        <f ca="1">Pyramid!V280</f>
        <v/>
      </c>
      <c r="S278" t="str">
        <f ca="1">Pyramid!W280</f>
        <v/>
      </c>
      <c r="T278" t="str">
        <f ca="1">Pyramid!X280</f>
        <v/>
      </c>
    </row>
    <row r="279" spans="1:20">
      <c r="A279" t="str">
        <f ca="1">Pyramid!E281</f>
        <v/>
      </c>
      <c r="B279" t="str">
        <f ca="1">Pyramid!F281</f>
        <v/>
      </c>
      <c r="C279" t="str">
        <f ca="1">Pyramid!G281</f>
        <v/>
      </c>
      <c r="D279" t="str">
        <f ca="1">Pyramid!H281</f>
        <v/>
      </c>
      <c r="E279" t="str">
        <f ca="1">Pyramid!I281</f>
        <v/>
      </c>
      <c r="F279" t="str">
        <f ca="1">Pyramid!J281</f>
        <v/>
      </c>
      <c r="G279" t="str">
        <f ca="1">Pyramid!K281</f>
        <v/>
      </c>
      <c r="H279" t="str">
        <f ca="1">Pyramid!L281</f>
        <v/>
      </c>
      <c r="I279" t="str">
        <f>Pyramid!M281</f>
        <v>30/8/2016</v>
      </c>
      <c r="J279">
        <f ca="1">Pyramid!N281</f>
        <v>0</v>
      </c>
      <c r="K279">
        <f ca="1">Pyramid!O281</f>
        <v>21600</v>
      </c>
      <c r="L279">
        <f ca="1">Pyramid!P281</f>
        <v>0</v>
      </c>
      <c r="M279" t="str">
        <f>Pyramid!Q281</f>
        <v>30/8/2016</v>
      </c>
      <c r="N279" t="str">
        <f ca="1">Pyramid!R281</f>
        <v/>
      </c>
      <c r="O279" t="str">
        <f ca="1">Pyramid!S281</f>
        <v/>
      </c>
      <c r="P279" t="str">
        <f ca="1">Pyramid!T281</f>
        <v/>
      </c>
      <c r="Q279" t="str">
        <f ca="1">Pyramid!U281</f>
        <v/>
      </c>
      <c r="R279" t="str">
        <f ca="1">Pyramid!V281</f>
        <v/>
      </c>
      <c r="S279" t="str">
        <f ca="1">Pyramid!W281</f>
        <v/>
      </c>
      <c r="T279" t="str">
        <f ca="1">Pyramid!X281</f>
        <v/>
      </c>
    </row>
    <row r="280" spans="1:20">
      <c r="A280" t="str">
        <f ca="1">Pyramid!E282</f>
        <v/>
      </c>
      <c r="B280" t="str">
        <f ca="1">Pyramid!F282</f>
        <v/>
      </c>
      <c r="C280" t="str">
        <f ca="1">Pyramid!G282</f>
        <v/>
      </c>
      <c r="D280" t="str">
        <f ca="1">Pyramid!H282</f>
        <v/>
      </c>
      <c r="E280" t="str">
        <f ca="1">Pyramid!I282</f>
        <v/>
      </c>
      <c r="F280" t="str">
        <f ca="1">Pyramid!J282</f>
        <v/>
      </c>
      <c r="G280" t="str">
        <f ca="1">Pyramid!K282</f>
        <v/>
      </c>
      <c r="H280" t="str">
        <f ca="1">Pyramid!L282</f>
        <v/>
      </c>
      <c r="I280" t="str">
        <f>Pyramid!M282</f>
        <v>29/9/2016</v>
      </c>
      <c r="J280">
        <f ca="1">Pyramid!N282</f>
        <v>0</v>
      </c>
      <c r="K280">
        <f ca="1">Pyramid!O282</f>
        <v>21600</v>
      </c>
      <c r="L280">
        <f ca="1">Pyramid!P282</f>
        <v>0</v>
      </c>
      <c r="M280" t="str">
        <f>Pyramid!Q282</f>
        <v>29/9/2016</v>
      </c>
      <c r="N280" t="str">
        <f ca="1">Pyramid!R282</f>
        <v/>
      </c>
      <c r="O280" t="str">
        <f ca="1">Pyramid!S282</f>
        <v/>
      </c>
      <c r="P280" t="str">
        <f ca="1">Pyramid!T282</f>
        <v/>
      </c>
      <c r="Q280" t="str">
        <f ca="1">Pyramid!U282</f>
        <v/>
      </c>
      <c r="R280" t="str">
        <f ca="1">Pyramid!V282</f>
        <v/>
      </c>
      <c r="S280" t="str">
        <f ca="1">Pyramid!W282</f>
        <v/>
      </c>
      <c r="T280" t="str">
        <f ca="1">Pyramid!X282</f>
        <v/>
      </c>
    </row>
    <row r="281" spans="1:20">
      <c r="A281" t="str">
        <f ca="1">Pyramid!E283</f>
        <v/>
      </c>
      <c r="B281" t="str">
        <f ca="1">Pyramid!F283</f>
        <v/>
      </c>
      <c r="C281" t="str">
        <f ca="1">Pyramid!G283</f>
        <v/>
      </c>
      <c r="D281" t="str">
        <f ca="1">Pyramid!H283</f>
        <v/>
      </c>
      <c r="E281" t="str">
        <f ca="1">Pyramid!I283</f>
        <v/>
      </c>
      <c r="F281" t="str">
        <f ca="1">Pyramid!J283</f>
        <v/>
      </c>
      <c r="G281" t="str">
        <f ca="1">Pyramid!K283</f>
        <v/>
      </c>
      <c r="H281" t="str">
        <f ca="1">Pyramid!L283</f>
        <v/>
      </c>
      <c r="I281" t="str">
        <f>Pyramid!M283</f>
        <v>28/10/2016</v>
      </c>
      <c r="J281">
        <f ca="1">Pyramid!N283</f>
        <v>0</v>
      </c>
      <c r="K281">
        <f ca="1">Pyramid!O283</f>
        <v>21600</v>
      </c>
      <c r="L281">
        <f ca="1">Pyramid!P283</f>
        <v>0</v>
      </c>
      <c r="M281" t="str">
        <f>Pyramid!Q283</f>
        <v>28/10/2016</v>
      </c>
      <c r="N281" t="str">
        <f ca="1">Pyramid!R283</f>
        <v/>
      </c>
      <c r="O281" t="str">
        <f ca="1">Pyramid!S283</f>
        <v/>
      </c>
      <c r="P281" t="str">
        <f ca="1">Pyramid!T283</f>
        <v/>
      </c>
      <c r="Q281" t="str">
        <f ca="1">Pyramid!U283</f>
        <v/>
      </c>
      <c r="R281" t="str">
        <f ca="1">Pyramid!V283</f>
        <v/>
      </c>
      <c r="S281" t="str">
        <f ca="1">Pyramid!W283</f>
        <v/>
      </c>
      <c r="T281" t="str">
        <f ca="1">Pyramid!X283</f>
        <v/>
      </c>
    </row>
    <row r="282" spans="1:20">
      <c r="A282" t="str">
        <f ca="1">Pyramid!E284</f>
        <v/>
      </c>
      <c r="B282" t="str">
        <f ca="1">Pyramid!F284</f>
        <v/>
      </c>
      <c r="C282" t="str">
        <f ca="1">Pyramid!G284</f>
        <v/>
      </c>
      <c r="D282" t="str">
        <f ca="1">Pyramid!H284</f>
        <v/>
      </c>
      <c r="E282" t="str">
        <f ca="1">Pyramid!I284</f>
        <v/>
      </c>
      <c r="F282" t="str">
        <f ca="1">Pyramid!J284</f>
        <v/>
      </c>
      <c r="G282" t="str">
        <f ca="1">Pyramid!K284</f>
        <v/>
      </c>
      <c r="H282" t="str">
        <f ca="1">Pyramid!L284</f>
        <v/>
      </c>
      <c r="I282" t="str">
        <f>Pyramid!M284</f>
        <v>29/6/2016</v>
      </c>
      <c r="J282">
        <f ca="1">Pyramid!N284</f>
        <v>0</v>
      </c>
      <c r="K282">
        <f ca="1">Pyramid!O284</f>
        <v>21800</v>
      </c>
      <c r="L282">
        <f ca="1">Pyramid!P284</f>
        <v>0</v>
      </c>
      <c r="M282" t="str">
        <f>Pyramid!Q284</f>
        <v>29/6/2016</v>
      </c>
      <c r="N282" t="str">
        <f ca="1">Pyramid!R284</f>
        <v/>
      </c>
      <c r="O282" t="str">
        <f ca="1">Pyramid!S284</f>
        <v/>
      </c>
      <c r="P282" t="str">
        <f ca="1">Pyramid!T284</f>
        <v/>
      </c>
      <c r="Q282" t="str">
        <f ca="1">Pyramid!U284</f>
        <v/>
      </c>
      <c r="R282" t="str">
        <f ca="1">Pyramid!V284</f>
        <v/>
      </c>
      <c r="S282" t="str">
        <f ca="1">Pyramid!W284</f>
        <v/>
      </c>
      <c r="T282" t="str">
        <f ca="1">Pyramid!X284</f>
        <v/>
      </c>
    </row>
    <row r="283" spans="1:20">
      <c r="A283" t="str">
        <f ca="1">Pyramid!E285</f>
        <v/>
      </c>
      <c r="B283" t="str">
        <f ca="1">Pyramid!F285</f>
        <v/>
      </c>
      <c r="C283" t="str">
        <f ca="1">Pyramid!G285</f>
        <v/>
      </c>
      <c r="D283" t="str">
        <f ca="1">Pyramid!H285</f>
        <v/>
      </c>
      <c r="E283" t="str">
        <f ca="1">Pyramid!I285</f>
        <v/>
      </c>
      <c r="F283" t="str">
        <f ca="1">Pyramid!J285</f>
        <v/>
      </c>
      <c r="G283" t="str">
        <f ca="1">Pyramid!K285</f>
        <v/>
      </c>
      <c r="H283" t="str">
        <f ca="1">Pyramid!L285</f>
        <v/>
      </c>
      <c r="I283" t="str">
        <f>Pyramid!M285</f>
        <v>28/7/2016</v>
      </c>
      <c r="J283">
        <f ca="1">Pyramid!N285</f>
        <v>0</v>
      </c>
      <c r="K283">
        <f ca="1">Pyramid!O285</f>
        <v>21800</v>
      </c>
      <c r="L283">
        <f ca="1">Pyramid!P285</f>
        <v>0</v>
      </c>
      <c r="M283" t="str">
        <f>Pyramid!Q285</f>
        <v>28/7/2016</v>
      </c>
      <c r="N283" t="str">
        <f ca="1">Pyramid!R285</f>
        <v/>
      </c>
      <c r="O283" t="str">
        <f ca="1">Pyramid!S285</f>
        <v/>
      </c>
      <c r="P283" t="str">
        <f ca="1">Pyramid!T285</f>
        <v/>
      </c>
      <c r="Q283" t="str">
        <f ca="1">Pyramid!U285</f>
        <v/>
      </c>
      <c r="R283" t="str">
        <f ca="1">Pyramid!V285</f>
        <v/>
      </c>
      <c r="S283" t="str">
        <f ca="1">Pyramid!W285</f>
        <v/>
      </c>
      <c r="T283" t="str">
        <f ca="1">Pyramid!X285</f>
        <v/>
      </c>
    </row>
    <row r="284" spans="1:20">
      <c r="A284" t="str">
        <f ca="1">Pyramid!E286</f>
        <v/>
      </c>
      <c r="B284" t="str">
        <f ca="1">Pyramid!F286</f>
        <v/>
      </c>
      <c r="C284" t="str">
        <f ca="1">Pyramid!G286</f>
        <v/>
      </c>
      <c r="D284" t="str">
        <f ca="1">Pyramid!H286</f>
        <v/>
      </c>
      <c r="E284" t="str">
        <f ca="1">Pyramid!I286</f>
        <v/>
      </c>
      <c r="F284" t="str">
        <f ca="1">Pyramid!J286</f>
        <v/>
      </c>
      <c r="G284" t="str">
        <f ca="1">Pyramid!K286</f>
        <v/>
      </c>
      <c r="H284" t="str">
        <f ca="1">Pyramid!L286</f>
        <v/>
      </c>
      <c r="I284" t="str">
        <f>Pyramid!M286</f>
        <v>30/8/2016</v>
      </c>
      <c r="J284">
        <f ca="1">Pyramid!N286</f>
        <v>0</v>
      </c>
      <c r="K284">
        <f ca="1">Pyramid!O286</f>
        <v>21800</v>
      </c>
      <c r="L284">
        <f ca="1">Pyramid!P286</f>
        <v>0</v>
      </c>
      <c r="M284" t="str">
        <f>Pyramid!Q286</f>
        <v>30/8/2016</v>
      </c>
      <c r="N284" t="str">
        <f ca="1">Pyramid!R286</f>
        <v/>
      </c>
      <c r="O284" t="str">
        <f ca="1">Pyramid!S286</f>
        <v/>
      </c>
      <c r="P284" t="str">
        <f ca="1">Pyramid!T286</f>
        <v/>
      </c>
      <c r="Q284" t="str">
        <f ca="1">Pyramid!U286</f>
        <v/>
      </c>
      <c r="R284" t="str">
        <f ca="1">Pyramid!V286</f>
        <v/>
      </c>
      <c r="S284" t="str">
        <f ca="1">Pyramid!W286</f>
        <v/>
      </c>
      <c r="T284" t="str">
        <f ca="1">Pyramid!X286</f>
        <v/>
      </c>
    </row>
    <row r="285" spans="1:20">
      <c r="A285" t="str">
        <f ca="1">Pyramid!E287</f>
        <v/>
      </c>
      <c r="B285" t="str">
        <f ca="1">Pyramid!F287</f>
        <v/>
      </c>
      <c r="C285" t="str">
        <f ca="1">Pyramid!G287</f>
        <v/>
      </c>
      <c r="D285" t="str">
        <f ca="1">Pyramid!H287</f>
        <v/>
      </c>
      <c r="E285" t="str">
        <f ca="1">Pyramid!I287</f>
        <v/>
      </c>
      <c r="F285" t="str">
        <f ca="1">Pyramid!J287</f>
        <v/>
      </c>
      <c r="G285" t="str">
        <f ca="1">Pyramid!K287</f>
        <v/>
      </c>
      <c r="H285" t="str">
        <f ca="1">Pyramid!L287</f>
        <v/>
      </c>
      <c r="I285" t="str">
        <f>Pyramid!M287</f>
        <v>29/9/2016</v>
      </c>
      <c r="J285">
        <f ca="1">Pyramid!N287</f>
        <v>0</v>
      </c>
      <c r="K285">
        <f ca="1">Pyramid!O287</f>
        <v>21800</v>
      </c>
      <c r="L285">
        <f ca="1">Pyramid!P287</f>
        <v>0</v>
      </c>
      <c r="M285" t="str">
        <f>Pyramid!Q287</f>
        <v>29/9/2016</v>
      </c>
      <c r="N285" t="str">
        <f ca="1">Pyramid!R287</f>
        <v/>
      </c>
      <c r="O285" t="str">
        <f ca="1">Pyramid!S287</f>
        <v/>
      </c>
      <c r="P285" t="str">
        <f ca="1">Pyramid!T287</f>
        <v/>
      </c>
      <c r="Q285" t="str">
        <f ca="1">Pyramid!U287</f>
        <v/>
      </c>
      <c r="R285" t="str">
        <f ca="1">Pyramid!V287</f>
        <v/>
      </c>
      <c r="S285" t="str">
        <f ca="1">Pyramid!W287</f>
        <v/>
      </c>
      <c r="T285" t="str">
        <f ca="1">Pyramid!X287</f>
        <v/>
      </c>
    </row>
    <row r="286" spans="1:20">
      <c r="A286" t="str">
        <f ca="1">Pyramid!E288</f>
        <v/>
      </c>
      <c r="B286" t="str">
        <f ca="1">Pyramid!F288</f>
        <v/>
      </c>
      <c r="C286" t="str">
        <f ca="1">Pyramid!G288</f>
        <v>27351 HK Equity</v>
      </c>
      <c r="D286" t="str">
        <f ca="1">Pyramid!H288</f>
        <v>27280 HK Equity</v>
      </c>
      <c r="E286" t="str">
        <f ca="1">Pyramid!I288</f>
        <v>27321 HK Equity</v>
      </c>
      <c r="F286" t="str">
        <f ca="1">Pyramid!J288</f>
        <v>27077 HK Equity</v>
      </c>
      <c r="G286" t="str">
        <f ca="1">Pyramid!K288</f>
        <v>27438 HK Equity</v>
      </c>
      <c r="H286" t="str">
        <f ca="1">Pyramid!L288</f>
        <v>27177 HK Equity</v>
      </c>
      <c r="I286" t="str">
        <f>Pyramid!M288</f>
        <v>28/10/2016</v>
      </c>
      <c r="J286">
        <f ca="1">Pyramid!N288</f>
        <v>6</v>
      </c>
      <c r="K286">
        <f ca="1">Pyramid!O288</f>
        <v>21800</v>
      </c>
      <c r="L286">
        <f ca="1">Pyramid!P288</f>
        <v>0</v>
      </c>
      <c r="M286" t="str">
        <f>Pyramid!Q288</f>
        <v>28/10/2016</v>
      </c>
      <c r="N286" t="str">
        <f ca="1">Pyramid!R288</f>
        <v/>
      </c>
      <c r="O286" t="str">
        <f ca="1">Pyramid!S288</f>
        <v/>
      </c>
      <c r="P286" t="str">
        <f ca="1">Pyramid!T288</f>
        <v/>
      </c>
      <c r="Q286" t="str">
        <f ca="1">Pyramid!U288</f>
        <v/>
      </c>
      <c r="R286" t="str">
        <f ca="1">Pyramid!V288</f>
        <v/>
      </c>
      <c r="S286" t="str">
        <f ca="1">Pyramid!W288</f>
        <v/>
      </c>
      <c r="T286" t="str">
        <f ca="1">Pyramid!X288</f>
        <v/>
      </c>
    </row>
    <row r="287" spans="1:20">
      <c r="A287" t="str">
        <f ca="1">Pyramid!E289</f>
        <v/>
      </c>
      <c r="B287" t="str">
        <f ca="1">Pyramid!F289</f>
        <v/>
      </c>
      <c r="C287" t="str">
        <f ca="1">Pyramid!G289</f>
        <v/>
      </c>
      <c r="D287" t="str">
        <f ca="1">Pyramid!H289</f>
        <v/>
      </c>
      <c r="E287" t="str">
        <f ca="1">Pyramid!I289</f>
        <v/>
      </c>
      <c r="F287" t="str">
        <f ca="1">Pyramid!J289</f>
        <v/>
      </c>
      <c r="G287" t="str">
        <f ca="1">Pyramid!K289</f>
        <v/>
      </c>
      <c r="H287" t="str">
        <f ca="1">Pyramid!L289</f>
        <v/>
      </c>
      <c r="I287" t="str">
        <f>Pyramid!M289</f>
        <v>29/6/2016</v>
      </c>
      <c r="J287">
        <f ca="1">Pyramid!N289</f>
        <v>0</v>
      </c>
      <c r="K287">
        <f ca="1">Pyramid!O289</f>
        <v>21900</v>
      </c>
      <c r="L287">
        <f ca="1">Pyramid!P289</f>
        <v>0</v>
      </c>
      <c r="M287" t="str">
        <f>Pyramid!Q289</f>
        <v>29/6/2016</v>
      </c>
      <c r="N287" t="str">
        <f ca="1">Pyramid!R289</f>
        <v/>
      </c>
      <c r="O287" t="str">
        <f ca="1">Pyramid!S289</f>
        <v/>
      </c>
      <c r="P287" t="str">
        <f ca="1">Pyramid!T289</f>
        <v/>
      </c>
      <c r="Q287" t="str">
        <f ca="1">Pyramid!U289</f>
        <v/>
      </c>
      <c r="R287" t="str">
        <f ca="1">Pyramid!V289</f>
        <v/>
      </c>
      <c r="S287" t="str">
        <f ca="1">Pyramid!W289</f>
        <v/>
      </c>
      <c r="T287" t="str">
        <f ca="1">Pyramid!X289</f>
        <v/>
      </c>
    </row>
    <row r="288" spans="1:20">
      <c r="A288" t="str">
        <f ca="1">Pyramid!E290</f>
        <v/>
      </c>
      <c r="B288" t="str">
        <f ca="1">Pyramid!F290</f>
        <v/>
      </c>
      <c r="C288" t="str">
        <f ca="1">Pyramid!G290</f>
        <v/>
      </c>
      <c r="D288" t="str">
        <f ca="1">Pyramid!H290</f>
        <v/>
      </c>
      <c r="E288" t="str">
        <f ca="1">Pyramid!I290</f>
        <v/>
      </c>
      <c r="F288" t="str">
        <f ca="1">Pyramid!J290</f>
        <v/>
      </c>
      <c r="G288" t="str">
        <f ca="1">Pyramid!K290</f>
        <v/>
      </c>
      <c r="H288" t="str">
        <f ca="1">Pyramid!L290</f>
        <v/>
      </c>
      <c r="I288" t="str">
        <f>Pyramid!M290</f>
        <v>28/7/2016</v>
      </c>
      <c r="J288">
        <f ca="1">Pyramid!N290</f>
        <v>0</v>
      </c>
      <c r="K288">
        <f ca="1">Pyramid!O290</f>
        <v>21900</v>
      </c>
      <c r="L288">
        <f ca="1">Pyramid!P290</f>
        <v>0</v>
      </c>
      <c r="M288" t="str">
        <f>Pyramid!Q290</f>
        <v>28/7/2016</v>
      </c>
      <c r="N288" t="str">
        <f ca="1">Pyramid!R290</f>
        <v/>
      </c>
      <c r="O288" t="str">
        <f ca="1">Pyramid!S290</f>
        <v/>
      </c>
      <c r="P288" t="str">
        <f ca="1">Pyramid!T290</f>
        <v/>
      </c>
      <c r="Q288" t="str">
        <f ca="1">Pyramid!U290</f>
        <v/>
      </c>
      <c r="R288" t="str">
        <f ca="1">Pyramid!V290</f>
        <v/>
      </c>
      <c r="S288" t="str">
        <f ca="1">Pyramid!W290</f>
        <v/>
      </c>
      <c r="T288" t="str">
        <f ca="1">Pyramid!X290</f>
        <v/>
      </c>
    </row>
    <row r="289" spans="1:20">
      <c r="A289" t="str">
        <f ca="1">Pyramid!E291</f>
        <v/>
      </c>
      <c r="B289" t="str">
        <f ca="1">Pyramid!F291</f>
        <v/>
      </c>
      <c r="C289" t="str">
        <f ca="1">Pyramid!G291</f>
        <v/>
      </c>
      <c r="D289" t="str">
        <f ca="1">Pyramid!H291</f>
        <v/>
      </c>
      <c r="E289" t="str">
        <f ca="1">Pyramid!I291</f>
        <v/>
      </c>
      <c r="F289" t="str">
        <f ca="1">Pyramid!J291</f>
        <v/>
      </c>
      <c r="G289" t="str">
        <f ca="1">Pyramid!K291</f>
        <v/>
      </c>
      <c r="H289" t="str">
        <f ca="1">Pyramid!L291</f>
        <v/>
      </c>
      <c r="I289" t="str">
        <f>Pyramid!M291</f>
        <v>30/8/2016</v>
      </c>
      <c r="J289">
        <f ca="1">Pyramid!N291</f>
        <v>0</v>
      </c>
      <c r="K289">
        <f ca="1">Pyramid!O291</f>
        <v>21900</v>
      </c>
      <c r="L289">
        <f ca="1">Pyramid!P291</f>
        <v>0</v>
      </c>
      <c r="M289" t="str">
        <f>Pyramid!Q291</f>
        <v>30/8/2016</v>
      </c>
      <c r="N289" t="str">
        <f ca="1">Pyramid!R291</f>
        <v/>
      </c>
      <c r="O289" t="str">
        <f ca="1">Pyramid!S291</f>
        <v/>
      </c>
      <c r="P289" t="str">
        <f ca="1">Pyramid!T291</f>
        <v/>
      </c>
      <c r="Q289" t="str">
        <f ca="1">Pyramid!U291</f>
        <v/>
      </c>
      <c r="R289" t="str">
        <f ca="1">Pyramid!V291</f>
        <v/>
      </c>
      <c r="S289" t="str">
        <f ca="1">Pyramid!W291</f>
        <v/>
      </c>
      <c r="T289" t="str">
        <f ca="1">Pyramid!X291</f>
        <v/>
      </c>
    </row>
    <row r="290" spans="1:20">
      <c r="A290" t="str">
        <f ca="1">Pyramid!E292</f>
        <v/>
      </c>
      <c r="B290" t="str">
        <f ca="1">Pyramid!F292</f>
        <v/>
      </c>
      <c r="C290" t="str">
        <f ca="1">Pyramid!G292</f>
        <v/>
      </c>
      <c r="D290" t="str">
        <f ca="1">Pyramid!H292</f>
        <v/>
      </c>
      <c r="E290" t="str">
        <f ca="1">Pyramid!I292</f>
        <v/>
      </c>
      <c r="F290" t="str">
        <f ca="1">Pyramid!J292</f>
        <v/>
      </c>
      <c r="G290" t="str">
        <f ca="1">Pyramid!K292</f>
        <v/>
      </c>
      <c r="H290" t="str">
        <f ca="1">Pyramid!L292</f>
        <v/>
      </c>
      <c r="I290" t="str">
        <f>Pyramid!M292</f>
        <v>29/9/2016</v>
      </c>
      <c r="J290">
        <f ca="1">Pyramid!N292</f>
        <v>0</v>
      </c>
      <c r="K290">
        <f ca="1">Pyramid!O292</f>
        <v>21900</v>
      </c>
      <c r="L290">
        <f ca="1">Pyramid!P292</f>
        <v>0</v>
      </c>
      <c r="M290" t="str">
        <f>Pyramid!Q292</f>
        <v>29/9/2016</v>
      </c>
      <c r="N290" t="str">
        <f ca="1">Pyramid!R292</f>
        <v/>
      </c>
      <c r="O290" t="str">
        <f ca="1">Pyramid!S292</f>
        <v/>
      </c>
      <c r="P290" t="str">
        <f ca="1">Pyramid!T292</f>
        <v/>
      </c>
      <c r="Q290" t="str">
        <f ca="1">Pyramid!U292</f>
        <v/>
      </c>
      <c r="R290" t="str">
        <f ca="1">Pyramid!V292</f>
        <v/>
      </c>
      <c r="S290" t="str">
        <f ca="1">Pyramid!W292</f>
        <v/>
      </c>
      <c r="T290" t="str">
        <f ca="1">Pyramid!X292</f>
        <v/>
      </c>
    </row>
    <row r="291" spans="1:20">
      <c r="A291" t="str">
        <f ca="1">Pyramid!E293</f>
        <v/>
      </c>
      <c r="B291" t="str">
        <f ca="1">Pyramid!F293</f>
        <v/>
      </c>
      <c r="C291" t="str">
        <f ca="1">Pyramid!G293</f>
        <v/>
      </c>
      <c r="D291" t="str">
        <f ca="1">Pyramid!H293</f>
        <v/>
      </c>
      <c r="E291" t="str">
        <f ca="1">Pyramid!I293</f>
        <v/>
      </c>
      <c r="F291" t="str">
        <f ca="1">Pyramid!J293</f>
        <v/>
      </c>
      <c r="G291" t="str">
        <f ca="1">Pyramid!K293</f>
        <v/>
      </c>
      <c r="H291" t="str">
        <f ca="1">Pyramid!L293</f>
        <v>27894 HK Equity</v>
      </c>
      <c r="I291" t="str">
        <f>Pyramid!M293</f>
        <v>28/10/2016</v>
      </c>
      <c r="J291">
        <f ca="1">Pyramid!N293</f>
        <v>1</v>
      </c>
      <c r="K291">
        <f ca="1">Pyramid!O293</f>
        <v>21900</v>
      </c>
      <c r="L291">
        <f ca="1">Pyramid!P293</f>
        <v>0</v>
      </c>
      <c r="M291" t="str">
        <f>Pyramid!Q293</f>
        <v>28/10/2016</v>
      </c>
      <c r="N291" t="str">
        <f ca="1">Pyramid!R293</f>
        <v/>
      </c>
      <c r="O291" t="str">
        <f ca="1">Pyramid!S293</f>
        <v/>
      </c>
      <c r="P291" t="str">
        <f ca="1">Pyramid!T293</f>
        <v/>
      </c>
      <c r="Q291" t="str">
        <f ca="1">Pyramid!U293</f>
        <v/>
      </c>
      <c r="R291" t="str">
        <f ca="1">Pyramid!V293</f>
        <v/>
      </c>
      <c r="S291" t="str">
        <f ca="1">Pyramid!W293</f>
        <v/>
      </c>
      <c r="T291" t="str">
        <f ca="1">Pyramid!X293</f>
        <v/>
      </c>
    </row>
    <row r="292" spans="1:20">
      <c r="A292" t="str">
        <f ca="1">Pyramid!E294</f>
        <v/>
      </c>
      <c r="B292" t="str">
        <f ca="1">Pyramid!F294</f>
        <v/>
      </c>
      <c r="C292" t="str">
        <f ca="1">Pyramid!G294</f>
        <v/>
      </c>
      <c r="D292" t="str">
        <f ca="1">Pyramid!H294</f>
        <v/>
      </c>
      <c r="E292" t="str">
        <f ca="1">Pyramid!I294</f>
        <v/>
      </c>
      <c r="F292" t="str">
        <f ca="1">Pyramid!J294</f>
        <v>24106 HK Equity</v>
      </c>
      <c r="G292" t="str">
        <f ca="1">Pyramid!K294</f>
        <v>24166 HK Equity</v>
      </c>
      <c r="H292" t="str">
        <f ca="1">Pyramid!L294</f>
        <v>23517 HK Equity</v>
      </c>
      <c r="I292" t="str">
        <f>Pyramid!M294</f>
        <v>29/6/2016</v>
      </c>
      <c r="J292">
        <f ca="1">Pyramid!N294</f>
        <v>3</v>
      </c>
      <c r="K292">
        <f ca="1">Pyramid!O294</f>
        <v>22000</v>
      </c>
      <c r="L292">
        <f ca="1">Pyramid!P294</f>
        <v>0</v>
      </c>
      <c r="M292" t="str">
        <f>Pyramid!Q294</f>
        <v>29/6/2016</v>
      </c>
      <c r="N292" t="str">
        <f ca="1">Pyramid!R294</f>
        <v/>
      </c>
      <c r="O292" t="str">
        <f ca="1">Pyramid!S294</f>
        <v/>
      </c>
      <c r="P292" t="str">
        <f ca="1">Pyramid!T294</f>
        <v/>
      </c>
      <c r="Q292" t="str">
        <f ca="1">Pyramid!U294</f>
        <v/>
      </c>
      <c r="R292" t="str">
        <f ca="1">Pyramid!V294</f>
        <v/>
      </c>
      <c r="S292" t="str">
        <f ca="1">Pyramid!W294</f>
        <v/>
      </c>
      <c r="T292" t="str">
        <f ca="1">Pyramid!X294</f>
        <v/>
      </c>
    </row>
    <row r="293" spans="1:20">
      <c r="A293" t="str">
        <f ca="1">Pyramid!E295</f>
        <v/>
      </c>
      <c r="B293" t="str">
        <f ca="1">Pyramid!F295</f>
        <v/>
      </c>
      <c r="C293" t="str">
        <f ca="1">Pyramid!G295</f>
        <v/>
      </c>
      <c r="D293" t="str">
        <f ca="1">Pyramid!H295</f>
        <v/>
      </c>
      <c r="E293" t="str">
        <f ca="1">Pyramid!I295</f>
        <v/>
      </c>
      <c r="F293" t="str">
        <f ca="1">Pyramid!J295</f>
        <v/>
      </c>
      <c r="G293" t="str">
        <f ca="1">Pyramid!K295</f>
        <v/>
      </c>
      <c r="H293" t="str">
        <f ca="1">Pyramid!L295</f>
        <v/>
      </c>
      <c r="I293" t="str">
        <f>Pyramid!M295</f>
        <v>28/7/2016</v>
      </c>
      <c r="J293">
        <f ca="1">Pyramid!N295</f>
        <v>0</v>
      </c>
      <c r="K293">
        <f ca="1">Pyramid!O295</f>
        <v>22000</v>
      </c>
      <c r="L293">
        <f ca="1">Pyramid!P295</f>
        <v>0</v>
      </c>
      <c r="M293" t="str">
        <f>Pyramid!Q295</f>
        <v>28/7/2016</v>
      </c>
      <c r="N293" t="str">
        <f ca="1">Pyramid!R295</f>
        <v/>
      </c>
      <c r="O293" t="str">
        <f ca="1">Pyramid!S295</f>
        <v/>
      </c>
      <c r="P293" t="str">
        <f ca="1">Pyramid!T295</f>
        <v/>
      </c>
      <c r="Q293" t="str">
        <f ca="1">Pyramid!U295</f>
        <v/>
      </c>
      <c r="R293" t="str">
        <f ca="1">Pyramid!V295</f>
        <v/>
      </c>
      <c r="S293" t="str">
        <f ca="1">Pyramid!W295</f>
        <v/>
      </c>
      <c r="T293" t="str">
        <f ca="1">Pyramid!X295</f>
        <v/>
      </c>
    </row>
    <row r="294" spans="1:20">
      <c r="A294" t="str">
        <f ca="1">Pyramid!E296</f>
        <v/>
      </c>
      <c r="B294" t="str">
        <f ca="1">Pyramid!F296</f>
        <v/>
      </c>
      <c r="C294" t="str">
        <f ca="1">Pyramid!G296</f>
        <v/>
      </c>
      <c r="D294" t="str">
        <f ca="1">Pyramid!H296</f>
        <v/>
      </c>
      <c r="E294" t="str">
        <f ca="1">Pyramid!I296</f>
        <v/>
      </c>
      <c r="F294" t="str">
        <f ca="1">Pyramid!J296</f>
        <v/>
      </c>
      <c r="G294" t="str">
        <f ca="1">Pyramid!K296</f>
        <v/>
      </c>
      <c r="H294" t="str">
        <f ca="1">Pyramid!L296</f>
        <v/>
      </c>
      <c r="I294" t="str">
        <f>Pyramid!M296</f>
        <v>30/8/2016</v>
      </c>
      <c r="J294">
        <f ca="1">Pyramid!N296</f>
        <v>0</v>
      </c>
      <c r="K294">
        <f ca="1">Pyramid!O296</f>
        <v>22000</v>
      </c>
      <c r="L294">
        <f ca="1">Pyramid!P296</f>
        <v>0</v>
      </c>
      <c r="M294" t="str">
        <f>Pyramid!Q296</f>
        <v>30/8/2016</v>
      </c>
      <c r="N294" t="str">
        <f ca="1">Pyramid!R296</f>
        <v/>
      </c>
      <c r="O294" t="str">
        <f ca="1">Pyramid!S296</f>
        <v/>
      </c>
      <c r="P294" t="str">
        <f ca="1">Pyramid!T296</f>
        <v/>
      </c>
      <c r="Q294" t="str">
        <f ca="1">Pyramid!U296</f>
        <v/>
      </c>
      <c r="R294" t="str">
        <f ca="1">Pyramid!V296</f>
        <v/>
      </c>
      <c r="S294" t="str">
        <f ca="1">Pyramid!W296</f>
        <v/>
      </c>
      <c r="T294" t="str">
        <f ca="1">Pyramid!X296</f>
        <v/>
      </c>
    </row>
    <row r="295" spans="1:20">
      <c r="A295" t="str">
        <f ca="1">Pyramid!E297</f>
        <v/>
      </c>
      <c r="B295" t="str">
        <f ca="1">Pyramid!F297</f>
        <v/>
      </c>
      <c r="C295" t="str">
        <f ca="1">Pyramid!G297</f>
        <v/>
      </c>
      <c r="D295" t="str">
        <f ca="1">Pyramid!H297</f>
        <v/>
      </c>
      <c r="E295" t="str">
        <f ca="1">Pyramid!I297</f>
        <v/>
      </c>
      <c r="F295" t="str">
        <f ca="1">Pyramid!J297</f>
        <v/>
      </c>
      <c r="G295" t="str">
        <f ca="1">Pyramid!K297</f>
        <v/>
      </c>
      <c r="H295" t="str">
        <f ca="1">Pyramid!L297</f>
        <v/>
      </c>
      <c r="I295" t="str">
        <f>Pyramid!M297</f>
        <v>29/9/2016</v>
      </c>
      <c r="J295">
        <f ca="1">Pyramid!N297</f>
        <v>0</v>
      </c>
      <c r="K295">
        <f ca="1">Pyramid!O297</f>
        <v>22000</v>
      </c>
      <c r="L295">
        <f ca="1">Pyramid!P297</f>
        <v>0</v>
      </c>
      <c r="M295" t="str">
        <f>Pyramid!Q297</f>
        <v>29/9/2016</v>
      </c>
      <c r="N295" t="str">
        <f ca="1">Pyramid!R297</f>
        <v/>
      </c>
      <c r="O295" t="str">
        <f ca="1">Pyramid!S297</f>
        <v/>
      </c>
      <c r="P295" t="str">
        <f ca="1">Pyramid!T297</f>
        <v/>
      </c>
      <c r="Q295" t="str">
        <f ca="1">Pyramid!U297</f>
        <v/>
      </c>
      <c r="R295" t="str">
        <f ca="1">Pyramid!V297</f>
        <v/>
      </c>
      <c r="S295" t="str">
        <f ca="1">Pyramid!W297</f>
        <v/>
      </c>
      <c r="T295" t="str">
        <f ca="1">Pyramid!X297</f>
        <v/>
      </c>
    </row>
    <row r="296" spans="1:20">
      <c r="A296" t="str">
        <f ca="1">Pyramid!E298</f>
        <v/>
      </c>
      <c r="B296" t="str">
        <f ca="1">Pyramid!F298</f>
        <v/>
      </c>
      <c r="C296" t="str">
        <f ca="1">Pyramid!G298</f>
        <v/>
      </c>
      <c r="D296" t="str">
        <f ca="1">Pyramid!H298</f>
        <v/>
      </c>
      <c r="E296" t="str">
        <f ca="1">Pyramid!I298</f>
        <v/>
      </c>
      <c r="F296" t="str">
        <f ca="1">Pyramid!J298</f>
        <v/>
      </c>
      <c r="G296" t="str">
        <f ca="1">Pyramid!K298</f>
        <v/>
      </c>
      <c r="H296" t="str">
        <f ca="1">Pyramid!L298</f>
        <v>27157 HK Equity</v>
      </c>
      <c r="I296" t="str">
        <f>Pyramid!M298</f>
        <v>28/10/2016</v>
      </c>
      <c r="J296">
        <f ca="1">Pyramid!N298</f>
        <v>1</v>
      </c>
      <c r="K296">
        <f ca="1">Pyramid!O298</f>
        <v>22000</v>
      </c>
      <c r="L296">
        <f ca="1">Pyramid!P298</f>
        <v>0</v>
      </c>
      <c r="M296" t="str">
        <f>Pyramid!Q298</f>
        <v>28/10/2016</v>
      </c>
      <c r="N296" t="str">
        <f ca="1">Pyramid!R298</f>
        <v/>
      </c>
      <c r="O296" t="str">
        <f ca="1">Pyramid!S298</f>
        <v/>
      </c>
      <c r="P296" t="str">
        <f ca="1">Pyramid!T298</f>
        <v/>
      </c>
      <c r="Q296" t="str">
        <f ca="1">Pyramid!U298</f>
        <v/>
      </c>
      <c r="R296" t="str">
        <f ca="1">Pyramid!V298</f>
        <v/>
      </c>
      <c r="S296" t="str">
        <f ca="1">Pyramid!W298</f>
        <v/>
      </c>
      <c r="T296" t="str">
        <f ca="1">Pyramid!X298</f>
        <v/>
      </c>
    </row>
    <row r="297" spans="1:20">
      <c r="A297" t="str">
        <f ca="1">Pyramid!E299</f>
        <v/>
      </c>
      <c r="B297" t="str">
        <f ca="1">Pyramid!F299</f>
        <v/>
      </c>
      <c r="C297" t="str">
        <f ca="1">Pyramid!G299</f>
        <v/>
      </c>
      <c r="D297" t="str">
        <f ca="1">Pyramid!H299</f>
        <v/>
      </c>
      <c r="E297" t="str">
        <f ca="1">Pyramid!I299</f>
        <v/>
      </c>
      <c r="F297" t="str">
        <f ca="1">Pyramid!J299</f>
        <v/>
      </c>
      <c r="G297" t="str">
        <f ca="1">Pyramid!K299</f>
        <v/>
      </c>
      <c r="H297" t="str">
        <f ca="1">Pyramid!L299</f>
        <v/>
      </c>
      <c r="I297" t="str">
        <f>Pyramid!M299</f>
        <v>29/6/2016</v>
      </c>
      <c r="J297">
        <f ca="1">Pyramid!N299</f>
        <v>0</v>
      </c>
      <c r="K297">
        <f ca="1">Pyramid!O299</f>
        <v>22088</v>
      </c>
      <c r="L297">
        <f ca="1">Pyramid!P299</f>
        <v>0</v>
      </c>
      <c r="M297" t="str">
        <f>Pyramid!Q299</f>
        <v>29/6/2016</v>
      </c>
      <c r="N297" t="str">
        <f ca="1">Pyramid!R299</f>
        <v/>
      </c>
      <c r="O297" t="str">
        <f ca="1">Pyramid!S299</f>
        <v/>
      </c>
      <c r="P297" t="str">
        <f ca="1">Pyramid!T299</f>
        <v/>
      </c>
      <c r="Q297" t="str">
        <f ca="1">Pyramid!U299</f>
        <v/>
      </c>
      <c r="R297" t="str">
        <f ca="1">Pyramid!V299</f>
        <v/>
      </c>
      <c r="S297" t="str">
        <f ca="1">Pyramid!W299</f>
        <v/>
      </c>
      <c r="T297" t="str">
        <f ca="1">Pyramid!X299</f>
        <v/>
      </c>
    </row>
    <row r="298" spans="1:20">
      <c r="A298" t="str">
        <f ca="1">Pyramid!E300</f>
        <v/>
      </c>
      <c r="B298" t="str">
        <f ca="1">Pyramid!F300</f>
        <v/>
      </c>
      <c r="C298" t="str">
        <f ca="1">Pyramid!G300</f>
        <v/>
      </c>
      <c r="D298" t="str">
        <f ca="1">Pyramid!H300</f>
        <v/>
      </c>
      <c r="E298" t="str">
        <f ca="1">Pyramid!I300</f>
        <v/>
      </c>
      <c r="F298" t="str">
        <f ca="1">Pyramid!J300</f>
        <v/>
      </c>
      <c r="G298" t="str">
        <f ca="1">Pyramid!K300</f>
        <v/>
      </c>
      <c r="H298" t="str">
        <f ca="1">Pyramid!L300</f>
        <v/>
      </c>
      <c r="I298" t="str">
        <f>Pyramid!M300</f>
        <v>28/7/2016</v>
      </c>
      <c r="J298">
        <f ca="1">Pyramid!N300</f>
        <v>0</v>
      </c>
      <c r="K298">
        <f ca="1">Pyramid!O300</f>
        <v>22088</v>
      </c>
      <c r="L298">
        <f ca="1">Pyramid!P300</f>
        <v>0</v>
      </c>
      <c r="M298" t="str">
        <f>Pyramid!Q300</f>
        <v>28/7/2016</v>
      </c>
      <c r="N298" t="str">
        <f ca="1">Pyramid!R300</f>
        <v/>
      </c>
      <c r="O298" t="str">
        <f ca="1">Pyramid!S300</f>
        <v/>
      </c>
      <c r="P298" t="str">
        <f ca="1">Pyramid!T300</f>
        <v/>
      </c>
      <c r="Q298" t="str">
        <f ca="1">Pyramid!U300</f>
        <v/>
      </c>
      <c r="R298" t="str">
        <f ca="1">Pyramid!V300</f>
        <v/>
      </c>
      <c r="S298" t="str">
        <f ca="1">Pyramid!W300</f>
        <v/>
      </c>
      <c r="T298" t="str">
        <f ca="1">Pyramid!X300</f>
        <v/>
      </c>
    </row>
    <row r="299" spans="1:20">
      <c r="A299" t="str">
        <f ca="1">Pyramid!E301</f>
        <v/>
      </c>
      <c r="B299" t="str">
        <f ca="1">Pyramid!F301</f>
        <v/>
      </c>
      <c r="C299" t="str">
        <f ca="1">Pyramid!G301</f>
        <v/>
      </c>
      <c r="D299" t="str">
        <f ca="1">Pyramid!H301</f>
        <v/>
      </c>
      <c r="E299" t="str">
        <f ca="1">Pyramid!I301</f>
        <v/>
      </c>
      <c r="F299" t="str">
        <f ca="1">Pyramid!J301</f>
        <v/>
      </c>
      <c r="G299" t="str">
        <f ca="1">Pyramid!K301</f>
        <v/>
      </c>
      <c r="H299" t="str">
        <f ca="1">Pyramid!L301</f>
        <v/>
      </c>
      <c r="I299" t="str">
        <f>Pyramid!M301</f>
        <v>30/8/2016</v>
      </c>
      <c r="J299">
        <f ca="1">Pyramid!N301</f>
        <v>0</v>
      </c>
      <c r="K299">
        <f ca="1">Pyramid!O301</f>
        <v>22088</v>
      </c>
      <c r="L299">
        <f ca="1">Pyramid!P301</f>
        <v>0</v>
      </c>
      <c r="M299" t="str">
        <f>Pyramid!Q301</f>
        <v>30/8/2016</v>
      </c>
      <c r="N299" t="str">
        <f ca="1">Pyramid!R301</f>
        <v/>
      </c>
      <c r="O299" t="str">
        <f ca="1">Pyramid!S301</f>
        <v/>
      </c>
      <c r="P299" t="str">
        <f ca="1">Pyramid!T301</f>
        <v/>
      </c>
      <c r="Q299" t="str">
        <f ca="1">Pyramid!U301</f>
        <v/>
      </c>
      <c r="R299" t="str">
        <f ca="1">Pyramid!V301</f>
        <v/>
      </c>
      <c r="S299" t="str">
        <f ca="1">Pyramid!W301</f>
        <v/>
      </c>
      <c r="T299" t="str">
        <f ca="1">Pyramid!X301</f>
        <v/>
      </c>
    </row>
    <row r="300" spans="1:20">
      <c r="A300" t="str">
        <f ca="1">Pyramid!E302</f>
        <v/>
      </c>
      <c r="B300" t="str">
        <f ca="1">Pyramid!F302</f>
        <v/>
      </c>
      <c r="C300" t="str">
        <f ca="1">Pyramid!G302</f>
        <v/>
      </c>
      <c r="D300" t="str">
        <f ca="1">Pyramid!H302</f>
        <v/>
      </c>
      <c r="E300" t="str">
        <f ca="1">Pyramid!I302</f>
        <v/>
      </c>
      <c r="F300" t="str">
        <f ca="1">Pyramid!J302</f>
        <v/>
      </c>
      <c r="G300" t="str">
        <f ca="1">Pyramid!K302</f>
        <v/>
      </c>
      <c r="H300" t="str">
        <f ca="1">Pyramid!L302</f>
        <v/>
      </c>
      <c r="I300" t="str">
        <f>Pyramid!M302</f>
        <v>29/9/2016</v>
      </c>
      <c r="J300">
        <f ca="1">Pyramid!N302</f>
        <v>0</v>
      </c>
      <c r="K300">
        <f ca="1">Pyramid!O302</f>
        <v>22088</v>
      </c>
      <c r="L300">
        <f ca="1">Pyramid!P302</f>
        <v>0</v>
      </c>
      <c r="M300" t="str">
        <f>Pyramid!Q302</f>
        <v>29/9/2016</v>
      </c>
      <c r="N300" t="str">
        <f ca="1">Pyramid!R302</f>
        <v/>
      </c>
      <c r="O300" t="str">
        <f ca="1">Pyramid!S302</f>
        <v/>
      </c>
      <c r="P300" t="str">
        <f ca="1">Pyramid!T302</f>
        <v/>
      </c>
      <c r="Q300" t="str">
        <f ca="1">Pyramid!U302</f>
        <v/>
      </c>
      <c r="R300" t="str">
        <f ca="1">Pyramid!V302</f>
        <v/>
      </c>
      <c r="S300" t="str">
        <f ca="1">Pyramid!W302</f>
        <v/>
      </c>
      <c r="T300" t="str">
        <f ca="1">Pyramid!X302</f>
        <v/>
      </c>
    </row>
    <row r="301" spans="1:20">
      <c r="A301" t="str">
        <f ca="1">Pyramid!E303</f>
        <v/>
      </c>
      <c r="B301" t="str">
        <f ca="1">Pyramid!F303</f>
        <v/>
      </c>
      <c r="C301" t="str">
        <f ca="1">Pyramid!G303</f>
        <v/>
      </c>
      <c r="D301" t="str">
        <f ca="1">Pyramid!H303</f>
        <v/>
      </c>
      <c r="E301" t="str">
        <f ca="1">Pyramid!I303</f>
        <v/>
      </c>
      <c r="F301" t="str">
        <f ca="1">Pyramid!J303</f>
        <v/>
      </c>
      <c r="G301" t="str">
        <f ca="1">Pyramid!K303</f>
        <v/>
      </c>
      <c r="H301" t="str">
        <f ca="1">Pyramid!L303</f>
        <v/>
      </c>
      <c r="I301" t="str">
        <f>Pyramid!M303</f>
        <v>28/10/2016</v>
      </c>
      <c r="J301">
        <f ca="1">Pyramid!N303</f>
        <v>0</v>
      </c>
      <c r="K301">
        <f ca="1">Pyramid!O303</f>
        <v>22088</v>
      </c>
      <c r="L301">
        <f ca="1">Pyramid!P303</f>
        <v>0</v>
      </c>
      <c r="M301" t="str">
        <f>Pyramid!Q303</f>
        <v>28/10/2016</v>
      </c>
      <c r="N301" t="str">
        <f ca="1">Pyramid!R303</f>
        <v/>
      </c>
      <c r="O301" t="str">
        <f ca="1">Pyramid!S303</f>
        <v/>
      </c>
      <c r="P301" t="str">
        <f ca="1">Pyramid!T303</f>
        <v/>
      </c>
      <c r="Q301" t="str">
        <f ca="1">Pyramid!U303</f>
        <v/>
      </c>
      <c r="R301" t="str">
        <f ca="1">Pyramid!V303</f>
        <v/>
      </c>
      <c r="S301" t="str">
        <f ca="1">Pyramid!W303</f>
        <v/>
      </c>
      <c r="T301" t="str">
        <f ca="1">Pyramid!X303</f>
        <v/>
      </c>
    </row>
    <row r="302" spans="1:20">
      <c r="A302" t="str">
        <f ca="1">Pyramid!E304</f>
        <v/>
      </c>
      <c r="B302" t="str">
        <f ca="1">Pyramid!F304</f>
        <v/>
      </c>
      <c r="C302" t="str">
        <f ca="1">Pyramid!G304</f>
        <v/>
      </c>
      <c r="D302" t="str">
        <f ca="1">Pyramid!H304</f>
        <v/>
      </c>
      <c r="E302" t="str">
        <f ca="1">Pyramid!I304</f>
        <v/>
      </c>
      <c r="F302" t="str">
        <f ca="1">Pyramid!J304</f>
        <v/>
      </c>
      <c r="G302" t="str">
        <f ca="1">Pyramid!K304</f>
        <v/>
      </c>
      <c r="H302" t="str">
        <f ca="1">Pyramid!L304</f>
        <v>25146 HK Equity</v>
      </c>
      <c r="I302" t="str">
        <f>Pyramid!M304</f>
        <v>29/6/2016</v>
      </c>
      <c r="J302">
        <f ca="1">Pyramid!N304</f>
        <v>1</v>
      </c>
      <c r="K302">
        <f ca="1">Pyramid!O304</f>
        <v>22100</v>
      </c>
      <c r="L302">
        <f ca="1">Pyramid!P304</f>
        <v>1</v>
      </c>
      <c r="M302" t="str">
        <f>Pyramid!Q304</f>
        <v>29/6/2016</v>
      </c>
      <c r="N302" t="str">
        <f ca="1">Pyramid!R304</f>
        <v>21729 HK Equity</v>
      </c>
      <c r="O302" t="str">
        <f ca="1">Pyramid!S304</f>
        <v/>
      </c>
      <c r="P302" t="str">
        <f ca="1">Pyramid!T304</f>
        <v/>
      </c>
      <c r="Q302" t="str">
        <f ca="1">Pyramid!U304</f>
        <v/>
      </c>
      <c r="R302" t="str">
        <f ca="1">Pyramid!V304</f>
        <v/>
      </c>
      <c r="S302" t="str">
        <f ca="1">Pyramid!W304</f>
        <v/>
      </c>
      <c r="T302" t="str">
        <f ca="1">Pyramid!X304</f>
        <v/>
      </c>
    </row>
    <row r="303" spans="1:20">
      <c r="A303" t="str">
        <f ca="1">Pyramid!E305</f>
        <v/>
      </c>
      <c r="B303" t="str">
        <f ca="1">Pyramid!F305</f>
        <v/>
      </c>
      <c r="C303" t="str">
        <f ca="1">Pyramid!G305</f>
        <v/>
      </c>
      <c r="D303" t="str">
        <f ca="1">Pyramid!H305</f>
        <v/>
      </c>
      <c r="E303" t="str">
        <f ca="1">Pyramid!I305</f>
        <v/>
      </c>
      <c r="F303" t="str">
        <f ca="1">Pyramid!J305</f>
        <v/>
      </c>
      <c r="G303" t="str">
        <f ca="1">Pyramid!K305</f>
        <v/>
      </c>
      <c r="H303" t="str">
        <f ca="1">Pyramid!L305</f>
        <v/>
      </c>
      <c r="I303" t="str">
        <f>Pyramid!M305</f>
        <v>28/7/2016</v>
      </c>
      <c r="J303">
        <f ca="1">Pyramid!N305</f>
        <v>0</v>
      </c>
      <c r="K303">
        <f ca="1">Pyramid!O305</f>
        <v>22100</v>
      </c>
      <c r="L303">
        <f ca="1">Pyramid!P305</f>
        <v>0</v>
      </c>
      <c r="M303" t="str">
        <f>Pyramid!Q305</f>
        <v>28/7/2016</v>
      </c>
      <c r="N303" t="str">
        <f ca="1">Pyramid!R305</f>
        <v/>
      </c>
      <c r="O303" t="str">
        <f ca="1">Pyramid!S305</f>
        <v/>
      </c>
      <c r="P303" t="str">
        <f ca="1">Pyramid!T305</f>
        <v/>
      </c>
      <c r="Q303" t="str">
        <f ca="1">Pyramid!U305</f>
        <v/>
      </c>
      <c r="R303" t="str">
        <f ca="1">Pyramid!V305</f>
        <v/>
      </c>
      <c r="S303" t="str">
        <f ca="1">Pyramid!W305</f>
        <v/>
      </c>
      <c r="T303" t="str">
        <f ca="1">Pyramid!X305</f>
        <v/>
      </c>
    </row>
    <row r="304" spans="1:20">
      <c r="A304" t="str">
        <f ca="1">Pyramid!E306</f>
        <v/>
      </c>
      <c r="B304" t="str">
        <f ca="1">Pyramid!F306</f>
        <v/>
      </c>
      <c r="C304" t="str">
        <f ca="1">Pyramid!G306</f>
        <v/>
      </c>
      <c r="D304" t="str">
        <f ca="1">Pyramid!H306</f>
        <v/>
      </c>
      <c r="E304" t="str">
        <f ca="1">Pyramid!I306</f>
        <v/>
      </c>
      <c r="F304" t="str">
        <f ca="1">Pyramid!J306</f>
        <v/>
      </c>
      <c r="G304" t="str">
        <f ca="1">Pyramid!K306</f>
        <v/>
      </c>
      <c r="H304" t="str">
        <f ca="1">Pyramid!L306</f>
        <v/>
      </c>
      <c r="I304" t="str">
        <f>Pyramid!M306</f>
        <v>30/8/2016</v>
      </c>
      <c r="J304">
        <f ca="1">Pyramid!N306</f>
        <v>0</v>
      </c>
      <c r="K304">
        <f ca="1">Pyramid!O306</f>
        <v>22100</v>
      </c>
      <c r="L304">
        <f ca="1">Pyramid!P306</f>
        <v>0</v>
      </c>
      <c r="M304" t="str">
        <f>Pyramid!Q306</f>
        <v>30/8/2016</v>
      </c>
      <c r="N304" t="str">
        <f ca="1">Pyramid!R306</f>
        <v/>
      </c>
      <c r="O304" t="str">
        <f ca="1">Pyramid!S306</f>
        <v/>
      </c>
      <c r="P304" t="str">
        <f ca="1">Pyramid!T306</f>
        <v/>
      </c>
      <c r="Q304" t="str">
        <f ca="1">Pyramid!U306</f>
        <v/>
      </c>
      <c r="R304" t="str">
        <f ca="1">Pyramid!V306</f>
        <v/>
      </c>
      <c r="S304" t="str">
        <f ca="1">Pyramid!W306</f>
        <v/>
      </c>
      <c r="T304" t="str">
        <f ca="1">Pyramid!X306</f>
        <v/>
      </c>
    </row>
    <row r="305" spans="1:20">
      <c r="A305" t="str">
        <f ca="1">Pyramid!E307</f>
        <v/>
      </c>
      <c r="B305" t="str">
        <f ca="1">Pyramid!F307</f>
        <v/>
      </c>
      <c r="C305" t="str">
        <f ca="1">Pyramid!G307</f>
        <v/>
      </c>
      <c r="D305" t="str">
        <f ca="1">Pyramid!H307</f>
        <v/>
      </c>
      <c r="E305" t="str">
        <f ca="1">Pyramid!I307</f>
        <v/>
      </c>
      <c r="F305" t="str">
        <f ca="1">Pyramid!J307</f>
        <v/>
      </c>
      <c r="G305" t="str">
        <f ca="1">Pyramid!K307</f>
        <v/>
      </c>
      <c r="H305" t="str">
        <f ca="1">Pyramid!L307</f>
        <v/>
      </c>
      <c r="I305" t="str">
        <f>Pyramid!M307</f>
        <v>29/9/2016</v>
      </c>
      <c r="J305">
        <f ca="1">Pyramid!N307</f>
        <v>0</v>
      </c>
      <c r="K305">
        <f ca="1">Pyramid!O307</f>
        <v>22100</v>
      </c>
      <c r="L305">
        <f ca="1">Pyramid!P307</f>
        <v>0</v>
      </c>
      <c r="M305" t="str">
        <f>Pyramid!Q307</f>
        <v>29/9/2016</v>
      </c>
      <c r="N305" t="str">
        <f ca="1">Pyramid!R307</f>
        <v/>
      </c>
      <c r="O305" t="str">
        <f ca="1">Pyramid!S307</f>
        <v/>
      </c>
      <c r="P305" t="str">
        <f ca="1">Pyramid!T307</f>
        <v/>
      </c>
      <c r="Q305" t="str">
        <f ca="1">Pyramid!U307</f>
        <v/>
      </c>
      <c r="R305" t="str">
        <f ca="1">Pyramid!V307</f>
        <v/>
      </c>
      <c r="S305" t="str">
        <f ca="1">Pyramid!W307</f>
        <v/>
      </c>
      <c r="T305" t="str">
        <f ca="1">Pyramid!X307</f>
        <v/>
      </c>
    </row>
    <row r="306" spans="1:20">
      <c r="A306" t="str">
        <f ca="1">Pyramid!E308</f>
        <v/>
      </c>
      <c r="B306" t="str">
        <f ca="1">Pyramid!F308</f>
        <v/>
      </c>
      <c r="C306" t="str">
        <f ca="1">Pyramid!G308</f>
        <v/>
      </c>
      <c r="D306" t="str">
        <f ca="1">Pyramid!H308</f>
        <v/>
      </c>
      <c r="E306" t="str">
        <f ca="1">Pyramid!I308</f>
        <v/>
      </c>
      <c r="F306" t="str">
        <f ca="1">Pyramid!J308</f>
        <v/>
      </c>
      <c r="G306" t="str">
        <f ca="1">Pyramid!K308</f>
        <v/>
      </c>
      <c r="H306" t="str">
        <f ca="1">Pyramid!L308</f>
        <v/>
      </c>
      <c r="I306" t="str">
        <f>Pyramid!M308</f>
        <v>28/10/2016</v>
      </c>
      <c r="J306">
        <f ca="1">Pyramid!N308</f>
        <v>0</v>
      </c>
      <c r="K306">
        <f ca="1">Pyramid!O308</f>
        <v>22100</v>
      </c>
      <c r="L306">
        <f ca="1">Pyramid!P308</f>
        <v>0</v>
      </c>
      <c r="M306" t="str">
        <f>Pyramid!Q308</f>
        <v>28/10/2016</v>
      </c>
      <c r="N306" t="str">
        <f ca="1">Pyramid!R308</f>
        <v/>
      </c>
      <c r="O306" t="str">
        <f ca="1">Pyramid!S308</f>
        <v/>
      </c>
      <c r="P306" t="str">
        <f ca="1">Pyramid!T308</f>
        <v/>
      </c>
      <c r="Q306" t="str">
        <f ca="1">Pyramid!U308</f>
        <v/>
      </c>
      <c r="R306" t="str">
        <f ca="1">Pyramid!V308</f>
        <v/>
      </c>
      <c r="S306" t="str">
        <f ca="1">Pyramid!W308</f>
        <v/>
      </c>
      <c r="T306" t="str">
        <f ca="1">Pyramid!X308</f>
        <v/>
      </c>
    </row>
    <row r="307" spans="1:20">
      <c r="A307" t="str">
        <f ca="1">Pyramid!E309</f>
        <v/>
      </c>
      <c r="B307" t="str">
        <f ca="1">Pyramid!F309</f>
        <v/>
      </c>
      <c r="C307" t="str">
        <f ca="1">Pyramid!G309</f>
        <v/>
      </c>
      <c r="D307" t="str">
        <f ca="1">Pyramid!H309</f>
        <v/>
      </c>
      <c r="E307" t="str">
        <f ca="1">Pyramid!I309</f>
        <v/>
      </c>
      <c r="F307" t="str">
        <f ca="1">Pyramid!J309</f>
        <v/>
      </c>
      <c r="G307" t="str">
        <f ca="1">Pyramid!K309</f>
        <v/>
      </c>
      <c r="H307" t="str">
        <f ca="1">Pyramid!L309</f>
        <v/>
      </c>
      <c r="I307" t="str">
        <f>Pyramid!M309</f>
        <v>29/6/2016</v>
      </c>
      <c r="J307">
        <f ca="1">Pyramid!N309</f>
        <v>0</v>
      </c>
      <c r="K307">
        <f ca="1">Pyramid!O309</f>
        <v>22108</v>
      </c>
      <c r="L307">
        <f ca="1">Pyramid!P309</f>
        <v>0</v>
      </c>
      <c r="M307" t="str">
        <f>Pyramid!Q309</f>
        <v>29/6/2016</v>
      </c>
      <c r="N307" t="str">
        <f ca="1">Pyramid!R309</f>
        <v/>
      </c>
      <c r="O307" t="str">
        <f ca="1">Pyramid!S309</f>
        <v/>
      </c>
      <c r="P307" t="str">
        <f ca="1">Pyramid!T309</f>
        <v/>
      </c>
      <c r="Q307" t="str">
        <f ca="1">Pyramid!U309</f>
        <v/>
      </c>
      <c r="R307" t="str">
        <f ca="1">Pyramid!V309</f>
        <v/>
      </c>
      <c r="S307" t="str">
        <f ca="1">Pyramid!W309</f>
        <v/>
      </c>
      <c r="T307" t="str">
        <f ca="1">Pyramid!X309</f>
        <v/>
      </c>
    </row>
    <row r="308" spans="1:20">
      <c r="A308" t="str">
        <f ca="1">Pyramid!E310</f>
        <v/>
      </c>
      <c r="B308" t="str">
        <f ca="1">Pyramid!F310</f>
        <v/>
      </c>
      <c r="C308" t="str">
        <f ca="1">Pyramid!G310</f>
        <v/>
      </c>
      <c r="D308" t="str">
        <f ca="1">Pyramid!H310</f>
        <v/>
      </c>
      <c r="E308" t="str">
        <f ca="1">Pyramid!I310</f>
        <v/>
      </c>
      <c r="F308" t="str">
        <f ca="1">Pyramid!J310</f>
        <v/>
      </c>
      <c r="G308" t="str">
        <f ca="1">Pyramid!K310</f>
        <v/>
      </c>
      <c r="H308" t="str">
        <f ca="1">Pyramid!L310</f>
        <v/>
      </c>
      <c r="I308" t="str">
        <f>Pyramid!M310</f>
        <v>28/7/2016</v>
      </c>
      <c r="J308">
        <f ca="1">Pyramid!N310</f>
        <v>0</v>
      </c>
      <c r="K308">
        <f ca="1">Pyramid!O310</f>
        <v>22108</v>
      </c>
      <c r="L308">
        <f ca="1">Pyramid!P310</f>
        <v>0</v>
      </c>
      <c r="M308" t="str">
        <f>Pyramid!Q310</f>
        <v>28/7/2016</v>
      </c>
      <c r="N308" t="str">
        <f ca="1">Pyramid!R310</f>
        <v/>
      </c>
      <c r="O308" t="str">
        <f ca="1">Pyramid!S310</f>
        <v/>
      </c>
      <c r="P308" t="str">
        <f ca="1">Pyramid!T310</f>
        <v/>
      </c>
      <c r="Q308" t="str">
        <f ca="1">Pyramid!U310</f>
        <v/>
      </c>
      <c r="R308" t="str">
        <f ca="1">Pyramid!V310</f>
        <v/>
      </c>
      <c r="S308" t="str">
        <f ca="1">Pyramid!W310</f>
        <v/>
      </c>
      <c r="T308" t="str">
        <f ca="1">Pyramid!X310</f>
        <v/>
      </c>
    </row>
    <row r="309" spans="1:20">
      <c r="A309" t="str">
        <f ca="1">Pyramid!E311</f>
        <v/>
      </c>
      <c r="B309" t="str">
        <f ca="1">Pyramid!F311</f>
        <v/>
      </c>
      <c r="C309" t="str">
        <f ca="1">Pyramid!G311</f>
        <v/>
      </c>
      <c r="D309" t="str">
        <f ca="1">Pyramid!H311</f>
        <v/>
      </c>
      <c r="E309" t="str">
        <f ca="1">Pyramid!I311</f>
        <v/>
      </c>
      <c r="F309" t="str">
        <f ca="1">Pyramid!J311</f>
        <v/>
      </c>
      <c r="G309" t="str">
        <f ca="1">Pyramid!K311</f>
        <v/>
      </c>
      <c r="H309" t="str">
        <f ca="1">Pyramid!L311</f>
        <v/>
      </c>
      <c r="I309" t="str">
        <f>Pyramid!M311</f>
        <v>30/8/2016</v>
      </c>
      <c r="J309">
        <f ca="1">Pyramid!N311</f>
        <v>0</v>
      </c>
      <c r="K309">
        <f ca="1">Pyramid!O311</f>
        <v>22108</v>
      </c>
      <c r="L309">
        <f ca="1">Pyramid!P311</f>
        <v>0</v>
      </c>
      <c r="M309" t="str">
        <f>Pyramid!Q311</f>
        <v>30/8/2016</v>
      </c>
      <c r="N309" t="str">
        <f ca="1">Pyramid!R311</f>
        <v/>
      </c>
      <c r="O309" t="str">
        <f ca="1">Pyramid!S311</f>
        <v/>
      </c>
      <c r="P309" t="str">
        <f ca="1">Pyramid!T311</f>
        <v/>
      </c>
      <c r="Q309" t="str">
        <f ca="1">Pyramid!U311</f>
        <v/>
      </c>
      <c r="R309" t="str">
        <f ca="1">Pyramid!V311</f>
        <v/>
      </c>
      <c r="S309" t="str">
        <f ca="1">Pyramid!W311</f>
        <v/>
      </c>
      <c r="T309" t="str">
        <f ca="1">Pyramid!X311</f>
        <v/>
      </c>
    </row>
    <row r="310" spans="1:20">
      <c r="A310" t="str">
        <f ca="1">Pyramid!E312</f>
        <v/>
      </c>
      <c r="B310" t="str">
        <f ca="1">Pyramid!F312</f>
        <v/>
      </c>
      <c r="C310" t="str">
        <f ca="1">Pyramid!G312</f>
        <v/>
      </c>
      <c r="D310" t="str">
        <f ca="1">Pyramid!H312</f>
        <v/>
      </c>
      <c r="E310" t="str">
        <f ca="1">Pyramid!I312</f>
        <v/>
      </c>
      <c r="F310" t="str">
        <f ca="1">Pyramid!J312</f>
        <v/>
      </c>
      <c r="G310" t="str">
        <f ca="1">Pyramid!K312</f>
        <v/>
      </c>
      <c r="H310" t="str">
        <f ca="1">Pyramid!L312</f>
        <v/>
      </c>
      <c r="I310" t="str">
        <f>Pyramid!M312</f>
        <v>29/9/2016</v>
      </c>
      <c r="J310">
        <f ca="1">Pyramid!N312</f>
        <v>0</v>
      </c>
      <c r="K310">
        <f ca="1">Pyramid!O312</f>
        <v>22108</v>
      </c>
      <c r="L310">
        <f ca="1">Pyramid!P312</f>
        <v>0</v>
      </c>
      <c r="M310" t="str">
        <f>Pyramid!Q312</f>
        <v>29/9/2016</v>
      </c>
      <c r="N310" t="str">
        <f ca="1">Pyramid!R312</f>
        <v/>
      </c>
      <c r="O310" t="str">
        <f ca="1">Pyramid!S312</f>
        <v/>
      </c>
      <c r="P310" t="str">
        <f ca="1">Pyramid!T312</f>
        <v/>
      </c>
      <c r="Q310" t="str">
        <f ca="1">Pyramid!U312</f>
        <v/>
      </c>
      <c r="R310" t="str">
        <f ca="1">Pyramid!V312</f>
        <v/>
      </c>
      <c r="S310" t="str">
        <f ca="1">Pyramid!W312</f>
        <v/>
      </c>
      <c r="T310" t="str">
        <f ca="1">Pyramid!X312</f>
        <v/>
      </c>
    </row>
    <row r="311" spans="1:20">
      <c r="A311" t="str">
        <f ca="1">Pyramid!E313</f>
        <v/>
      </c>
      <c r="B311" t="str">
        <f ca="1">Pyramid!F313</f>
        <v/>
      </c>
      <c r="C311" t="str">
        <f ca="1">Pyramid!G313</f>
        <v/>
      </c>
      <c r="D311" t="str">
        <f ca="1">Pyramid!H313</f>
        <v/>
      </c>
      <c r="E311" t="str">
        <f ca="1">Pyramid!I313</f>
        <v/>
      </c>
      <c r="F311" t="str">
        <f ca="1">Pyramid!J313</f>
        <v/>
      </c>
      <c r="G311" t="str">
        <f ca="1">Pyramid!K313</f>
        <v/>
      </c>
      <c r="H311" t="str">
        <f ca="1">Pyramid!L313</f>
        <v>27559 HK Equity</v>
      </c>
      <c r="I311" t="str">
        <f>Pyramid!M313</f>
        <v>28/10/2016</v>
      </c>
      <c r="J311">
        <f ca="1">Pyramid!N313</f>
        <v>1</v>
      </c>
      <c r="K311">
        <f ca="1">Pyramid!O313</f>
        <v>22108</v>
      </c>
      <c r="L311">
        <f ca="1">Pyramid!P313</f>
        <v>0</v>
      </c>
      <c r="M311" t="str">
        <f>Pyramid!Q313</f>
        <v>28/10/2016</v>
      </c>
      <c r="N311" t="str">
        <f ca="1">Pyramid!R313</f>
        <v/>
      </c>
      <c r="O311" t="str">
        <f ca="1">Pyramid!S313</f>
        <v/>
      </c>
      <c r="P311" t="str">
        <f ca="1">Pyramid!T313</f>
        <v/>
      </c>
      <c r="Q311" t="str">
        <f ca="1">Pyramid!U313</f>
        <v/>
      </c>
      <c r="R311" t="str">
        <f ca="1">Pyramid!V313</f>
        <v/>
      </c>
      <c r="S311" t="str">
        <f ca="1">Pyramid!W313</f>
        <v/>
      </c>
      <c r="T311" t="str">
        <f ca="1">Pyramid!X313</f>
        <v/>
      </c>
    </row>
    <row r="312" spans="1:20">
      <c r="A312" t="str">
        <f ca="1">Pyramid!E314</f>
        <v/>
      </c>
      <c r="B312" t="str">
        <f ca="1">Pyramid!F314</f>
        <v/>
      </c>
      <c r="C312" t="str">
        <f ca="1">Pyramid!G314</f>
        <v/>
      </c>
      <c r="D312" t="str">
        <f ca="1">Pyramid!H314</f>
        <v/>
      </c>
      <c r="E312" t="str">
        <f ca="1">Pyramid!I314</f>
        <v/>
      </c>
      <c r="F312" t="str">
        <f ca="1">Pyramid!J314</f>
        <v/>
      </c>
      <c r="G312" t="str">
        <f ca="1">Pyramid!K314</f>
        <v>24374 HK Equity</v>
      </c>
      <c r="H312" t="str">
        <f ca="1">Pyramid!L314</f>
        <v>24688 HK Equity</v>
      </c>
      <c r="I312" t="str">
        <f>Pyramid!M314</f>
        <v>29/6/2016</v>
      </c>
      <c r="J312">
        <f ca="1">Pyramid!N314</f>
        <v>2</v>
      </c>
      <c r="K312">
        <f ca="1">Pyramid!O314</f>
        <v>22200</v>
      </c>
      <c r="L312">
        <f ca="1">Pyramid!P314</f>
        <v>1</v>
      </c>
      <c r="M312" t="str">
        <f>Pyramid!Q314</f>
        <v>29/6/2016</v>
      </c>
      <c r="N312" t="str">
        <f ca="1">Pyramid!R314</f>
        <v>20546 HK Equity</v>
      </c>
      <c r="O312" t="str">
        <f ca="1">Pyramid!S314</f>
        <v/>
      </c>
      <c r="P312" t="str">
        <f ca="1">Pyramid!T314</f>
        <v/>
      </c>
      <c r="Q312" t="str">
        <f ca="1">Pyramid!U314</f>
        <v/>
      </c>
      <c r="R312" t="str">
        <f ca="1">Pyramid!V314</f>
        <v/>
      </c>
      <c r="S312" t="str">
        <f ca="1">Pyramid!W314</f>
        <v/>
      </c>
      <c r="T312" t="str">
        <f ca="1">Pyramid!X314</f>
        <v/>
      </c>
    </row>
    <row r="313" spans="1:20">
      <c r="A313" t="str">
        <f ca="1">Pyramid!E315</f>
        <v/>
      </c>
      <c r="B313" t="str">
        <f ca="1">Pyramid!F315</f>
        <v/>
      </c>
      <c r="C313" t="str">
        <f ca="1">Pyramid!G315</f>
        <v/>
      </c>
      <c r="D313" t="str">
        <f ca="1">Pyramid!H315</f>
        <v/>
      </c>
      <c r="E313" t="str">
        <f ca="1">Pyramid!I315</f>
        <v/>
      </c>
      <c r="F313" t="str">
        <f ca="1">Pyramid!J315</f>
        <v/>
      </c>
      <c r="G313" t="str">
        <f ca="1">Pyramid!K315</f>
        <v/>
      </c>
      <c r="H313" t="str">
        <f ca="1">Pyramid!L315</f>
        <v/>
      </c>
      <c r="I313" t="str">
        <f>Pyramid!M315</f>
        <v>28/7/2016</v>
      </c>
      <c r="J313">
        <f ca="1">Pyramid!N315</f>
        <v>0</v>
      </c>
      <c r="K313">
        <f ca="1">Pyramid!O315</f>
        <v>22200</v>
      </c>
      <c r="L313">
        <f ca="1">Pyramid!P315</f>
        <v>0</v>
      </c>
      <c r="M313" t="str">
        <f>Pyramid!Q315</f>
        <v>28/7/2016</v>
      </c>
      <c r="N313" t="str">
        <f ca="1">Pyramid!R315</f>
        <v/>
      </c>
      <c r="O313" t="str">
        <f ca="1">Pyramid!S315</f>
        <v/>
      </c>
      <c r="P313" t="str">
        <f ca="1">Pyramid!T315</f>
        <v/>
      </c>
      <c r="Q313" t="str">
        <f ca="1">Pyramid!U315</f>
        <v/>
      </c>
      <c r="R313" t="str">
        <f ca="1">Pyramid!V315</f>
        <v/>
      </c>
      <c r="S313" t="str">
        <f ca="1">Pyramid!W315</f>
        <v/>
      </c>
      <c r="T313" t="str">
        <f ca="1">Pyramid!X315</f>
        <v/>
      </c>
    </row>
    <row r="314" spans="1:20">
      <c r="A314" t="str">
        <f ca="1">Pyramid!E316</f>
        <v/>
      </c>
      <c r="B314" t="str">
        <f ca="1">Pyramid!F316</f>
        <v/>
      </c>
      <c r="C314" t="str">
        <f ca="1">Pyramid!G316</f>
        <v/>
      </c>
      <c r="D314" t="str">
        <f ca="1">Pyramid!H316</f>
        <v/>
      </c>
      <c r="E314" t="str">
        <f ca="1">Pyramid!I316</f>
        <v/>
      </c>
      <c r="F314" t="str">
        <f ca="1">Pyramid!J316</f>
        <v/>
      </c>
      <c r="G314" t="str">
        <f ca="1">Pyramid!K316</f>
        <v/>
      </c>
      <c r="H314" t="str">
        <f ca="1">Pyramid!L316</f>
        <v/>
      </c>
      <c r="I314" t="str">
        <f>Pyramid!M316</f>
        <v>30/8/2016</v>
      </c>
      <c r="J314">
        <f ca="1">Pyramid!N316</f>
        <v>0</v>
      </c>
      <c r="K314">
        <f ca="1">Pyramid!O316</f>
        <v>22200</v>
      </c>
      <c r="L314">
        <f ca="1">Pyramid!P316</f>
        <v>0</v>
      </c>
      <c r="M314" t="str">
        <f>Pyramid!Q316</f>
        <v>30/8/2016</v>
      </c>
      <c r="N314" t="str">
        <f ca="1">Pyramid!R316</f>
        <v/>
      </c>
      <c r="O314" t="str">
        <f ca="1">Pyramid!S316</f>
        <v/>
      </c>
      <c r="P314" t="str">
        <f ca="1">Pyramid!T316</f>
        <v/>
      </c>
      <c r="Q314" t="str">
        <f ca="1">Pyramid!U316</f>
        <v/>
      </c>
      <c r="R314" t="str">
        <f ca="1">Pyramid!V316</f>
        <v/>
      </c>
      <c r="S314" t="str">
        <f ca="1">Pyramid!W316</f>
        <v/>
      </c>
      <c r="T314" t="str">
        <f ca="1">Pyramid!X316</f>
        <v/>
      </c>
    </row>
    <row r="315" spans="1:20">
      <c r="A315" t="str">
        <f ca="1">Pyramid!E317</f>
        <v/>
      </c>
      <c r="B315" t="str">
        <f ca="1">Pyramid!F317</f>
        <v/>
      </c>
      <c r="C315" t="str">
        <f ca="1">Pyramid!G317</f>
        <v/>
      </c>
      <c r="D315" t="str">
        <f ca="1">Pyramid!H317</f>
        <v/>
      </c>
      <c r="E315" t="str">
        <f ca="1">Pyramid!I317</f>
        <v/>
      </c>
      <c r="F315" t="str">
        <f ca="1">Pyramid!J317</f>
        <v/>
      </c>
      <c r="G315" t="str">
        <f ca="1">Pyramid!K317</f>
        <v/>
      </c>
      <c r="H315" t="str">
        <f ca="1">Pyramid!L317</f>
        <v/>
      </c>
      <c r="I315" t="str">
        <f>Pyramid!M317</f>
        <v>29/9/2016</v>
      </c>
      <c r="J315">
        <f ca="1">Pyramid!N317</f>
        <v>0</v>
      </c>
      <c r="K315">
        <f ca="1">Pyramid!O317</f>
        <v>22200</v>
      </c>
      <c r="L315">
        <f ca="1">Pyramid!P317</f>
        <v>0</v>
      </c>
      <c r="M315" t="str">
        <f>Pyramid!Q317</f>
        <v>29/9/2016</v>
      </c>
      <c r="N315" t="str">
        <f ca="1">Pyramid!R317</f>
        <v/>
      </c>
      <c r="O315" t="str">
        <f ca="1">Pyramid!S317</f>
        <v/>
      </c>
      <c r="P315" t="str">
        <f ca="1">Pyramid!T317</f>
        <v/>
      </c>
      <c r="Q315" t="str">
        <f ca="1">Pyramid!U317</f>
        <v/>
      </c>
      <c r="R315" t="str">
        <f ca="1">Pyramid!V317</f>
        <v/>
      </c>
      <c r="S315" t="str">
        <f ca="1">Pyramid!W317</f>
        <v/>
      </c>
      <c r="T315" t="str">
        <f ca="1">Pyramid!X317</f>
        <v/>
      </c>
    </row>
    <row r="316" spans="1:20">
      <c r="A316" t="str">
        <f ca="1">Pyramid!E318</f>
        <v/>
      </c>
      <c r="B316" t="str">
        <f ca="1">Pyramid!F318</f>
        <v/>
      </c>
      <c r="C316" t="str">
        <f ca="1">Pyramid!G318</f>
        <v/>
      </c>
      <c r="D316" t="str">
        <f ca="1">Pyramid!H318</f>
        <v/>
      </c>
      <c r="E316" t="str">
        <f ca="1">Pyramid!I318</f>
        <v/>
      </c>
      <c r="F316" t="str">
        <f ca="1">Pyramid!J318</f>
        <v/>
      </c>
      <c r="G316" t="str">
        <f ca="1">Pyramid!K318</f>
        <v/>
      </c>
      <c r="H316" t="str">
        <f ca="1">Pyramid!L318</f>
        <v/>
      </c>
      <c r="I316" t="str">
        <f>Pyramid!M318</f>
        <v>28/10/2016</v>
      </c>
      <c r="J316">
        <f ca="1">Pyramid!N318</f>
        <v>0</v>
      </c>
      <c r="K316">
        <f ca="1">Pyramid!O318</f>
        <v>22200</v>
      </c>
      <c r="L316">
        <f ca="1">Pyramid!P318</f>
        <v>0</v>
      </c>
      <c r="M316" t="str">
        <f>Pyramid!Q318</f>
        <v>28/10/2016</v>
      </c>
      <c r="N316" t="str">
        <f ca="1">Pyramid!R318</f>
        <v/>
      </c>
      <c r="O316" t="str">
        <f ca="1">Pyramid!S318</f>
        <v/>
      </c>
      <c r="P316" t="str">
        <f ca="1">Pyramid!T318</f>
        <v/>
      </c>
      <c r="Q316" t="str">
        <f ca="1">Pyramid!U318</f>
        <v/>
      </c>
      <c r="R316" t="str">
        <f ca="1">Pyramid!V318</f>
        <v/>
      </c>
      <c r="S316" t="str">
        <f ca="1">Pyramid!W318</f>
        <v/>
      </c>
      <c r="T316" t="str">
        <f ca="1">Pyramid!X318</f>
        <v/>
      </c>
    </row>
    <row r="317" spans="1:20">
      <c r="A317" t="str">
        <f ca="1">Pyramid!E319</f>
        <v/>
      </c>
      <c r="B317" t="str">
        <f ca="1">Pyramid!F319</f>
        <v/>
      </c>
      <c r="C317" t="str">
        <f ca="1">Pyramid!G319</f>
        <v/>
      </c>
      <c r="D317" t="str">
        <f ca="1">Pyramid!H319</f>
        <v/>
      </c>
      <c r="E317" t="str">
        <f ca="1">Pyramid!I319</f>
        <v/>
      </c>
      <c r="F317" t="str">
        <f ca="1">Pyramid!J319</f>
        <v/>
      </c>
      <c r="G317" t="str">
        <f ca="1">Pyramid!K319</f>
        <v/>
      </c>
      <c r="H317" t="str">
        <f ca="1">Pyramid!L319</f>
        <v>25090 HK Equity</v>
      </c>
      <c r="I317" t="str">
        <f>Pyramid!M319</f>
        <v>29/6/2016</v>
      </c>
      <c r="J317">
        <f ca="1">Pyramid!N319</f>
        <v>1</v>
      </c>
      <c r="K317">
        <f ca="1">Pyramid!O319</f>
        <v>22308</v>
      </c>
      <c r="L317">
        <f ca="1">Pyramid!P319</f>
        <v>0</v>
      </c>
      <c r="M317" t="str">
        <f>Pyramid!Q319</f>
        <v>29/6/2016</v>
      </c>
      <c r="N317" t="str">
        <f ca="1">Pyramid!R319</f>
        <v/>
      </c>
      <c r="O317" t="str">
        <f ca="1">Pyramid!S319</f>
        <v/>
      </c>
      <c r="P317" t="str">
        <f ca="1">Pyramid!T319</f>
        <v/>
      </c>
      <c r="Q317" t="str">
        <f ca="1">Pyramid!U319</f>
        <v/>
      </c>
      <c r="R317" t="str">
        <f ca="1">Pyramid!V319</f>
        <v/>
      </c>
      <c r="S317" t="str">
        <f ca="1">Pyramid!W319</f>
        <v/>
      </c>
      <c r="T317" t="str">
        <f ca="1">Pyramid!X319</f>
        <v/>
      </c>
    </row>
    <row r="318" spans="1:20">
      <c r="A318" t="str">
        <f ca="1">Pyramid!E320</f>
        <v/>
      </c>
      <c r="B318" t="str">
        <f ca="1">Pyramid!F320</f>
        <v/>
      </c>
      <c r="C318" t="str">
        <f ca="1">Pyramid!G320</f>
        <v/>
      </c>
      <c r="D318" t="str">
        <f ca="1">Pyramid!H320</f>
        <v/>
      </c>
      <c r="E318" t="str">
        <f ca="1">Pyramid!I320</f>
        <v/>
      </c>
      <c r="F318" t="str">
        <f ca="1">Pyramid!J320</f>
        <v/>
      </c>
      <c r="G318" t="str">
        <f ca="1">Pyramid!K320</f>
        <v/>
      </c>
      <c r="H318" t="str">
        <f ca="1">Pyramid!L320</f>
        <v/>
      </c>
      <c r="I318" t="str">
        <f>Pyramid!M320</f>
        <v>28/7/2016</v>
      </c>
      <c r="J318">
        <f ca="1">Pyramid!N320</f>
        <v>0</v>
      </c>
      <c r="K318">
        <f ca="1">Pyramid!O320</f>
        <v>22308</v>
      </c>
      <c r="L318">
        <f ca="1">Pyramid!P320</f>
        <v>0</v>
      </c>
      <c r="M318" t="str">
        <f>Pyramid!Q320</f>
        <v>28/7/2016</v>
      </c>
      <c r="N318" t="str">
        <f ca="1">Pyramid!R320</f>
        <v/>
      </c>
      <c r="O318" t="str">
        <f ca="1">Pyramid!S320</f>
        <v/>
      </c>
      <c r="P318" t="str">
        <f ca="1">Pyramid!T320</f>
        <v/>
      </c>
      <c r="Q318" t="str">
        <f ca="1">Pyramid!U320</f>
        <v/>
      </c>
      <c r="R318" t="str">
        <f ca="1">Pyramid!V320</f>
        <v/>
      </c>
      <c r="S318" t="str">
        <f ca="1">Pyramid!W320</f>
        <v/>
      </c>
      <c r="T318" t="str">
        <f ca="1">Pyramid!X320</f>
        <v/>
      </c>
    </row>
    <row r="319" spans="1:20">
      <c r="A319" t="str">
        <f ca="1">Pyramid!E321</f>
        <v/>
      </c>
      <c r="B319" t="str">
        <f ca="1">Pyramid!F321</f>
        <v/>
      </c>
      <c r="C319" t="str">
        <f ca="1">Pyramid!G321</f>
        <v/>
      </c>
      <c r="D319" t="str">
        <f ca="1">Pyramid!H321</f>
        <v/>
      </c>
      <c r="E319" t="str">
        <f ca="1">Pyramid!I321</f>
        <v/>
      </c>
      <c r="F319" t="str">
        <f ca="1">Pyramid!J321</f>
        <v/>
      </c>
      <c r="G319" t="str">
        <f ca="1">Pyramid!K321</f>
        <v/>
      </c>
      <c r="H319" t="str">
        <f ca="1">Pyramid!L321</f>
        <v/>
      </c>
      <c r="I319" t="str">
        <f>Pyramid!M321</f>
        <v>30/8/2016</v>
      </c>
      <c r="J319">
        <f ca="1">Pyramid!N321</f>
        <v>0</v>
      </c>
      <c r="K319">
        <f ca="1">Pyramid!O321</f>
        <v>22308</v>
      </c>
      <c r="L319">
        <f ca="1">Pyramid!P321</f>
        <v>0</v>
      </c>
      <c r="M319" t="str">
        <f>Pyramid!Q321</f>
        <v>30/8/2016</v>
      </c>
      <c r="N319" t="str">
        <f ca="1">Pyramid!R321</f>
        <v/>
      </c>
      <c r="O319" t="str">
        <f ca="1">Pyramid!S321</f>
        <v/>
      </c>
      <c r="P319" t="str">
        <f ca="1">Pyramid!T321</f>
        <v/>
      </c>
      <c r="Q319" t="str">
        <f ca="1">Pyramid!U321</f>
        <v/>
      </c>
      <c r="R319" t="str">
        <f ca="1">Pyramid!V321</f>
        <v/>
      </c>
      <c r="S319" t="str">
        <f ca="1">Pyramid!W321</f>
        <v/>
      </c>
      <c r="T319" t="str">
        <f ca="1">Pyramid!X321</f>
        <v/>
      </c>
    </row>
    <row r="320" spans="1:20">
      <c r="A320" t="str">
        <f ca="1">Pyramid!E322</f>
        <v/>
      </c>
      <c r="B320" t="str">
        <f ca="1">Pyramid!F322</f>
        <v/>
      </c>
      <c r="C320" t="str">
        <f ca="1">Pyramid!G322</f>
        <v/>
      </c>
      <c r="D320" t="str">
        <f ca="1">Pyramid!H322</f>
        <v/>
      </c>
      <c r="E320" t="str">
        <f ca="1">Pyramid!I322</f>
        <v/>
      </c>
      <c r="F320" t="str">
        <f ca="1">Pyramid!J322</f>
        <v/>
      </c>
      <c r="G320" t="str">
        <f ca="1">Pyramid!K322</f>
        <v/>
      </c>
      <c r="H320" t="str">
        <f ca="1">Pyramid!L322</f>
        <v/>
      </c>
      <c r="I320" t="str">
        <f>Pyramid!M322</f>
        <v>29/9/2016</v>
      </c>
      <c r="J320">
        <f ca="1">Pyramid!N322</f>
        <v>0</v>
      </c>
      <c r="K320">
        <f ca="1">Pyramid!O322</f>
        <v>22308</v>
      </c>
      <c r="L320">
        <f ca="1">Pyramid!P322</f>
        <v>0</v>
      </c>
      <c r="M320" t="str">
        <f>Pyramid!Q322</f>
        <v>29/9/2016</v>
      </c>
      <c r="N320" t="str">
        <f ca="1">Pyramid!R322</f>
        <v/>
      </c>
      <c r="O320" t="str">
        <f ca="1">Pyramid!S322</f>
        <v/>
      </c>
      <c r="P320" t="str">
        <f ca="1">Pyramid!T322</f>
        <v/>
      </c>
      <c r="Q320" t="str">
        <f ca="1">Pyramid!U322</f>
        <v/>
      </c>
      <c r="R320" t="str">
        <f ca="1">Pyramid!V322</f>
        <v/>
      </c>
      <c r="S320" t="str">
        <f ca="1">Pyramid!W322</f>
        <v/>
      </c>
      <c r="T320" t="str">
        <f ca="1">Pyramid!X322</f>
        <v/>
      </c>
    </row>
    <row r="321" spans="1:20">
      <c r="A321" t="str">
        <f ca="1">Pyramid!E323</f>
        <v/>
      </c>
      <c r="B321" t="str">
        <f ca="1">Pyramid!F323</f>
        <v/>
      </c>
      <c r="C321" t="str">
        <f ca="1">Pyramid!G323</f>
        <v/>
      </c>
      <c r="D321" t="str">
        <f ca="1">Pyramid!H323</f>
        <v/>
      </c>
      <c r="E321" t="str">
        <f ca="1">Pyramid!I323</f>
        <v/>
      </c>
      <c r="F321" t="str">
        <f ca="1">Pyramid!J323</f>
        <v/>
      </c>
      <c r="G321" t="str">
        <f ca="1">Pyramid!K323</f>
        <v/>
      </c>
      <c r="H321" t="str">
        <f ca="1">Pyramid!L323</f>
        <v/>
      </c>
      <c r="I321" t="str">
        <f>Pyramid!M323</f>
        <v>28/10/2016</v>
      </c>
      <c r="J321">
        <f ca="1">Pyramid!N323</f>
        <v>0</v>
      </c>
      <c r="K321">
        <f ca="1">Pyramid!O323</f>
        <v>22308</v>
      </c>
      <c r="L321">
        <f ca="1">Pyramid!P323</f>
        <v>0</v>
      </c>
      <c r="M321" t="str">
        <f>Pyramid!Q323</f>
        <v>28/10/2016</v>
      </c>
      <c r="N321" t="str">
        <f ca="1">Pyramid!R323</f>
        <v/>
      </c>
      <c r="O321" t="str">
        <f ca="1">Pyramid!S323</f>
        <v/>
      </c>
      <c r="P321" t="str">
        <f ca="1">Pyramid!T323</f>
        <v/>
      </c>
      <c r="Q321" t="str">
        <f ca="1">Pyramid!U323</f>
        <v/>
      </c>
      <c r="R321" t="str">
        <f ca="1">Pyramid!V323</f>
        <v/>
      </c>
      <c r="S321" t="str">
        <f ca="1">Pyramid!W323</f>
        <v/>
      </c>
      <c r="T321" t="str">
        <f ca="1">Pyramid!X323</f>
        <v/>
      </c>
    </row>
    <row r="322" spans="1:20">
      <c r="A322" t="str">
        <f ca="1">Pyramid!E324</f>
        <v/>
      </c>
      <c r="B322" t="str">
        <f ca="1">Pyramid!F324</f>
        <v/>
      </c>
      <c r="C322" t="str">
        <f ca="1">Pyramid!G324</f>
        <v/>
      </c>
      <c r="D322" t="str">
        <f ca="1">Pyramid!H324</f>
        <v/>
      </c>
      <c r="E322" t="str">
        <f ca="1">Pyramid!I324</f>
        <v/>
      </c>
      <c r="F322" t="str">
        <f ca="1">Pyramid!J324</f>
        <v/>
      </c>
      <c r="G322" t="str">
        <f ca="1">Pyramid!K324</f>
        <v/>
      </c>
      <c r="H322" t="str">
        <f ca="1">Pyramid!L324</f>
        <v/>
      </c>
      <c r="I322" t="str">
        <f>Pyramid!M324</f>
        <v>29/6/2016</v>
      </c>
      <c r="J322">
        <f ca="1">Pyramid!N324</f>
        <v>0</v>
      </c>
      <c r="K322">
        <f ca="1">Pyramid!O324</f>
        <v>22500</v>
      </c>
      <c r="L322">
        <f ca="1">Pyramid!P324</f>
        <v>0</v>
      </c>
      <c r="M322" t="str">
        <f>Pyramid!Q324</f>
        <v>29/6/2016</v>
      </c>
      <c r="N322" t="str">
        <f ca="1">Pyramid!R324</f>
        <v/>
      </c>
      <c r="O322" t="str">
        <f ca="1">Pyramid!S324</f>
        <v/>
      </c>
      <c r="P322" t="str">
        <f ca="1">Pyramid!T324</f>
        <v/>
      </c>
      <c r="Q322" t="str">
        <f ca="1">Pyramid!U324</f>
        <v/>
      </c>
      <c r="R322" t="str">
        <f ca="1">Pyramid!V324</f>
        <v/>
      </c>
      <c r="S322" t="str">
        <f ca="1">Pyramid!W324</f>
        <v/>
      </c>
      <c r="T322" t="str">
        <f ca="1">Pyramid!X324</f>
        <v/>
      </c>
    </row>
    <row r="323" spans="1:20">
      <c r="A323" t="str">
        <f ca="1">Pyramid!E325</f>
        <v/>
      </c>
      <c r="B323" t="str">
        <f ca="1">Pyramid!F325</f>
        <v/>
      </c>
      <c r="C323" t="str">
        <f ca="1">Pyramid!G325</f>
        <v/>
      </c>
      <c r="D323" t="str">
        <f ca="1">Pyramid!H325</f>
        <v/>
      </c>
      <c r="E323" t="str">
        <f ca="1">Pyramid!I325</f>
        <v/>
      </c>
      <c r="F323" t="str">
        <f ca="1">Pyramid!J325</f>
        <v/>
      </c>
      <c r="G323" t="str">
        <f ca="1">Pyramid!K325</f>
        <v/>
      </c>
      <c r="H323" t="str">
        <f ca="1">Pyramid!L325</f>
        <v/>
      </c>
      <c r="I323" t="str">
        <f>Pyramid!M325</f>
        <v>28/7/2016</v>
      </c>
      <c r="J323">
        <f ca="1">Pyramid!N325</f>
        <v>0</v>
      </c>
      <c r="K323">
        <f ca="1">Pyramid!O325</f>
        <v>22500</v>
      </c>
      <c r="L323">
        <f ca="1">Pyramid!P325</f>
        <v>0</v>
      </c>
      <c r="M323" t="str">
        <f>Pyramid!Q325</f>
        <v>28/7/2016</v>
      </c>
      <c r="N323" t="str">
        <f ca="1">Pyramid!R325</f>
        <v/>
      </c>
      <c r="O323" t="str">
        <f ca="1">Pyramid!S325</f>
        <v/>
      </c>
      <c r="P323" t="str">
        <f ca="1">Pyramid!T325</f>
        <v/>
      </c>
      <c r="Q323" t="str">
        <f ca="1">Pyramid!U325</f>
        <v/>
      </c>
      <c r="R323" t="str">
        <f ca="1">Pyramid!V325</f>
        <v/>
      </c>
      <c r="S323" t="str">
        <f ca="1">Pyramid!W325</f>
        <v/>
      </c>
      <c r="T323" t="str">
        <f ca="1">Pyramid!X325</f>
        <v/>
      </c>
    </row>
    <row r="324" spans="1:20">
      <c r="A324" t="str">
        <f ca="1">Pyramid!E326</f>
        <v/>
      </c>
      <c r="B324" t="str">
        <f ca="1">Pyramid!F326</f>
        <v/>
      </c>
      <c r="C324" t="str">
        <f ca="1">Pyramid!G326</f>
        <v/>
      </c>
      <c r="D324" t="str">
        <f ca="1">Pyramid!H326</f>
        <v/>
      </c>
      <c r="E324" t="str">
        <f ca="1">Pyramid!I326</f>
        <v/>
      </c>
      <c r="F324" t="str">
        <f ca="1">Pyramid!J326</f>
        <v/>
      </c>
      <c r="G324" t="str">
        <f ca="1">Pyramid!K326</f>
        <v/>
      </c>
      <c r="H324" t="str">
        <f ca="1">Pyramid!L326</f>
        <v/>
      </c>
      <c r="I324" t="str">
        <f>Pyramid!M326</f>
        <v>30/8/2016</v>
      </c>
      <c r="J324">
        <f ca="1">Pyramid!N326</f>
        <v>0</v>
      </c>
      <c r="K324">
        <f ca="1">Pyramid!O326</f>
        <v>22500</v>
      </c>
      <c r="L324">
        <f ca="1">Pyramid!P326</f>
        <v>1</v>
      </c>
      <c r="M324" t="str">
        <f>Pyramid!Q326</f>
        <v>30/8/2016</v>
      </c>
      <c r="N324" t="str">
        <f ca="1">Pyramid!R326</f>
        <v>24429 HK Equity</v>
      </c>
      <c r="O324" t="str">
        <f ca="1">Pyramid!S326</f>
        <v/>
      </c>
      <c r="P324" t="str">
        <f ca="1">Pyramid!T326</f>
        <v/>
      </c>
      <c r="Q324" t="str">
        <f ca="1">Pyramid!U326</f>
        <v/>
      </c>
      <c r="R324" t="str">
        <f ca="1">Pyramid!V326</f>
        <v/>
      </c>
      <c r="S324" t="str">
        <f ca="1">Pyramid!W326</f>
        <v/>
      </c>
      <c r="T324" t="str">
        <f ca="1">Pyramid!X326</f>
        <v/>
      </c>
    </row>
    <row r="325" spans="1:20">
      <c r="A325" t="str">
        <f ca="1">Pyramid!E327</f>
        <v/>
      </c>
      <c r="B325" t="str">
        <f ca="1">Pyramid!F327</f>
        <v/>
      </c>
      <c r="C325" t="str">
        <f ca="1">Pyramid!G327</f>
        <v/>
      </c>
      <c r="D325" t="str">
        <f ca="1">Pyramid!H327</f>
        <v/>
      </c>
      <c r="E325" t="str">
        <f ca="1">Pyramid!I327</f>
        <v/>
      </c>
      <c r="F325" t="str">
        <f ca="1">Pyramid!J327</f>
        <v/>
      </c>
      <c r="G325" t="str">
        <f ca="1">Pyramid!K327</f>
        <v/>
      </c>
      <c r="H325" t="str">
        <f ca="1">Pyramid!L327</f>
        <v/>
      </c>
      <c r="I325" t="str">
        <f>Pyramid!M327</f>
        <v>29/9/2016</v>
      </c>
      <c r="J325">
        <f ca="1">Pyramid!N327</f>
        <v>0</v>
      </c>
      <c r="K325">
        <f ca="1">Pyramid!O327</f>
        <v>22500</v>
      </c>
      <c r="L325">
        <f ca="1">Pyramid!P327</f>
        <v>0</v>
      </c>
      <c r="M325" t="str">
        <f>Pyramid!Q327</f>
        <v>29/9/2016</v>
      </c>
      <c r="N325" t="str">
        <f ca="1">Pyramid!R327</f>
        <v/>
      </c>
      <c r="O325" t="str">
        <f ca="1">Pyramid!S327</f>
        <v/>
      </c>
      <c r="P325" t="str">
        <f ca="1">Pyramid!T327</f>
        <v/>
      </c>
      <c r="Q325" t="str">
        <f ca="1">Pyramid!U327</f>
        <v/>
      </c>
      <c r="R325" t="str">
        <f ca="1">Pyramid!V327</f>
        <v/>
      </c>
      <c r="S325" t="str">
        <f ca="1">Pyramid!W327</f>
        <v/>
      </c>
      <c r="T325" t="str">
        <f ca="1">Pyramid!X327</f>
        <v/>
      </c>
    </row>
    <row r="326" spans="1:20">
      <c r="A326" t="str">
        <f ca="1">Pyramid!E328</f>
        <v/>
      </c>
      <c r="B326" t="str">
        <f ca="1">Pyramid!F328</f>
        <v/>
      </c>
      <c r="C326" t="str">
        <f ca="1">Pyramid!G328</f>
        <v/>
      </c>
      <c r="D326" t="str">
        <f ca="1">Pyramid!H328</f>
        <v/>
      </c>
      <c r="E326" t="str">
        <f ca="1">Pyramid!I328</f>
        <v/>
      </c>
      <c r="F326" t="str">
        <f ca="1">Pyramid!J328</f>
        <v/>
      </c>
      <c r="G326" t="str">
        <f ca="1">Pyramid!K328</f>
        <v/>
      </c>
      <c r="H326" t="str">
        <f ca="1">Pyramid!L328</f>
        <v/>
      </c>
      <c r="I326" t="str">
        <f>Pyramid!M328</f>
        <v>28/10/2016</v>
      </c>
      <c r="J326">
        <f ca="1">Pyramid!N328</f>
        <v>0</v>
      </c>
      <c r="K326">
        <f ca="1">Pyramid!O328</f>
        <v>22500</v>
      </c>
      <c r="L326">
        <f ca="1">Pyramid!P328</f>
        <v>0</v>
      </c>
      <c r="M326" t="str">
        <f>Pyramid!Q328</f>
        <v>28/10/2016</v>
      </c>
      <c r="N326" t="str">
        <f ca="1">Pyramid!R328</f>
        <v/>
      </c>
      <c r="O326" t="str">
        <f ca="1">Pyramid!S328</f>
        <v/>
      </c>
      <c r="P326" t="str">
        <f ca="1">Pyramid!T328</f>
        <v/>
      </c>
      <c r="Q326" t="str">
        <f ca="1">Pyramid!U328</f>
        <v/>
      </c>
      <c r="R326" t="str">
        <f ca="1">Pyramid!V328</f>
        <v/>
      </c>
      <c r="S326" t="str">
        <f ca="1">Pyramid!W328</f>
        <v/>
      </c>
      <c r="T326" t="str">
        <f ca="1">Pyramid!X328</f>
        <v/>
      </c>
    </row>
    <row r="327" spans="1:20">
      <c r="A327" t="str">
        <f ca="1">Pyramid!E329</f>
        <v/>
      </c>
      <c r="B327" t="str">
        <f ca="1">Pyramid!F329</f>
        <v/>
      </c>
      <c r="C327" t="str">
        <f ca="1">Pyramid!G329</f>
        <v/>
      </c>
      <c r="D327" t="str">
        <f ca="1">Pyramid!H329</f>
        <v/>
      </c>
      <c r="E327" t="str">
        <f ca="1">Pyramid!I329</f>
        <v/>
      </c>
      <c r="F327" t="str">
        <f ca="1">Pyramid!J329</f>
        <v/>
      </c>
      <c r="G327" t="str">
        <f ca="1">Pyramid!K329</f>
        <v/>
      </c>
      <c r="H327" t="str">
        <f ca="1">Pyramid!L329</f>
        <v/>
      </c>
      <c r="I327" t="str">
        <f>Pyramid!M329</f>
        <v>29/6/2016</v>
      </c>
      <c r="J327">
        <f ca="1">Pyramid!N329</f>
        <v>0</v>
      </c>
      <c r="K327">
        <f ca="1">Pyramid!O329</f>
        <v>22600</v>
      </c>
      <c r="L327">
        <f ca="1">Pyramid!P329</f>
        <v>0</v>
      </c>
      <c r="M327" t="str">
        <f>Pyramid!Q329</f>
        <v>29/6/2016</v>
      </c>
      <c r="N327" t="str">
        <f ca="1">Pyramid!R329</f>
        <v/>
      </c>
      <c r="O327" t="str">
        <f ca="1">Pyramid!S329</f>
        <v/>
      </c>
      <c r="P327" t="str">
        <f ca="1">Pyramid!T329</f>
        <v/>
      </c>
      <c r="Q327" t="str">
        <f ca="1">Pyramid!U329</f>
        <v/>
      </c>
      <c r="R327" t="str">
        <f ca="1">Pyramid!V329</f>
        <v/>
      </c>
      <c r="S327" t="str">
        <f ca="1">Pyramid!W329</f>
        <v/>
      </c>
      <c r="T327" t="str">
        <f ca="1">Pyramid!X329</f>
        <v/>
      </c>
    </row>
    <row r="328" spans="1:20">
      <c r="A328" t="str">
        <f ca="1">Pyramid!E330</f>
        <v/>
      </c>
      <c r="B328" t="str">
        <f ca="1">Pyramid!F330</f>
        <v/>
      </c>
      <c r="C328" t="str">
        <f ca="1">Pyramid!G330</f>
        <v/>
      </c>
      <c r="D328" t="str">
        <f ca="1">Pyramid!H330</f>
        <v/>
      </c>
      <c r="E328" t="str">
        <f ca="1">Pyramid!I330</f>
        <v/>
      </c>
      <c r="F328" t="str">
        <f ca="1">Pyramid!J330</f>
        <v/>
      </c>
      <c r="G328" t="str">
        <f ca="1">Pyramid!K330</f>
        <v/>
      </c>
      <c r="H328" t="str">
        <f ca="1">Pyramid!L330</f>
        <v/>
      </c>
      <c r="I328" t="str">
        <f>Pyramid!M330</f>
        <v>28/7/2016</v>
      </c>
      <c r="J328">
        <f ca="1">Pyramid!N330</f>
        <v>0</v>
      </c>
      <c r="K328">
        <f ca="1">Pyramid!O330</f>
        <v>22600</v>
      </c>
      <c r="L328">
        <f ca="1">Pyramid!P330</f>
        <v>0</v>
      </c>
      <c r="M328" t="str">
        <f>Pyramid!Q330</f>
        <v>28/7/2016</v>
      </c>
      <c r="N328" t="str">
        <f ca="1">Pyramid!R330</f>
        <v/>
      </c>
      <c r="O328" t="str">
        <f ca="1">Pyramid!S330</f>
        <v/>
      </c>
      <c r="P328" t="str">
        <f ca="1">Pyramid!T330</f>
        <v/>
      </c>
      <c r="Q328" t="str">
        <f ca="1">Pyramid!U330</f>
        <v/>
      </c>
      <c r="R328" t="str">
        <f ca="1">Pyramid!V330</f>
        <v/>
      </c>
      <c r="S328" t="str">
        <f ca="1">Pyramid!W330</f>
        <v/>
      </c>
      <c r="T328" t="str">
        <f ca="1">Pyramid!X330</f>
        <v/>
      </c>
    </row>
    <row r="329" spans="1:20">
      <c r="A329" t="str">
        <f ca="1">Pyramid!E331</f>
        <v/>
      </c>
      <c r="B329" t="str">
        <f ca="1">Pyramid!F331</f>
        <v/>
      </c>
      <c r="C329" t="str">
        <f ca="1">Pyramid!G331</f>
        <v/>
      </c>
      <c r="D329" t="str">
        <f ca="1">Pyramid!H331</f>
        <v/>
      </c>
      <c r="E329" t="str">
        <f ca="1">Pyramid!I331</f>
        <v/>
      </c>
      <c r="F329" t="str">
        <f ca="1">Pyramid!J331</f>
        <v/>
      </c>
      <c r="G329" t="str">
        <f ca="1">Pyramid!K331</f>
        <v>23522 HK Equity</v>
      </c>
      <c r="H329" t="str">
        <f ca="1">Pyramid!L331</f>
        <v>24107 HK Equity</v>
      </c>
      <c r="I329" t="str">
        <f>Pyramid!M331</f>
        <v>30/8/2016</v>
      </c>
      <c r="J329">
        <f ca="1">Pyramid!N331</f>
        <v>2</v>
      </c>
      <c r="K329">
        <f ca="1">Pyramid!O331</f>
        <v>22600</v>
      </c>
      <c r="L329">
        <f ca="1">Pyramid!P331</f>
        <v>0</v>
      </c>
      <c r="M329" t="str">
        <f>Pyramid!Q331</f>
        <v>30/8/2016</v>
      </c>
      <c r="N329" t="str">
        <f ca="1">Pyramid!R331</f>
        <v/>
      </c>
      <c r="O329" t="str">
        <f ca="1">Pyramid!S331</f>
        <v/>
      </c>
      <c r="P329" t="str">
        <f ca="1">Pyramid!T331</f>
        <v/>
      </c>
      <c r="Q329" t="str">
        <f ca="1">Pyramid!U331</f>
        <v/>
      </c>
      <c r="R329" t="str">
        <f ca="1">Pyramid!V331</f>
        <v/>
      </c>
      <c r="S329" t="str">
        <f ca="1">Pyramid!W331</f>
        <v/>
      </c>
      <c r="T329" t="str">
        <f ca="1">Pyramid!X331</f>
        <v/>
      </c>
    </row>
    <row r="330" spans="1:20">
      <c r="A330" t="str">
        <f ca="1">Pyramid!E332</f>
        <v/>
      </c>
      <c r="B330" t="str">
        <f ca="1">Pyramid!F332</f>
        <v/>
      </c>
      <c r="C330" t="str">
        <f ca="1">Pyramid!G332</f>
        <v/>
      </c>
      <c r="D330" t="str">
        <f ca="1">Pyramid!H332</f>
        <v/>
      </c>
      <c r="E330" t="str">
        <f ca="1">Pyramid!I332</f>
        <v/>
      </c>
      <c r="F330" t="str">
        <f ca="1">Pyramid!J332</f>
        <v/>
      </c>
      <c r="G330" t="str">
        <f ca="1">Pyramid!K332</f>
        <v/>
      </c>
      <c r="H330" t="str">
        <f ca="1">Pyramid!L332</f>
        <v/>
      </c>
      <c r="I330" t="str">
        <f>Pyramid!M332</f>
        <v>29/9/2016</v>
      </c>
      <c r="J330">
        <f ca="1">Pyramid!N332</f>
        <v>0</v>
      </c>
      <c r="K330">
        <f ca="1">Pyramid!O332</f>
        <v>22600</v>
      </c>
      <c r="L330">
        <f ca="1">Pyramid!P332</f>
        <v>0</v>
      </c>
      <c r="M330" t="str">
        <f>Pyramid!Q332</f>
        <v>29/9/2016</v>
      </c>
      <c r="N330" t="str">
        <f ca="1">Pyramid!R332</f>
        <v/>
      </c>
      <c r="O330" t="str">
        <f ca="1">Pyramid!S332</f>
        <v/>
      </c>
      <c r="P330" t="str">
        <f ca="1">Pyramid!T332</f>
        <v/>
      </c>
      <c r="Q330" t="str">
        <f ca="1">Pyramid!U332</f>
        <v/>
      </c>
      <c r="R330" t="str">
        <f ca="1">Pyramid!V332</f>
        <v/>
      </c>
      <c r="S330" t="str">
        <f ca="1">Pyramid!W332</f>
        <v/>
      </c>
      <c r="T330" t="str">
        <f ca="1">Pyramid!X332</f>
        <v/>
      </c>
    </row>
    <row r="331" spans="1:20">
      <c r="A331" t="str">
        <f ca="1">Pyramid!E333</f>
        <v/>
      </c>
      <c r="B331" t="str">
        <f ca="1">Pyramid!F333</f>
        <v/>
      </c>
      <c r="C331" t="str">
        <f ca="1">Pyramid!G333</f>
        <v/>
      </c>
      <c r="D331" t="str">
        <f ca="1">Pyramid!H333</f>
        <v/>
      </c>
      <c r="E331" t="str">
        <f ca="1">Pyramid!I333</f>
        <v/>
      </c>
      <c r="F331" t="str">
        <f ca="1">Pyramid!J333</f>
        <v/>
      </c>
      <c r="G331" t="str">
        <f ca="1">Pyramid!K333</f>
        <v/>
      </c>
      <c r="H331" t="str">
        <f ca="1">Pyramid!L333</f>
        <v/>
      </c>
      <c r="I331" t="str">
        <f>Pyramid!M333</f>
        <v>28/10/2016</v>
      </c>
      <c r="J331">
        <f ca="1">Pyramid!N333</f>
        <v>0</v>
      </c>
      <c r="K331">
        <f ca="1">Pyramid!O333</f>
        <v>22600</v>
      </c>
      <c r="L331">
        <f ca="1">Pyramid!P333</f>
        <v>0</v>
      </c>
      <c r="M331" t="str">
        <f>Pyramid!Q333</f>
        <v>28/10/2016</v>
      </c>
      <c r="N331" t="str">
        <f ca="1">Pyramid!R333</f>
        <v/>
      </c>
      <c r="O331" t="str">
        <f ca="1">Pyramid!S333</f>
        <v/>
      </c>
      <c r="P331" t="str">
        <f ca="1">Pyramid!T333</f>
        <v/>
      </c>
      <c r="Q331" t="str">
        <f ca="1">Pyramid!U333</f>
        <v/>
      </c>
      <c r="R331" t="str">
        <f ca="1">Pyramid!V333</f>
        <v/>
      </c>
      <c r="S331" t="str">
        <f ca="1">Pyramid!W333</f>
        <v/>
      </c>
      <c r="T331" t="str">
        <f ca="1">Pyramid!X333</f>
        <v/>
      </c>
    </row>
    <row r="332" spans="1:20">
      <c r="A332" t="str">
        <f ca="1">Pyramid!E334</f>
        <v/>
      </c>
      <c r="B332" t="str">
        <f ca="1">Pyramid!F334</f>
        <v/>
      </c>
      <c r="C332" t="str">
        <f ca="1">Pyramid!G334</f>
        <v/>
      </c>
      <c r="D332" t="str">
        <f ca="1">Pyramid!H334</f>
        <v/>
      </c>
      <c r="E332" t="str">
        <f ca="1">Pyramid!I334</f>
        <v/>
      </c>
      <c r="F332" t="str">
        <f ca="1">Pyramid!J334</f>
        <v/>
      </c>
      <c r="G332" t="str">
        <f ca="1">Pyramid!K334</f>
        <v/>
      </c>
      <c r="H332" t="str">
        <f ca="1">Pyramid!L334</f>
        <v/>
      </c>
      <c r="I332" t="str">
        <f>Pyramid!M334</f>
        <v>29/6/2016</v>
      </c>
      <c r="J332">
        <f ca="1">Pyramid!N334</f>
        <v>0</v>
      </c>
      <c r="K332">
        <f ca="1">Pyramid!O334</f>
        <v>22700</v>
      </c>
      <c r="L332">
        <f ca="1">Pyramid!P334</f>
        <v>0</v>
      </c>
      <c r="M332" t="str">
        <f>Pyramid!Q334</f>
        <v>29/6/2016</v>
      </c>
      <c r="N332" t="str">
        <f ca="1">Pyramid!R334</f>
        <v/>
      </c>
      <c r="O332" t="str">
        <f ca="1">Pyramid!S334</f>
        <v/>
      </c>
      <c r="P332" t="str">
        <f ca="1">Pyramid!T334</f>
        <v/>
      </c>
      <c r="Q332" t="str">
        <f ca="1">Pyramid!U334</f>
        <v/>
      </c>
      <c r="R332" t="str">
        <f ca="1">Pyramid!V334</f>
        <v/>
      </c>
      <c r="S332" t="str">
        <f ca="1">Pyramid!W334</f>
        <v/>
      </c>
      <c r="T332" t="str">
        <f ca="1">Pyramid!X334</f>
        <v/>
      </c>
    </row>
    <row r="333" spans="1:20">
      <c r="A333" t="str">
        <f ca="1">Pyramid!E335</f>
        <v/>
      </c>
      <c r="B333" t="str">
        <f ca="1">Pyramid!F335</f>
        <v/>
      </c>
      <c r="C333" t="str">
        <f ca="1">Pyramid!G335</f>
        <v/>
      </c>
      <c r="D333" t="str">
        <f ca="1">Pyramid!H335</f>
        <v/>
      </c>
      <c r="E333" t="str">
        <f ca="1">Pyramid!I335</f>
        <v/>
      </c>
      <c r="F333" t="str">
        <f ca="1">Pyramid!J335</f>
        <v/>
      </c>
      <c r="G333" t="str">
        <f ca="1">Pyramid!K335</f>
        <v/>
      </c>
      <c r="H333" t="str">
        <f ca="1">Pyramid!L335</f>
        <v/>
      </c>
      <c r="I333" t="str">
        <f>Pyramid!M335</f>
        <v>28/7/2016</v>
      </c>
      <c r="J333">
        <f ca="1">Pyramid!N335</f>
        <v>0</v>
      </c>
      <c r="K333">
        <f ca="1">Pyramid!O335</f>
        <v>22700</v>
      </c>
      <c r="L333">
        <f ca="1">Pyramid!P335</f>
        <v>0</v>
      </c>
      <c r="M333" t="str">
        <f>Pyramid!Q335</f>
        <v>28/7/2016</v>
      </c>
      <c r="N333" t="str">
        <f ca="1">Pyramid!R335</f>
        <v/>
      </c>
      <c r="O333" t="str">
        <f ca="1">Pyramid!S335</f>
        <v/>
      </c>
      <c r="P333" t="str">
        <f ca="1">Pyramid!T335</f>
        <v/>
      </c>
      <c r="Q333" t="str">
        <f ca="1">Pyramid!U335</f>
        <v/>
      </c>
      <c r="R333" t="str">
        <f ca="1">Pyramid!V335</f>
        <v/>
      </c>
      <c r="S333" t="str">
        <f ca="1">Pyramid!W335</f>
        <v/>
      </c>
      <c r="T333" t="str">
        <f ca="1">Pyramid!X335</f>
        <v/>
      </c>
    </row>
    <row r="334" spans="1:20">
      <c r="A334" t="str">
        <f ca="1">Pyramid!E336</f>
        <v/>
      </c>
      <c r="B334" t="str">
        <f ca="1">Pyramid!F336</f>
        <v/>
      </c>
      <c r="C334" t="str">
        <f ca="1">Pyramid!G336</f>
        <v/>
      </c>
      <c r="D334" t="str">
        <f ca="1">Pyramid!H336</f>
        <v/>
      </c>
      <c r="E334" t="str">
        <f ca="1">Pyramid!I336</f>
        <v/>
      </c>
      <c r="F334" t="str">
        <f ca="1">Pyramid!J336</f>
        <v/>
      </c>
      <c r="G334" t="str">
        <f ca="1">Pyramid!K336</f>
        <v/>
      </c>
      <c r="H334" t="str">
        <f ca="1">Pyramid!L336</f>
        <v/>
      </c>
      <c r="I334" t="str">
        <f>Pyramid!M336</f>
        <v>30/8/2016</v>
      </c>
      <c r="J334">
        <f ca="1">Pyramid!N336</f>
        <v>0</v>
      </c>
      <c r="K334">
        <f ca="1">Pyramid!O336</f>
        <v>22700</v>
      </c>
      <c r="L334">
        <f ca="1">Pyramid!P336</f>
        <v>0</v>
      </c>
      <c r="M334" t="str">
        <f>Pyramid!Q336</f>
        <v>30/8/2016</v>
      </c>
      <c r="N334" t="str">
        <f ca="1">Pyramid!R336</f>
        <v/>
      </c>
      <c r="O334" t="str">
        <f ca="1">Pyramid!S336</f>
        <v/>
      </c>
      <c r="P334" t="str">
        <f ca="1">Pyramid!T336</f>
        <v/>
      </c>
      <c r="Q334" t="str">
        <f ca="1">Pyramid!U336</f>
        <v/>
      </c>
      <c r="R334" t="str">
        <f ca="1">Pyramid!V336</f>
        <v/>
      </c>
      <c r="S334" t="str">
        <f ca="1">Pyramid!W336</f>
        <v/>
      </c>
      <c r="T334" t="str">
        <f ca="1">Pyramid!X336</f>
        <v/>
      </c>
    </row>
    <row r="335" spans="1:20">
      <c r="A335" t="str">
        <f ca="1">Pyramid!E337</f>
        <v/>
      </c>
      <c r="B335" t="str">
        <f ca="1">Pyramid!F337</f>
        <v/>
      </c>
      <c r="C335" t="str">
        <f ca="1">Pyramid!G337</f>
        <v/>
      </c>
      <c r="D335" t="str">
        <f ca="1">Pyramid!H337</f>
        <v/>
      </c>
      <c r="E335" t="str">
        <f ca="1">Pyramid!I337</f>
        <v/>
      </c>
      <c r="F335" t="str">
        <f ca="1">Pyramid!J337</f>
        <v/>
      </c>
      <c r="G335" t="str">
        <f ca="1">Pyramid!K337</f>
        <v/>
      </c>
      <c r="H335" t="str">
        <f ca="1">Pyramid!L337</f>
        <v/>
      </c>
      <c r="I335" t="str">
        <f>Pyramid!M337</f>
        <v>29/9/2016</v>
      </c>
      <c r="J335">
        <f ca="1">Pyramid!N337</f>
        <v>0</v>
      </c>
      <c r="K335">
        <f ca="1">Pyramid!O337</f>
        <v>22700</v>
      </c>
      <c r="L335">
        <f ca="1">Pyramid!P337</f>
        <v>0</v>
      </c>
      <c r="M335" t="str">
        <f>Pyramid!Q337</f>
        <v>29/9/2016</v>
      </c>
      <c r="N335" t="str">
        <f ca="1">Pyramid!R337</f>
        <v/>
      </c>
      <c r="O335" t="str">
        <f ca="1">Pyramid!S337</f>
        <v/>
      </c>
      <c r="P335" t="str">
        <f ca="1">Pyramid!T337</f>
        <v/>
      </c>
      <c r="Q335" t="str">
        <f ca="1">Pyramid!U337</f>
        <v/>
      </c>
      <c r="R335" t="str">
        <f ca="1">Pyramid!V337</f>
        <v/>
      </c>
      <c r="S335" t="str">
        <f ca="1">Pyramid!W337</f>
        <v/>
      </c>
      <c r="T335" t="str">
        <f ca="1">Pyramid!X337</f>
        <v/>
      </c>
    </row>
    <row r="336" spans="1:20">
      <c r="A336" t="str">
        <f ca="1">Pyramid!E338</f>
        <v/>
      </c>
      <c r="B336" t="str">
        <f ca="1">Pyramid!F338</f>
        <v/>
      </c>
      <c r="C336" t="str">
        <f ca="1">Pyramid!G338</f>
        <v/>
      </c>
      <c r="D336" t="str">
        <f ca="1">Pyramid!H338</f>
        <v/>
      </c>
      <c r="E336" t="str">
        <f ca="1">Pyramid!I338</f>
        <v/>
      </c>
      <c r="F336" t="str">
        <f ca="1">Pyramid!J338</f>
        <v/>
      </c>
      <c r="G336" t="str">
        <f ca="1">Pyramid!K338</f>
        <v/>
      </c>
      <c r="H336" t="str">
        <f ca="1">Pyramid!L338</f>
        <v/>
      </c>
      <c r="I336" t="str">
        <f>Pyramid!M338</f>
        <v>28/10/2016</v>
      </c>
      <c r="J336">
        <f ca="1">Pyramid!N338</f>
        <v>0</v>
      </c>
      <c r="K336">
        <f ca="1">Pyramid!O338</f>
        <v>22700</v>
      </c>
      <c r="L336">
        <f ca="1">Pyramid!P338</f>
        <v>0</v>
      </c>
      <c r="M336" t="str">
        <f>Pyramid!Q338</f>
        <v>28/10/2016</v>
      </c>
      <c r="N336" t="str">
        <f ca="1">Pyramid!R338</f>
        <v/>
      </c>
      <c r="O336" t="str">
        <f ca="1">Pyramid!S338</f>
        <v/>
      </c>
      <c r="P336" t="str">
        <f ca="1">Pyramid!T338</f>
        <v/>
      </c>
      <c r="Q336" t="str">
        <f ca="1">Pyramid!U338</f>
        <v/>
      </c>
      <c r="R336" t="str">
        <f ca="1">Pyramid!V338</f>
        <v/>
      </c>
      <c r="S336" t="str">
        <f ca="1">Pyramid!W338</f>
        <v/>
      </c>
      <c r="T336" t="str">
        <f ca="1">Pyramid!X338</f>
        <v/>
      </c>
    </row>
    <row r="337" spans="1:20">
      <c r="A337" t="str">
        <f ca="1">Pyramid!E339</f>
        <v/>
      </c>
      <c r="B337" t="str">
        <f ca="1">Pyramid!F339</f>
        <v/>
      </c>
      <c r="C337" t="str">
        <f ca="1">Pyramid!G339</f>
        <v/>
      </c>
      <c r="D337" t="str">
        <f ca="1">Pyramid!H339</f>
        <v/>
      </c>
      <c r="E337" t="str">
        <f ca="1">Pyramid!I339</f>
        <v/>
      </c>
      <c r="F337" t="str">
        <f ca="1">Pyramid!J339</f>
        <v/>
      </c>
      <c r="G337" t="str">
        <f ca="1">Pyramid!K339</f>
        <v/>
      </c>
      <c r="H337" t="str">
        <f ca="1">Pyramid!L339</f>
        <v/>
      </c>
      <c r="I337" t="str">
        <f>Pyramid!M339</f>
        <v>29/6/2016</v>
      </c>
      <c r="J337">
        <f ca="1">Pyramid!N339</f>
        <v>0</v>
      </c>
      <c r="K337">
        <f ca="1">Pyramid!O339</f>
        <v>22800</v>
      </c>
      <c r="L337">
        <f ca="1">Pyramid!P339</f>
        <v>0</v>
      </c>
      <c r="M337" t="str">
        <f>Pyramid!Q339</f>
        <v>29/6/2016</v>
      </c>
      <c r="N337" t="str">
        <f ca="1">Pyramid!R339</f>
        <v/>
      </c>
      <c r="O337" t="str">
        <f ca="1">Pyramid!S339</f>
        <v/>
      </c>
      <c r="P337" t="str">
        <f ca="1">Pyramid!T339</f>
        <v/>
      </c>
      <c r="Q337" t="str">
        <f ca="1">Pyramid!U339</f>
        <v/>
      </c>
      <c r="R337" t="str">
        <f ca="1">Pyramid!V339</f>
        <v/>
      </c>
      <c r="S337" t="str">
        <f ca="1">Pyramid!W339</f>
        <v/>
      </c>
      <c r="T337" t="str">
        <f ca="1">Pyramid!X339</f>
        <v/>
      </c>
    </row>
    <row r="338" spans="1:20">
      <c r="A338" t="str">
        <f ca="1">Pyramid!E340</f>
        <v/>
      </c>
      <c r="B338" t="str">
        <f ca="1">Pyramid!F340</f>
        <v/>
      </c>
      <c r="C338" t="str">
        <f ca="1">Pyramid!G340</f>
        <v/>
      </c>
      <c r="D338" t="str">
        <f ca="1">Pyramid!H340</f>
        <v/>
      </c>
      <c r="E338" t="str">
        <f ca="1">Pyramid!I340</f>
        <v/>
      </c>
      <c r="F338" t="str">
        <f ca="1">Pyramid!J340</f>
        <v/>
      </c>
      <c r="G338" t="str">
        <f ca="1">Pyramid!K340</f>
        <v/>
      </c>
      <c r="H338" t="str">
        <f ca="1">Pyramid!L340</f>
        <v/>
      </c>
      <c r="I338" t="str">
        <f>Pyramid!M340</f>
        <v>28/7/2016</v>
      </c>
      <c r="J338">
        <f ca="1">Pyramid!N340</f>
        <v>0</v>
      </c>
      <c r="K338">
        <f ca="1">Pyramid!O340</f>
        <v>22800</v>
      </c>
      <c r="L338">
        <f ca="1">Pyramid!P340</f>
        <v>0</v>
      </c>
      <c r="M338" t="str">
        <f>Pyramid!Q340</f>
        <v>28/7/2016</v>
      </c>
      <c r="N338" t="str">
        <f ca="1">Pyramid!R340</f>
        <v/>
      </c>
      <c r="O338" t="str">
        <f ca="1">Pyramid!S340</f>
        <v/>
      </c>
      <c r="P338" t="str">
        <f ca="1">Pyramid!T340</f>
        <v/>
      </c>
      <c r="Q338" t="str">
        <f ca="1">Pyramid!U340</f>
        <v/>
      </c>
      <c r="R338" t="str">
        <f ca="1">Pyramid!V340</f>
        <v/>
      </c>
      <c r="S338" t="str">
        <f ca="1">Pyramid!W340</f>
        <v/>
      </c>
      <c r="T338" t="str">
        <f ca="1">Pyramid!X340</f>
        <v/>
      </c>
    </row>
    <row r="339" spans="1:20">
      <c r="A339" t="str">
        <f ca="1">Pyramid!E341</f>
        <v/>
      </c>
      <c r="B339" t="str">
        <f ca="1">Pyramid!F341</f>
        <v/>
      </c>
      <c r="C339" t="str">
        <f ca="1">Pyramid!G341</f>
        <v/>
      </c>
      <c r="D339" t="str">
        <f ca="1">Pyramid!H341</f>
        <v/>
      </c>
      <c r="E339" t="str">
        <f ca="1">Pyramid!I341</f>
        <v/>
      </c>
      <c r="F339" t="str">
        <f ca="1">Pyramid!J341</f>
        <v/>
      </c>
      <c r="G339" t="str">
        <f ca="1">Pyramid!K341</f>
        <v/>
      </c>
      <c r="H339" t="str">
        <f ca="1">Pyramid!L341</f>
        <v/>
      </c>
      <c r="I339" t="str">
        <f>Pyramid!M341</f>
        <v>30/8/2016</v>
      </c>
      <c r="J339">
        <f ca="1">Pyramid!N341</f>
        <v>0</v>
      </c>
      <c r="K339">
        <f ca="1">Pyramid!O341</f>
        <v>22800</v>
      </c>
      <c r="L339">
        <f ca="1">Pyramid!P341</f>
        <v>0</v>
      </c>
      <c r="M339" t="str">
        <f>Pyramid!Q341</f>
        <v>30/8/2016</v>
      </c>
      <c r="N339" t="str">
        <f ca="1">Pyramid!R341</f>
        <v/>
      </c>
      <c r="O339" t="str">
        <f ca="1">Pyramid!S341</f>
        <v/>
      </c>
      <c r="P339" t="str">
        <f ca="1">Pyramid!T341</f>
        <v/>
      </c>
      <c r="Q339" t="str">
        <f ca="1">Pyramid!U341</f>
        <v/>
      </c>
      <c r="R339" t="str">
        <f ca="1">Pyramid!V341</f>
        <v/>
      </c>
      <c r="S339" t="str">
        <f ca="1">Pyramid!W341</f>
        <v/>
      </c>
      <c r="T339" t="str">
        <f ca="1">Pyramid!X341</f>
        <v/>
      </c>
    </row>
    <row r="340" spans="1:20">
      <c r="A340" t="str">
        <f ca="1">Pyramid!E342</f>
        <v/>
      </c>
      <c r="B340" t="str">
        <f ca="1">Pyramid!F342</f>
        <v/>
      </c>
      <c r="C340" t="str">
        <f ca="1">Pyramid!G342</f>
        <v/>
      </c>
      <c r="D340" t="str">
        <f ca="1">Pyramid!H342</f>
        <v/>
      </c>
      <c r="E340" t="str">
        <f ca="1">Pyramid!I342</f>
        <v/>
      </c>
      <c r="F340" t="str">
        <f ca="1">Pyramid!J342</f>
        <v/>
      </c>
      <c r="G340" t="str">
        <f ca="1">Pyramid!K342</f>
        <v/>
      </c>
      <c r="H340" t="str">
        <f ca="1">Pyramid!L342</f>
        <v/>
      </c>
      <c r="I340" t="str">
        <f>Pyramid!M342</f>
        <v>29/9/2016</v>
      </c>
      <c r="J340">
        <f ca="1">Pyramid!N342</f>
        <v>0</v>
      </c>
      <c r="K340">
        <f ca="1">Pyramid!O342</f>
        <v>22800</v>
      </c>
      <c r="L340">
        <f ca="1">Pyramid!P342</f>
        <v>0</v>
      </c>
      <c r="M340" t="str">
        <f>Pyramid!Q342</f>
        <v>29/9/2016</v>
      </c>
      <c r="N340" t="str">
        <f ca="1">Pyramid!R342</f>
        <v/>
      </c>
      <c r="O340" t="str">
        <f ca="1">Pyramid!S342</f>
        <v/>
      </c>
      <c r="P340" t="str">
        <f ca="1">Pyramid!T342</f>
        <v/>
      </c>
      <c r="Q340" t="str">
        <f ca="1">Pyramid!U342</f>
        <v/>
      </c>
      <c r="R340" t="str">
        <f ca="1">Pyramid!V342</f>
        <v/>
      </c>
      <c r="S340" t="str">
        <f ca="1">Pyramid!W342</f>
        <v/>
      </c>
      <c r="T340" t="str">
        <f ca="1">Pyramid!X342</f>
        <v/>
      </c>
    </row>
    <row r="341" spans="1:20">
      <c r="A341" t="str">
        <f ca="1">Pyramid!E343</f>
        <v/>
      </c>
      <c r="B341" t="str">
        <f ca="1">Pyramid!F343</f>
        <v/>
      </c>
      <c r="C341" t="str">
        <f ca="1">Pyramid!G343</f>
        <v/>
      </c>
      <c r="D341" t="str">
        <f ca="1">Pyramid!H343</f>
        <v/>
      </c>
      <c r="E341" t="str">
        <f ca="1">Pyramid!I343</f>
        <v/>
      </c>
      <c r="F341" t="str">
        <f ca="1">Pyramid!J343</f>
        <v/>
      </c>
      <c r="G341" t="str">
        <f ca="1">Pyramid!K343</f>
        <v/>
      </c>
      <c r="H341" t="str">
        <f ca="1">Pyramid!L343</f>
        <v/>
      </c>
      <c r="I341" t="str">
        <f>Pyramid!M343</f>
        <v>28/10/2016</v>
      </c>
      <c r="J341">
        <f ca="1">Pyramid!N343</f>
        <v>0</v>
      </c>
      <c r="K341">
        <f ca="1">Pyramid!O343</f>
        <v>22800</v>
      </c>
      <c r="L341">
        <f ca="1">Pyramid!P343</f>
        <v>0</v>
      </c>
      <c r="M341" t="str">
        <f>Pyramid!Q343</f>
        <v>28/10/2016</v>
      </c>
      <c r="N341" t="str">
        <f ca="1">Pyramid!R343</f>
        <v/>
      </c>
      <c r="O341" t="str">
        <f ca="1">Pyramid!S343</f>
        <v/>
      </c>
      <c r="P341" t="str">
        <f ca="1">Pyramid!T343</f>
        <v/>
      </c>
      <c r="Q341" t="str">
        <f ca="1">Pyramid!U343</f>
        <v/>
      </c>
      <c r="R341" t="str">
        <f ca="1">Pyramid!V343</f>
        <v/>
      </c>
      <c r="S341" t="str">
        <f ca="1">Pyramid!W343</f>
        <v/>
      </c>
      <c r="T341" t="str">
        <f ca="1">Pyramid!X343</f>
        <v/>
      </c>
    </row>
    <row r="342" spans="1:20">
      <c r="A342" t="str">
        <f ca="1">Pyramid!E344</f>
        <v/>
      </c>
      <c r="B342" t="str">
        <f ca="1">Pyramid!F344</f>
        <v/>
      </c>
      <c r="C342" t="str">
        <f ca="1">Pyramid!G344</f>
        <v/>
      </c>
      <c r="D342" t="str">
        <f ca="1">Pyramid!H344</f>
        <v/>
      </c>
      <c r="E342" t="str">
        <f ca="1">Pyramid!I344</f>
        <v/>
      </c>
      <c r="F342" t="str">
        <f ca="1">Pyramid!J344</f>
        <v/>
      </c>
      <c r="G342" t="str">
        <f ca="1">Pyramid!K344</f>
        <v/>
      </c>
      <c r="H342" t="str">
        <f ca="1">Pyramid!L344</f>
        <v/>
      </c>
      <c r="I342" t="str">
        <f>Pyramid!M344</f>
        <v>29/6/2016</v>
      </c>
      <c r="J342">
        <f ca="1">Pyramid!N344</f>
        <v>0</v>
      </c>
      <c r="K342">
        <f ca="1">Pyramid!O344</f>
        <v>23000</v>
      </c>
      <c r="L342">
        <f ca="1">Pyramid!P344</f>
        <v>0</v>
      </c>
      <c r="M342" t="str">
        <f>Pyramid!Q344</f>
        <v>29/6/2016</v>
      </c>
      <c r="N342" t="str">
        <f ca="1">Pyramid!R344</f>
        <v/>
      </c>
      <c r="O342" t="str">
        <f ca="1">Pyramid!S344</f>
        <v/>
      </c>
      <c r="P342" t="str">
        <f ca="1">Pyramid!T344</f>
        <v/>
      </c>
      <c r="Q342" t="str">
        <f ca="1">Pyramid!U344</f>
        <v/>
      </c>
      <c r="R342" t="str">
        <f ca="1">Pyramid!V344</f>
        <v/>
      </c>
      <c r="S342" t="str">
        <f ca="1">Pyramid!W344</f>
        <v/>
      </c>
      <c r="T342" t="str">
        <f ca="1">Pyramid!X344</f>
        <v/>
      </c>
    </row>
    <row r="343" spans="1:20">
      <c r="A343" t="str">
        <f ca="1">Pyramid!E345</f>
        <v/>
      </c>
      <c r="B343" t="str">
        <f ca="1">Pyramid!F345</f>
        <v/>
      </c>
      <c r="C343" t="str">
        <f ca="1">Pyramid!G345</f>
        <v/>
      </c>
      <c r="D343" t="str">
        <f ca="1">Pyramid!H345</f>
        <v/>
      </c>
      <c r="E343" t="str">
        <f ca="1">Pyramid!I345</f>
        <v/>
      </c>
      <c r="F343" t="str">
        <f ca="1">Pyramid!J345</f>
        <v/>
      </c>
      <c r="G343" t="str">
        <f ca="1">Pyramid!K345</f>
        <v/>
      </c>
      <c r="H343" t="str">
        <f ca="1">Pyramid!L345</f>
        <v/>
      </c>
      <c r="I343" t="str">
        <f>Pyramid!M345</f>
        <v>28/7/2016</v>
      </c>
      <c r="J343">
        <f ca="1">Pyramid!N345</f>
        <v>0</v>
      </c>
      <c r="K343">
        <f ca="1">Pyramid!O345</f>
        <v>23000</v>
      </c>
      <c r="L343">
        <f ca="1">Pyramid!P345</f>
        <v>0</v>
      </c>
      <c r="M343" t="str">
        <f>Pyramid!Q345</f>
        <v>28/7/2016</v>
      </c>
      <c r="N343" t="str">
        <f ca="1">Pyramid!R345</f>
        <v/>
      </c>
      <c r="O343" t="str">
        <f ca="1">Pyramid!S345</f>
        <v/>
      </c>
      <c r="P343" t="str">
        <f ca="1">Pyramid!T345</f>
        <v/>
      </c>
      <c r="Q343" t="str">
        <f ca="1">Pyramid!U345</f>
        <v/>
      </c>
      <c r="R343" t="str">
        <f ca="1">Pyramid!V345</f>
        <v/>
      </c>
      <c r="S343" t="str">
        <f ca="1">Pyramid!W345</f>
        <v/>
      </c>
      <c r="T343" t="str">
        <f ca="1">Pyramid!X345</f>
        <v/>
      </c>
    </row>
    <row r="344" spans="1:20">
      <c r="A344" t="str">
        <f ca="1">Pyramid!E346</f>
        <v/>
      </c>
      <c r="B344" t="str">
        <f ca="1">Pyramid!F346</f>
        <v/>
      </c>
      <c r="C344" t="str">
        <f ca="1">Pyramid!G346</f>
        <v/>
      </c>
      <c r="D344" t="str">
        <f ca="1">Pyramid!H346</f>
        <v/>
      </c>
      <c r="E344" t="str">
        <f ca="1">Pyramid!I346</f>
        <v/>
      </c>
      <c r="F344" t="str">
        <f ca="1">Pyramid!J346</f>
        <v/>
      </c>
      <c r="G344" t="str">
        <f ca="1">Pyramid!K346</f>
        <v/>
      </c>
      <c r="H344" t="str">
        <f ca="1">Pyramid!L346</f>
        <v>24167 HK Equity</v>
      </c>
      <c r="I344" t="str">
        <f>Pyramid!M346</f>
        <v>30/8/2016</v>
      </c>
      <c r="J344">
        <f ca="1">Pyramid!N346</f>
        <v>1</v>
      </c>
      <c r="K344">
        <f ca="1">Pyramid!O346</f>
        <v>23000</v>
      </c>
      <c r="L344">
        <f ca="1">Pyramid!P346</f>
        <v>0</v>
      </c>
      <c r="M344" t="str">
        <f>Pyramid!Q346</f>
        <v>30/8/2016</v>
      </c>
      <c r="N344" t="str">
        <f ca="1">Pyramid!R346</f>
        <v/>
      </c>
      <c r="O344" t="str">
        <f ca="1">Pyramid!S346</f>
        <v/>
      </c>
      <c r="P344" t="str">
        <f ca="1">Pyramid!T346</f>
        <v/>
      </c>
      <c r="Q344" t="str">
        <f ca="1">Pyramid!U346</f>
        <v/>
      </c>
      <c r="R344" t="str">
        <f ca="1">Pyramid!V346</f>
        <v/>
      </c>
      <c r="S344" t="str">
        <f ca="1">Pyramid!W346</f>
        <v/>
      </c>
      <c r="T344" t="str">
        <f ca="1">Pyramid!X346</f>
        <v/>
      </c>
    </row>
    <row r="345" spans="1:20">
      <c r="A345" t="str">
        <f ca="1">Pyramid!E347</f>
        <v/>
      </c>
      <c r="B345" t="str">
        <f ca="1">Pyramid!F347</f>
        <v/>
      </c>
      <c r="C345" t="str">
        <f ca="1">Pyramid!G347</f>
        <v/>
      </c>
      <c r="D345" t="str">
        <f ca="1">Pyramid!H347</f>
        <v/>
      </c>
      <c r="E345" t="str">
        <f ca="1">Pyramid!I347</f>
        <v/>
      </c>
      <c r="F345" t="str">
        <f ca="1">Pyramid!J347</f>
        <v/>
      </c>
      <c r="G345" t="str">
        <f ca="1">Pyramid!K347</f>
        <v/>
      </c>
      <c r="H345" t="str">
        <f ca="1">Pyramid!L347</f>
        <v/>
      </c>
      <c r="I345" t="str">
        <f>Pyramid!M347</f>
        <v>29/9/2016</v>
      </c>
      <c r="J345">
        <f ca="1">Pyramid!N347</f>
        <v>0</v>
      </c>
      <c r="K345">
        <f ca="1">Pyramid!O347</f>
        <v>23000</v>
      </c>
      <c r="L345">
        <f ca="1">Pyramid!P347</f>
        <v>0</v>
      </c>
      <c r="M345" t="str">
        <f>Pyramid!Q347</f>
        <v>29/9/2016</v>
      </c>
      <c r="N345" t="str">
        <f ca="1">Pyramid!R347</f>
        <v/>
      </c>
      <c r="O345" t="str">
        <f ca="1">Pyramid!S347</f>
        <v/>
      </c>
      <c r="P345" t="str">
        <f ca="1">Pyramid!T347</f>
        <v/>
      </c>
      <c r="Q345" t="str">
        <f ca="1">Pyramid!U347</f>
        <v/>
      </c>
      <c r="R345" t="str">
        <f ca="1">Pyramid!V347</f>
        <v/>
      </c>
      <c r="S345" t="str">
        <f ca="1">Pyramid!W347</f>
        <v/>
      </c>
      <c r="T345" t="str">
        <f ca="1">Pyramid!X347</f>
        <v/>
      </c>
    </row>
    <row r="346" spans="1:20">
      <c r="A346" t="str">
        <f ca="1">Pyramid!E348</f>
        <v/>
      </c>
      <c r="B346" t="str">
        <f ca="1">Pyramid!F348</f>
        <v/>
      </c>
      <c r="C346" t="str">
        <f ca="1">Pyramid!G348</f>
        <v/>
      </c>
      <c r="D346" t="str">
        <f ca="1">Pyramid!H348</f>
        <v/>
      </c>
      <c r="E346" t="str">
        <f ca="1">Pyramid!I348</f>
        <v/>
      </c>
      <c r="F346" t="str">
        <f ca="1">Pyramid!J348</f>
        <v/>
      </c>
      <c r="G346" t="str">
        <f ca="1">Pyramid!K348</f>
        <v/>
      </c>
      <c r="H346" t="str">
        <f ca="1">Pyramid!L348</f>
        <v/>
      </c>
      <c r="I346" t="str">
        <f>Pyramid!M348</f>
        <v>28/10/2016</v>
      </c>
      <c r="J346">
        <f ca="1">Pyramid!N348</f>
        <v>0</v>
      </c>
      <c r="K346">
        <f ca="1">Pyramid!O348</f>
        <v>23000</v>
      </c>
      <c r="L346">
        <f ca="1">Pyramid!P348</f>
        <v>0</v>
      </c>
      <c r="M346" t="str">
        <f>Pyramid!Q348</f>
        <v>28/10/2016</v>
      </c>
      <c r="N346" t="str">
        <f ca="1">Pyramid!R348</f>
        <v/>
      </c>
      <c r="O346" t="str">
        <f ca="1">Pyramid!S348</f>
        <v/>
      </c>
      <c r="P346" t="str">
        <f ca="1">Pyramid!T348</f>
        <v/>
      </c>
      <c r="Q346" t="str">
        <f ca="1">Pyramid!U348</f>
        <v/>
      </c>
      <c r="R346" t="str">
        <f ca="1">Pyramid!V348</f>
        <v/>
      </c>
      <c r="S346" t="str">
        <f ca="1">Pyramid!W348</f>
        <v/>
      </c>
      <c r="T346" t="str">
        <f ca="1">Pyramid!X348</f>
        <v/>
      </c>
    </row>
    <row r="347" spans="1:20">
      <c r="A347" t="str">
        <f ca="1">Pyramid!E349</f>
        <v/>
      </c>
      <c r="B347" t="str">
        <f ca="1">Pyramid!F349</f>
        <v/>
      </c>
      <c r="C347" t="str">
        <f ca="1">Pyramid!G349</f>
        <v/>
      </c>
      <c r="D347" t="str">
        <f ca="1">Pyramid!H349</f>
        <v/>
      </c>
      <c r="E347" t="str">
        <f ca="1">Pyramid!I349</f>
        <v/>
      </c>
      <c r="F347" t="str">
        <f ca="1">Pyramid!J349</f>
        <v/>
      </c>
      <c r="G347" t="str">
        <f ca="1">Pyramid!K349</f>
        <v/>
      </c>
      <c r="H347" t="str">
        <f ca="1">Pyramid!L349</f>
        <v/>
      </c>
      <c r="I347" t="str">
        <f>Pyramid!M349</f>
        <v>29/6/2016</v>
      </c>
      <c r="J347">
        <f ca="1">Pyramid!N349</f>
        <v>0</v>
      </c>
      <c r="K347">
        <f ca="1">Pyramid!O349</f>
        <v>23200</v>
      </c>
      <c r="L347">
        <f ca="1">Pyramid!P349</f>
        <v>0</v>
      </c>
      <c r="M347" t="str">
        <f>Pyramid!Q349</f>
        <v>29/6/2016</v>
      </c>
      <c r="N347" t="str">
        <f ca="1">Pyramid!R349</f>
        <v/>
      </c>
      <c r="O347" t="str">
        <f ca="1">Pyramid!S349</f>
        <v/>
      </c>
      <c r="P347" t="str">
        <f ca="1">Pyramid!T349</f>
        <v/>
      </c>
      <c r="Q347" t="str">
        <f ca="1">Pyramid!U349</f>
        <v/>
      </c>
      <c r="R347" t="str">
        <f ca="1">Pyramid!V349</f>
        <v/>
      </c>
      <c r="S347" t="str">
        <f ca="1">Pyramid!W349</f>
        <v/>
      </c>
      <c r="T347" t="str">
        <f ca="1">Pyramid!X349</f>
        <v/>
      </c>
    </row>
    <row r="348" spans="1:20">
      <c r="A348" t="str">
        <f ca="1">Pyramid!E350</f>
        <v/>
      </c>
      <c r="B348" t="str">
        <f ca="1">Pyramid!F350</f>
        <v/>
      </c>
      <c r="C348" t="str">
        <f ca="1">Pyramid!G350</f>
        <v/>
      </c>
      <c r="D348" t="str">
        <f ca="1">Pyramid!H350</f>
        <v/>
      </c>
      <c r="E348" t="str">
        <f ca="1">Pyramid!I350</f>
        <v/>
      </c>
      <c r="F348" t="str">
        <f ca="1">Pyramid!J350</f>
        <v/>
      </c>
      <c r="G348" t="str">
        <f ca="1">Pyramid!K350</f>
        <v/>
      </c>
      <c r="H348" t="str">
        <f ca="1">Pyramid!L350</f>
        <v/>
      </c>
      <c r="I348" t="str">
        <f>Pyramid!M350</f>
        <v>28/7/2016</v>
      </c>
      <c r="J348">
        <f ca="1">Pyramid!N350</f>
        <v>0</v>
      </c>
      <c r="K348">
        <f ca="1">Pyramid!O350</f>
        <v>23200</v>
      </c>
      <c r="L348">
        <f ca="1">Pyramid!P350</f>
        <v>0</v>
      </c>
      <c r="M348" t="str">
        <f>Pyramid!Q350</f>
        <v>28/7/2016</v>
      </c>
      <c r="N348" t="str">
        <f ca="1">Pyramid!R350</f>
        <v/>
      </c>
      <c r="O348" t="str">
        <f ca="1">Pyramid!S350</f>
        <v/>
      </c>
      <c r="P348" t="str">
        <f ca="1">Pyramid!T350</f>
        <v/>
      </c>
      <c r="Q348" t="str">
        <f ca="1">Pyramid!U350</f>
        <v/>
      </c>
      <c r="R348" t="str">
        <f ca="1">Pyramid!V350</f>
        <v/>
      </c>
      <c r="S348" t="str">
        <f ca="1">Pyramid!W350</f>
        <v/>
      </c>
      <c r="T348" t="str">
        <f ca="1">Pyramid!X350</f>
        <v/>
      </c>
    </row>
    <row r="349" spans="1:20">
      <c r="A349" t="str">
        <f ca="1">Pyramid!E351</f>
        <v/>
      </c>
      <c r="B349" t="str">
        <f ca="1">Pyramid!F351</f>
        <v/>
      </c>
      <c r="C349" t="str">
        <f ca="1">Pyramid!G351</f>
        <v/>
      </c>
      <c r="D349" t="str">
        <f ca="1">Pyramid!H351</f>
        <v/>
      </c>
      <c r="E349" t="str">
        <f ca="1">Pyramid!I351</f>
        <v/>
      </c>
      <c r="F349" t="str">
        <f ca="1">Pyramid!J351</f>
        <v/>
      </c>
      <c r="G349" t="str">
        <f ca="1">Pyramid!K351</f>
        <v/>
      </c>
      <c r="H349" t="str">
        <f ca="1">Pyramid!L351</f>
        <v/>
      </c>
      <c r="I349" t="str">
        <f>Pyramid!M351</f>
        <v>30/8/2016</v>
      </c>
      <c r="J349">
        <f ca="1">Pyramid!N351</f>
        <v>0</v>
      </c>
      <c r="K349">
        <f ca="1">Pyramid!O351</f>
        <v>23200</v>
      </c>
      <c r="L349">
        <f ca="1">Pyramid!P351</f>
        <v>0</v>
      </c>
      <c r="M349" t="str">
        <f>Pyramid!Q351</f>
        <v>30/8/2016</v>
      </c>
      <c r="N349" t="str">
        <f ca="1">Pyramid!R351</f>
        <v/>
      </c>
      <c r="O349" t="str">
        <f ca="1">Pyramid!S351</f>
        <v/>
      </c>
      <c r="P349" t="str">
        <f ca="1">Pyramid!T351</f>
        <v/>
      </c>
      <c r="Q349" t="str">
        <f ca="1">Pyramid!U351</f>
        <v/>
      </c>
      <c r="R349" t="str">
        <f ca="1">Pyramid!V351</f>
        <v/>
      </c>
      <c r="S349" t="str">
        <f ca="1">Pyramid!W351</f>
        <v/>
      </c>
      <c r="T349" t="str">
        <f ca="1">Pyramid!X351</f>
        <v/>
      </c>
    </row>
    <row r="350" spans="1:20">
      <c r="A350" t="str">
        <f ca="1">Pyramid!E352</f>
        <v/>
      </c>
      <c r="B350" t="str">
        <f ca="1">Pyramid!F352</f>
        <v/>
      </c>
      <c r="C350" t="str">
        <f ca="1">Pyramid!G352</f>
        <v/>
      </c>
      <c r="D350" t="str">
        <f ca="1">Pyramid!H352</f>
        <v/>
      </c>
      <c r="E350" t="str">
        <f ca="1">Pyramid!I352</f>
        <v/>
      </c>
      <c r="F350" t="str">
        <f ca="1">Pyramid!J352</f>
        <v>24821 HK Equity</v>
      </c>
      <c r="G350" t="str">
        <f ca="1">Pyramid!K352</f>
        <v>23523 HK Equity</v>
      </c>
      <c r="H350" t="str">
        <f ca="1">Pyramid!L352</f>
        <v>24108 HK Equity</v>
      </c>
      <c r="I350" t="str">
        <f>Pyramid!M352</f>
        <v>29/9/2016</v>
      </c>
      <c r="J350">
        <f ca="1">Pyramid!N352</f>
        <v>3</v>
      </c>
      <c r="K350">
        <f ca="1">Pyramid!O352</f>
        <v>23200</v>
      </c>
      <c r="L350">
        <f ca="1">Pyramid!P352</f>
        <v>0</v>
      </c>
      <c r="M350" t="str">
        <f>Pyramid!Q352</f>
        <v>29/9/2016</v>
      </c>
      <c r="N350" t="str">
        <f ca="1">Pyramid!R352</f>
        <v/>
      </c>
      <c r="O350" t="str">
        <f ca="1">Pyramid!S352</f>
        <v/>
      </c>
      <c r="P350" t="str">
        <f ca="1">Pyramid!T352</f>
        <v/>
      </c>
      <c r="Q350" t="str">
        <f ca="1">Pyramid!U352</f>
        <v/>
      </c>
      <c r="R350" t="str">
        <f ca="1">Pyramid!V352</f>
        <v/>
      </c>
      <c r="S350" t="str">
        <f ca="1">Pyramid!W352</f>
        <v/>
      </c>
      <c r="T350" t="str">
        <f ca="1">Pyramid!X352</f>
        <v/>
      </c>
    </row>
    <row r="351" spans="1:20">
      <c r="A351" t="str">
        <f ca="1">Pyramid!E353</f>
        <v/>
      </c>
      <c r="B351" t="str">
        <f ca="1">Pyramid!F353</f>
        <v/>
      </c>
      <c r="C351" t="str">
        <f ca="1">Pyramid!G353</f>
        <v/>
      </c>
      <c r="D351" t="str">
        <f ca="1">Pyramid!H353</f>
        <v/>
      </c>
      <c r="E351" t="str">
        <f ca="1">Pyramid!I353</f>
        <v/>
      </c>
      <c r="F351" t="str">
        <f ca="1">Pyramid!J353</f>
        <v/>
      </c>
      <c r="G351" t="str">
        <f ca="1">Pyramid!K353</f>
        <v/>
      </c>
      <c r="H351" t="str">
        <f ca="1">Pyramid!L353</f>
        <v/>
      </c>
      <c r="I351" t="str">
        <f>Pyramid!M353</f>
        <v>28/10/2016</v>
      </c>
      <c r="J351">
        <f ca="1">Pyramid!N353</f>
        <v>0</v>
      </c>
      <c r="K351">
        <f ca="1">Pyramid!O353</f>
        <v>23200</v>
      </c>
      <c r="L351">
        <f ca="1">Pyramid!P353</f>
        <v>0</v>
      </c>
      <c r="M351" t="str">
        <f>Pyramid!Q353</f>
        <v>28/10/2016</v>
      </c>
      <c r="N351" t="str">
        <f ca="1">Pyramid!R353</f>
        <v/>
      </c>
      <c r="O351" t="str">
        <f ca="1">Pyramid!S353</f>
        <v/>
      </c>
      <c r="P351" t="str">
        <f ca="1">Pyramid!T353</f>
        <v/>
      </c>
      <c r="Q351" t="str">
        <f ca="1">Pyramid!U353</f>
        <v/>
      </c>
      <c r="R351" t="str">
        <f ca="1">Pyramid!V353</f>
        <v/>
      </c>
      <c r="S351" t="str">
        <f ca="1">Pyramid!W353</f>
        <v/>
      </c>
      <c r="T351" t="str">
        <f ca="1">Pyramid!X353</f>
        <v/>
      </c>
    </row>
    <row r="352" spans="1:20">
      <c r="A352" t="str">
        <f ca="1">Pyramid!E354</f>
        <v/>
      </c>
      <c r="B352" t="str">
        <f ca="1">Pyramid!F354</f>
        <v/>
      </c>
      <c r="C352" t="str">
        <f ca="1">Pyramid!G354</f>
        <v/>
      </c>
      <c r="D352" t="str">
        <f ca="1">Pyramid!H354</f>
        <v/>
      </c>
      <c r="E352" t="str">
        <f ca="1">Pyramid!I354</f>
        <v/>
      </c>
      <c r="F352" t="str">
        <f ca="1">Pyramid!J354</f>
        <v/>
      </c>
      <c r="G352" t="str">
        <f ca="1">Pyramid!K354</f>
        <v/>
      </c>
      <c r="H352" t="str">
        <f ca="1">Pyramid!L354</f>
        <v/>
      </c>
      <c r="I352" t="str">
        <f>Pyramid!M354</f>
        <v>29/6/2016</v>
      </c>
      <c r="J352">
        <f ca="1">Pyramid!N354</f>
        <v>0</v>
      </c>
      <c r="K352">
        <f ca="1">Pyramid!O354</f>
        <v>23288</v>
      </c>
      <c r="L352">
        <f ca="1">Pyramid!P354</f>
        <v>0</v>
      </c>
      <c r="M352" t="str">
        <f>Pyramid!Q354</f>
        <v>29/6/2016</v>
      </c>
      <c r="N352" t="str">
        <f ca="1">Pyramid!R354</f>
        <v/>
      </c>
      <c r="O352" t="str">
        <f ca="1">Pyramid!S354</f>
        <v/>
      </c>
      <c r="P352" t="str">
        <f ca="1">Pyramid!T354</f>
        <v/>
      </c>
      <c r="Q352" t="str">
        <f ca="1">Pyramid!U354</f>
        <v/>
      </c>
      <c r="R352" t="str">
        <f ca="1">Pyramid!V354</f>
        <v/>
      </c>
      <c r="S352" t="str">
        <f ca="1">Pyramid!W354</f>
        <v/>
      </c>
      <c r="T352" t="str">
        <f ca="1">Pyramid!X354</f>
        <v/>
      </c>
    </row>
    <row r="353" spans="1:20">
      <c r="A353" t="str">
        <f ca="1">Pyramid!E355</f>
        <v/>
      </c>
      <c r="B353" t="str">
        <f ca="1">Pyramid!F355</f>
        <v/>
      </c>
      <c r="C353" t="str">
        <f ca="1">Pyramid!G355</f>
        <v/>
      </c>
      <c r="D353" t="str">
        <f ca="1">Pyramid!H355</f>
        <v/>
      </c>
      <c r="E353" t="str">
        <f ca="1">Pyramid!I355</f>
        <v/>
      </c>
      <c r="F353" t="str">
        <f ca="1">Pyramid!J355</f>
        <v/>
      </c>
      <c r="G353" t="str">
        <f ca="1">Pyramid!K355</f>
        <v/>
      </c>
      <c r="H353" t="str">
        <f ca="1">Pyramid!L355</f>
        <v/>
      </c>
      <c r="I353" t="str">
        <f>Pyramid!M355</f>
        <v>28/7/2016</v>
      </c>
      <c r="J353">
        <f ca="1">Pyramid!N355</f>
        <v>0</v>
      </c>
      <c r="K353">
        <f ca="1">Pyramid!O355</f>
        <v>23288</v>
      </c>
      <c r="L353">
        <f ca="1">Pyramid!P355</f>
        <v>0</v>
      </c>
      <c r="M353" t="str">
        <f>Pyramid!Q355</f>
        <v>28/7/2016</v>
      </c>
      <c r="N353" t="str">
        <f ca="1">Pyramid!R355</f>
        <v/>
      </c>
      <c r="O353" t="str">
        <f ca="1">Pyramid!S355</f>
        <v/>
      </c>
      <c r="P353" t="str">
        <f ca="1">Pyramid!T355</f>
        <v/>
      </c>
      <c r="Q353" t="str">
        <f ca="1">Pyramid!U355</f>
        <v/>
      </c>
      <c r="R353" t="str">
        <f ca="1">Pyramid!V355</f>
        <v/>
      </c>
      <c r="S353" t="str">
        <f ca="1">Pyramid!W355</f>
        <v/>
      </c>
      <c r="T353" t="str">
        <f ca="1">Pyramid!X355</f>
        <v/>
      </c>
    </row>
    <row r="354" spans="1:20">
      <c r="A354" t="str">
        <f ca="1">Pyramid!E356</f>
        <v/>
      </c>
      <c r="B354" t="str">
        <f ca="1">Pyramid!F356</f>
        <v/>
      </c>
      <c r="C354" t="str">
        <f ca="1">Pyramid!G356</f>
        <v/>
      </c>
      <c r="D354" t="str">
        <f ca="1">Pyramid!H356</f>
        <v/>
      </c>
      <c r="E354" t="str">
        <f ca="1">Pyramid!I356</f>
        <v/>
      </c>
      <c r="F354" t="str">
        <f ca="1">Pyramid!J356</f>
        <v/>
      </c>
      <c r="G354" t="str">
        <f ca="1">Pyramid!K356</f>
        <v/>
      </c>
      <c r="H354" t="str">
        <f ca="1">Pyramid!L356</f>
        <v/>
      </c>
      <c r="I354" t="str">
        <f>Pyramid!M356</f>
        <v>30/8/2016</v>
      </c>
      <c r="J354">
        <f ca="1">Pyramid!N356</f>
        <v>0</v>
      </c>
      <c r="K354">
        <f ca="1">Pyramid!O356</f>
        <v>23288</v>
      </c>
      <c r="L354">
        <f ca="1">Pyramid!P356</f>
        <v>0</v>
      </c>
      <c r="M354" t="str">
        <f>Pyramid!Q356</f>
        <v>30/8/2016</v>
      </c>
      <c r="N354" t="str">
        <f ca="1">Pyramid!R356</f>
        <v/>
      </c>
      <c r="O354" t="str">
        <f ca="1">Pyramid!S356</f>
        <v/>
      </c>
      <c r="P354" t="str">
        <f ca="1">Pyramid!T356</f>
        <v/>
      </c>
      <c r="Q354" t="str">
        <f ca="1">Pyramid!U356</f>
        <v/>
      </c>
      <c r="R354" t="str">
        <f ca="1">Pyramid!V356</f>
        <v/>
      </c>
      <c r="S354" t="str">
        <f ca="1">Pyramid!W356</f>
        <v/>
      </c>
      <c r="T354" t="str">
        <f ca="1">Pyramid!X356</f>
        <v/>
      </c>
    </row>
    <row r="355" spans="1:20">
      <c r="A355" t="str">
        <f ca="1">Pyramid!E357</f>
        <v/>
      </c>
      <c r="B355" t="str">
        <f ca="1">Pyramid!F357</f>
        <v/>
      </c>
      <c r="C355" t="str">
        <f ca="1">Pyramid!G357</f>
        <v/>
      </c>
      <c r="D355" t="str">
        <f ca="1">Pyramid!H357</f>
        <v/>
      </c>
      <c r="E355" t="str">
        <f ca="1">Pyramid!I357</f>
        <v/>
      </c>
      <c r="F355" t="str">
        <f ca="1">Pyramid!J357</f>
        <v/>
      </c>
      <c r="G355" t="str">
        <f ca="1">Pyramid!K357</f>
        <v/>
      </c>
      <c r="H355" t="str">
        <f ca="1">Pyramid!L357</f>
        <v/>
      </c>
      <c r="I355" t="str">
        <f>Pyramid!M357</f>
        <v>29/9/2016</v>
      </c>
      <c r="J355">
        <f ca="1">Pyramid!N357</f>
        <v>0</v>
      </c>
      <c r="K355">
        <f ca="1">Pyramid!O357</f>
        <v>23288</v>
      </c>
      <c r="L355">
        <f ca="1">Pyramid!P357</f>
        <v>0</v>
      </c>
      <c r="M355" t="str">
        <f>Pyramid!Q357</f>
        <v>29/9/2016</v>
      </c>
      <c r="N355" t="str">
        <f ca="1">Pyramid!R357</f>
        <v/>
      </c>
      <c r="O355" t="str">
        <f ca="1">Pyramid!S357</f>
        <v/>
      </c>
      <c r="P355" t="str">
        <f ca="1">Pyramid!T357</f>
        <v/>
      </c>
      <c r="Q355" t="str">
        <f ca="1">Pyramid!U357</f>
        <v/>
      </c>
      <c r="R355" t="str">
        <f ca="1">Pyramid!V357</f>
        <v/>
      </c>
      <c r="S355" t="str">
        <f ca="1">Pyramid!W357</f>
        <v/>
      </c>
      <c r="T355" t="str">
        <f ca="1">Pyramid!X357</f>
        <v/>
      </c>
    </row>
    <row r="356" spans="1:20">
      <c r="A356" t="str">
        <f ca="1">Pyramid!E358</f>
        <v/>
      </c>
      <c r="B356" t="str">
        <f ca="1">Pyramid!F358</f>
        <v/>
      </c>
      <c r="C356" t="str">
        <f ca="1">Pyramid!G358</f>
        <v/>
      </c>
      <c r="D356" t="str">
        <f ca="1">Pyramid!H358</f>
        <v/>
      </c>
      <c r="E356" t="str">
        <f ca="1">Pyramid!I358</f>
        <v/>
      </c>
      <c r="F356" t="str">
        <f ca="1">Pyramid!J358</f>
        <v/>
      </c>
      <c r="G356" t="str">
        <f ca="1">Pyramid!K358</f>
        <v/>
      </c>
      <c r="H356" t="str">
        <f ca="1">Pyramid!L358</f>
        <v/>
      </c>
      <c r="I356" t="str">
        <f>Pyramid!M358</f>
        <v>28/10/2016</v>
      </c>
      <c r="J356">
        <f ca="1">Pyramid!N358</f>
        <v>0</v>
      </c>
      <c r="K356">
        <f ca="1">Pyramid!O358</f>
        <v>23288</v>
      </c>
      <c r="L356">
        <f ca="1">Pyramid!P358</f>
        <v>0</v>
      </c>
      <c r="M356" t="str">
        <f>Pyramid!Q358</f>
        <v>28/10/2016</v>
      </c>
      <c r="N356" t="str">
        <f ca="1">Pyramid!R358</f>
        <v/>
      </c>
      <c r="O356" t="str">
        <f ca="1">Pyramid!S358</f>
        <v/>
      </c>
      <c r="P356" t="str">
        <f ca="1">Pyramid!T358</f>
        <v/>
      </c>
      <c r="Q356" t="str">
        <f ca="1">Pyramid!U358</f>
        <v/>
      </c>
      <c r="R356" t="str">
        <f ca="1">Pyramid!V358</f>
        <v/>
      </c>
      <c r="S356" t="str">
        <f ca="1">Pyramid!W358</f>
        <v/>
      </c>
      <c r="T356" t="str">
        <f ca="1">Pyramid!X358</f>
        <v/>
      </c>
    </row>
    <row r="357" spans="1:20">
      <c r="A357" t="str">
        <f ca="1">Pyramid!E359</f>
        <v/>
      </c>
      <c r="B357" t="str">
        <f ca="1">Pyramid!F359</f>
        <v/>
      </c>
      <c r="C357" t="str">
        <f ca="1">Pyramid!G359</f>
        <v/>
      </c>
      <c r="D357" t="str">
        <f ca="1">Pyramid!H359</f>
        <v/>
      </c>
      <c r="E357" t="str">
        <f ca="1">Pyramid!I359</f>
        <v/>
      </c>
      <c r="F357" t="str">
        <f ca="1">Pyramid!J359</f>
        <v/>
      </c>
      <c r="G357" t="str">
        <f ca="1">Pyramid!K359</f>
        <v/>
      </c>
      <c r="H357" t="str">
        <f ca="1">Pyramid!L359</f>
        <v/>
      </c>
      <c r="I357" t="str">
        <f>Pyramid!M359</f>
        <v>29/6/2016</v>
      </c>
      <c r="J357">
        <f ca="1">Pyramid!N359</f>
        <v>0</v>
      </c>
      <c r="K357">
        <f ca="1">Pyramid!O359</f>
        <v>23300</v>
      </c>
      <c r="L357">
        <f ca="1">Pyramid!P359</f>
        <v>0</v>
      </c>
      <c r="M357" t="str">
        <f>Pyramid!Q359</f>
        <v>29/6/2016</v>
      </c>
      <c r="N357" t="str">
        <f ca="1">Pyramid!R359</f>
        <v/>
      </c>
      <c r="O357" t="str">
        <f ca="1">Pyramid!S359</f>
        <v/>
      </c>
      <c r="P357" t="str">
        <f ca="1">Pyramid!T359</f>
        <v/>
      </c>
      <c r="Q357" t="str">
        <f ca="1">Pyramid!U359</f>
        <v/>
      </c>
      <c r="R357" t="str">
        <f ca="1">Pyramid!V359</f>
        <v/>
      </c>
      <c r="S357" t="str">
        <f ca="1">Pyramid!W359</f>
        <v/>
      </c>
      <c r="T357" t="str">
        <f ca="1">Pyramid!X359</f>
        <v/>
      </c>
    </row>
    <row r="358" spans="1:20">
      <c r="A358" t="str">
        <f ca="1">Pyramid!E360</f>
        <v/>
      </c>
      <c r="B358" t="str">
        <f ca="1">Pyramid!F360</f>
        <v/>
      </c>
      <c r="C358" t="str">
        <f ca="1">Pyramid!G360</f>
        <v/>
      </c>
      <c r="D358" t="str">
        <f ca="1">Pyramid!H360</f>
        <v/>
      </c>
      <c r="E358" t="str">
        <f ca="1">Pyramid!I360</f>
        <v/>
      </c>
      <c r="F358" t="str">
        <f ca="1">Pyramid!J360</f>
        <v/>
      </c>
      <c r="G358" t="str">
        <f ca="1">Pyramid!K360</f>
        <v/>
      </c>
      <c r="H358" t="str">
        <f ca="1">Pyramid!L360</f>
        <v/>
      </c>
      <c r="I358" t="str">
        <f>Pyramid!M360</f>
        <v>28/7/2016</v>
      </c>
      <c r="J358">
        <f ca="1">Pyramid!N360</f>
        <v>0</v>
      </c>
      <c r="K358">
        <f ca="1">Pyramid!O360</f>
        <v>23300</v>
      </c>
      <c r="L358">
        <f ca="1">Pyramid!P360</f>
        <v>0</v>
      </c>
      <c r="M358" t="str">
        <f>Pyramid!Q360</f>
        <v>28/7/2016</v>
      </c>
      <c r="N358" t="str">
        <f ca="1">Pyramid!R360</f>
        <v/>
      </c>
      <c r="O358" t="str">
        <f ca="1">Pyramid!S360</f>
        <v/>
      </c>
      <c r="P358" t="str">
        <f ca="1">Pyramid!T360</f>
        <v/>
      </c>
      <c r="Q358" t="str">
        <f ca="1">Pyramid!U360</f>
        <v/>
      </c>
      <c r="R358" t="str">
        <f ca="1">Pyramid!V360</f>
        <v/>
      </c>
      <c r="S358" t="str">
        <f ca="1">Pyramid!W360</f>
        <v/>
      </c>
      <c r="T358" t="str">
        <f ca="1">Pyramid!X360</f>
        <v/>
      </c>
    </row>
    <row r="359" spans="1:20">
      <c r="A359" t="str">
        <f ca="1">Pyramid!E361</f>
        <v/>
      </c>
      <c r="B359" t="str">
        <f ca="1">Pyramid!F361</f>
        <v/>
      </c>
      <c r="C359" t="str">
        <f ca="1">Pyramid!G361</f>
        <v/>
      </c>
      <c r="D359" t="str">
        <f ca="1">Pyramid!H361</f>
        <v/>
      </c>
      <c r="E359" t="str">
        <f ca="1">Pyramid!I361</f>
        <v/>
      </c>
      <c r="F359" t="str">
        <f ca="1">Pyramid!J361</f>
        <v/>
      </c>
      <c r="G359" t="str">
        <f ca="1">Pyramid!K361</f>
        <v/>
      </c>
      <c r="H359" t="str">
        <f ca="1">Pyramid!L361</f>
        <v/>
      </c>
      <c r="I359" t="str">
        <f>Pyramid!M361</f>
        <v>30/8/2016</v>
      </c>
      <c r="J359">
        <f ca="1">Pyramid!N361</f>
        <v>0</v>
      </c>
      <c r="K359">
        <f ca="1">Pyramid!O361</f>
        <v>23300</v>
      </c>
      <c r="L359">
        <f ca="1">Pyramid!P361</f>
        <v>0</v>
      </c>
      <c r="M359" t="str">
        <f>Pyramid!Q361</f>
        <v>30/8/2016</v>
      </c>
      <c r="N359" t="str">
        <f ca="1">Pyramid!R361</f>
        <v/>
      </c>
      <c r="O359" t="str">
        <f ca="1">Pyramid!S361</f>
        <v/>
      </c>
      <c r="P359" t="str">
        <f ca="1">Pyramid!T361</f>
        <v/>
      </c>
      <c r="Q359" t="str">
        <f ca="1">Pyramid!U361</f>
        <v/>
      </c>
      <c r="R359" t="str">
        <f ca="1">Pyramid!V361</f>
        <v/>
      </c>
      <c r="S359" t="str">
        <f ca="1">Pyramid!W361</f>
        <v/>
      </c>
      <c r="T359" t="str">
        <f ca="1">Pyramid!X361</f>
        <v/>
      </c>
    </row>
    <row r="360" spans="1:20">
      <c r="A360" t="str">
        <f ca="1">Pyramid!E362</f>
        <v/>
      </c>
      <c r="B360" t="str">
        <f ca="1">Pyramid!F362</f>
        <v/>
      </c>
      <c r="C360" t="str">
        <f ca="1">Pyramid!G362</f>
        <v/>
      </c>
      <c r="D360" t="str">
        <f ca="1">Pyramid!H362</f>
        <v/>
      </c>
      <c r="E360" t="str">
        <f ca="1">Pyramid!I362</f>
        <v/>
      </c>
      <c r="F360" t="str">
        <f ca="1">Pyramid!J362</f>
        <v/>
      </c>
      <c r="G360" t="str">
        <f ca="1">Pyramid!K362</f>
        <v/>
      </c>
      <c r="H360" t="str">
        <f ca="1">Pyramid!L362</f>
        <v/>
      </c>
      <c r="I360" t="str">
        <f>Pyramid!M362</f>
        <v>29/9/2016</v>
      </c>
      <c r="J360">
        <f ca="1">Pyramid!N362</f>
        <v>0</v>
      </c>
      <c r="K360">
        <f ca="1">Pyramid!O362</f>
        <v>23300</v>
      </c>
      <c r="L360">
        <f ca="1">Pyramid!P362</f>
        <v>0</v>
      </c>
      <c r="M360" t="str">
        <f>Pyramid!Q362</f>
        <v>29/9/2016</v>
      </c>
      <c r="N360" t="str">
        <f ca="1">Pyramid!R362</f>
        <v/>
      </c>
      <c r="O360" t="str">
        <f ca="1">Pyramid!S362</f>
        <v/>
      </c>
      <c r="P360" t="str">
        <f ca="1">Pyramid!T362</f>
        <v/>
      </c>
      <c r="Q360" t="str">
        <f ca="1">Pyramid!U362</f>
        <v/>
      </c>
      <c r="R360" t="str">
        <f ca="1">Pyramid!V362</f>
        <v/>
      </c>
      <c r="S360" t="str">
        <f ca="1">Pyramid!W362</f>
        <v/>
      </c>
      <c r="T360" t="str">
        <f ca="1">Pyramid!X362</f>
        <v/>
      </c>
    </row>
    <row r="361" spans="1:20">
      <c r="A361" t="str">
        <f ca="1">Pyramid!E363</f>
        <v/>
      </c>
      <c r="B361" t="str">
        <f ca="1">Pyramid!F363</f>
        <v/>
      </c>
      <c r="C361" t="str">
        <f ca="1">Pyramid!G363</f>
        <v/>
      </c>
      <c r="D361" t="str">
        <f ca="1">Pyramid!H363</f>
        <v/>
      </c>
      <c r="E361" t="str">
        <f ca="1">Pyramid!I363</f>
        <v/>
      </c>
      <c r="F361" t="str">
        <f ca="1">Pyramid!J363</f>
        <v/>
      </c>
      <c r="G361" t="str">
        <f ca="1">Pyramid!K363</f>
        <v/>
      </c>
      <c r="H361" t="str">
        <f ca="1">Pyramid!L363</f>
        <v/>
      </c>
      <c r="I361" t="str">
        <f>Pyramid!M363</f>
        <v>28/10/2016</v>
      </c>
      <c r="J361">
        <f ca="1">Pyramid!N363</f>
        <v>0</v>
      </c>
      <c r="K361">
        <f ca="1">Pyramid!O363</f>
        <v>23300</v>
      </c>
      <c r="L361">
        <f ca="1">Pyramid!P363</f>
        <v>0</v>
      </c>
      <c r="M361" t="str">
        <f>Pyramid!Q363</f>
        <v>28/10/2016</v>
      </c>
      <c r="N361" t="str">
        <f ca="1">Pyramid!R363</f>
        <v/>
      </c>
      <c r="O361" t="str">
        <f ca="1">Pyramid!S363</f>
        <v/>
      </c>
      <c r="P361" t="str">
        <f ca="1">Pyramid!T363</f>
        <v/>
      </c>
      <c r="Q361" t="str">
        <f ca="1">Pyramid!U363</f>
        <v/>
      </c>
      <c r="R361" t="str">
        <f ca="1">Pyramid!V363</f>
        <v/>
      </c>
      <c r="S361" t="str">
        <f ca="1">Pyramid!W363</f>
        <v/>
      </c>
      <c r="T361" t="str">
        <f ca="1">Pyramid!X363</f>
        <v/>
      </c>
    </row>
    <row r="362" spans="1:20">
      <c r="A362" t="str">
        <f ca="1">Pyramid!E364</f>
        <v/>
      </c>
      <c r="B362" t="str">
        <f ca="1">Pyramid!F364</f>
        <v/>
      </c>
      <c r="C362" t="str">
        <f ca="1">Pyramid!G364</f>
        <v/>
      </c>
      <c r="D362" t="str">
        <f ca="1">Pyramid!H364</f>
        <v/>
      </c>
      <c r="E362" t="str">
        <f ca="1">Pyramid!I364</f>
        <v/>
      </c>
      <c r="F362" t="str">
        <f ca="1">Pyramid!J364</f>
        <v/>
      </c>
      <c r="G362" t="str">
        <f ca="1">Pyramid!K364</f>
        <v/>
      </c>
      <c r="H362" t="str">
        <f ca="1">Pyramid!L364</f>
        <v/>
      </c>
      <c r="I362" t="str">
        <f>Pyramid!M364</f>
        <v>29/6/2016</v>
      </c>
      <c r="J362">
        <f ca="1">Pyramid!N364</f>
        <v>0</v>
      </c>
      <c r="K362">
        <f ca="1">Pyramid!O364</f>
        <v>23500</v>
      </c>
      <c r="L362">
        <f ca="1">Pyramid!P364</f>
        <v>1</v>
      </c>
      <c r="M362" t="str">
        <f>Pyramid!Q364</f>
        <v>29/6/2016</v>
      </c>
      <c r="N362" t="str">
        <f ca="1">Pyramid!R364</f>
        <v>21009 HK Equity</v>
      </c>
      <c r="O362" t="str">
        <f ca="1">Pyramid!S364</f>
        <v/>
      </c>
      <c r="P362" t="str">
        <f ca="1">Pyramid!T364</f>
        <v/>
      </c>
      <c r="Q362" t="str">
        <f ca="1">Pyramid!U364</f>
        <v/>
      </c>
      <c r="R362" t="str">
        <f ca="1">Pyramid!V364</f>
        <v/>
      </c>
      <c r="S362" t="str">
        <f ca="1">Pyramid!W364</f>
        <v/>
      </c>
      <c r="T362" t="str">
        <f ca="1">Pyramid!X364</f>
        <v/>
      </c>
    </row>
    <row r="363" spans="1:20">
      <c r="A363" t="str">
        <f ca="1">Pyramid!E365</f>
        <v/>
      </c>
      <c r="B363" t="str">
        <f ca="1">Pyramid!F365</f>
        <v/>
      </c>
      <c r="C363" t="str">
        <f ca="1">Pyramid!G365</f>
        <v/>
      </c>
      <c r="D363" t="str">
        <f ca="1">Pyramid!H365</f>
        <v/>
      </c>
      <c r="E363" t="str">
        <f ca="1">Pyramid!I365</f>
        <v/>
      </c>
      <c r="F363" t="str">
        <f ca="1">Pyramid!J365</f>
        <v/>
      </c>
      <c r="G363" t="str">
        <f ca="1">Pyramid!K365</f>
        <v/>
      </c>
      <c r="H363" t="str">
        <f ca="1">Pyramid!L365</f>
        <v/>
      </c>
      <c r="I363" t="str">
        <f>Pyramid!M365</f>
        <v>28/7/2016</v>
      </c>
      <c r="J363">
        <f ca="1">Pyramid!N365</f>
        <v>0</v>
      </c>
      <c r="K363">
        <f ca="1">Pyramid!O365</f>
        <v>23500</v>
      </c>
      <c r="L363">
        <f ca="1">Pyramid!P365</f>
        <v>0</v>
      </c>
      <c r="M363" t="str">
        <f>Pyramid!Q365</f>
        <v>28/7/2016</v>
      </c>
      <c r="N363" t="str">
        <f ca="1">Pyramid!R365</f>
        <v/>
      </c>
      <c r="O363" t="str">
        <f ca="1">Pyramid!S365</f>
        <v/>
      </c>
      <c r="P363" t="str">
        <f ca="1">Pyramid!T365</f>
        <v/>
      </c>
      <c r="Q363" t="str">
        <f ca="1">Pyramid!U365</f>
        <v/>
      </c>
      <c r="R363" t="str">
        <f ca="1">Pyramid!V365</f>
        <v/>
      </c>
      <c r="S363" t="str">
        <f ca="1">Pyramid!W365</f>
        <v/>
      </c>
      <c r="T363" t="str">
        <f ca="1">Pyramid!X365</f>
        <v/>
      </c>
    </row>
    <row r="364" spans="1:20">
      <c r="A364" t="str">
        <f ca="1">Pyramid!E366</f>
        <v/>
      </c>
      <c r="B364" t="str">
        <f ca="1">Pyramid!F366</f>
        <v/>
      </c>
      <c r="C364" t="str">
        <f ca="1">Pyramid!G366</f>
        <v/>
      </c>
      <c r="D364" t="str">
        <f ca="1">Pyramid!H366</f>
        <v/>
      </c>
      <c r="E364" t="str">
        <f ca="1">Pyramid!I366</f>
        <v/>
      </c>
      <c r="F364" t="str">
        <f ca="1">Pyramid!J366</f>
        <v/>
      </c>
      <c r="G364" t="str">
        <f ca="1">Pyramid!K366</f>
        <v/>
      </c>
      <c r="H364" t="str">
        <f ca="1">Pyramid!L366</f>
        <v/>
      </c>
      <c r="I364" t="str">
        <f>Pyramid!M366</f>
        <v>30/8/2016</v>
      </c>
      <c r="J364">
        <f ca="1">Pyramid!N366</f>
        <v>0</v>
      </c>
      <c r="K364">
        <f ca="1">Pyramid!O366</f>
        <v>23500</v>
      </c>
      <c r="L364">
        <f ca="1">Pyramid!P366</f>
        <v>0</v>
      </c>
      <c r="M364" t="str">
        <f>Pyramid!Q366</f>
        <v>30/8/2016</v>
      </c>
      <c r="N364" t="str">
        <f ca="1">Pyramid!R366</f>
        <v/>
      </c>
      <c r="O364" t="str">
        <f ca="1">Pyramid!S366</f>
        <v/>
      </c>
      <c r="P364" t="str">
        <f ca="1">Pyramid!T366</f>
        <v/>
      </c>
      <c r="Q364" t="str">
        <f ca="1">Pyramid!U366</f>
        <v/>
      </c>
      <c r="R364" t="str">
        <f ca="1">Pyramid!V366</f>
        <v/>
      </c>
      <c r="S364" t="str">
        <f ca="1">Pyramid!W366</f>
        <v/>
      </c>
      <c r="T364" t="str">
        <f ca="1">Pyramid!X366</f>
        <v/>
      </c>
    </row>
    <row r="365" spans="1:20">
      <c r="A365" t="str">
        <f ca="1">Pyramid!E367</f>
        <v/>
      </c>
      <c r="B365" t="str">
        <f ca="1">Pyramid!F367</f>
        <v/>
      </c>
      <c r="C365" t="str">
        <f ca="1">Pyramid!G367</f>
        <v/>
      </c>
      <c r="D365" t="str">
        <f ca="1">Pyramid!H367</f>
        <v/>
      </c>
      <c r="E365" t="str">
        <f ca="1">Pyramid!I367</f>
        <v/>
      </c>
      <c r="F365" t="str">
        <f ca="1">Pyramid!J367</f>
        <v/>
      </c>
      <c r="G365" t="str">
        <f ca="1">Pyramid!K367</f>
        <v/>
      </c>
      <c r="H365" t="str">
        <f ca="1">Pyramid!L367</f>
        <v/>
      </c>
      <c r="I365" t="str">
        <f>Pyramid!M367</f>
        <v>29/9/2016</v>
      </c>
      <c r="J365">
        <f ca="1">Pyramid!N367</f>
        <v>0</v>
      </c>
      <c r="K365">
        <f ca="1">Pyramid!O367</f>
        <v>23500</v>
      </c>
      <c r="L365">
        <f ca="1">Pyramid!P367</f>
        <v>0</v>
      </c>
      <c r="M365" t="str">
        <f>Pyramid!Q367</f>
        <v>29/9/2016</v>
      </c>
      <c r="N365" t="str">
        <f ca="1">Pyramid!R367</f>
        <v/>
      </c>
      <c r="O365" t="str">
        <f ca="1">Pyramid!S367</f>
        <v/>
      </c>
      <c r="P365" t="str">
        <f ca="1">Pyramid!T367</f>
        <v/>
      </c>
      <c r="Q365" t="str">
        <f ca="1">Pyramid!U367</f>
        <v/>
      </c>
      <c r="R365" t="str">
        <f ca="1">Pyramid!V367</f>
        <v/>
      </c>
      <c r="S365" t="str">
        <f ca="1">Pyramid!W367</f>
        <v/>
      </c>
      <c r="T365" t="str">
        <f ca="1">Pyramid!X367</f>
        <v/>
      </c>
    </row>
    <row r="366" spans="1:20">
      <c r="A366" t="str">
        <f ca="1">Pyramid!E368</f>
        <v/>
      </c>
      <c r="B366" t="str">
        <f ca="1">Pyramid!F368</f>
        <v/>
      </c>
      <c r="C366" t="str">
        <f ca="1">Pyramid!G368</f>
        <v/>
      </c>
      <c r="D366" t="str">
        <f ca="1">Pyramid!H368</f>
        <v/>
      </c>
      <c r="E366" t="str">
        <f ca="1">Pyramid!I368</f>
        <v/>
      </c>
      <c r="F366" t="str">
        <f ca="1">Pyramid!J368</f>
        <v/>
      </c>
      <c r="G366" t="str">
        <f ca="1">Pyramid!K368</f>
        <v/>
      </c>
      <c r="H366" t="str">
        <f ca="1">Pyramid!L368</f>
        <v/>
      </c>
      <c r="I366" t="str">
        <f>Pyramid!M368</f>
        <v>28/10/2016</v>
      </c>
      <c r="J366">
        <f ca="1">Pyramid!N368</f>
        <v>0</v>
      </c>
      <c r="K366">
        <f ca="1">Pyramid!O368</f>
        <v>23500</v>
      </c>
      <c r="L366">
        <f ca="1">Pyramid!P368</f>
        <v>0</v>
      </c>
      <c r="M366" t="str">
        <f>Pyramid!Q368</f>
        <v>28/10/2016</v>
      </c>
      <c r="N366" t="str">
        <f ca="1">Pyramid!R368</f>
        <v/>
      </c>
      <c r="O366" t="str">
        <f ca="1">Pyramid!S368</f>
        <v/>
      </c>
      <c r="P366" t="str">
        <f ca="1">Pyramid!T368</f>
        <v/>
      </c>
      <c r="Q366" t="str">
        <f ca="1">Pyramid!U368</f>
        <v/>
      </c>
      <c r="R366" t="str">
        <f ca="1">Pyramid!V368</f>
        <v/>
      </c>
      <c r="S366" t="str">
        <f ca="1">Pyramid!W368</f>
        <v/>
      </c>
      <c r="T366" t="str">
        <f ca="1">Pyramid!X368</f>
        <v/>
      </c>
    </row>
    <row r="367" spans="1:20">
      <c r="A367" t="str">
        <f ca="1">Pyramid!E369</f>
        <v/>
      </c>
      <c r="B367" t="str">
        <f ca="1">Pyramid!F369</f>
        <v/>
      </c>
      <c r="C367" t="str">
        <f ca="1">Pyramid!G369</f>
        <v/>
      </c>
      <c r="D367" t="str">
        <f ca="1">Pyramid!H369</f>
        <v/>
      </c>
      <c r="E367" t="str">
        <f ca="1">Pyramid!I369</f>
        <v/>
      </c>
      <c r="F367" t="str">
        <f ca="1">Pyramid!J369</f>
        <v/>
      </c>
      <c r="G367" t="str">
        <f ca="1">Pyramid!K369</f>
        <v/>
      </c>
      <c r="H367" t="str">
        <f ca="1">Pyramid!L369</f>
        <v/>
      </c>
      <c r="I367" t="str">
        <f>Pyramid!M369</f>
        <v>29/6/2016</v>
      </c>
      <c r="J367">
        <f ca="1">Pyramid!N369</f>
        <v>0</v>
      </c>
      <c r="K367">
        <f ca="1">Pyramid!O369</f>
        <v>23600</v>
      </c>
      <c r="L367">
        <f ca="1">Pyramid!P369</f>
        <v>0</v>
      </c>
      <c r="M367" t="str">
        <f>Pyramid!Q369</f>
        <v>29/6/2016</v>
      </c>
      <c r="N367" t="str">
        <f ca="1">Pyramid!R369</f>
        <v/>
      </c>
      <c r="O367" t="str">
        <f ca="1">Pyramid!S369</f>
        <v/>
      </c>
      <c r="P367" t="str">
        <f ca="1">Pyramid!T369</f>
        <v/>
      </c>
      <c r="Q367" t="str">
        <f ca="1">Pyramid!U369</f>
        <v/>
      </c>
      <c r="R367" t="str">
        <f ca="1">Pyramid!V369</f>
        <v/>
      </c>
      <c r="S367" t="str">
        <f ca="1">Pyramid!W369</f>
        <v/>
      </c>
      <c r="T367" t="str">
        <f ca="1">Pyramid!X369</f>
        <v/>
      </c>
    </row>
    <row r="368" spans="1:20">
      <c r="A368" t="str">
        <f ca="1">Pyramid!E370</f>
        <v/>
      </c>
      <c r="B368" t="str">
        <f ca="1">Pyramid!F370</f>
        <v/>
      </c>
      <c r="C368" t="str">
        <f ca="1">Pyramid!G370</f>
        <v/>
      </c>
      <c r="D368" t="str">
        <f ca="1">Pyramid!H370</f>
        <v/>
      </c>
      <c r="E368" t="str">
        <f ca="1">Pyramid!I370</f>
        <v/>
      </c>
      <c r="F368" t="str">
        <f ca="1">Pyramid!J370</f>
        <v>24825 HK Equity</v>
      </c>
      <c r="G368" t="str">
        <f ca="1">Pyramid!K370</f>
        <v>24712 HK Equity</v>
      </c>
      <c r="H368" t="str">
        <f ca="1">Pyramid!L370</f>
        <v>23383 HK Equity</v>
      </c>
      <c r="I368" t="str">
        <f>Pyramid!M370</f>
        <v>28/7/2016</v>
      </c>
      <c r="J368">
        <f ca="1">Pyramid!N370</f>
        <v>3</v>
      </c>
      <c r="K368">
        <f ca="1">Pyramid!O370</f>
        <v>23600</v>
      </c>
      <c r="L368">
        <f ca="1">Pyramid!P370</f>
        <v>0</v>
      </c>
      <c r="M368" t="str">
        <f>Pyramid!Q370</f>
        <v>28/7/2016</v>
      </c>
      <c r="N368" t="str">
        <f ca="1">Pyramid!R370</f>
        <v/>
      </c>
      <c r="O368" t="str">
        <f ca="1">Pyramid!S370</f>
        <v/>
      </c>
      <c r="P368" t="str">
        <f ca="1">Pyramid!T370</f>
        <v/>
      </c>
      <c r="Q368" t="str">
        <f ca="1">Pyramid!U370</f>
        <v/>
      </c>
      <c r="R368" t="str">
        <f ca="1">Pyramid!V370</f>
        <v/>
      </c>
      <c r="S368" t="str">
        <f ca="1">Pyramid!W370</f>
        <v/>
      </c>
      <c r="T368" t="str">
        <f ca="1">Pyramid!X370</f>
        <v/>
      </c>
    </row>
    <row r="369" spans="1:20">
      <c r="A369" t="str">
        <f ca="1">Pyramid!E371</f>
        <v/>
      </c>
      <c r="B369" t="str">
        <f ca="1">Pyramid!F371</f>
        <v/>
      </c>
      <c r="C369" t="str">
        <f ca="1">Pyramid!G371</f>
        <v/>
      </c>
      <c r="D369" t="str">
        <f ca="1">Pyramid!H371</f>
        <v/>
      </c>
      <c r="E369" t="str">
        <f ca="1">Pyramid!I371</f>
        <v/>
      </c>
      <c r="F369" t="str">
        <f ca="1">Pyramid!J371</f>
        <v/>
      </c>
      <c r="G369" t="str">
        <f ca="1">Pyramid!K371</f>
        <v/>
      </c>
      <c r="H369" t="str">
        <f ca="1">Pyramid!L371</f>
        <v/>
      </c>
      <c r="I369" t="str">
        <f>Pyramid!M371</f>
        <v>30/8/2016</v>
      </c>
      <c r="J369">
        <f ca="1">Pyramid!N371</f>
        <v>0</v>
      </c>
      <c r="K369">
        <f ca="1">Pyramid!O371</f>
        <v>23600</v>
      </c>
      <c r="L369">
        <f ca="1">Pyramid!P371</f>
        <v>0</v>
      </c>
      <c r="M369" t="str">
        <f>Pyramid!Q371</f>
        <v>30/8/2016</v>
      </c>
      <c r="N369" t="str">
        <f ca="1">Pyramid!R371</f>
        <v/>
      </c>
      <c r="O369" t="str">
        <f ca="1">Pyramid!S371</f>
        <v/>
      </c>
      <c r="P369" t="str">
        <f ca="1">Pyramid!T371</f>
        <v/>
      </c>
      <c r="Q369" t="str">
        <f ca="1">Pyramid!U371</f>
        <v/>
      </c>
      <c r="R369" t="str">
        <f ca="1">Pyramid!V371</f>
        <v/>
      </c>
      <c r="S369" t="str">
        <f ca="1">Pyramid!W371</f>
        <v/>
      </c>
      <c r="T369" t="str">
        <f ca="1">Pyramid!X371</f>
        <v/>
      </c>
    </row>
    <row r="370" spans="1:20">
      <c r="A370" t="str">
        <f ca="1">Pyramid!E372</f>
        <v/>
      </c>
      <c r="B370" t="str">
        <f ca="1">Pyramid!F372</f>
        <v/>
      </c>
      <c r="C370" t="str">
        <f ca="1">Pyramid!G372</f>
        <v/>
      </c>
      <c r="D370" t="str">
        <f ca="1">Pyramid!H372</f>
        <v/>
      </c>
      <c r="E370" t="str">
        <f ca="1">Pyramid!I372</f>
        <v/>
      </c>
      <c r="F370" t="str">
        <f ca="1">Pyramid!J372</f>
        <v/>
      </c>
      <c r="G370" t="str">
        <f ca="1">Pyramid!K372</f>
        <v/>
      </c>
      <c r="H370" t="str">
        <f ca="1">Pyramid!L372</f>
        <v/>
      </c>
      <c r="I370" t="str">
        <f>Pyramid!M372</f>
        <v>29/9/2016</v>
      </c>
      <c r="J370">
        <f ca="1">Pyramid!N372</f>
        <v>0</v>
      </c>
      <c r="K370">
        <f ca="1">Pyramid!O372</f>
        <v>23600</v>
      </c>
      <c r="L370">
        <f ca="1">Pyramid!P372</f>
        <v>0</v>
      </c>
      <c r="M370" t="str">
        <f>Pyramid!Q372</f>
        <v>29/9/2016</v>
      </c>
      <c r="N370" t="str">
        <f ca="1">Pyramid!R372</f>
        <v/>
      </c>
      <c r="O370" t="str">
        <f ca="1">Pyramid!S372</f>
        <v/>
      </c>
      <c r="P370" t="str">
        <f ca="1">Pyramid!T372</f>
        <v/>
      </c>
      <c r="Q370" t="str">
        <f ca="1">Pyramid!U372</f>
        <v/>
      </c>
      <c r="R370" t="str">
        <f ca="1">Pyramid!V372</f>
        <v/>
      </c>
      <c r="S370" t="str">
        <f ca="1">Pyramid!W372</f>
        <v/>
      </c>
      <c r="T370" t="str">
        <f ca="1">Pyramid!X372</f>
        <v/>
      </c>
    </row>
    <row r="371" spans="1:20">
      <c r="A371" t="str">
        <f ca="1">Pyramid!E373</f>
        <v/>
      </c>
      <c r="B371" t="str">
        <f ca="1">Pyramid!F373</f>
        <v/>
      </c>
      <c r="C371" t="str">
        <f ca="1">Pyramid!G373</f>
        <v/>
      </c>
      <c r="D371" t="str">
        <f ca="1">Pyramid!H373</f>
        <v/>
      </c>
      <c r="E371" t="str">
        <f ca="1">Pyramid!I373</f>
        <v/>
      </c>
      <c r="F371" t="str">
        <f ca="1">Pyramid!J373</f>
        <v/>
      </c>
      <c r="G371" t="str">
        <f ca="1">Pyramid!K373</f>
        <v/>
      </c>
      <c r="H371" t="str">
        <f ca="1">Pyramid!L373</f>
        <v/>
      </c>
      <c r="I371" t="str">
        <f>Pyramid!M373</f>
        <v>28/10/2016</v>
      </c>
      <c r="J371">
        <f ca="1">Pyramid!N373</f>
        <v>0</v>
      </c>
      <c r="K371">
        <f ca="1">Pyramid!O373</f>
        <v>23600</v>
      </c>
      <c r="L371">
        <f ca="1">Pyramid!P373</f>
        <v>0</v>
      </c>
      <c r="M371" t="str">
        <f>Pyramid!Q373</f>
        <v>28/10/2016</v>
      </c>
      <c r="N371" t="str">
        <f ca="1">Pyramid!R373</f>
        <v/>
      </c>
      <c r="O371" t="str">
        <f ca="1">Pyramid!S373</f>
        <v/>
      </c>
      <c r="P371" t="str">
        <f ca="1">Pyramid!T373</f>
        <v/>
      </c>
      <c r="Q371" t="str">
        <f ca="1">Pyramid!U373</f>
        <v/>
      </c>
      <c r="R371" t="str">
        <f ca="1">Pyramid!V373</f>
        <v/>
      </c>
      <c r="S371" t="str">
        <f ca="1">Pyramid!W373</f>
        <v/>
      </c>
      <c r="T371" t="str">
        <f ca="1">Pyramid!X373</f>
        <v/>
      </c>
    </row>
    <row r="372" spans="1:20">
      <c r="A372" t="str">
        <f ca="1">Pyramid!E374</f>
        <v/>
      </c>
      <c r="B372" t="str">
        <f ca="1">Pyramid!F374</f>
        <v/>
      </c>
      <c r="C372" t="str">
        <f ca="1">Pyramid!G374</f>
        <v/>
      </c>
      <c r="D372" t="str">
        <f ca="1">Pyramid!H374</f>
        <v/>
      </c>
      <c r="E372" t="str">
        <f ca="1">Pyramid!I374</f>
        <v/>
      </c>
      <c r="F372" t="str">
        <f ca="1">Pyramid!J374</f>
        <v/>
      </c>
      <c r="G372" t="str">
        <f ca="1">Pyramid!K374</f>
        <v/>
      </c>
      <c r="H372" t="str">
        <f ca="1">Pyramid!L374</f>
        <v/>
      </c>
      <c r="I372" t="str">
        <f>Pyramid!M374</f>
        <v>29/6/2016</v>
      </c>
      <c r="J372">
        <f ca="1">Pyramid!N374</f>
        <v>0</v>
      </c>
      <c r="K372">
        <f ca="1">Pyramid!O374</f>
        <v>23800</v>
      </c>
      <c r="L372">
        <f ca="1">Pyramid!P374</f>
        <v>0</v>
      </c>
      <c r="M372" t="str">
        <f>Pyramid!Q374</f>
        <v>29/6/2016</v>
      </c>
      <c r="N372" t="str">
        <f ca="1">Pyramid!R374</f>
        <v/>
      </c>
      <c r="O372" t="str">
        <f ca="1">Pyramid!S374</f>
        <v/>
      </c>
      <c r="P372" t="str">
        <f ca="1">Pyramid!T374</f>
        <v/>
      </c>
      <c r="Q372" t="str">
        <f ca="1">Pyramid!U374</f>
        <v/>
      </c>
      <c r="R372" t="str">
        <f ca="1">Pyramid!V374</f>
        <v/>
      </c>
      <c r="S372" t="str">
        <f ca="1">Pyramid!W374</f>
        <v/>
      </c>
      <c r="T372" t="str">
        <f ca="1">Pyramid!X374</f>
        <v/>
      </c>
    </row>
    <row r="373" spans="1:20">
      <c r="A373" t="str">
        <f ca="1">Pyramid!E375</f>
        <v/>
      </c>
      <c r="B373" t="str">
        <f ca="1">Pyramid!F375</f>
        <v/>
      </c>
      <c r="C373" t="str">
        <f ca="1">Pyramid!G375</f>
        <v/>
      </c>
      <c r="D373" t="str">
        <f ca="1">Pyramid!H375</f>
        <v/>
      </c>
      <c r="E373" t="str">
        <f ca="1">Pyramid!I375</f>
        <v/>
      </c>
      <c r="F373" t="str">
        <f ca="1">Pyramid!J375</f>
        <v/>
      </c>
      <c r="G373" t="str">
        <f ca="1">Pyramid!K375</f>
        <v/>
      </c>
      <c r="H373" t="str">
        <f ca="1">Pyramid!L375</f>
        <v/>
      </c>
      <c r="I373" t="str">
        <f>Pyramid!M375</f>
        <v>28/7/2016</v>
      </c>
      <c r="J373">
        <f ca="1">Pyramid!N375</f>
        <v>0</v>
      </c>
      <c r="K373">
        <f ca="1">Pyramid!O375</f>
        <v>23800</v>
      </c>
      <c r="L373">
        <f ca="1">Pyramid!P375</f>
        <v>0</v>
      </c>
      <c r="M373" t="str">
        <f>Pyramid!Q375</f>
        <v>28/7/2016</v>
      </c>
      <c r="N373" t="str">
        <f ca="1">Pyramid!R375</f>
        <v/>
      </c>
      <c r="O373" t="str">
        <f ca="1">Pyramid!S375</f>
        <v/>
      </c>
      <c r="P373" t="str">
        <f ca="1">Pyramid!T375</f>
        <v/>
      </c>
      <c r="Q373" t="str">
        <f ca="1">Pyramid!U375</f>
        <v/>
      </c>
      <c r="R373" t="str">
        <f ca="1">Pyramid!V375</f>
        <v/>
      </c>
      <c r="S373" t="str">
        <f ca="1">Pyramid!W375</f>
        <v/>
      </c>
      <c r="T373" t="str">
        <f ca="1">Pyramid!X375</f>
        <v/>
      </c>
    </row>
    <row r="374" spans="1:20">
      <c r="A374" t="str">
        <f ca="1">Pyramid!E376</f>
        <v/>
      </c>
      <c r="B374" t="str">
        <f ca="1">Pyramid!F376</f>
        <v/>
      </c>
      <c r="C374" t="str">
        <f ca="1">Pyramid!G376</f>
        <v/>
      </c>
      <c r="D374" t="str">
        <f ca="1">Pyramid!H376</f>
        <v/>
      </c>
      <c r="E374" t="str">
        <f ca="1">Pyramid!I376</f>
        <v/>
      </c>
      <c r="F374" t="str">
        <f ca="1">Pyramid!J376</f>
        <v/>
      </c>
      <c r="G374" t="str">
        <f ca="1">Pyramid!K376</f>
        <v/>
      </c>
      <c r="H374" t="str">
        <f ca="1">Pyramid!L376</f>
        <v/>
      </c>
      <c r="I374" t="str">
        <f>Pyramid!M376</f>
        <v>30/8/2016</v>
      </c>
      <c r="J374">
        <f ca="1">Pyramid!N376</f>
        <v>0</v>
      </c>
      <c r="K374">
        <f ca="1">Pyramid!O376</f>
        <v>23800</v>
      </c>
      <c r="L374">
        <f ca="1">Pyramid!P376</f>
        <v>0</v>
      </c>
      <c r="M374" t="str">
        <f>Pyramid!Q376</f>
        <v>30/8/2016</v>
      </c>
      <c r="N374" t="str">
        <f ca="1">Pyramid!R376</f>
        <v/>
      </c>
      <c r="O374" t="str">
        <f ca="1">Pyramid!S376</f>
        <v/>
      </c>
      <c r="P374" t="str">
        <f ca="1">Pyramid!T376</f>
        <v/>
      </c>
      <c r="Q374" t="str">
        <f ca="1">Pyramid!U376</f>
        <v/>
      </c>
      <c r="R374" t="str">
        <f ca="1">Pyramid!V376</f>
        <v/>
      </c>
      <c r="S374" t="str">
        <f ca="1">Pyramid!W376</f>
        <v/>
      </c>
      <c r="T374" t="str">
        <f ca="1">Pyramid!X376</f>
        <v/>
      </c>
    </row>
    <row r="375" spans="1:20">
      <c r="A375" t="str">
        <f ca="1">Pyramid!E377</f>
        <v/>
      </c>
      <c r="B375" t="str">
        <f ca="1">Pyramid!F377</f>
        <v/>
      </c>
      <c r="C375" t="str">
        <f ca="1">Pyramid!G377</f>
        <v/>
      </c>
      <c r="D375" t="str">
        <f ca="1">Pyramid!H377</f>
        <v/>
      </c>
      <c r="E375" t="str">
        <f ca="1">Pyramid!I377</f>
        <v/>
      </c>
      <c r="F375" t="str">
        <f ca="1">Pyramid!J377</f>
        <v/>
      </c>
      <c r="G375" t="str">
        <f ca="1">Pyramid!K377</f>
        <v/>
      </c>
      <c r="H375" t="str">
        <f ca="1">Pyramid!L377</f>
        <v/>
      </c>
      <c r="I375" t="str">
        <f>Pyramid!M377</f>
        <v>29/9/2016</v>
      </c>
      <c r="J375">
        <f ca="1">Pyramid!N377</f>
        <v>0</v>
      </c>
      <c r="K375">
        <f ca="1">Pyramid!O377</f>
        <v>23800</v>
      </c>
      <c r="L375">
        <f ca="1">Pyramid!P377</f>
        <v>0</v>
      </c>
      <c r="M375" t="str">
        <f>Pyramid!Q377</f>
        <v>29/9/2016</v>
      </c>
      <c r="N375" t="str">
        <f ca="1">Pyramid!R377</f>
        <v/>
      </c>
      <c r="O375" t="str">
        <f ca="1">Pyramid!S377</f>
        <v/>
      </c>
      <c r="P375" t="str">
        <f ca="1">Pyramid!T377</f>
        <v/>
      </c>
      <c r="Q375" t="str">
        <f ca="1">Pyramid!U377</f>
        <v/>
      </c>
      <c r="R375" t="str">
        <f ca="1">Pyramid!V377</f>
        <v/>
      </c>
      <c r="S375" t="str">
        <f ca="1">Pyramid!W377</f>
        <v/>
      </c>
      <c r="T375" t="str">
        <f ca="1">Pyramid!X377</f>
        <v/>
      </c>
    </row>
    <row r="376" spans="1:20">
      <c r="A376" t="str">
        <f ca="1">Pyramid!E378</f>
        <v/>
      </c>
      <c r="B376" t="str">
        <f ca="1">Pyramid!F378</f>
        <v/>
      </c>
      <c r="C376" t="str">
        <f ca="1">Pyramid!G378</f>
        <v/>
      </c>
      <c r="D376" t="str">
        <f ca="1">Pyramid!H378</f>
        <v/>
      </c>
      <c r="E376" t="str">
        <f ca="1">Pyramid!I378</f>
        <v/>
      </c>
      <c r="F376" t="str">
        <f ca="1">Pyramid!J378</f>
        <v/>
      </c>
      <c r="G376" t="str">
        <f ca="1">Pyramid!K378</f>
        <v/>
      </c>
      <c r="H376" t="str">
        <f ca="1">Pyramid!L378</f>
        <v/>
      </c>
      <c r="I376" t="str">
        <f>Pyramid!M378</f>
        <v>28/10/2016</v>
      </c>
      <c r="J376">
        <f ca="1">Pyramid!N378</f>
        <v>0</v>
      </c>
      <c r="K376">
        <f ca="1">Pyramid!O378</f>
        <v>23800</v>
      </c>
      <c r="L376">
        <f ca="1">Pyramid!P378</f>
        <v>0</v>
      </c>
      <c r="M376" t="str">
        <f>Pyramid!Q378</f>
        <v>28/10/2016</v>
      </c>
      <c r="N376" t="str">
        <f ca="1">Pyramid!R378</f>
        <v/>
      </c>
      <c r="O376" t="str">
        <f ca="1">Pyramid!S378</f>
        <v/>
      </c>
      <c r="P376" t="str">
        <f ca="1">Pyramid!T378</f>
        <v/>
      </c>
      <c r="Q376" t="str">
        <f ca="1">Pyramid!U378</f>
        <v/>
      </c>
      <c r="R376" t="str">
        <f ca="1">Pyramid!V378</f>
        <v/>
      </c>
      <c r="S376" t="str">
        <f ca="1">Pyramid!W378</f>
        <v/>
      </c>
      <c r="T376" t="str">
        <f ca="1">Pyramid!X378</f>
        <v/>
      </c>
    </row>
    <row r="377" spans="1:20">
      <c r="A377" t="str">
        <f ca="1">Pyramid!E379</f>
        <v/>
      </c>
      <c r="B377" t="str">
        <f ca="1">Pyramid!F379</f>
        <v/>
      </c>
      <c r="C377" t="str">
        <f ca="1">Pyramid!G379</f>
        <v/>
      </c>
      <c r="D377" t="str">
        <f ca="1">Pyramid!H379</f>
        <v/>
      </c>
      <c r="E377" t="str">
        <f ca="1">Pyramid!I379</f>
        <v/>
      </c>
      <c r="F377" t="str">
        <f ca="1">Pyramid!J379</f>
        <v/>
      </c>
      <c r="G377" t="str">
        <f ca="1">Pyramid!K379</f>
        <v/>
      </c>
      <c r="H377" t="str">
        <f ca="1">Pyramid!L379</f>
        <v/>
      </c>
      <c r="I377" t="str">
        <f>Pyramid!M379</f>
        <v>29/6/2016</v>
      </c>
      <c r="J377">
        <f ca="1">Pyramid!N379</f>
        <v>0</v>
      </c>
      <c r="K377">
        <f ca="1">Pyramid!O379</f>
        <v>24288</v>
      </c>
      <c r="L377">
        <f ca="1">Pyramid!P379</f>
        <v>0</v>
      </c>
      <c r="M377" t="str">
        <f>Pyramid!Q379</f>
        <v>29/6/2016</v>
      </c>
      <c r="N377" t="str">
        <f ca="1">Pyramid!R379</f>
        <v/>
      </c>
      <c r="O377" t="str">
        <f ca="1">Pyramid!S379</f>
        <v/>
      </c>
      <c r="P377" t="str">
        <f ca="1">Pyramid!T379</f>
        <v/>
      </c>
      <c r="Q377" t="str">
        <f ca="1">Pyramid!U379</f>
        <v/>
      </c>
      <c r="R377" t="str">
        <f ca="1">Pyramid!V379</f>
        <v/>
      </c>
      <c r="S377" t="str">
        <f ca="1">Pyramid!W379</f>
        <v/>
      </c>
      <c r="T377" t="str">
        <f ca="1">Pyramid!X379</f>
        <v/>
      </c>
    </row>
    <row r="378" spans="1:20">
      <c r="A378" t="str">
        <f ca="1">Pyramid!E380</f>
        <v/>
      </c>
      <c r="B378" t="str">
        <f ca="1">Pyramid!F380</f>
        <v/>
      </c>
      <c r="C378" t="str">
        <f ca="1">Pyramid!G380</f>
        <v/>
      </c>
      <c r="D378" t="str">
        <f ca="1">Pyramid!H380</f>
        <v/>
      </c>
      <c r="E378" t="str">
        <f ca="1">Pyramid!I380</f>
        <v/>
      </c>
      <c r="F378" t="str">
        <f ca="1">Pyramid!J380</f>
        <v/>
      </c>
      <c r="G378" t="str">
        <f ca="1">Pyramid!K380</f>
        <v/>
      </c>
      <c r="H378" t="str">
        <f ca="1">Pyramid!L380</f>
        <v/>
      </c>
      <c r="I378" t="str">
        <f>Pyramid!M380</f>
        <v>28/7/2016</v>
      </c>
      <c r="J378">
        <f ca="1">Pyramid!N380</f>
        <v>0</v>
      </c>
      <c r="K378">
        <f ca="1">Pyramid!O380</f>
        <v>24288</v>
      </c>
      <c r="L378">
        <f ca="1">Pyramid!P380</f>
        <v>0</v>
      </c>
      <c r="M378" t="str">
        <f>Pyramid!Q380</f>
        <v>28/7/2016</v>
      </c>
      <c r="N378" t="str">
        <f ca="1">Pyramid!R380</f>
        <v/>
      </c>
      <c r="O378" t="str">
        <f ca="1">Pyramid!S380</f>
        <v/>
      </c>
      <c r="P378" t="str">
        <f ca="1">Pyramid!T380</f>
        <v/>
      </c>
      <c r="Q378" t="str">
        <f ca="1">Pyramid!U380</f>
        <v/>
      </c>
      <c r="R378" t="str">
        <f ca="1">Pyramid!V380</f>
        <v/>
      </c>
      <c r="S378" t="str">
        <f ca="1">Pyramid!W380</f>
        <v/>
      </c>
      <c r="T378" t="str">
        <f ca="1">Pyramid!X380</f>
        <v/>
      </c>
    </row>
    <row r="379" spans="1:20">
      <c r="A379" t="str">
        <f ca="1">Pyramid!E381</f>
        <v/>
      </c>
      <c r="B379" t="str">
        <f ca="1">Pyramid!F381</f>
        <v/>
      </c>
      <c r="C379" t="str">
        <f ca="1">Pyramid!G381</f>
        <v/>
      </c>
      <c r="D379" t="str">
        <f ca="1">Pyramid!H381</f>
        <v/>
      </c>
      <c r="E379" t="str">
        <f ca="1">Pyramid!I381</f>
        <v/>
      </c>
      <c r="F379" t="str">
        <f ca="1">Pyramid!J381</f>
        <v/>
      </c>
      <c r="G379" t="str">
        <f ca="1">Pyramid!K381</f>
        <v/>
      </c>
      <c r="H379" t="str">
        <f ca="1">Pyramid!L381</f>
        <v/>
      </c>
      <c r="I379" t="str">
        <f>Pyramid!M381</f>
        <v>30/8/2016</v>
      </c>
      <c r="J379">
        <f ca="1">Pyramid!N381</f>
        <v>0</v>
      </c>
      <c r="K379">
        <f ca="1">Pyramid!O381</f>
        <v>24288</v>
      </c>
      <c r="L379">
        <f ca="1">Pyramid!P381</f>
        <v>0</v>
      </c>
      <c r="M379" t="str">
        <f>Pyramid!Q381</f>
        <v>30/8/2016</v>
      </c>
      <c r="N379" t="str">
        <f ca="1">Pyramid!R381</f>
        <v/>
      </c>
      <c r="O379" t="str">
        <f ca="1">Pyramid!S381</f>
        <v/>
      </c>
      <c r="P379" t="str">
        <f ca="1">Pyramid!T381</f>
        <v/>
      </c>
      <c r="Q379" t="str">
        <f ca="1">Pyramid!U381</f>
        <v/>
      </c>
      <c r="R379" t="str">
        <f ca="1">Pyramid!V381</f>
        <v/>
      </c>
      <c r="S379" t="str">
        <f ca="1">Pyramid!W381</f>
        <v/>
      </c>
      <c r="T379" t="str">
        <f ca="1">Pyramid!X381</f>
        <v/>
      </c>
    </row>
    <row r="380" spans="1:20">
      <c r="A380" t="str">
        <f ca="1">Pyramid!E382</f>
        <v/>
      </c>
      <c r="B380" t="str">
        <f ca="1">Pyramid!F382</f>
        <v/>
      </c>
      <c r="C380" t="str">
        <f ca="1">Pyramid!G382</f>
        <v/>
      </c>
      <c r="D380" t="str">
        <f ca="1">Pyramid!H382</f>
        <v/>
      </c>
      <c r="E380" t="str">
        <f ca="1">Pyramid!I382</f>
        <v/>
      </c>
      <c r="F380" t="str">
        <f ca="1">Pyramid!J382</f>
        <v/>
      </c>
      <c r="G380" t="str">
        <f ca="1">Pyramid!K382</f>
        <v/>
      </c>
      <c r="H380" t="str">
        <f ca="1">Pyramid!L382</f>
        <v/>
      </c>
      <c r="I380" t="str">
        <f>Pyramid!M382</f>
        <v>29/9/2016</v>
      </c>
      <c r="J380">
        <f ca="1">Pyramid!N382</f>
        <v>0</v>
      </c>
      <c r="K380">
        <f ca="1">Pyramid!O382</f>
        <v>24288</v>
      </c>
      <c r="L380">
        <f ca="1">Pyramid!P382</f>
        <v>0</v>
      </c>
      <c r="M380" t="str">
        <f>Pyramid!Q382</f>
        <v>29/9/2016</v>
      </c>
      <c r="N380" t="str">
        <f ca="1">Pyramid!R382</f>
        <v/>
      </c>
      <c r="O380" t="str">
        <f ca="1">Pyramid!S382</f>
        <v/>
      </c>
      <c r="P380" t="str">
        <f ca="1">Pyramid!T382</f>
        <v/>
      </c>
      <c r="Q380" t="str">
        <f ca="1">Pyramid!U382</f>
        <v/>
      </c>
      <c r="R380" t="str">
        <f ca="1">Pyramid!V382</f>
        <v/>
      </c>
      <c r="S380" t="str">
        <f ca="1">Pyramid!W382</f>
        <v/>
      </c>
      <c r="T380" t="str">
        <f ca="1">Pyramid!X382</f>
        <v/>
      </c>
    </row>
    <row r="381" spans="1:20">
      <c r="A381" t="str">
        <f ca="1">Pyramid!E383</f>
        <v/>
      </c>
      <c r="B381" t="str">
        <f ca="1">Pyramid!F383</f>
        <v/>
      </c>
      <c r="C381" t="str">
        <f ca="1">Pyramid!G383</f>
        <v/>
      </c>
      <c r="D381" t="str">
        <f ca="1">Pyramid!H383</f>
        <v/>
      </c>
      <c r="E381" t="str">
        <f ca="1">Pyramid!I383</f>
        <v/>
      </c>
      <c r="F381" t="str">
        <f ca="1">Pyramid!J383</f>
        <v/>
      </c>
      <c r="G381" t="str">
        <f ca="1">Pyramid!K383</f>
        <v/>
      </c>
      <c r="H381" t="str">
        <f ca="1">Pyramid!L383</f>
        <v/>
      </c>
      <c r="I381" t="str">
        <f>Pyramid!M383</f>
        <v>28/10/2016</v>
      </c>
      <c r="J381">
        <f ca="1">Pyramid!N383</f>
        <v>0</v>
      </c>
      <c r="K381">
        <f ca="1">Pyramid!O383</f>
        <v>24288</v>
      </c>
      <c r="L381">
        <f ca="1">Pyramid!P383</f>
        <v>0</v>
      </c>
      <c r="M381" t="str">
        <f>Pyramid!Q383</f>
        <v>28/10/2016</v>
      </c>
      <c r="N381" t="str">
        <f ca="1">Pyramid!R383</f>
        <v/>
      </c>
      <c r="O381" t="str">
        <f ca="1">Pyramid!S383</f>
        <v/>
      </c>
      <c r="P381" t="str">
        <f ca="1">Pyramid!T383</f>
        <v/>
      </c>
      <c r="Q381" t="str">
        <f ca="1">Pyramid!U383</f>
        <v/>
      </c>
      <c r="R381" t="str">
        <f ca="1">Pyramid!V383</f>
        <v/>
      </c>
      <c r="S381" t="str">
        <f ca="1">Pyramid!W383</f>
        <v/>
      </c>
      <c r="T381" t="str">
        <f ca="1">Pyramid!X383</f>
        <v/>
      </c>
    </row>
    <row r="382" spans="1:20">
      <c r="A382" t="str">
        <f ca="1">Pyramid!E384</f>
        <v/>
      </c>
      <c r="B382" t="str">
        <f ca="1">Pyramid!F384</f>
        <v/>
      </c>
      <c r="C382" t="str">
        <f ca="1">Pyramid!G384</f>
        <v/>
      </c>
      <c r="D382" t="str">
        <f ca="1">Pyramid!H384</f>
        <v/>
      </c>
      <c r="E382" t="str">
        <f ca="1">Pyramid!I384</f>
        <v/>
      </c>
      <c r="F382" t="str">
        <f ca="1">Pyramid!J384</f>
        <v/>
      </c>
      <c r="G382" t="str">
        <f ca="1">Pyramid!K384</f>
        <v/>
      </c>
      <c r="H382" t="str">
        <f ca="1">Pyramid!L384</f>
        <v/>
      </c>
      <c r="I382" t="str">
        <f>Pyramid!M384</f>
        <v>29/6/2016</v>
      </c>
      <c r="J382">
        <f ca="1">Pyramid!N384</f>
        <v>0</v>
      </c>
      <c r="K382">
        <f ca="1">Pyramid!O384</f>
        <v>24400</v>
      </c>
      <c r="L382">
        <f ca="1">Pyramid!P384</f>
        <v>0</v>
      </c>
      <c r="M382" t="str">
        <f>Pyramid!Q384</f>
        <v>29/6/2016</v>
      </c>
      <c r="N382" t="str">
        <f ca="1">Pyramid!R384</f>
        <v/>
      </c>
      <c r="O382" t="str">
        <f ca="1">Pyramid!S384</f>
        <v/>
      </c>
      <c r="P382" t="str">
        <f ca="1">Pyramid!T384</f>
        <v/>
      </c>
      <c r="Q382" t="str">
        <f ca="1">Pyramid!U384</f>
        <v/>
      </c>
      <c r="R382" t="str">
        <f ca="1">Pyramid!V384</f>
        <v/>
      </c>
      <c r="S382" t="str">
        <f ca="1">Pyramid!W384</f>
        <v/>
      </c>
      <c r="T382" t="str">
        <f ca="1">Pyramid!X384</f>
        <v/>
      </c>
    </row>
    <row r="383" spans="1:20">
      <c r="A383" t="str">
        <f ca="1">Pyramid!E385</f>
        <v/>
      </c>
      <c r="B383" t="str">
        <f ca="1">Pyramid!F385</f>
        <v/>
      </c>
      <c r="C383" t="str">
        <f ca="1">Pyramid!G385</f>
        <v/>
      </c>
      <c r="D383" t="str">
        <f ca="1">Pyramid!H385</f>
        <v/>
      </c>
      <c r="E383" t="str">
        <f ca="1">Pyramid!I385</f>
        <v/>
      </c>
      <c r="F383" t="str">
        <f ca="1">Pyramid!J385</f>
        <v/>
      </c>
      <c r="G383" t="str">
        <f ca="1">Pyramid!K385</f>
        <v/>
      </c>
      <c r="H383" t="str">
        <f ca="1">Pyramid!L385</f>
        <v/>
      </c>
      <c r="I383" t="str">
        <f>Pyramid!M385</f>
        <v>28/7/2016</v>
      </c>
      <c r="J383">
        <f ca="1">Pyramid!N385</f>
        <v>0</v>
      </c>
      <c r="K383">
        <f ca="1">Pyramid!O385</f>
        <v>24400</v>
      </c>
      <c r="L383">
        <f ca="1">Pyramid!P385</f>
        <v>0</v>
      </c>
      <c r="M383" t="str">
        <f>Pyramid!Q385</f>
        <v>28/7/2016</v>
      </c>
      <c r="N383" t="str">
        <f ca="1">Pyramid!R385</f>
        <v/>
      </c>
      <c r="O383" t="str">
        <f ca="1">Pyramid!S385</f>
        <v/>
      </c>
      <c r="P383" t="str">
        <f ca="1">Pyramid!T385</f>
        <v/>
      </c>
      <c r="Q383" t="str">
        <f ca="1">Pyramid!U385</f>
        <v/>
      </c>
      <c r="R383" t="str">
        <f ca="1">Pyramid!V385</f>
        <v/>
      </c>
      <c r="S383" t="str">
        <f ca="1">Pyramid!W385</f>
        <v/>
      </c>
      <c r="T383" t="str">
        <f ca="1">Pyramid!X385</f>
        <v/>
      </c>
    </row>
    <row r="384" spans="1:20">
      <c r="A384" t="str">
        <f ca="1">Pyramid!E386</f>
        <v/>
      </c>
      <c r="B384" t="str">
        <f ca="1">Pyramid!F386</f>
        <v/>
      </c>
      <c r="C384" t="str">
        <f ca="1">Pyramid!G386</f>
        <v/>
      </c>
      <c r="D384" t="str">
        <f ca="1">Pyramid!H386</f>
        <v/>
      </c>
      <c r="E384" t="str">
        <f ca="1">Pyramid!I386</f>
        <v/>
      </c>
      <c r="F384" t="str">
        <f ca="1">Pyramid!J386</f>
        <v/>
      </c>
      <c r="G384" t="str">
        <f ca="1">Pyramid!K386</f>
        <v/>
      </c>
      <c r="H384" t="str">
        <f ca="1">Pyramid!L386</f>
        <v/>
      </c>
      <c r="I384" t="str">
        <f>Pyramid!M386</f>
        <v>30/8/2016</v>
      </c>
      <c r="J384">
        <f ca="1">Pyramid!N386</f>
        <v>0</v>
      </c>
      <c r="K384">
        <f ca="1">Pyramid!O386</f>
        <v>24400</v>
      </c>
      <c r="L384">
        <f ca="1">Pyramid!P386</f>
        <v>0</v>
      </c>
      <c r="M384" t="str">
        <f>Pyramid!Q386</f>
        <v>30/8/2016</v>
      </c>
      <c r="N384" t="str">
        <f ca="1">Pyramid!R386</f>
        <v/>
      </c>
      <c r="O384" t="str">
        <f ca="1">Pyramid!S386</f>
        <v/>
      </c>
      <c r="P384" t="str">
        <f ca="1">Pyramid!T386</f>
        <v/>
      </c>
      <c r="Q384" t="str">
        <f ca="1">Pyramid!U386</f>
        <v/>
      </c>
      <c r="R384" t="str">
        <f ca="1">Pyramid!V386</f>
        <v/>
      </c>
      <c r="S384" t="str">
        <f ca="1">Pyramid!W386</f>
        <v/>
      </c>
      <c r="T384" t="str">
        <f ca="1">Pyramid!X386</f>
        <v/>
      </c>
    </row>
    <row r="385" spans="1:20">
      <c r="A385" t="str">
        <f ca="1">Pyramid!E387</f>
        <v/>
      </c>
      <c r="B385" t="str">
        <f ca="1">Pyramid!F387</f>
        <v/>
      </c>
      <c r="C385" t="str">
        <f ca="1">Pyramid!G387</f>
        <v/>
      </c>
      <c r="D385" t="str">
        <f ca="1">Pyramid!H387</f>
        <v/>
      </c>
      <c r="E385" t="str">
        <f ca="1">Pyramid!I387</f>
        <v/>
      </c>
      <c r="F385" t="str">
        <f ca="1">Pyramid!J387</f>
        <v/>
      </c>
      <c r="G385" t="str">
        <f ca="1">Pyramid!K387</f>
        <v/>
      </c>
      <c r="H385" t="str">
        <f ca="1">Pyramid!L387</f>
        <v/>
      </c>
      <c r="I385" t="str">
        <f>Pyramid!M387</f>
        <v>29/9/2016</v>
      </c>
      <c r="J385">
        <f ca="1">Pyramid!N387</f>
        <v>0</v>
      </c>
      <c r="K385">
        <f ca="1">Pyramid!O387</f>
        <v>24400</v>
      </c>
      <c r="L385">
        <f ca="1">Pyramid!P387</f>
        <v>0</v>
      </c>
      <c r="M385" t="str">
        <f>Pyramid!Q387</f>
        <v>29/9/2016</v>
      </c>
      <c r="N385" t="str">
        <f ca="1">Pyramid!R387</f>
        <v/>
      </c>
      <c r="O385" t="str">
        <f ca="1">Pyramid!S387</f>
        <v/>
      </c>
      <c r="P385" t="str">
        <f ca="1">Pyramid!T387</f>
        <v/>
      </c>
      <c r="Q385" t="str">
        <f ca="1">Pyramid!U387</f>
        <v/>
      </c>
      <c r="R385" t="str">
        <f ca="1">Pyramid!V387</f>
        <v/>
      </c>
      <c r="S385" t="str">
        <f ca="1">Pyramid!W387</f>
        <v/>
      </c>
      <c r="T385" t="str">
        <f ca="1">Pyramid!X387</f>
        <v/>
      </c>
    </row>
    <row r="386" spans="1:20">
      <c r="A386" t="str">
        <f ca="1">Pyramid!E388</f>
        <v/>
      </c>
      <c r="B386" t="str">
        <f ca="1">Pyramid!F388</f>
        <v/>
      </c>
      <c r="C386" t="str">
        <f ca="1">Pyramid!G388</f>
        <v/>
      </c>
      <c r="D386" t="str">
        <f ca="1">Pyramid!H388</f>
        <v/>
      </c>
      <c r="E386" t="str">
        <f ca="1">Pyramid!I388</f>
        <v/>
      </c>
      <c r="F386" t="str">
        <f ca="1">Pyramid!J388</f>
        <v/>
      </c>
      <c r="G386" t="str">
        <f ca="1">Pyramid!K388</f>
        <v/>
      </c>
      <c r="H386" t="str">
        <f ca="1">Pyramid!L388</f>
        <v/>
      </c>
      <c r="I386" t="str">
        <f>Pyramid!M388</f>
        <v>28/10/2016</v>
      </c>
      <c r="J386">
        <f ca="1">Pyramid!N388</f>
        <v>0</v>
      </c>
      <c r="K386">
        <f ca="1">Pyramid!O388</f>
        <v>24400</v>
      </c>
      <c r="L386">
        <f ca="1">Pyramid!P388</f>
        <v>0</v>
      </c>
      <c r="M386" t="str">
        <f>Pyramid!Q388</f>
        <v>28/10/2016</v>
      </c>
      <c r="N386" t="str">
        <f ca="1">Pyramid!R388</f>
        <v/>
      </c>
      <c r="O386" t="str">
        <f ca="1">Pyramid!S388</f>
        <v/>
      </c>
      <c r="P386" t="str">
        <f ca="1">Pyramid!T388</f>
        <v/>
      </c>
      <c r="Q386" t="str">
        <f ca="1">Pyramid!U388</f>
        <v/>
      </c>
      <c r="R386" t="str">
        <f ca="1">Pyramid!V388</f>
        <v/>
      </c>
      <c r="S386" t="str">
        <f ca="1">Pyramid!W388</f>
        <v/>
      </c>
      <c r="T386" t="str">
        <f ca="1">Pyramid!X388</f>
        <v/>
      </c>
    </row>
    <row r="387" spans="1:20">
      <c r="A387" t="str">
        <f ca="1">Pyramid!E389</f>
        <v/>
      </c>
      <c r="B387" t="str">
        <f ca="1">Pyramid!F389</f>
        <v/>
      </c>
      <c r="C387" t="str">
        <f ca="1">Pyramid!G389</f>
        <v/>
      </c>
      <c r="D387" t="str">
        <f ca="1">Pyramid!H389</f>
        <v/>
      </c>
      <c r="E387" t="str">
        <f ca="1">Pyramid!I389</f>
        <v/>
      </c>
      <c r="F387" t="str">
        <f ca="1">Pyramid!J389</f>
        <v/>
      </c>
      <c r="G387" t="str">
        <f ca="1">Pyramid!K389</f>
        <v/>
      </c>
      <c r="H387" t="str">
        <f ca="1">Pyramid!L389</f>
        <v/>
      </c>
      <c r="I387" t="str">
        <f>Pyramid!M389</f>
        <v>29/6/2016</v>
      </c>
      <c r="J387">
        <f ca="1">Pyramid!N389</f>
        <v>0</v>
      </c>
      <c r="K387">
        <f ca="1">Pyramid!O389</f>
        <v>24500</v>
      </c>
      <c r="L387">
        <f ca="1">Pyramid!P389</f>
        <v>0</v>
      </c>
      <c r="M387" t="str">
        <f>Pyramid!Q389</f>
        <v>29/6/2016</v>
      </c>
      <c r="N387" t="str">
        <f ca="1">Pyramid!R389</f>
        <v/>
      </c>
      <c r="O387" t="str">
        <f ca="1">Pyramid!S389</f>
        <v/>
      </c>
      <c r="P387" t="str">
        <f ca="1">Pyramid!T389</f>
        <v/>
      </c>
      <c r="Q387" t="str">
        <f ca="1">Pyramid!U389</f>
        <v/>
      </c>
      <c r="R387" t="str">
        <f ca="1">Pyramid!V389</f>
        <v/>
      </c>
      <c r="S387" t="str">
        <f ca="1">Pyramid!W389</f>
        <v/>
      </c>
      <c r="T387" t="str">
        <f ca="1">Pyramid!X389</f>
        <v/>
      </c>
    </row>
    <row r="388" spans="1:20">
      <c r="A388" t="str">
        <f ca="1">Pyramid!E390</f>
        <v/>
      </c>
      <c r="B388" t="str">
        <f ca="1">Pyramid!F390</f>
        <v/>
      </c>
      <c r="C388" t="str">
        <f ca="1">Pyramid!G390</f>
        <v/>
      </c>
      <c r="D388" t="str">
        <f ca="1">Pyramid!H390</f>
        <v/>
      </c>
      <c r="E388" t="str">
        <f ca="1">Pyramid!I390</f>
        <v/>
      </c>
      <c r="F388" t="str">
        <f ca="1">Pyramid!J390</f>
        <v/>
      </c>
      <c r="G388" t="str">
        <f ca="1">Pyramid!K390</f>
        <v/>
      </c>
      <c r="H388" t="str">
        <f ca="1">Pyramid!L390</f>
        <v/>
      </c>
      <c r="I388" t="str">
        <f>Pyramid!M390</f>
        <v>28/7/2016</v>
      </c>
      <c r="J388">
        <f ca="1">Pyramid!N390</f>
        <v>0</v>
      </c>
      <c r="K388">
        <f ca="1">Pyramid!O390</f>
        <v>24500</v>
      </c>
      <c r="L388">
        <f ca="1">Pyramid!P390</f>
        <v>0</v>
      </c>
      <c r="M388" t="str">
        <f>Pyramid!Q390</f>
        <v>28/7/2016</v>
      </c>
      <c r="N388" t="str">
        <f ca="1">Pyramid!R390</f>
        <v/>
      </c>
      <c r="O388" t="str">
        <f ca="1">Pyramid!S390</f>
        <v/>
      </c>
      <c r="P388" t="str">
        <f ca="1">Pyramid!T390</f>
        <v/>
      </c>
      <c r="Q388" t="str">
        <f ca="1">Pyramid!U390</f>
        <v/>
      </c>
      <c r="R388" t="str">
        <f ca="1">Pyramid!V390</f>
        <v/>
      </c>
      <c r="S388" t="str">
        <f ca="1">Pyramid!W390</f>
        <v/>
      </c>
      <c r="T388" t="str">
        <f ca="1">Pyramid!X390</f>
        <v/>
      </c>
    </row>
    <row r="389" spans="1:20">
      <c r="A389" t="str">
        <f ca="1">Pyramid!E391</f>
        <v/>
      </c>
      <c r="B389" t="str">
        <f ca="1">Pyramid!F391</f>
        <v/>
      </c>
      <c r="C389" t="str">
        <f ca="1">Pyramid!G391</f>
        <v/>
      </c>
      <c r="D389" t="str">
        <f ca="1">Pyramid!H391</f>
        <v/>
      </c>
      <c r="E389" t="str">
        <f ca="1">Pyramid!I391</f>
        <v/>
      </c>
      <c r="F389" t="str">
        <f ca="1">Pyramid!J391</f>
        <v/>
      </c>
      <c r="G389" t="str">
        <f ca="1">Pyramid!K391</f>
        <v/>
      </c>
      <c r="H389" t="str">
        <f ca="1">Pyramid!L391</f>
        <v/>
      </c>
      <c r="I389" t="str">
        <f>Pyramid!M391</f>
        <v>30/8/2016</v>
      </c>
      <c r="J389">
        <f ca="1">Pyramid!N391</f>
        <v>0</v>
      </c>
      <c r="K389">
        <f ca="1">Pyramid!O391</f>
        <v>24500</v>
      </c>
      <c r="L389">
        <f ca="1">Pyramid!P391</f>
        <v>0</v>
      </c>
      <c r="M389" t="str">
        <f>Pyramid!Q391</f>
        <v>30/8/2016</v>
      </c>
      <c r="N389" t="str">
        <f ca="1">Pyramid!R391</f>
        <v/>
      </c>
      <c r="O389" t="str">
        <f ca="1">Pyramid!S391</f>
        <v/>
      </c>
      <c r="P389" t="str">
        <f ca="1">Pyramid!T391</f>
        <v/>
      </c>
      <c r="Q389" t="str">
        <f ca="1">Pyramid!U391</f>
        <v/>
      </c>
      <c r="R389" t="str">
        <f ca="1">Pyramid!V391</f>
        <v/>
      </c>
      <c r="S389" t="str">
        <f ca="1">Pyramid!W391</f>
        <v/>
      </c>
      <c r="T389" t="str">
        <f ca="1">Pyramid!X391</f>
        <v/>
      </c>
    </row>
    <row r="390" spans="1:20">
      <c r="A390" t="str">
        <f ca="1">Pyramid!E392</f>
        <v/>
      </c>
      <c r="B390" t="str">
        <f ca="1">Pyramid!F392</f>
        <v/>
      </c>
      <c r="C390" t="str">
        <f ca="1">Pyramid!G392</f>
        <v/>
      </c>
      <c r="D390" t="str">
        <f ca="1">Pyramid!H392</f>
        <v/>
      </c>
      <c r="E390" t="str">
        <f ca="1">Pyramid!I392</f>
        <v/>
      </c>
      <c r="F390" t="str">
        <f ca="1">Pyramid!J392</f>
        <v/>
      </c>
      <c r="G390" t="str">
        <f ca="1">Pyramid!K392</f>
        <v/>
      </c>
      <c r="H390" t="str">
        <f ca="1">Pyramid!L392</f>
        <v/>
      </c>
      <c r="I390" t="str">
        <f>Pyramid!M392</f>
        <v>29/9/2016</v>
      </c>
      <c r="J390">
        <f ca="1">Pyramid!N392</f>
        <v>0</v>
      </c>
      <c r="K390">
        <f ca="1">Pyramid!O392</f>
        <v>24500</v>
      </c>
      <c r="L390">
        <f ca="1">Pyramid!P392</f>
        <v>0</v>
      </c>
      <c r="M390" t="str">
        <f>Pyramid!Q392</f>
        <v>29/9/2016</v>
      </c>
      <c r="N390" t="str">
        <f ca="1">Pyramid!R392</f>
        <v/>
      </c>
      <c r="O390" t="str">
        <f ca="1">Pyramid!S392</f>
        <v/>
      </c>
      <c r="P390" t="str">
        <f ca="1">Pyramid!T392</f>
        <v/>
      </c>
      <c r="Q390" t="str">
        <f ca="1">Pyramid!U392</f>
        <v/>
      </c>
      <c r="R390" t="str">
        <f ca="1">Pyramid!V392</f>
        <v/>
      </c>
      <c r="S390" t="str">
        <f ca="1">Pyramid!W392</f>
        <v/>
      </c>
      <c r="T390" t="str">
        <f ca="1">Pyramid!X392</f>
        <v/>
      </c>
    </row>
    <row r="391" spans="1:20">
      <c r="A391" t="str">
        <f ca="1">Pyramid!E393</f>
        <v/>
      </c>
      <c r="B391" t="str">
        <f ca="1">Pyramid!F393</f>
        <v/>
      </c>
      <c r="C391" t="str">
        <f ca="1">Pyramid!G393</f>
        <v/>
      </c>
      <c r="D391" t="str">
        <f ca="1">Pyramid!H393</f>
        <v/>
      </c>
      <c r="E391" t="str">
        <f ca="1">Pyramid!I393</f>
        <v/>
      </c>
      <c r="F391" t="str">
        <f ca="1">Pyramid!J393</f>
        <v/>
      </c>
      <c r="G391" t="str">
        <f ca="1">Pyramid!K393</f>
        <v/>
      </c>
      <c r="H391" t="str">
        <f ca="1">Pyramid!L393</f>
        <v/>
      </c>
      <c r="I391" t="str">
        <f>Pyramid!M393</f>
        <v>28/10/2016</v>
      </c>
      <c r="J391">
        <f ca="1">Pyramid!N393</f>
        <v>0</v>
      </c>
      <c r="K391">
        <f ca="1">Pyramid!O393</f>
        <v>24500</v>
      </c>
      <c r="L391">
        <f ca="1">Pyramid!P393</f>
        <v>0</v>
      </c>
      <c r="M391" t="str">
        <f>Pyramid!Q393</f>
        <v>28/10/2016</v>
      </c>
      <c r="N391" t="str">
        <f ca="1">Pyramid!R393</f>
        <v/>
      </c>
      <c r="O391" t="str">
        <f ca="1">Pyramid!S393</f>
        <v/>
      </c>
      <c r="P391" t="str">
        <f ca="1">Pyramid!T393</f>
        <v/>
      </c>
      <c r="Q391" t="str">
        <f ca="1">Pyramid!U393</f>
        <v/>
      </c>
      <c r="R391" t="str">
        <f ca="1">Pyramid!V393</f>
        <v/>
      </c>
      <c r="S391" t="str">
        <f ca="1">Pyramid!W393</f>
        <v/>
      </c>
      <c r="T391" t="str">
        <f ca="1">Pyramid!X393</f>
        <v/>
      </c>
    </row>
    <row r="392" spans="1:20">
      <c r="A392" t="str">
        <f ca="1">Pyramid!E394</f>
        <v/>
      </c>
      <c r="B392" t="str">
        <f ca="1">Pyramid!F394</f>
        <v/>
      </c>
      <c r="C392" t="str">
        <f ca="1">Pyramid!G394</f>
        <v/>
      </c>
      <c r="D392" t="str">
        <f ca="1">Pyramid!H394</f>
        <v/>
      </c>
      <c r="E392" t="str">
        <f ca="1">Pyramid!I394</f>
        <v/>
      </c>
      <c r="F392" t="str">
        <f ca="1">Pyramid!J394</f>
        <v/>
      </c>
      <c r="G392" t="str">
        <f ca="1">Pyramid!K394</f>
        <v/>
      </c>
      <c r="H392" t="str">
        <f ca="1">Pyramid!L394</f>
        <v/>
      </c>
      <c r="I392" t="str">
        <f>Pyramid!M394</f>
        <v>29/6/2016</v>
      </c>
      <c r="J392">
        <f ca="1">Pyramid!N394</f>
        <v>0</v>
      </c>
      <c r="K392">
        <f ca="1">Pyramid!O394</f>
        <v>24518</v>
      </c>
      <c r="L392">
        <f ca="1">Pyramid!P394</f>
        <v>0</v>
      </c>
      <c r="M392" t="str">
        <f>Pyramid!Q394</f>
        <v>29/6/2016</v>
      </c>
      <c r="N392" t="str">
        <f ca="1">Pyramid!R394</f>
        <v/>
      </c>
      <c r="O392" t="str">
        <f ca="1">Pyramid!S394</f>
        <v/>
      </c>
      <c r="P392" t="str">
        <f ca="1">Pyramid!T394</f>
        <v/>
      </c>
      <c r="Q392" t="str">
        <f ca="1">Pyramid!U394</f>
        <v/>
      </c>
      <c r="R392" t="str">
        <f ca="1">Pyramid!V394</f>
        <v/>
      </c>
      <c r="S392" t="str">
        <f ca="1">Pyramid!W394</f>
        <v/>
      </c>
      <c r="T392" t="str">
        <f ca="1">Pyramid!X394</f>
        <v/>
      </c>
    </row>
    <row r="393" spans="1:20">
      <c r="A393" t="str">
        <f ca="1">Pyramid!E395</f>
        <v/>
      </c>
      <c r="B393" t="str">
        <f ca="1">Pyramid!F395</f>
        <v/>
      </c>
      <c r="C393" t="str">
        <f ca="1">Pyramid!G395</f>
        <v/>
      </c>
      <c r="D393" t="str">
        <f ca="1">Pyramid!H395</f>
        <v/>
      </c>
      <c r="E393" t="str">
        <f ca="1">Pyramid!I395</f>
        <v/>
      </c>
      <c r="F393" t="str">
        <f ca="1">Pyramid!J395</f>
        <v/>
      </c>
      <c r="G393" t="str">
        <f ca="1">Pyramid!K395</f>
        <v/>
      </c>
      <c r="H393" t="str">
        <f ca="1">Pyramid!L395</f>
        <v/>
      </c>
      <c r="I393" t="str">
        <f>Pyramid!M395</f>
        <v>28/7/2016</v>
      </c>
      <c r="J393">
        <f ca="1">Pyramid!N395</f>
        <v>0</v>
      </c>
      <c r="K393">
        <f ca="1">Pyramid!O395</f>
        <v>24518</v>
      </c>
      <c r="L393">
        <f ca="1">Pyramid!P395</f>
        <v>0</v>
      </c>
      <c r="M393" t="str">
        <f>Pyramid!Q395</f>
        <v>28/7/2016</v>
      </c>
      <c r="N393" t="str">
        <f ca="1">Pyramid!R395</f>
        <v/>
      </c>
      <c r="O393" t="str">
        <f ca="1">Pyramid!S395</f>
        <v/>
      </c>
      <c r="P393" t="str">
        <f ca="1">Pyramid!T395</f>
        <v/>
      </c>
      <c r="Q393" t="str">
        <f ca="1">Pyramid!U395</f>
        <v/>
      </c>
      <c r="R393" t="str">
        <f ca="1">Pyramid!V395</f>
        <v/>
      </c>
      <c r="S393" t="str">
        <f ca="1">Pyramid!W395</f>
        <v/>
      </c>
      <c r="T393" t="str">
        <f ca="1">Pyramid!X395</f>
        <v/>
      </c>
    </row>
    <row r="394" spans="1:20">
      <c r="A394" t="str">
        <f ca="1">Pyramid!E396</f>
        <v/>
      </c>
      <c r="B394" t="str">
        <f ca="1">Pyramid!F396</f>
        <v/>
      </c>
      <c r="C394" t="str">
        <f ca="1">Pyramid!G396</f>
        <v/>
      </c>
      <c r="D394" t="str">
        <f ca="1">Pyramid!H396</f>
        <v/>
      </c>
      <c r="E394" t="str">
        <f ca="1">Pyramid!I396</f>
        <v/>
      </c>
      <c r="F394" t="str">
        <f ca="1">Pyramid!J396</f>
        <v/>
      </c>
      <c r="G394" t="str">
        <f ca="1">Pyramid!K396</f>
        <v/>
      </c>
      <c r="H394" t="str">
        <f ca="1">Pyramid!L396</f>
        <v/>
      </c>
      <c r="I394" t="str">
        <f>Pyramid!M396</f>
        <v>30/8/2016</v>
      </c>
      <c r="J394">
        <f ca="1">Pyramid!N396</f>
        <v>0</v>
      </c>
      <c r="K394">
        <f ca="1">Pyramid!O396</f>
        <v>24518</v>
      </c>
      <c r="L394">
        <f ca="1">Pyramid!P396</f>
        <v>0</v>
      </c>
      <c r="M394" t="str">
        <f>Pyramid!Q396</f>
        <v>30/8/2016</v>
      </c>
      <c r="N394" t="str">
        <f ca="1">Pyramid!R396</f>
        <v/>
      </c>
      <c r="O394" t="str">
        <f ca="1">Pyramid!S396</f>
        <v/>
      </c>
      <c r="P394" t="str">
        <f ca="1">Pyramid!T396</f>
        <v/>
      </c>
      <c r="Q394" t="str">
        <f ca="1">Pyramid!U396</f>
        <v/>
      </c>
      <c r="R394" t="str">
        <f ca="1">Pyramid!V396</f>
        <v/>
      </c>
      <c r="S394" t="str">
        <f ca="1">Pyramid!W396</f>
        <v/>
      </c>
      <c r="T394" t="str">
        <f ca="1">Pyramid!X396</f>
        <v/>
      </c>
    </row>
    <row r="395" spans="1:20">
      <c r="A395" t="str">
        <f ca="1">Pyramid!E397</f>
        <v/>
      </c>
      <c r="B395" t="str">
        <f ca="1">Pyramid!F397</f>
        <v/>
      </c>
      <c r="C395" t="str">
        <f ca="1">Pyramid!G397</f>
        <v/>
      </c>
      <c r="D395" t="str">
        <f ca="1">Pyramid!H397</f>
        <v/>
      </c>
      <c r="E395" t="str">
        <f ca="1">Pyramid!I397</f>
        <v/>
      </c>
      <c r="F395" t="str">
        <f ca="1">Pyramid!J397</f>
        <v/>
      </c>
      <c r="G395" t="str">
        <f ca="1">Pyramid!K397</f>
        <v/>
      </c>
      <c r="H395" t="str">
        <f ca="1">Pyramid!L397</f>
        <v/>
      </c>
      <c r="I395" t="str">
        <f>Pyramid!M397</f>
        <v>29/9/2016</v>
      </c>
      <c r="J395">
        <f ca="1">Pyramid!N397</f>
        <v>0</v>
      </c>
      <c r="K395">
        <f ca="1">Pyramid!O397</f>
        <v>24518</v>
      </c>
      <c r="L395">
        <f ca="1">Pyramid!P397</f>
        <v>0</v>
      </c>
      <c r="M395" t="str">
        <f>Pyramid!Q397</f>
        <v>29/9/2016</v>
      </c>
      <c r="N395" t="str">
        <f ca="1">Pyramid!R397</f>
        <v/>
      </c>
      <c r="O395" t="str">
        <f ca="1">Pyramid!S397</f>
        <v/>
      </c>
      <c r="P395" t="str">
        <f ca="1">Pyramid!T397</f>
        <v/>
      </c>
      <c r="Q395" t="str">
        <f ca="1">Pyramid!U397</f>
        <v/>
      </c>
      <c r="R395" t="str">
        <f ca="1">Pyramid!V397</f>
        <v/>
      </c>
      <c r="S395" t="str">
        <f ca="1">Pyramid!W397</f>
        <v/>
      </c>
      <c r="T395" t="str">
        <f ca="1">Pyramid!X397</f>
        <v/>
      </c>
    </row>
    <row r="396" spans="1:20">
      <c r="A396" t="str">
        <f ca="1">Pyramid!E398</f>
        <v/>
      </c>
      <c r="B396" t="str">
        <f ca="1">Pyramid!F398</f>
        <v/>
      </c>
      <c r="C396" t="str">
        <f ca="1">Pyramid!G398</f>
        <v/>
      </c>
      <c r="D396" t="str">
        <f ca="1">Pyramid!H398</f>
        <v/>
      </c>
      <c r="E396" t="str">
        <f ca="1">Pyramid!I398</f>
        <v/>
      </c>
      <c r="F396" t="str">
        <f ca="1">Pyramid!J398</f>
        <v/>
      </c>
      <c r="G396" t="str">
        <f ca="1">Pyramid!K398</f>
        <v/>
      </c>
      <c r="H396" t="str">
        <f ca="1">Pyramid!L398</f>
        <v/>
      </c>
      <c r="I396" t="str">
        <f>Pyramid!M398</f>
        <v>28/10/2016</v>
      </c>
      <c r="J396">
        <f ca="1">Pyramid!N398</f>
        <v>0</v>
      </c>
      <c r="K396">
        <f ca="1">Pyramid!O398</f>
        <v>24518</v>
      </c>
      <c r="L396">
        <f ca="1">Pyramid!P398</f>
        <v>0</v>
      </c>
      <c r="M396" t="str">
        <f>Pyramid!Q398</f>
        <v>28/10/2016</v>
      </c>
      <c r="N396" t="str">
        <f ca="1">Pyramid!R398</f>
        <v/>
      </c>
      <c r="O396" t="str">
        <f ca="1">Pyramid!S398</f>
        <v/>
      </c>
      <c r="P396" t="str">
        <f ca="1">Pyramid!T398</f>
        <v/>
      </c>
      <c r="Q396" t="str">
        <f ca="1">Pyramid!U398</f>
        <v/>
      </c>
      <c r="R396" t="str">
        <f ca="1">Pyramid!V398</f>
        <v/>
      </c>
      <c r="S396" t="str">
        <f ca="1">Pyramid!W398</f>
        <v/>
      </c>
      <c r="T396" t="str">
        <f ca="1">Pyramid!X398</f>
        <v/>
      </c>
    </row>
    <row r="397" spans="1:20">
      <c r="A397" t="str">
        <f ca="1">Pyramid!E399</f>
        <v/>
      </c>
      <c r="B397" t="str">
        <f ca="1">Pyramid!F399</f>
        <v/>
      </c>
      <c r="C397" t="str">
        <f ca="1">Pyramid!G399</f>
        <v/>
      </c>
      <c r="D397" t="str">
        <f ca="1">Pyramid!H399</f>
        <v/>
      </c>
      <c r="E397" t="str">
        <f ca="1">Pyramid!I399</f>
        <v>18766 HK Equity</v>
      </c>
      <c r="F397" t="str">
        <f ca="1">Pyramid!J399</f>
        <v>21852 HK Equity</v>
      </c>
      <c r="G397" t="str">
        <f ca="1">Pyramid!K399</f>
        <v>20588 HK Equity</v>
      </c>
      <c r="H397" t="str">
        <f ca="1">Pyramid!L399</f>
        <v>14950 HK Equity</v>
      </c>
      <c r="I397" t="str">
        <f>Pyramid!M399</f>
        <v>29/6/2016</v>
      </c>
      <c r="J397">
        <f ca="1">Pyramid!N399</f>
        <v>4</v>
      </c>
      <c r="K397">
        <f ca="1">Pyramid!O399</f>
        <v>25000</v>
      </c>
      <c r="L397">
        <f ca="1">Pyramid!P399</f>
        <v>0</v>
      </c>
      <c r="M397" t="str">
        <f>Pyramid!Q399</f>
        <v>29/6/2016</v>
      </c>
      <c r="N397" t="str">
        <f ca="1">Pyramid!R399</f>
        <v/>
      </c>
      <c r="O397" t="str">
        <f ca="1">Pyramid!S399</f>
        <v/>
      </c>
      <c r="P397" t="str">
        <f ca="1">Pyramid!T399</f>
        <v/>
      </c>
      <c r="Q397" t="str">
        <f ca="1">Pyramid!U399</f>
        <v/>
      </c>
      <c r="R397" t="str">
        <f ca="1">Pyramid!V399</f>
        <v/>
      </c>
      <c r="S397" t="str">
        <f ca="1">Pyramid!W399</f>
        <v/>
      </c>
      <c r="T397" t="str">
        <f ca="1">Pyramid!X399</f>
        <v/>
      </c>
    </row>
    <row r="398" spans="1:20">
      <c r="A398" t="str">
        <f ca="1">Pyramid!E400</f>
        <v/>
      </c>
      <c r="B398" t="str">
        <f ca="1">Pyramid!F400</f>
        <v/>
      </c>
      <c r="C398" t="str">
        <f ca="1">Pyramid!G400</f>
        <v/>
      </c>
      <c r="D398" t="str">
        <f ca="1">Pyramid!H400</f>
        <v/>
      </c>
      <c r="E398" t="str">
        <f ca="1">Pyramid!I400</f>
        <v/>
      </c>
      <c r="F398" t="str">
        <f ca="1">Pyramid!J400</f>
        <v/>
      </c>
      <c r="G398" t="str">
        <f ca="1">Pyramid!K400</f>
        <v/>
      </c>
      <c r="H398" t="str">
        <f ca="1">Pyramid!L400</f>
        <v/>
      </c>
      <c r="I398" t="str">
        <f>Pyramid!M400</f>
        <v>28/7/2016</v>
      </c>
      <c r="J398">
        <f ca="1">Pyramid!N400</f>
        <v>0</v>
      </c>
      <c r="K398">
        <f ca="1">Pyramid!O400</f>
        <v>25000</v>
      </c>
      <c r="L398">
        <f ca="1">Pyramid!P400</f>
        <v>1</v>
      </c>
      <c r="M398" t="str">
        <f>Pyramid!Q400</f>
        <v>28/7/2016</v>
      </c>
      <c r="N398" t="str">
        <f ca="1">Pyramid!R400</f>
        <v>22799 HK Equity</v>
      </c>
      <c r="O398" t="str">
        <f ca="1">Pyramid!S400</f>
        <v/>
      </c>
      <c r="P398" t="str">
        <f ca="1">Pyramid!T400</f>
        <v/>
      </c>
      <c r="Q398" t="str">
        <f ca="1">Pyramid!U400</f>
        <v/>
      </c>
      <c r="R398" t="str">
        <f ca="1">Pyramid!V400</f>
        <v/>
      </c>
      <c r="S398" t="str">
        <f ca="1">Pyramid!W400</f>
        <v/>
      </c>
      <c r="T398" t="str">
        <f ca="1">Pyramid!X400</f>
        <v/>
      </c>
    </row>
    <row r="399" spans="1:20">
      <c r="A399" t="str">
        <f ca="1">Pyramid!E401</f>
        <v/>
      </c>
      <c r="B399" t="str">
        <f ca="1">Pyramid!F401</f>
        <v/>
      </c>
      <c r="C399" t="str">
        <f ca="1">Pyramid!G401</f>
        <v/>
      </c>
      <c r="D399" t="str">
        <f ca="1">Pyramid!H401</f>
        <v/>
      </c>
      <c r="E399" t="str">
        <f ca="1">Pyramid!I401</f>
        <v/>
      </c>
      <c r="F399" t="str">
        <f ca="1">Pyramid!J401</f>
        <v/>
      </c>
      <c r="G399" t="str">
        <f ca="1">Pyramid!K401</f>
        <v/>
      </c>
      <c r="H399" t="str">
        <f ca="1">Pyramid!L401</f>
        <v/>
      </c>
      <c r="I399" t="str">
        <f>Pyramid!M401</f>
        <v>30/8/2016</v>
      </c>
      <c r="J399">
        <f ca="1">Pyramid!N401</f>
        <v>0</v>
      </c>
      <c r="K399">
        <f ca="1">Pyramid!O401</f>
        <v>25000</v>
      </c>
      <c r="L399">
        <f ca="1">Pyramid!P401</f>
        <v>0</v>
      </c>
      <c r="M399" t="str">
        <f>Pyramid!Q401</f>
        <v>30/8/2016</v>
      </c>
      <c r="N399" t="str">
        <f ca="1">Pyramid!R401</f>
        <v/>
      </c>
      <c r="O399" t="str">
        <f ca="1">Pyramid!S401</f>
        <v/>
      </c>
      <c r="P399" t="str">
        <f ca="1">Pyramid!T401</f>
        <v/>
      </c>
      <c r="Q399" t="str">
        <f ca="1">Pyramid!U401</f>
        <v/>
      </c>
      <c r="R399" t="str">
        <f ca="1">Pyramid!V401</f>
        <v/>
      </c>
      <c r="S399" t="str">
        <f ca="1">Pyramid!W401</f>
        <v/>
      </c>
      <c r="T399" t="str">
        <f ca="1">Pyramid!X401</f>
        <v/>
      </c>
    </row>
    <row r="400" spans="1:20">
      <c r="A400" t="str">
        <f ca="1">Pyramid!E402</f>
        <v/>
      </c>
      <c r="B400" t="str">
        <f ca="1">Pyramid!F402</f>
        <v/>
      </c>
      <c r="C400" t="str">
        <f ca="1">Pyramid!G402</f>
        <v/>
      </c>
      <c r="D400" t="str">
        <f ca="1">Pyramid!H402</f>
        <v/>
      </c>
      <c r="E400" t="str">
        <f ca="1">Pyramid!I402</f>
        <v/>
      </c>
      <c r="F400" t="str">
        <f ca="1">Pyramid!J402</f>
        <v/>
      </c>
      <c r="G400" t="str">
        <f ca="1">Pyramid!K402</f>
        <v/>
      </c>
      <c r="H400" t="str">
        <f ca="1">Pyramid!L402</f>
        <v/>
      </c>
      <c r="I400" t="str">
        <f>Pyramid!M402</f>
        <v>29/9/2016</v>
      </c>
      <c r="J400">
        <f ca="1">Pyramid!N402</f>
        <v>0</v>
      </c>
      <c r="K400">
        <f ca="1">Pyramid!O402</f>
        <v>25000</v>
      </c>
      <c r="L400">
        <f ca="1">Pyramid!P402</f>
        <v>0</v>
      </c>
      <c r="M400" t="str">
        <f>Pyramid!Q402</f>
        <v>29/9/2016</v>
      </c>
      <c r="N400" t="str">
        <f ca="1">Pyramid!R402</f>
        <v/>
      </c>
      <c r="O400" t="str">
        <f ca="1">Pyramid!S402</f>
        <v/>
      </c>
      <c r="P400" t="str">
        <f ca="1">Pyramid!T402</f>
        <v/>
      </c>
      <c r="Q400" t="str">
        <f ca="1">Pyramid!U402</f>
        <v/>
      </c>
      <c r="R400" t="str">
        <f ca="1">Pyramid!V402</f>
        <v/>
      </c>
      <c r="S400" t="str">
        <f ca="1">Pyramid!W402</f>
        <v/>
      </c>
      <c r="T400" t="str">
        <f ca="1">Pyramid!X402</f>
        <v/>
      </c>
    </row>
    <row r="401" spans="1:20">
      <c r="A401" t="str">
        <f ca="1">Pyramid!E403</f>
        <v/>
      </c>
      <c r="B401" t="str">
        <f ca="1">Pyramid!F403</f>
        <v/>
      </c>
      <c r="C401" t="str">
        <f ca="1">Pyramid!G403</f>
        <v/>
      </c>
      <c r="D401" t="str">
        <f ca="1">Pyramid!H403</f>
        <v/>
      </c>
      <c r="E401" t="str">
        <f ca="1">Pyramid!I403</f>
        <v/>
      </c>
      <c r="F401" t="str">
        <f ca="1">Pyramid!J403</f>
        <v/>
      </c>
      <c r="G401" t="str">
        <f ca="1">Pyramid!K403</f>
        <v/>
      </c>
      <c r="H401" t="str">
        <f ca="1">Pyramid!L403</f>
        <v/>
      </c>
      <c r="I401" t="str">
        <f>Pyramid!M403</f>
        <v>28/10/2016</v>
      </c>
      <c r="J401">
        <f ca="1">Pyramid!N403</f>
        <v>0</v>
      </c>
      <c r="K401">
        <f ca="1">Pyramid!O403</f>
        <v>25000</v>
      </c>
      <c r="L401">
        <f ca="1">Pyramid!P403</f>
        <v>0</v>
      </c>
      <c r="M401" t="str">
        <f>Pyramid!Q403</f>
        <v>28/10/2016</v>
      </c>
      <c r="N401" t="str">
        <f ca="1">Pyramid!R403</f>
        <v/>
      </c>
      <c r="O401" t="str">
        <f ca="1">Pyramid!S403</f>
        <v/>
      </c>
      <c r="P401" t="str">
        <f ca="1">Pyramid!T403</f>
        <v/>
      </c>
      <c r="Q401" t="str">
        <f ca="1">Pyramid!U403</f>
        <v/>
      </c>
      <c r="R401" t="str">
        <f ca="1">Pyramid!V403</f>
        <v/>
      </c>
      <c r="S401" t="str">
        <f ca="1">Pyramid!W403</f>
        <v/>
      </c>
      <c r="T401" t="str">
        <f ca="1">Pyramid!X403</f>
        <v/>
      </c>
    </row>
    <row r="402" spans="1:20">
      <c r="A402" t="str">
        <f ca="1">Pyramid!E404</f>
        <v/>
      </c>
      <c r="B402" t="str">
        <f ca="1">Pyramid!F404</f>
        <v/>
      </c>
      <c r="C402" t="str">
        <f ca="1">Pyramid!G404</f>
        <v/>
      </c>
      <c r="D402" t="str">
        <f ca="1">Pyramid!H404</f>
        <v/>
      </c>
      <c r="E402" t="str">
        <f ca="1">Pyramid!I404</f>
        <v/>
      </c>
      <c r="F402" t="str">
        <f ca="1">Pyramid!J404</f>
        <v/>
      </c>
      <c r="G402" t="str">
        <f ca="1">Pyramid!K404</f>
        <v/>
      </c>
      <c r="H402" t="str">
        <f ca="1">Pyramid!L404</f>
        <v>18856 HK Equity</v>
      </c>
      <c r="I402" t="str">
        <f>Pyramid!M404</f>
        <v>29/6/2016</v>
      </c>
      <c r="J402">
        <f ca="1">Pyramid!N404</f>
        <v>1</v>
      </c>
      <c r="K402">
        <f ca="1">Pyramid!O404</f>
        <v>25118</v>
      </c>
      <c r="L402">
        <f ca="1">Pyramid!P404</f>
        <v>0</v>
      </c>
      <c r="M402" t="str">
        <f>Pyramid!Q404</f>
        <v>29/6/2016</v>
      </c>
      <c r="N402" t="str">
        <f ca="1">Pyramid!R404</f>
        <v/>
      </c>
      <c r="O402" t="str">
        <f ca="1">Pyramid!S404</f>
        <v/>
      </c>
      <c r="P402" t="str">
        <f ca="1">Pyramid!T404</f>
        <v/>
      </c>
      <c r="Q402" t="str">
        <f ca="1">Pyramid!U404</f>
        <v/>
      </c>
      <c r="R402" t="str">
        <f ca="1">Pyramid!V404</f>
        <v/>
      </c>
      <c r="S402" t="str">
        <f ca="1">Pyramid!W404</f>
        <v/>
      </c>
      <c r="T402" t="str">
        <f ca="1">Pyramid!X404</f>
        <v/>
      </c>
    </row>
    <row r="403" spans="1:20">
      <c r="A403" t="str">
        <f ca="1">Pyramid!E405</f>
        <v/>
      </c>
      <c r="B403" t="str">
        <f ca="1">Pyramid!F405</f>
        <v/>
      </c>
      <c r="C403" t="str">
        <f ca="1">Pyramid!G405</f>
        <v/>
      </c>
      <c r="D403" t="str">
        <f ca="1">Pyramid!H405</f>
        <v/>
      </c>
      <c r="E403" t="str">
        <f ca="1">Pyramid!I405</f>
        <v/>
      </c>
      <c r="F403" t="str">
        <f ca="1">Pyramid!J405</f>
        <v/>
      </c>
      <c r="G403" t="str">
        <f ca="1">Pyramid!K405</f>
        <v/>
      </c>
      <c r="H403" t="str">
        <f ca="1">Pyramid!L405</f>
        <v/>
      </c>
      <c r="I403" t="str">
        <f>Pyramid!M405</f>
        <v>28/7/2016</v>
      </c>
      <c r="J403">
        <f ca="1">Pyramid!N405</f>
        <v>0</v>
      </c>
      <c r="K403">
        <f ca="1">Pyramid!O405</f>
        <v>25118</v>
      </c>
      <c r="L403">
        <f ca="1">Pyramid!P405</f>
        <v>0</v>
      </c>
      <c r="M403" t="str">
        <f>Pyramid!Q405</f>
        <v>28/7/2016</v>
      </c>
      <c r="N403" t="str">
        <f ca="1">Pyramid!R405</f>
        <v/>
      </c>
      <c r="O403" t="str">
        <f ca="1">Pyramid!S405</f>
        <v/>
      </c>
      <c r="P403" t="str">
        <f ca="1">Pyramid!T405</f>
        <v/>
      </c>
      <c r="Q403" t="str">
        <f ca="1">Pyramid!U405</f>
        <v/>
      </c>
      <c r="R403" t="str">
        <f ca="1">Pyramid!V405</f>
        <v/>
      </c>
      <c r="S403" t="str">
        <f ca="1">Pyramid!W405</f>
        <v/>
      </c>
      <c r="T403" t="str">
        <f ca="1">Pyramid!X405</f>
        <v/>
      </c>
    </row>
    <row r="404" spans="1:20">
      <c r="A404" t="str">
        <f ca="1">Pyramid!E406</f>
        <v/>
      </c>
      <c r="B404" t="str">
        <f ca="1">Pyramid!F406</f>
        <v/>
      </c>
      <c r="C404" t="str">
        <f ca="1">Pyramid!G406</f>
        <v/>
      </c>
      <c r="D404" t="str">
        <f ca="1">Pyramid!H406</f>
        <v/>
      </c>
      <c r="E404" t="str">
        <f ca="1">Pyramid!I406</f>
        <v/>
      </c>
      <c r="F404" t="str">
        <f ca="1">Pyramid!J406</f>
        <v/>
      </c>
      <c r="G404" t="str">
        <f ca="1">Pyramid!K406</f>
        <v/>
      </c>
      <c r="H404" t="str">
        <f ca="1">Pyramid!L406</f>
        <v/>
      </c>
      <c r="I404" t="str">
        <f>Pyramid!M406</f>
        <v>30/8/2016</v>
      </c>
      <c r="J404">
        <f ca="1">Pyramid!N406</f>
        <v>0</v>
      </c>
      <c r="K404">
        <f ca="1">Pyramid!O406</f>
        <v>25118</v>
      </c>
      <c r="L404">
        <f ca="1">Pyramid!P406</f>
        <v>0</v>
      </c>
      <c r="M404" t="str">
        <f>Pyramid!Q406</f>
        <v>30/8/2016</v>
      </c>
      <c r="N404" t="str">
        <f ca="1">Pyramid!R406</f>
        <v/>
      </c>
      <c r="O404" t="str">
        <f ca="1">Pyramid!S406</f>
        <v/>
      </c>
      <c r="P404" t="str">
        <f ca="1">Pyramid!T406</f>
        <v/>
      </c>
      <c r="Q404" t="str">
        <f ca="1">Pyramid!U406</f>
        <v/>
      </c>
      <c r="R404" t="str">
        <f ca="1">Pyramid!V406</f>
        <v/>
      </c>
      <c r="S404" t="str">
        <f ca="1">Pyramid!W406</f>
        <v/>
      </c>
      <c r="T404" t="str">
        <f ca="1">Pyramid!X406</f>
        <v/>
      </c>
    </row>
    <row r="405" spans="1:20">
      <c r="A405" t="str">
        <f ca="1">Pyramid!E407</f>
        <v/>
      </c>
      <c r="B405" t="str">
        <f ca="1">Pyramid!F407</f>
        <v/>
      </c>
      <c r="C405" t="str">
        <f ca="1">Pyramid!G407</f>
        <v/>
      </c>
      <c r="D405" t="str">
        <f ca="1">Pyramid!H407</f>
        <v/>
      </c>
      <c r="E405" t="str">
        <f ca="1">Pyramid!I407</f>
        <v/>
      </c>
      <c r="F405" t="str">
        <f ca="1">Pyramid!J407</f>
        <v/>
      </c>
      <c r="G405" t="str">
        <f ca="1">Pyramid!K407</f>
        <v/>
      </c>
      <c r="H405" t="str">
        <f ca="1">Pyramid!L407</f>
        <v/>
      </c>
      <c r="I405" t="str">
        <f>Pyramid!M407</f>
        <v>29/9/2016</v>
      </c>
      <c r="J405">
        <f ca="1">Pyramid!N407</f>
        <v>0</v>
      </c>
      <c r="K405">
        <f ca="1">Pyramid!O407</f>
        <v>25118</v>
      </c>
      <c r="L405">
        <f ca="1">Pyramid!P407</f>
        <v>0</v>
      </c>
      <c r="M405" t="str">
        <f>Pyramid!Q407</f>
        <v>29/9/2016</v>
      </c>
      <c r="N405" t="str">
        <f ca="1">Pyramid!R407</f>
        <v/>
      </c>
      <c r="O405" t="str">
        <f ca="1">Pyramid!S407</f>
        <v/>
      </c>
      <c r="P405" t="str">
        <f ca="1">Pyramid!T407</f>
        <v/>
      </c>
      <c r="Q405" t="str">
        <f ca="1">Pyramid!U407</f>
        <v/>
      </c>
      <c r="R405" t="str">
        <f ca="1">Pyramid!V407</f>
        <v/>
      </c>
      <c r="S405" t="str">
        <f ca="1">Pyramid!W407</f>
        <v/>
      </c>
      <c r="T405" t="str">
        <f ca="1">Pyramid!X407</f>
        <v/>
      </c>
    </row>
    <row r="406" spans="1:20">
      <c r="A406" t="str">
        <f ca="1">Pyramid!E408</f>
        <v/>
      </c>
      <c r="B406" t="str">
        <f ca="1">Pyramid!F408</f>
        <v/>
      </c>
      <c r="C406" t="str">
        <f ca="1">Pyramid!G408</f>
        <v/>
      </c>
      <c r="D406" t="str">
        <f ca="1">Pyramid!H408</f>
        <v/>
      </c>
      <c r="E406" t="str">
        <f ca="1">Pyramid!I408</f>
        <v/>
      </c>
      <c r="F406" t="str">
        <f ca="1">Pyramid!J408</f>
        <v/>
      </c>
      <c r="G406" t="str">
        <f ca="1">Pyramid!K408</f>
        <v/>
      </c>
      <c r="H406" t="str">
        <f ca="1">Pyramid!L408</f>
        <v/>
      </c>
      <c r="I406" t="str">
        <f>Pyramid!M408</f>
        <v>28/10/2016</v>
      </c>
      <c r="J406">
        <f ca="1">Pyramid!N408</f>
        <v>0</v>
      </c>
      <c r="K406">
        <f ca="1">Pyramid!O408</f>
        <v>25118</v>
      </c>
      <c r="L406">
        <f ca="1">Pyramid!P408</f>
        <v>0</v>
      </c>
      <c r="M406" t="str">
        <f>Pyramid!Q408</f>
        <v>28/10/2016</v>
      </c>
      <c r="N406" t="str">
        <f ca="1">Pyramid!R408</f>
        <v/>
      </c>
      <c r="O406" t="str">
        <f ca="1">Pyramid!S408</f>
        <v/>
      </c>
      <c r="P406" t="str">
        <f ca="1">Pyramid!T408</f>
        <v/>
      </c>
      <c r="Q406" t="str">
        <f ca="1">Pyramid!U408</f>
        <v/>
      </c>
      <c r="R406" t="str">
        <f ca="1">Pyramid!V408</f>
        <v/>
      </c>
      <c r="S406" t="str">
        <f ca="1">Pyramid!W408</f>
        <v/>
      </c>
      <c r="T406" t="str">
        <f ca="1">Pyramid!X408</f>
        <v/>
      </c>
    </row>
    <row r="407" spans="1:20">
      <c r="A407" t="str">
        <f ca="1">Pyramid!E409</f>
        <v/>
      </c>
      <c r="B407" t="str">
        <f ca="1">Pyramid!F409</f>
        <v/>
      </c>
      <c r="C407" t="str">
        <f ca="1">Pyramid!G409</f>
        <v/>
      </c>
      <c r="D407" t="str">
        <f ca="1">Pyramid!H409</f>
        <v/>
      </c>
      <c r="E407" t="str">
        <f ca="1">Pyramid!I409</f>
        <v/>
      </c>
      <c r="F407" t="str">
        <f ca="1">Pyramid!J409</f>
        <v/>
      </c>
      <c r="G407" t="str">
        <f ca="1">Pyramid!K409</f>
        <v/>
      </c>
      <c r="H407" t="str">
        <f ca="1">Pyramid!L409</f>
        <v>23970 HK Equity</v>
      </c>
      <c r="I407" t="str">
        <f>Pyramid!M409</f>
        <v>29/6/2016</v>
      </c>
      <c r="J407">
        <f ca="1">Pyramid!N409</f>
        <v>1</v>
      </c>
      <c r="K407">
        <f ca="1">Pyramid!O409</f>
        <v>25288</v>
      </c>
      <c r="L407">
        <f ca="1">Pyramid!P409</f>
        <v>0</v>
      </c>
      <c r="M407" t="str">
        <f>Pyramid!Q409</f>
        <v>29/6/2016</v>
      </c>
      <c r="N407" t="str">
        <f ca="1">Pyramid!R409</f>
        <v/>
      </c>
      <c r="O407" t="str">
        <f ca="1">Pyramid!S409</f>
        <v/>
      </c>
      <c r="P407" t="str">
        <f ca="1">Pyramid!T409</f>
        <v/>
      </c>
      <c r="Q407" t="str">
        <f ca="1">Pyramid!U409</f>
        <v/>
      </c>
      <c r="R407" t="str">
        <f ca="1">Pyramid!V409</f>
        <v/>
      </c>
      <c r="S407" t="str">
        <f ca="1">Pyramid!W409</f>
        <v/>
      </c>
      <c r="T407" t="str">
        <f ca="1">Pyramid!X409</f>
        <v/>
      </c>
    </row>
    <row r="408" spans="1:20">
      <c r="A408" t="str">
        <f ca="1">Pyramid!E410</f>
        <v/>
      </c>
      <c r="B408" t="str">
        <f ca="1">Pyramid!F410</f>
        <v/>
      </c>
      <c r="C408" t="str">
        <f ca="1">Pyramid!G410</f>
        <v/>
      </c>
      <c r="D408" t="str">
        <f ca="1">Pyramid!H410</f>
        <v/>
      </c>
      <c r="E408" t="str">
        <f ca="1">Pyramid!I410</f>
        <v/>
      </c>
      <c r="F408" t="str">
        <f ca="1">Pyramid!J410</f>
        <v/>
      </c>
      <c r="G408" t="str">
        <f ca="1">Pyramid!K410</f>
        <v/>
      </c>
      <c r="H408" t="str">
        <f ca="1">Pyramid!L410</f>
        <v/>
      </c>
      <c r="I408" t="str">
        <f>Pyramid!M410</f>
        <v>28/7/2016</v>
      </c>
      <c r="J408">
        <f ca="1">Pyramid!N410</f>
        <v>0</v>
      </c>
      <c r="K408">
        <f ca="1">Pyramid!O410</f>
        <v>25288</v>
      </c>
      <c r="L408">
        <f ca="1">Pyramid!P410</f>
        <v>0</v>
      </c>
      <c r="M408" t="str">
        <f>Pyramid!Q410</f>
        <v>28/7/2016</v>
      </c>
      <c r="N408" t="str">
        <f ca="1">Pyramid!R410</f>
        <v/>
      </c>
      <c r="O408" t="str">
        <f ca="1">Pyramid!S410</f>
        <v/>
      </c>
      <c r="P408" t="str">
        <f ca="1">Pyramid!T410</f>
        <v/>
      </c>
      <c r="Q408" t="str">
        <f ca="1">Pyramid!U410</f>
        <v/>
      </c>
      <c r="R408" t="str">
        <f ca="1">Pyramid!V410</f>
        <v/>
      </c>
      <c r="S408" t="str">
        <f ca="1">Pyramid!W410</f>
        <v/>
      </c>
      <c r="T408" t="str">
        <f ca="1">Pyramid!X410</f>
        <v/>
      </c>
    </row>
    <row r="409" spans="1:20">
      <c r="A409" t="str">
        <f ca="1">Pyramid!E411</f>
        <v/>
      </c>
      <c r="B409" t="str">
        <f ca="1">Pyramid!F411</f>
        <v/>
      </c>
      <c r="C409" t="str">
        <f ca="1">Pyramid!G411</f>
        <v/>
      </c>
      <c r="D409" t="str">
        <f ca="1">Pyramid!H411</f>
        <v/>
      </c>
      <c r="E409" t="str">
        <f ca="1">Pyramid!I411</f>
        <v/>
      </c>
      <c r="F409" t="str">
        <f ca="1">Pyramid!J411</f>
        <v/>
      </c>
      <c r="G409" t="str">
        <f ca="1">Pyramid!K411</f>
        <v/>
      </c>
      <c r="H409" t="str">
        <f ca="1">Pyramid!L411</f>
        <v/>
      </c>
      <c r="I409" t="str">
        <f>Pyramid!M411</f>
        <v>30/8/2016</v>
      </c>
      <c r="J409">
        <f ca="1">Pyramid!N411</f>
        <v>0</v>
      </c>
      <c r="K409">
        <f ca="1">Pyramid!O411</f>
        <v>25288</v>
      </c>
      <c r="L409">
        <f ca="1">Pyramid!P411</f>
        <v>0</v>
      </c>
      <c r="M409" t="str">
        <f>Pyramid!Q411</f>
        <v>30/8/2016</v>
      </c>
      <c r="N409" t="str">
        <f ca="1">Pyramid!R411</f>
        <v/>
      </c>
      <c r="O409" t="str">
        <f ca="1">Pyramid!S411</f>
        <v/>
      </c>
      <c r="P409" t="str">
        <f ca="1">Pyramid!T411</f>
        <v/>
      </c>
      <c r="Q409" t="str">
        <f ca="1">Pyramid!U411</f>
        <v/>
      </c>
      <c r="R409" t="str">
        <f ca="1">Pyramid!V411</f>
        <v/>
      </c>
      <c r="S409" t="str">
        <f ca="1">Pyramid!W411</f>
        <v/>
      </c>
      <c r="T409" t="str">
        <f ca="1">Pyramid!X411</f>
        <v/>
      </c>
    </row>
    <row r="410" spans="1:20">
      <c r="A410" t="str">
        <f ca="1">Pyramid!E412</f>
        <v/>
      </c>
      <c r="B410" t="str">
        <f ca="1">Pyramid!F412</f>
        <v/>
      </c>
      <c r="C410" t="str">
        <f ca="1">Pyramid!G412</f>
        <v/>
      </c>
      <c r="D410" t="str">
        <f ca="1">Pyramid!H412</f>
        <v/>
      </c>
      <c r="E410" t="str">
        <f ca="1">Pyramid!I412</f>
        <v/>
      </c>
      <c r="F410" t="str">
        <f ca="1">Pyramid!J412</f>
        <v/>
      </c>
      <c r="G410" t="str">
        <f ca="1">Pyramid!K412</f>
        <v/>
      </c>
      <c r="H410" t="str">
        <f ca="1">Pyramid!L412</f>
        <v/>
      </c>
      <c r="I410" t="str">
        <f>Pyramid!M412</f>
        <v>29/9/2016</v>
      </c>
      <c r="J410">
        <f ca="1">Pyramid!N412</f>
        <v>0</v>
      </c>
      <c r="K410">
        <f ca="1">Pyramid!O412</f>
        <v>25288</v>
      </c>
      <c r="L410">
        <f ca="1">Pyramid!P412</f>
        <v>0</v>
      </c>
      <c r="M410" t="str">
        <f>Pyramid!Q412</f>
        <v>29/9/2016</v>
      </c>
      <c r="N410" t="str">
        <f ca="1">Pyramid!R412</f>
        <v/>
      </c>
      <c r="O410" t="str">
        <f ca="1">Pyramid!S412</f>
        <v/>
      </c>
      <c r="P410" t="str">
        <f ca="1">Pyramid!T412</f>
        <v/>
      </c>
      <c r="Q410" t="str">
        <f ca="1">Pyramid!U412</f>
        <v/>
      </c>
      <c r="R410" t="str">
        <f ca="1">Pyramid!V412</f>
        <v/>
      </c>
      <c r="S410" t="str">
        <f ca="1">Pyramid!W412</f>
        <v/>
      </c>
      <c r="T410" t="str">
        <f ca="1">Pyramid!X412</f>
        <v/>
      </c>
    </row>
    <row r="411" spans="1:20">
      <c r="A411" t="str">
        <f ca="1">Pyramid!E413</f>
        <v/>
      </c>
      <c r="B411" t="str">
        <f ca="1">Pyramid!F413</f>
        <v/>
      </c>
      <c r="C411" t="str">
        <f ca="1">Pyramid!G413</f>
        <v/>
      </c>
      <c r="D411" t="str">
        <f ca="1">Pyramid!H413</f>
        <v/>
      </c>
      <c r="E411" t="str">
        <f ca="1">Pyramid!I413</f>
        <v/>
      </c>
      <c r="F411" t="str">
        <f ca="1">Pyramid!J413</f>
        <v/>
      </c>
      <c r="G411" t="str">
        <f ca="1">Pyramid!K413</f>
        <v/>
      </c>
      <c r="H411" t="str">
        <f ca="1">Pyramid!L413</f>
        <v/>
      </c>
      <c r="I411" t="str">
        <f>Pyramid!M413</f>
        <v>28/10/2016</v>
      </c>
      <c r="J411">
        <f ca="1">Pyramid!N413</f>
        <v>0</v>
      </c>
      <c r="K411">
        <f ca="1">Pyramid!O413</f>
        <v>25288</v>
      </c>
      <c r="L411">
        <f ca="1">Pyramid!P413</f>
        <v>0</v>
      </c>
      <c r="M411" t="str">
        <f>Pyramid!Q413</f>
        <v>28/10/2016</v>
      </c>
      <c r="N411" t="str">
        <f ca="1">Pyramid!R413</f>
        <v/>
      </c>
      <c r="O411" t="str">
        <f ca="1">Pyramid!S413</f>
        <v/>
      </c>
      <c r="P411" t="str">
        <f ca="1">Pyramid!T413</f>
        <v/>
      </c>
      <c r="Q411" t="str">
        <f ca="1">Pyramid!U413</f>
        <v/>
      </c>
      <c r="R411" t="str">
        <f ca="1">Pyramid!V413</f>
        <v/>
      </c>
      <c r="S411" t="str">
        <f ca="1">Pyramid!W413</f>
        <v/>
      </c>
      <c r="T411" t="str">
        <f ca="1">Pyramid!X413</f>
        <v/>
      </c>
    </row>
    <row r="412" spans="1:20">
      <c r="A412" t="str">
        <f ca="1">Pyramid!E414</f>
        <v/>
      </c>
      <c r="B412" t="str">
        <f ca="1">Pyramid!F414</f>
        <v/>
      </c>
      <c r="C412" t="str">
        <f ca="1">Pyramid!G414</f>
        <v/>
      </c>
      <c r="D412" t="str">
        <f ca="1">Pyramid!H414</f>
        <v/>
      </c>
      <c r="E412" t="str">
        <f ca="1">Pyramid!I414</f>
        <v/>
      </c>
      <c r="F412" t="str">
        <f ca="1">Pyramid!J414</f>
        <v/>
      </c>
      <c r="G412" t="str">
        <f ca="1">Pyramid!K414</f>
        <v/>
      </c>
      <c r="H412" t="str">
        <f ca="1">Pyramid!L414</f>
        <v>20513 HK Equity</v>
      </c>
      <c r="I412" t="str">
        <f>Pyramid!M414</f>
        <v>29/6/2016</v>
      </c>
      <c r="J412">
        <f ca="1">Pyramid!N414</f>
        <v>1</v>
      </c>
      <c r="K412">
        <f ca="1">Pyramid!O414</f>
        <v>25400</v>
      </c>
      <c r="L412">
        <f ca="1">Pyramid!P414</f>
        <v>0</v>
      </c>
      <c r="M412" t="str">
        <f>Pyramid!Q414</f>
        <v>29/6/2016</v>
      </c>
      <c r="N412" t="str">
        <f ca="1">Pyramid!R414</f>
        <v/>
      </c>
      <c r="O412" t="str">
        <f ca="1">Pyramid!S414</f>
        <v/>
      </c>
      <c r="P412" t="str">
        <f ca="1">Pyramid!T414</f>
        <v/>
      </c>
      <c r="Q412" t="str">
        <f ca="1">Pyramid!U414</f>
        <v/>
      </c>
      <c r="R412" t="str">
        <f ca="1">Pyramid!V414</f>
        <v/>
      </c>
      <c r="S412" t="str">
        <f ca="1">Pyramid!W414</f>
        <v/>
      </c>
      <c r="T412" t="str">
        <f ca="1">Pyramid!X414</f>
        <v/>
      </c>
    </row>
    <row r="413" spans="1:20">
      <c r="A413" t="str">
        <f ca="1">Pyramid!E415</f>
        <v/>
      </c>
      <c r="B413" t="str">
        <f ca="1">Pyramid!F415</f>
        <v/>
      </c>
      <c r="C413" t="str">
        <f ca="1">Pyramid!G415</f>
        <v/>
      </c>
      <c r="D413" t="str">
        <f ca="1">Pyramid!H415</f>
        <v/>
      </c>
      <c r="E413" t="str">
        <f ca="1">Pyramid!I415</f>
        <v/>
      </c>
      <c r="F413" t="str">
        <f ca="1">Pyramid!J415</f>
        <v/>
      </c>
      <c r="G413" t="str">
        <f ca="1">Pyramid!K415</f>
        <v/>
      </c>
      <c r="H413" t="str">
        <f ca="1">Pyramid!L415</f>
        <v/>
      </c>
      <c r="I413" t="str">
        <f>Pyramid!M415</f>
        <v>28/7/2016</v>
      </c>
      <c r="J413">
        <f ca="1">Pyramid!N415</f>
        <v>0</v>
      </c>
      <c r="K413">
        <f ca="1">Pyramid!O415</f>
        <v>25400</v>
      </c>
      <c r="L413">
        <f ca="1">Pyramid!P415</f>
        <v>0</v>
      </c>
      <c r="M413" t="str">
        <f>Pyramid!Q415</f>
        <v>28/7/2016</v>
      </c>
      <c r="N413" t="str">
        <f ca="1">Pyramid!R415</f>
        <v/>
      </c>
      <c r="O413" t="str">
        <f ca="1">Pyramid!S415</f>
        <v/>
      </c>
      <c r="P413" t="str">
        <f ca="1">Pyramid!T415</f>
        <v/>
      </c>
      <c r="Q413" t="str">
        <f ca="1">Pyramid!U415</f>
        <v/>
      </c>
      <c r="R413" t="str">
        <f ca="1">Pyramid!V415</f>
        <v/>
      </c>
      <c r="S413" t="str">
        <f ca="1">Pyramid!W415</f>
        <v/>
      </c>
      <c r="T413" t="str">
        <f ca="1">Pyramid!X415</f>
        <v/>
      </c>
    </row>
    <row r="414" spans="1:20">
      <c r="A414" t="str">
        <f ca="1">Pyramid!E416</f>
        <v/>
      </c>
      <c r="B414" t="str">
        <f ca="1">Pyramid!F416</f>
        <v/>
      </c>
      <c r="C414" t="str">
        <f ca="1">Pyramid!G416</f>
        <v/>
      </c>
      <c r="D414" t="str">
        <f ca="1">Pyramid!H416</f>
        <v/>
      </c>
      <c r="E414" t="str">
        <f ca="1">Pyramid!I416</f>
        <v/>
      </c>
      <c r="F414" t="str">
        <f ca="1">Pyramid!J416</f>
        <v/>
      </c>
      <c r="G414" t="str">
        <f ca="1">Pyramid!K416</f>
        <v/>
      </c>
      <c r="H414" t="str">
        <f ca="1">Pyramid!L416</f>
        <v/>
      </c>
      <c r="I414" t="str">
        <f>Pyramid!M416</f>
        <v>30/8/2016</v>
      </c>
      <c r="J414">
        <f ca="1">Pyramid!N416</f>
        <v>0</v>
      </c>
      <c r="K414">
        <f ca="1">Pyramid!O416</f>
        <v>25400</v>
      </c>
      <c r="L414">
        <f ca="1">Pyramid!P416</f>
        <v>0</v>
      </c>
      <c r="M414" t="str">
        <f>Pyramid!Q416</f>
        <v>30/8/2016</v>
      </c>
      <c r="N414" t="str">
        <f ca="1">Pyramid!R416</f>
        <v/>
      </c>
      <c r="O414" t="str">
        <f ca="1">Pyramid!S416</f>
        <v/>
      </c>
      <c r="P414" t="str">
        <f ca="1">Pyramid!T416</f>
        <v/>
      </c>
      <c r="Q414" t="str">
        <f ca="1">Pyramid!U416</f>
        <v/>
      </c>
      <c r="R414" t="str">
        <f ca="1">Pyramid!V416</f>
        <v/>
      </c>
      <c r="S414" t="str">
        <f ca="1">Pyramid!W416</f>
        <v/>
      </c>
      <c r="T414" t="str">
        <f ca="1">Pyramid!X416</f>
        <v/>
      </c>
    </row>
    <row r="415" spans="1:20">
      <c r="A415" t="str">
        <f ca="1">Pyramid!E417</f>
        <v/>
      </c>
      <c r="B415" t="str">
        <f ca="1">Pyramid!F417</f>
        <v/>
      </c>
      <c r="C415" t="str">
        <f ca="1">Pyramid!G417</f>
        <v/>
      </c>
      <c r="D415" t="str">
        <f ca="1">Pyramid!H417</f>
        <v/>
      </c>
      <c r="E415" t="str">
        <f ca="1">Pyramid!I417</f>
        <v/>
      </c>
      <c r="F415" t="str">
        <f ca="1">Pyramid!J417</f>
        <v/>
      </c>
      <c r="G415" t="str">
        <f ca="1">Pyramid!K417</f>
        <v/>
      </c>
      <c r="H415" t="str">
        <f ca="1">Pyramid!L417</f>
        <v/>
      </c>
      <c r="I415" t="str">
        <f>Pyramid!M417</f>
        <v>29/9/2016</v>
      </c>
      <c r="J415">
        <f ca="1">Pyramid!N417</f>
        <v>0</v>
      </c>
      <c r="K415">
        <f ca="1">Pyramid!O417</f>
        <v>25400</v>
      </c>
      <c r="L415">
        <f ca="1">Pyramid!P417</f>
        <v>0</v>
      </c>
      <c r="M415" t="str">
        <f>Pyramid!Q417</f>
        <v>29/9/2016</v>
      </c>
      <c r="N415" t="str">
        <f ca="1">Pyramid!R417</f>
        <v/>
      </c>
      <c r="O415" t="str">
        <f ca="1">Pyramid!S417</f>
        <v/>
      </c>
      <c r="P415" t="str">
        <f ca="1">Pyramid!T417</f>
        <v/>
      </c>
      <c r="Q415" t="str">
        <f ca="1">Pyramid!U417</f>
        <v/>
      </c>
      <c r="R415" t="str">
        <f ca="1">Pyramid!V417</f>
        <v/>
      </c>
      <c r="S415" t="str">
        <f ca="1">Pyramid!W417</f>
        <v/>
      </c>
      <c r="T415" t="str">
        <f ca="1">Pyramid!X417</f>
        <v/>
      </c>
    </row>
    <row r="416" spans="1:20">
      <c r="A416" t="str">
        <f ca="1">Pyramid!E418</f>
        <v/>
      </c>
      <c r="B416" t="str">
        <f ca="1">Pyramid!F418</f>
        <v/>
      </c>
      <c r="C416" t="str">
        <f ca="1">Pyramid!G418</f>
        <v/>
      </c>
      <c r="D416" t="str">
        <f ca="1">Pyramid!H418</f>
        <v/>
      </c>
      <c r="E416" t="str">
        <f ca="1">Pyramid!I418</f>
        <v/>
      </c>
      <c r="F416" t="str">
        <f ca="1">Pyramid!J418</f>
        <v/>
      </c>
      <c r="G416" t="str">
        <f ca="1">Pyramid!K418</f>
        <v/>
      </c>
      <c r="H416" t="str">
        <f ca="1">Pyramid!L418</f>
        <v/>
      </c>
      <c r="I416" t="str">
        <f>Pyramid!M418</f>
        <v>28/10/2016</v>
      </c>
      <c r="J416">
        <f ca="1">Pyramid!N418</f>
        <v>0</v>
      </c>
      <c r="K416">
        <f ca="1">Pyramid!O418</f>
        <v>25400</v>
      </c>
      <c r="L416">
        <f ca="1">Pyramid!P418</f>
        <v>0</v>
      </c>
      <c r="M416" t="str">
        <f>Pyramid!Q418</f>
        <v>28/10/2016</v>
      </c>
      <c r="N416" t="str">
        <f ca="1">Pyramid!R418</f>
        <v/>
      </c>
      <c r="O416" t="str">
        <f ca="1">Pyramid!S418</f>
        <v/>
      </c>
      <c r="P416" t="str">
        <f ca="1">Pyramid!T418</f>
        <v/>
      </c>
      <c r="Q416" t="str">
        <f ca="1">Pyramid!U418</f>
        <v/>
      </c>
      <c r="R416" t="str">
        <f ca="1">Pyramid!V418</f>
        <v/>
      </c>
      <c r="S416" t="str">
        <f ca="1">Pyramid!W418</f>
        <v/>
      </c>
      <c r="T416" t="str">
        <f ca="1">Pyramid!X418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Source</vt:lpstr>
      <vt:lpstr>Sheet3</vt:lpstr>
      <vt:lpstr>Sheet2</vt:lpstr>
      <vt:lpstr>Pyramid</vt:lpstr>
      <vt:lpstr>pandas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REC-WS03</dc:creator>
  <cp:lastModifiedBy>Library</cp:lastModifiedBy>
  <dcterms:created xsi:type="dcterms:W3CDTF">2016-05-29T11:37:53Z</dcterms:created>
  <dcterms:modified xsi:type="dcterms:W3CDTF">2016-05-29T11:52:52Z</dcterms:modified>
</cp:coreProperties>
</file>