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ino-Shield" sheetId="1" r:id="rId1"/>
  </sheets>
  <definedNames>
    <definedName name="BoardQty">'Driverino-Shield'!$H$1</definedName>
    <definedName name="digikey_part_data">'Driverino-Shield'!$I$5:$M$33</definedName>
    <definedName name="EUR_GBP">'Driverino-Shield'!$C$36</definedName>
    <definedName name="EUR_USD">'Driverino-Shield'!$C$37</definedName>
    <definedName name="farnell_part_data">'Driverino-Shield'!$N$5:$R$33</definedName>
    <definedName name="global_part_data">'Driverino-Shield'!$A$5:$H$33</definedName>
    <definedName name="mouser_part_data">'Driverino-Shield'!$S$5:$W$33</definedName>
    <definedName name="PURCHASE_DESCRIPTION">'Driverino-Shield'!$H$36</definedName>
    <definedName name="rs_part_data">'Driverino-Shield'!$X$5:$AB$33</definedName>
    <definedName name="TotalCost">'Driverino-Shield'!$H$3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$0.65      $0.65
    10   $0.46      $4.57
    50   $0.35     $17.27
   100   $0.30     $30.09
   500   $0.22    $111.44
  1000   $0.19    $189.44
  2000   $0.18    $356.60</t>
        </r>
      </text>
    </comment>
    <comment ref="P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£1.96
    50   £0.27     £13.70
   150   £0.27     £41.10
   250   £0.22     £54.25
   500   £0.20     £98.00
  1000   £0.16    £164.00
  2000   £0.16    £328.00</t>
        </r>
      </text>
    </comment>
    <comment ref="U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$1.12      $1.12
    10   $0.79      $7.91
    50   $0.79     $39.55
   100   $0.50     $50.00
  1000   $0.41    $410.00
 10000   $0.40  $4,000.00</t>
        </r>
      </text>
    </comment>
    <comment ref="Z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£0.38      £3.85
   250   £0.19     £48.25
  1000   £0.17    £166.00
  2000   £0.12    £244.00</t>
        </r>
      </text>
    </comment>
    <comment ref="I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$0.91      $9.09
    50   $0.79     $39.41
   100   $0.68     $68.21
   900   $0.49    $436.52</t>
        </r>
      </text>
    </comment>
    <comment ref="N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900   £0.46    £410.40
  4500   £0.38  £1,701.00</t>
        </r>
      </text>
    </comment>
    <comment ref="S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$0.68      $6.85
    50   $0.68     $34.25
   100   $0.53     $52.70
  1000   $0.42    $421.00
 10000   $0.42  $4,210.00</t>
        </r>
      </text>
    </comment>
    <comment ref="I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$1.08      $1.08
    10   $0.82      $8.22
    50   $0.68     $34.16
   100   $0.59     $58.82
   500   $0.46    $227.70
  1000   $0.39    $392.15
  2000   $0.33    $667.00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£0.65      £3.26
    10   £0.65      £6.53
    50   £0.44     £22.05
   250   £0.39     £97.75
   500   £0.34    £170.50
  1000   £0.30    £300.00
  2000   £0.29    £582.00
 10000   £0.28  £2,850.00</t>
        </r>
      </text>
    </comment>
    <comment ref="S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$1.03      $1.03
    10   $0.65      $6.52
    50   $0.65     $32.60
   100   $0.56     $56.10
  1000   $0.44    $435.00
 10000   $0.44  $4,350.00</t>
        </r>
      </text>
    </comment>
    <comment ref="Z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£1.06      £5.28
    25   £0.98     £24.55
   100   £0.87     £86.60
   250   £0.72    £179.50
   500   £0.59    £296.00</t>
        </r>
      </text>
    </comment>
    <comment ref="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$0.10      $1.02
    50   $0.06      $2.89
   100   $0.05      $4.78
   500   $0.03     $16.78
  1000   $0.03     $27.78
  2500   $0.03     $64.62
  5000   $0.02    $118.25
 10000   $0.02    $220.00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£0.56
   100   £0.05      £4.53
   150   £0.05      £6.80
   500   £0.02     £10.45
  2500   £0.02     £39.25
  5000   £0.02     £77.50
 10000   £0.01    £140.00
 50000   £0.01    £650.00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$0.06      $0.58
    50   $0.06      $2.90
   100   $0.05      $4.80
  1000   $0.03     $28.00
 10000   $0.02    $220.00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£3.40
   200   £0.03      £6.40
   500   £0.03     £14.00
  1000   £0.02     £25.00
  2000   £0.02     £42.00</t>
        </r>
      </text>
    </comment>
    <comment ref="I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$0.35      $3.47
    50   $0.26     $13.11
   100   $0.23     $22.84
   500   $0.17     $84.58
  1000   $0.14    $143.79
  4000   $0.13    $507.52</t>
        </r>
      </text>
    </comment>
    <comment ref="S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U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$0.27      $2.68
    50   $0.27     $13.40
   100   $0.23     $23.30
  1000   $0.15    $149.00
 10000   $0.12  $1,150.00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$0.02      $0.79
   100   $0.01      $1.29
   500   $0.01      $4.62
  1000   $0.01      $7.26
  2500   $0.01     $16.50
  5000   $0.01     $30.35
 10000   $0.01     $50.40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£0.02      £1.71
   150   £0.02      £2.56
   500   £0.01      £4.40
  2500   £0.01     £18.50
  5000   £0.01     £31.50
 10000   £0.00     £34.00
 50000   £0.00    £150.00</t>
        </r>
      </text>
    </comment>
    <comment ref="U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$1.80
  1000   $0.01     $10.00
 10000   $0.01     $70.00</t>
        </r>
      </text>
    </comment>
    <comment ref="Z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£0.01      £2.80
  2000   £0.01     £14.00
  4000   £0.01     £28.00
 10000   £0.01     £60.00
 20000   £0.01    £120.00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$0.73
    50   $0.04      $1.98
   100   $0.03      $3.23
   500   $0.02     $11.55
  1000   $0.02     $18.15
  4000   $0.01     $55.20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£0.38
   100   £0.03      £2.88
   150   £0.03      £4.32
   500   £0.02     £10.40
  1000   £0.02     £15.60
  2000   £0.02     £30.60
  4000   £0.01     £58.40
 20000   £0.01    £230.00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$0.38
    50   $0.04      $1.90
   100   $0.03      $2.80
  1000   $0.02     $18.00
 10000   $0.01    $120.00</t>
        </r>
      </text>
    </comment>
    <comment ref="Z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£0.04      £1.95
   800   £0.02     £12.00
  2000   £0.01     £20.00
  4000   £0.02     £80.00
 12000   £0.02    £228.00</t>
        </r>
      </text>
    </comment>
    <comment ref="P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£0.14      £0.68
    50   £0.11      £5.40
   100   £0.10     £10.40
   150   £0.10     £15.60
   500   £0.09     £44.25
  1000   £0.08     £77.10
  2000   £0.08    £153.20</t>
        </r>
      </text>
    </comment>
    <comment ref="Z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40   £0.13      £5.36
   200   £0.08     £16.20
   800   £0.07     £57.60
  2000   £0.05    £106.00
  4000   £0.05    £204.00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$1.44      $1.44
     5   $1.40      $6.98
    10   $1.30     $13.05
    50   $1.08     $54.00
   100   $0.90     $90.00
   250   $0.88    $219.38
   500   $0.74    $371.25
  1000   $0.65    $652.50
  5000   $0.60  $2,992.50
 10000   $0.60  $5,985.00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£1.35     £13.50
   100   £1.06    £106.00
   500   £0.99    £494.00
  2500   £0.93  £2,320.00
  5000   £0.91  £4,545.00
 10000   £0.89  £8,910.00
 50000   £0.88 £43,750.00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$1.40      $1.40
    10   $1.31     $13.10
    50   $1.08     $54.00
   100   $1.01    $101.00
  1000   $0.92    $925.00
 10000   $0.92  $9,180.00</t>
        </r>
      </text>
    </comment>
    <comment ref="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$6.44
   100   $0.56     $55.55
   500   $0.45    $227.25
  1000   $0.40    $404.00
  5000   $0.35  $1,767.50
 10000   $0.34  $3,358.30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£0.34      £3.37
   100   £0.26     £26.10
   500   £0.23    £117.00
  1000   £0.21    £208.00
  2500   £0.20    £510.00
  5000   £0.20  £1,000.00</t>
        </r>
      </text>
    </comment>
    <comment ref="U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$0.64      $0.64
    10   $0.60      $5.99
    50   $0.60     $29.95
   100   $0.46     $45.90
  1000   $0.33    $329.00
 10000   $0.27  $2,690.00</t>
        </r>
      </text>
    </comment>
    <comment ref="Z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£0.21    £214.00</t>
        </r>
      </text>
    </comment>
    <comment ref="K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$0.52      $5.15
   100   $0.39     $39.49
   500   $0.34    $171.70
  1000   $0.28    $283.30
  5000   $0.25  $1,244.80
 10000   $0.23  $2,318.00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£0.24      £2.39
   100   £0.19     £19.10
   500   £0.18     £91.00
  1000   £0.15    £152.00
  2500   £0.14    £352.50
  5000   £0.13    £650.00</t>
        </r>
      </text>
    </comment>
    <comment ref="U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$0.39      $3.89
    50   $0.39     $19.45
   100   $0.30     $29.80
  1000   $0.21    $214.00
 10000   $0.18  $1,750.00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£0.16    £161.00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$2.32      $2.32
    10   $2.10     $21.03
   100   $1.80    $180.28
   500   $1.50    $751.19
  1000   $1.29  $1,287.75
  5000   $1.14  $5,709.00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$2.29      $2.29
    10   $2.08     $20.80
    50   $2.08    $104.00
   100   $1.78    $178.00
  1000   $1.27  $1,270.00
 10000   $1.13 $11,300.00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$1.67     $16.73
    25   $1.55     $38.76
    50   $1.39     $69.70
   100   $1.36    $136.00
   250   $1.19    $297.50
   500   $1.09    $544.00
  1000   $0.99    $986.00
  5000   $0.87  $4,335.00</t>
        </r>
      </text>
    </comment>
    <comment ref="U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$2.21      $2.21
    10   $1.40     $14.00
    50   $1.40     $70.00
   100   $1.19    $119.00
  1000   $0.98    $985.00
 10000   $0.87  $8,660.00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$0.38      $3.84
   440   $0.30    $131.31
  2000   $0.23    $454.74
  6000   $0.21  $1,236.36
 10000   $0.19  $1,918.40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£0.34      £0.34
    10   £0.28      £2.84
    50   £0.25     £12.65
   100   £0.22     £22.10
   500   £0.21    £105.00
  1000   £0.17    £174.00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$0.38      $3.81
    50   $0.38     $19.05
   100   $0.30     $29.60
  1000   $0.23    $233.00
 10000   $0.19  $1,870.00</t>
        </r>
      </text>
    </comment>
    <comment ref="Z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£1.93
   125   £0.18     £22.50
   500   £0.18     £88.00
  2500   £0.17    £430.00
  5000   £0.17    £840.00</t>
        </r>
      </text>
    </comment>
    <comment ref="I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$1.75      $1.75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$1.73      $1.73
    10   $1.56     $15.60
    50   $1.56     $78.00
   100   $1.34    $134.00
  1000   $0.96    $959.00
 10000   $0.85  $8,510.00</t>
        </r>
      </text>
    </comment>
    <comment ref="I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$2.68      $2.68</t>
        </r>
      </text>
    </comment>
    <comment ref="N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£2.72      £2.72
    10   £2.13     £21.30
    25   £2.00     £50.00
    50   £1.88     £94.00
   100   £1.80    £180.00</t>
        </r>
      </text>
    </comment>
    <comment ref="U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$2.17      $2.17
    10   $1.93     $19.30
    50   $1.93     $96.50
   100   $1.65    $165.00
  1000   $1.18  $1,180.00
 10000   $1.05 $10,500.00</t>
        </r>
      </text>
    </comment>
    <comment ref="Z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£1.88      £1.88
    10   £1.43     £14.30
    50   £1.30     £65.00
   100   £1.18    £118.00
   250   £1.11    £277.50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$2.32      $2.32
    10   $2.10     $21.03
   100   $1.80    $180.28
   500   $1.50    $751.19
  1000   $1.29  $1,287.75
  5000   $1.14  $5,709.00</t>
        </r>
      </text>
    </comment>
    <comment ref="U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$2.29      $2.29
    10   $2.08     $20.80
    50   $2.08    $104.00
   100   $1.78    $178.00
  1000   $1.27  $1,270.00
 10000   $1.13 $11,300.00</t>
        </r>
      </text>
    </comment>
    <comment ref="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$1.71      $1.71
    10   $1.20     $12.02
    25   $1.12     $28.01
    50   $1.02     $50.85
   100   $1.01    $101.25
   250   $0.86    $213.75
   500   $0.81    $405.00
  1000   $0.72    $720.00
  5000   $0.58  $2,925.00</t>
        </r>
      </text>
    </comment>
    <comment ref="U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$1.11     $11.10
    50   $1.02     $51.00
   100   $0.90     $90.00
  1000   $0.72    $720.00
 10000   $0.59  $5,860.00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$1.45
  1000   $0.01      $6.52
  2500   $0.01     $14.15
  5000   $0.00     $23.40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$1.00
  1000   $0.00      $4.00
 10000   $0.00     $40.00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$0.01     $74.80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$0.12      $1.15
    50   $0.12      $5.75
   100   $0.04      $4.40
  1000   $0.02     $20.00
 10000   $0.01    $130.00</t>
        </r>
      </text>
    </comment>
    <comment ref="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100   $0.01      $1.19
  1000   $0.01      $5.33
  2500   $0.00     $11.58
  5000   $0.00     $19.10
 10000   $0.00     $33.20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$0.01      $1.20
  1000   $0.00      $5.00
 10000   $0.00     $30.00</t>
        </r>
      </text>
    </comment>
    <comment ref="G3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T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Y3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3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<sst xmlns="http://schemas.openxmlformats.org/spreadsheetml/2006/main" count="320" uniqueCount="203">
  <si>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</si>
  <si>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</si>
  <si>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</si>
  <si>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</si>
  <si>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</si>
  <si>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</si>
  <si>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</si>
  <si>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</si>
  <si>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</si>
  <si>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C1</t>
  </si>
  <si>
    <t>22uF</t>
  </si>
  <si>
    <t>C_1206_3216Metric</t>
  </si>
  <si>
    <t>KEMET</t>
  </si>
  <si>
    <t>C1206C226M8RACTU</t>
  </si>
  <si>
    <t>C2</t>
  </si>
  <si>
    <t>150uF</t>
  </si>
  <si>
    <t>CP_Elec_6.3x7.7</t>
  </si>
  <si>
    <t>Panasonic</t>
  </si>
  <si>
    <t>EEE-FTV151XAV</t>
  </si>
  <si>
    <t>C3</t>
  </si>
  <si>
    <t>10uF</t>
  </si>
  <si>
    <t>TDK</t>
  </si>
  <si>
    <t>CGA5L1X7R1V106K160AE</t>
  </si>
  <si>
    <t>C4</t>
  </si>
  <si>
    <t>100nF</t>
  </si>
  <si>
    <t>C_0402_1005Metric</t>
  </si>
  <si>
    <t>CGA2B3X7R1V104K050BB</t>
  </si>
  <si>
    <t>C5,C7</t>
  </si>
  <si>
    <t>1uF</t>
  </si>
  <si>
    <t>C_0603_1608Metric</t>
  </si>
  <si>
    <t>Yageo</t>
  </si>
  <si>
    <t>CC0603KRX7R9BB105</t>
  </si>
  <si>
    <t>C6</t>
  </si>
  <si>
    <t>10nF</t>
  </si>
  <si>
    <t>Murata</t>
  </si>
  <si>
    <t>GCM155R71H103KA55D</t>
  </si>
  <si>
    <t>C8,C9</t>
  </si>
  <si>
    <t>CGA3E2X7R1H104K080AA</t>
  </si>
  <si>
    <t>D1</t>
  </si>
  <si>
    <t>ORANGE</t>
  </si>
  <si>
    <t>LED_0603_1608Metric</t>
  </si>
  <si>
    <t>OSRAM Opto</t>
  </si>
  <si>
    <t>LO Q976</t>
  </si>
  <si>
    <t>D2</t>
  </si>
  <si>
    <t>BLUE</t>
  </si>
  <si>
    <t xml:space="preserve">OSRAM Opto </t>
  </si>
  <si>
    <t>LB Q39G-N1OO-35-1</t>
  </si>
  <si>
    <t>D3</t>
  </si>
  <si>
    <t>GREEN</t>
  </si>
  <si>
    <t>LT Q39G-Q1OO-25-1</t>
  </si>
  <si>
    <t>D4</t>
  </si>
  <si>
    <t>RED</t>
  </si>
  <si>
    <t xml:space="preserve">Kingbright </t>
  </si>
  <si>
    <t>KP-1608SRC-PRV</t>
  </si>
  <si>
    <t>D5</t>
  </si>
  <si>
    <t>Vz=5V</t>
  </si>
  <si>
    <t>D_0603_1608Metric</t>
  </si>
  <si>
    <t>Taiwan Semiconductor</t>
  </si>
  <si>
    <t>TSZU52C5V1 RGG</t>
  </si>
  <si>
    <t>F1</t>
  </si>
  <si>
    <t>200mA</t>
  </si>
  <si>
    <t>Fuse_0402_1005Metric</t>
  </si>
  <si>
    <t>Bourns</t>
  </si>
  <si>
    <t>MF-ASML020/6-2</t>
  </si>
  <si>
    <t>JP1</t>
  </si>
  <si>
    <t>HAL_SEL</t>
  </si>
  <si>
    <t>PinHeader_1x03_P1.27mm_Vertical</t>
  </si>
  <si>
    <t>Samtec</t>
  </si>
  <si>
    <t>TMS-103-01-G-S</t>
  </si>
  <si>
    <t>JP2</t>
  </si>
  <si>
    <t>VCC_SEL</t>
  </si>
  <si>
    <t>PinHeader_1x02_P1.27mm_Vertical</t>
  </si>
  <si>
    <t>TMS-102-01-G-S</t>
  </si>
  <si>
    <t>L1</t>
  </si>
  <si>
    <t>47uH</t>
  </si>
  <si>
    <t>L_1210_3225Metric</t>
  </si>
  <si>
    <t>Taiyo Yuden</t>
  </si>
  <si>
    <t>CBC3225T470KRV</t>
  </si>
  <si>
    <t>P1</t>
  </si>
  <si>
    <t>Power</t>
  </si>
  <si>
    <t>Socket_Strip_Arduino_1x08</t>
  </si>
  <si>
    <t>SSW-108-03-G-S</t>
  </si>
  <si>
    <t>P10</t>
  </si>
  <si>
    <t>MOT</t>
  </si>
  <si>
    <t>39773-0003</t>
  </si>
  <si>
    <t>Molex</t>
  </si>
  <si>
    <t>P11</t>
  </si>
  <si>
    <t>HALL</t>
  </si>
  <si>
    <t>Molex_PicoBlade_53047-0810_1x08_P1.25mm_Vertical</t>
  </si>
  <si>
    <t>53047-0810</t>
  </si>
  <si>
    <t>P2</t>
  </si>
  <si>
    <t>Analog</t>
  </si>
  <si>
    <t>Socket_Strip_Arduino_1x06</t>
  </si>
  <si>
    <t>SSW-106-03-G-S</t>
  </si>
  <si>
    <t>P3</t>
  </si>
  <si>
    <t>Digital</t>
  </si>
  <si>
    <t>Socket_Strip_Arduino_1x10</t>
  </si>
  <si>
    <t>SSW-110-03-G-S</t>
  </si>
  <si>
    <t>P4</t>
  </si>
  <si>
    <t>P9</t>
  </si>
  <si>
    <t>PWR</t>
  </si>
  <si>
    <t>39773-0002</t>
  </si>
  <si>
    <t>R1,R3,R5,R7,R8,R13</t>
  </si>
  <si>
    <t>1k</t>
  </si>
  <si>
    <t>R_0603_1608Metric</t>
  </si>
  <si>
    <t>Vishay</t>
  </si>
  <si>
    <t>CRCW06031K00FKEAC</t>
  </si>
  <si>
    <t>R2,R4,R6</t>
  </si>
  <si>
    <t>5.1k</t>
  </si>
  <si>
    <t>Rohm</t>
  </si>
  <si>
    <t>ESR03EZPF5101</t>
  </si>
  <si>
    <t>R9-R12,R14-R17</t>
  </si>
  <si>
    <t>0R</t>
  </si>
  <si>
    <t>CRCW06030000Z0EBC</t>
  </si>
  <si>
    <t>U1</t>
  </si>
  <si>
    <t>MCT8316Z</t>
  </si>
  <si>
    <t>QFN-40_EP_5x7_Pitch0.5mm</t>
  </si>
  <si>
    <t>TI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</si>
  <si>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</si>
  <si>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</si>
  <si>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</si>
  <si>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</si>
  <si>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</si>
  <si>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</si>
  <si>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DRIVERINO SHIELD</t>
  </si>
  <si>
    <t>Co.:</t>
  </si>
  <si>
    <t>TuX's Design</t>
  </si>
  <si>
    <t>Prj date:</t>
  </si>
  <si>
    <t>11/05/2021 11:36:00</t>
  </si>
  <si>
    <t>Board Qty:</t>
  </si>
  <si>
    <t>Total Cost:</t>
  </si>
  <si>
    <t>Unit Cost:</t>
  </si>
  <si>
    <t>$ date:</t>
  </si>
  <si>
    <t>2021-05-11 11:37:02</t>
  </si>
  <si>
    <t>Digi-Key</t>
  </si>
  <si>
    <t>Avail</t>
  </si>
  <si>
    <t>Purch</t>
  </si>
  <si>
    <t>Cat#</t>
  </si>
  <si>
    <t>399-7444-1-ND</t>
  </si>
  <si>
    <t>P124837CT-ND</t>
  </si>
  <si>
    <t>NonStk</t>
  </si>
  <si>
    <t>445-172483-1-ND</t>
  </si>
  <si>
    <t>445-6901-1-ND</t>
  </si>
  <si>
    <t>311-2082-1-ND</t>
  </si>
  <si>
    <t>490-4762-1-ND</t>
  </si>
  <si>
    <t>445-5666-1-ND</t>
  </si>
  <si>
    <t>118-MF-ASML020/6-2CT-ND</t>
  </si>
  <si>
    <t>SAM10238-ND</t>
  </si>
  <si>
    <t>SAM12199-ND</t>
  </si>
  <si>
    <t>SSW-108-03-G-S-ND</t>
  </si>
  <si>
    <t>0397730003-ND</t>
  </si>
  <si>
    <t>WM1737-ND</t>
  </si>
  <si>
    <t>SSW-106-03-G-S-ND</t>
  </si>
  <si>
    <t>SSW-110-03-G-S-ND</t>
  </si>
  <si>
    <t>0397730002-ND</t>
  </si>
  <si>
    <t>541-3949-1-ND</t>
  </si>
  <si>
    <t>ESR03EZPF5101-ND</t>
  </si>
  <si>
    <t>541-4013-1-ND</t>
  </si>
  <si>
    <t>Farnell</t>
  </si>
  <si>
    <t>2118135</t>
  </si>
  <si>
    <t>3126986</t>
  </si>
  <si>
    <t>2547055RL</t>
  </si>
  <si>
    <t>2210830</t>
  </si>
  <si>
    <t>2470416</t>
  </si>
  <si>
    <t>2346967</t>
  </si>
  <si>
    <t>2463989</t>
  </si>
  <si>
    <t>3350793</t>
  </si>
  <si>
    <t>2856614</t>
  </si>
  <si>
    <t>2505048</t>
  </si>
  <si>
    <t>1012258</t>
  </si>
  <si>
    <t>3661270</t>
  </si>
  <si>
    <t>Mouser</t>
  </si>
  <si>
    <t>80C1206C226M8R</t>
  </si>
  <si>
    <t>667EEEFTV151XAV</t>
  </si>
  <si>
    <t>810CGA5L1X7R1V106KE</t>
  </si>
  <si>
    <t>810CGA2B3X7R1V104K</t>
  </si>
  <si>
    <t>603CC603KRX7R9BB105</t>
  </si>
  <si>
    <t>81GCM155R71H103KA5D</t>
  </si>
  <si>
    <t>810CGA3E2X7R1H104K</t>
  </si>
  <si>
    <t>652MFASML020/62</t>
  </si>
  <si>
    <t>200TMS10301GS</t>
  </si>
  <si>
    <t>200TMS10201GS</t>
  </si>
  <si>
    <t>200SSW10803GS</t>
  </si>
  <si>
    <t>538397730003</t>
  </si>
  <si>
    <t>538530470810</t>
  </si>
  <si>
    <t>200SSW10603GS</t>
  </si>
  <si>
    <t>200SSW11003GS</t>
  </si>
  <si>
    <t>538397730002</t>
  </si>
  <si>
    <t>71CRCW06031K00FKEAC</t>
  </si>
  <si>
    <t>755ESR03EZPF5101</t>
  </si>
  <si>
    <t>71CRCW06030000Z0EBC</t>
  </si>
  <si>
    <t>RS Components</t>
  </si>
  <si>
    <t>8029967</t>
  </si>
  <si>
    <t>9155354</t>
  </si>
  <si>
    <t>9155635</t>
  </si>
  <si>
    <t>7234954</t>
  </si>
  <si>
    <t>7882985</t>
  </si>
  <si>
    <t>4663728</t>
  </si>
  <si>
    <t>1800218</t>
  </si>
  <si>
    <t>1800215</t>
  </si>
  <si>
    <t>2799241</t>
  </si>
  <si>
    <t>2079189</t>
  </si>
  <si>
    <t>KiCost® v.1.1.3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</si>
</sst>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sheet.octopart.com/C1206C226M8RACTU-KEMET-datasheet-149525512.pdf" TargetMode="External"/><Relationship Id="rId2" Type="http://schemas.openxmlformats.org/officeDocument/2006/relationships/hyperlink" Target="https://octopart.com/click/track?ai=8078&amp;sig=066db98&amp;sid=459&amp;ppid=22544259&amp;vpid=50104662&amp;ct=offers" TargetMode="External"/><Relationship Id="rId3" Type="http://schemas.openxmlformats.org/officeDocument/2006/relationships/hyperlink" Target="https://octopart.com/click/track?ai=8078&amp;sig=06f0a1f&amp;sid=819&amp;ppid=22544259&amp;vpid=138968404&amp;ct=offers" TargetMode="External"/><Relationship Id="rId4" Type="http://schemas.openxmlformats.org/officeDocument/2006/relationships/hyperlink" Target="https://octopart.com/click/track?ai=8078&amp;sig=035d214&amp;sid=2401&amp;ppid=22544259&amp;vpid=48378091&amp;ct=offers" TargetMode="External"/><Relationship Id="rId5" Type="http://schemas.openxmlformats.org/officeDocument/2006/relationships/hyperlink" Target="https://octopart.com/click/track?ai=8078&amp;sig=00fadc1&amp;sid=10022&amp;ppid=22544259&amp;vpid=199040224&amp;ct=offers" TargetMode="External"/><Relationship Id="rId6" Type="http://schemas.openxmlformats.org/officeDocument/2006/relationships/hyperlink" Target="http://datasheet.octopart.com/EEEFTV151XAV-Panasonic-datasheet-136348057.pdf" TargetMode="External"/><Relationship Id="rId7" Type="http://schemas.openxmlformats.org/officeDocument/2006/relationships/hyperlink" Target="https://octopart.com/click/track?c=1&amp;ai=8078&amp;sig=0952ee5&amp;sid=459&amp;ppid=102491309&amp;vpid=575024504&amp;ct=offers" TargetMode="External"/><Relationship Id="rId8" Type="http://schemas.openxmlformats.org/officeDocument/2006/relationships/hyperlink" Target="https://octopart.com/click/track?c=1&amp;ai=8078&amp;sig=04dddf9&amp;sid=11744&amp;ppid=102491309&amp;vpid=557916053&amp;ct=offers" TargetMode="External"/><Relationship Id="rId9" Type="http://schemas.openxmlformats.org/officeDocument/2006/relationships/hyperlink" Target="https://octopart.com/click/track?c=1&amp;ai=8078&amp;sig=0d00570&amp;sid=2401&amp;ppid=102491309&amp;vpid=553282687&amp;ct=offers" TargetMode="External"/><Relationship Id="rId10" Type="http://schemas.openxmlformats.org/officeDocument/2006/relationships/hyperlink" Target="http://datasheet.octopart.com/CGA5L1X7R1V106K160AE-TDK-datasheet-57863114.pdf" TargetMode="External"/><Relationship Id="rId11" Type="http://schemas.openxmlformats.org/officeDocument/2006/relationships/hyperlink" Target="https://octopart.com/click/track?c=1&amp;ai=8078&amp;sig=08e9bf6&amp;sid=459&amp;ppid=48568711&amp;vpid=156791283&amp;ct=offers" TargetMode="External"/><Relationship Id="rId12" Type="http://schemas.openxmlformats.org/officeDocument/2006/relationships/hyperlink" Target="https://octopart.com/click/track?ai=8078&amp;sig=0444a39&amp;sid=819&amp;ppid=48568711&amp;vpid=262384553&amp;ct=offers" TargetMode="External"/><Relationship Id="rId13" Type="http://schemas.openxmlformats.org/officeDocument/2006/relationships/hyperlink" Target="https://octopart.com/click/track?c=1&amp;ai=8078&amp;sig=0c1f408&amp;sid=2401&amp;ppid=48568711&amp;vpid=178930304&amp;ct=offers" TargetMode="External"/><Relationship Id="rId14" Type="http://schemas.openxmlformats.org/officeDocument/2006/relationships/hyperlink" Target="https://octopart.com/click/track?ai=8078&amp;sig=09f6db4&amp;sid=10022&amp;ppid=48568711&amp;vpid=276217361&amp;ct=offers" TargetMode="External"/><Relationship Id="rId15" Type="http://schemas.openxmlformats.org/officeDocument/2006/relationships/hyperlink" Target="http://datasheet.octopart.com/CGA2B3X7R1V104K050BB-TDK-datasheet-33009218.pdf" TargetMode="External"/><Relationship Id="rId16" Type="http://schemas.openxmlformats.org/officeDocument/2006/relationships/hyperlink" Target="https://octopart.com/click/track?ai=8078&amp;sig=0576441&amp;sid=459&amp;ppid=26014455&amp;vpid=63976782&amp;ct=offers" TargetMode="External"/><Relationship Id="rId17" Type="http://schemas.openxmlformats.org/officeDocument/2006/relationships/hyperlink" Target="https://octopart.com/click/track?ai=8078&amp;sig=0ff040a&amp;sid=11744&amp;ppid=26014455&amp;vpid=132632383&amp;ct=offers" TargetMode="External"/><Relationship Id="rId18" Type="http://schemas.openxmlformats.org/officeDocument/2006/relationships/hyperlink" Target="https://octopart.com/click/track?ai=8078&amp;sig=046857d&amp;sid=2401&amp;ppid=26014455&amp;vpid=66165109&amp;ct=offers" TargetMode="External"/><Relationship Id="rId19" Type="http://schemas.openxmlformats.org/officeDocument/2006/relationships/hyperlink" Target="https://octopart.com/click/track?ai=8078&amp;sig=0956364&amp;sid=10022&amp;ppid=26014455&amp;vpid=263681589&amp;ct=offers" TargetMode="External"/><Relationship Id="rId20" Type="http://schemas.openxmlformats.org/officeDocument/2006/relationships/hyperlink" Target="http://sigma.octopart.com/147830939/technical_drawing/Yageo-CC0603KRX7R9BB105.pdf" TargetMode="External"/><Relationship Id="rId21" Type="http://schemas.openxmlformats.org/officeDocument/2006/relationships/hyperlink" Target="https://octopart.com/click/track?c=1&amp;ai=8078&amp;sig=0879d3f&amp;sid=459&amp;ppid=29776054&amp;vpid=254230590&amp;ct=offers" TargetMode="External"/><Relationship Id="rId22" Type="http://schemas.openxmlformats.org/officeDocument/2006/relationships/hyperlink" Target="https://octopart.com/click/track?c=1&amp;ai=8078&amp;sig=002fee0&amp;sid=2401&amp;ppid=29776054&amp;vpid=194122924&amp;ct=offers" TargetMode="External"/><Relationship Id="rId23" Type="http://schemas.openxmlformats.org/officeDocument/2006/relationships/hyperlink" Target="http://datasheet.octopart.com/GCM155R71H103KA55D-Murata-datasheet-149522462.pdf" TargetMode="External"/><Relationship Id="rId24" Type="http://schemas.openxmlformats.org/officeDocument/2006/relationships/hyperlink" Target="https://octopart.com/click/track?ai=8078&amp;sig=05479c9&amp;sid=459&amp;ppid=9105516&amp;vpid=34232110&amp;ct=offers" TargetMode="External"/><Relationship Id="rId25" Type="http://schemas.openxmlformats.org/officeDocument/2006/relationships/hyperlink" Target="https://octopart.com/click/track?ai=8078&amp;sig=08998fd&amp;sid=11744&amp;ppid=9105516&amp;vpid=195292442&amp;ct=offers" TargetMode="External"/><Relationship Id="rId26" Type="http://schemas.openxmlformats.org/officeDocument/2006/relationships/hyperlink" Target="https://octopart.com/click/track?ai=8078&amp;sig=048b060&amp;sid=2401&amp;ppid=9105516&amp;vpid=37821366&amp;ct=offers" TargetMode="External"/><Relationship Id="rId27" Type="http://schemas.openxmlformats.org/officeDocument/2006/relationships/hyperlink" Target="https://octopart.com/click/track?ai=8078&amp;sig=0a8e140&amp;sid=10022&amp;ppid=9105516&amp;vpid=199071532&amp;ct=offers" TargetMode="External"/><Relationship Id="rId28" Type="http://schemas.openxmlformats.org/officeDocument/2006/relationships/hyperlink" Target="http://datasheet.octopart.com/CGA3E2X7R1H104K080AA-TDK-datasheet-43366117.pdf" TargetMode="External"/><Relationship Id="rId29" Type="http://schemas.openxmlformats.org/officeDocument/2006/relationships/hyperlink" Target="https://octopart.com/click/track?ai=8078&amp;sig=04ccb1c&amp;sid=459&amp;ppid=25947979&amp;vpid=63977079&amp;ct=offers" TargetMode="External"/><Relationship Id="rId30" Type="http://schemas.openxmlformats.org/officeDocument/2006/relationships/hyperlink" Target="https://octopart.com/click/track?ai=8078&amp;sig=09e4d58&amp;sid=11744&amp;ppid=25947979&amp;vpid=133117207&amp;ct=offers" TargetMode="External"/><Relationship Id="rId31" Type="http://schemas.openxmlformats.org/officeDocument/2006/relationships/hyperlink" Target="https://octopart.com/click/track?ai=8078&amp;sig=092e8b6&amp;sid=2401&amp;ppid=25947979&amp;vpid=66165207&amp;ct=offers" TargetMode="External"/><Relationship Id="rId32" Type="http://schemas.openxmlformats.org/officeDocument/2006/relationships/hyperlink" Target="https://octopart.com/click/track?ai=8078&amp;sig=029d1ac&amp;sid=10022&amp;ppid=25947979&amp;vpid=199138137&amp;ct=offers" TargetMode="External"/><Relationship Id="rId33" Type="http://schemas.openxmlformats.org/officeDocument/2006/relationships/hyperlink" Target="http://datasheet.octopart.com/KP-1608SRC-PRV-Kingbright-datasheet-32748838.pdf" TargetMode="External"/><Relationship Id="rId34" Type="http://schemas.openxmlformats.org/officeDocument/2006/relationships/hyperlink" Target="https://octopart.com/click/track?ai=8078&amp;sig=02cc121&amp;sid=819&amp;ppid=55391506&amp;vpid=259424879&amp;ct=offers" TargetMode="External"/><Relationship Id="rId35" Type="http://schemas.openxmlformats.org/officeDocument/2006/relationships/hyperlink" Target="https://octopart.com/click/track?ai=8078&amp;sig=0c4d1cb&amp;sid=10022&amp;ppid=55391506&amp;vpid=199041909&amp;ct=offers" TargetMode="External"/><Relationship Id="rId36" Type="http://schemas.openxmlformats.org/officeDocument/2006/relationships/hyperlink" Target="https://octopart.com/click/track?ai=8078&amp;sig=0064173&amp;sid=459&amp;ppid=107223903&amp;vpid=600434462&amp;ct=offers" TargetMode="External"/><Relationship Id="rId37" Type="http://schemas.openxmlformats.org/officeDocument/2006/relationships/hyperlink" Target="https://octopart.com/click/track?ai=8078&amp;sig=0f4ca41&amp;sid=819&amp;ppid=107223903&amp;vpid=618191017&amp;ct=offers" TargetMode="External"/><Relationship Id="rId38" Type="http://schemas.openxmlformats.org/officeDocument/2006/relationships/hyperlink" Target="https://octopart.com/click/track?ai=8078&amp;sig=01456bf&amp;sid=2401&amp;ppid=107223903&amp;vpid=600763162&amp;ct=offers" TargetMode="External"/><Relationship Id="rId39" Type="http://schemas.openxmlformats.org/officeDocument/2006/relationships/hyperlink" Target="http://datasheet.octopart.com/TMS-103-01-G-S-Samtec-datasheet-97317866.pdf" TargetMode="External"/><Relationship Id="rId40" Type="http://schemas.openxmlformats.org/officeDocument/2006/relationships/hyperlink" Target="https://octopart.com/click/track?ai=8078&amp;sig=0b66a07&amp;sid=459&amp;ppid=15472741&amp;vpid=416795232&amp;ct=offers" TargetMode="External"/><Relationship Id="rId41" Type="http://schemas.openxmlformats.org/officeDocument/2006/relationships/hyperlink" Target="https://octopart.com/click/track?ai=8078&amp;sig=06e30ea&amp;sid=11744&amp;ppid=15472741&amp;vpid=478780625&amp;ct=offers" TargetMode="External"/><Relationship Id="rId42" Type="http://schemas.openxmlformats.org/officeDocument/2006/relationships/hyperlink" Target="https://octopart.com/click/track?ai=8078&amp;sig=0544380&amp;sid=2401&amp;ppid=15472741&amp;vpid=493278985&amp;ct=offers" TargetMode="External"/><Relationship Id="rId43" Type="http://schemas.openxmlformats.org/officeDocument/2006/relationships/hyperlink" Target="https://octopart.com/click/track?ai=8078&amp;sig=0403574&amp;sid=10022&amp;ppid=15472741&amp;vpid=510205609&amp;ct=offers" TargetMode="External"/><Relationship Id="rId44" Type="http://schemas.openxmlformats.org/officeDocument/2006/relationships/hyperlink" Target="https://octopart.com/click/track?ai=8078&amp;sig=0c6703d&amp;sid=459&amp;ppid=15515997&amp;vpid=421469830&amp;ct=offers" TargetMode="External"/><Relationship Id="rId45" Type="http://schemas.openxmlformats.org/officeDocument/2006/relationships/hyperlink" Target="https://octopart.com/click/track?ai=8078&amp;sig=0d8b491&amp;sid=11744&amp;ppid=15515997&amp;vpid=240729373&amp;ct=offers" TargetMode="External"/><Relationship Id="rId46" Type="http://schemas.openxmlformats.org/officeDocument/2006/relationships/hyperlink" Target="https://octopart.com/click/track?ai=8078&amp;sig=058edc1&amp;sid=2401&amp;ppid=15515997&amp;vpid=493278907&amp;ct=offers" TargetMode="External"/><Relationship Id="rId47" Type="http://schemas.openxmlformats.org/officeDocument/2006/relationships/hyperlink" Target="https://octopart.com/click/track?ai=8078&amp;sig=0339913&amp;sid=10022&amp;ppid=15515997&amp;vpid=510205602&amp;ct=offers" TargetMode="External"/><Relationship Id="rId48" Type="http://schemas.openxmlformats.org/officeDocument/2006/relationships/hyperlink" Target="http://datasheet.octopart.com/SSW-108-03-G-S-Samtec-datasheet-97292260.pdf" TargetMode="External"/><Relationship Id="rId49" Type="http://schemas.openxmlformats.org/officeDocument/2006/relationships/hyperlink" Target="https://octopart.com/click/track?ai=8078&amp;sig=070fb99&amp;sid=459&amp;ppid=15653096&amp;vpid=417407211&amp;ct=offers" TargetMode="External"/><Relationship Id="rId50" Type="http://schemas.openxmlformats.org/officeDocument/2006/relationships/hyperlink" Target="https://octopart.com/click/track?ai=8078&amp;sig=0f1c4fb&amp;sid=2401&amp;ppid=15653096&amp;vpid=493252134&amp;ct=offers" TargetMode="External"/><Relationship Id="rId51" Type="http://schemas.openxmlformats.org/officeDocument/2006/relationships/hyperlink" Target="http://datasheet.octopart.com/397730003-Molex-datasheet-148028105.pdf" TargetMode="External"/><Relationship Id="rId52" Type="http://schemas.openxmlformats.org/officeDocument/2006/relationships/hyperlink" Target="https://octopart.com/click/track?ai=8078&amp;sig=0f39d2a&amp;sid=459&amp;ppid=95432563&amp;vpid=510325199&amp;ct=offers" TargetMode="External"/><Relationship Id="rId53" Type="http://schemas.openxmlformats.org/officeDocument/2006/relationships/hyperlink" Target="https://octopart.com/click/track?ai=8078&amp;sig=0d2b595&amp;sid=2401&amp;ppid=95432563&amp;vpid=542317859&amp;ct=offers" TargetMode="External"/><Relationship Id="rId54" Type="http://schemas.openxmlformats.org/officeDocument/2006/relationships/hyperlink" Target="http://datasheet.octopart.com/530470810-Molex-datasheet-8334299.pdf" TargetMode="External"/><Relationship Id="rId55" Type="http://schemas.openxmlformats.org/officeDocument/2006/relationships/hyperlink" Target="https://octopart.com/click/track?ai=8078&amp;sig=0581498&amp;sid=459&amp;ppid=276778&amp;vpid=50127637&amp;ct=offers" TargetMode="External"/><Relationship Id="rId56" Type="http://schemas.openxmlformats.org/officeDocument/2006/relationships/hyperlink" Target="https://octopart.com/click/track?ai=8078&amp;sig=0e1e914&amp;sid=819&amp;ppid=276778&amp;vpid=139016507&amp;ct=offers" TargetMode="External"/><Relationship Id="rId57" Type="http://schemas.openxmlformats.org/officeDocument/2006/relationships/hyperlink" Target="https://octopart.com/click/track?ai=8078&amp;sig=04ed13a&amp;sid=2401&amp;ppid=276778&amp;vpid=37665122&amp;ct=offers" TargetMode="External"/><Relationship Id="rId58" Type="http://schemas.openxmlformats.org/officeDocument/2006/relationships/hyperlink" Target="https://octopart.com/click/track?ai=8078&amp;sig=08e4b07&amp;sid=10022&amp;ppid=276778&amp;vpid=199069115&amp;ct=offers" TargetMode="External"/><Relationship Id="rId59" Type="http://schemas.openxmlformats.org/officeDocument/2006/relationships/hyperlink" Target="http://sigma.octopart.com/97292261/technical_drawing/Samtec-SSW-106-03-G-S.pdf" TargetMode="External"/><Relationship Id="rId60" Type="http://schemas.openxmlformats.org/officeDocument/2006/relationships/hyperlink" Target="https://octopart.com/click/track?c=1&amp;ai=8078&amp;sig=0a4385f&amp;sid=459&amp;ppid=12688455&amp;vpid=452518433&amp;ct=offers" TargetMode="External"/><Relationship Id="rId61" Type="http://schemas.openxmlformats.org/officeDocument/2006/relationships/hyperlink" Target="https://octopart.com/click/track?ai=8078&amp;sig=0517311&amp;sid=2401&amp;ppid=12688455&amp;vpid=493251603&amp;ct=offers" TargetMode="External"/><Relationship Id="rId62" Type="http://schemas.openxmlformats.org/officeDocument/2006/relationships/hyperlink" Target="http://datasheet.octopart.com/SSW-110-03-G-S-Samtec-datasheet-97292260.pdf" TargetMode="External"/><Relationship Id="rId63" Type="http://schemas.openxmlformats.org/officeDocument/2006/relationships/hyperlink" Target="https://octopart.com/click/track?c=1&amp;ai=8078&amp;sig=03345b9&amp;sid=459&amp;ppid=10460928&amp;vpid=452521180&amp;ct=offers" TargetMode="External"/><Relationship Id="rId64" Type="http://schemas.openxmlformats.org/officeDocument/2006/relationships/hyperlink" Target="https://octopart.com/click/track?c=1&amp;ai=8078&amp;sig=00654af&amp;sid=819&amp;ppid=10460928&amp;vpid=700861519&amp;ct=offers" TargetMode="External"/><Relationship Id="rId65" Type="http://schemas.openxmlformats.org/officeDocument/2006/relationships/hyperlink" Target="https://octopart.com/click/track?ai=8078&amp;sig=03b391d&amp;sid=2401&amp;ppid=10460928&amp;vpid=493252630&amp;ct=offers" TargetMode="External"/><Relationship Id="rId66" Type="http://schemas.openxmlformats.org/officeDocument/2006/relationships/hyperlink" Target="https://octopart.com/click/track?ai=8078&amp;sig=0801e8f&amp;sid=10022&amp;ppid=10460928&amp;vpid=694028838&amp;ct=offers" TargetMode="External"/><Relationship Id="rId67" Type="http://schemas.openxmlformats.org/officeDocument/2006/relationships/hyperlink" Target="http://datasheet.octopart.com/SSW-108-03-G-S-Samtec-datasheet-97292260.pdf" TargetMode="External"/><Relationship Id="rId68" Type="http://schemas.openxmlformats.org/officeDocument/2006/relationships/hyperlink" Target="https://octopart.com/click/track?ai=8078&amp;sig=070fb99&amp;sid=459&amp;ppid=15653096&amp;vpid=417407211&amp;ct=offers" TargetMode="External"/><Relationship Id="rId69" Type="http://schemas.openxmlformats.org/officeDocument/2006/relationships/hyperlink" Target="https://octopart.com/click/track?ai=8078&amp;sig=0f1c4fb&amp;sid=2401&amp;ppid=15653096&amp;vpid=493252134&amp;ct=offers" TargetMode="External"/><Relationship Id="rId70" Type="http://schemas.openxmlformats.org/officeDocument/2006/relationships/hyperlink" Target="http://datasheet.octopart.com/397730002-Molex-datasheet-148028103.pdf" TargetMode="External"/><Relationship Id="rId71" Type="http://schemas.openxmlformats.org/officeDocument/2006/relationships/hyperlink" Target="https://octopart.com/click/track?ai=8078&amp;sig=00451a3&amp;sid=459&amp;ppid=95432562&amp;vpid=510325198&amp;ct=offers" TargetMode="External"/><Relationship Id="rId72" Type="http://schemas.openxmlformats.org/officeDocument/2006/relationships/hyperlink" Target="https://octopart.com/click/track?ai=8078&amp;sig=07ad486&amp;sid=2401&amp;ppid=95432562&amp;vpid=532067186&amp;ct=offers" TargetMode="External"/><Relationship Id="rId73" Type="http://schemas.openxmlformats.org/officeDocument/2006/relationships/hyperlink" Target="http://datasheet.octopart.com/CRCW06031K00FKEAC-Vishay-datasheet-100063072.pdf" TargetMode="External"/><Relationship Id="rId74" Type="http://schemas.openxmlformats.org/officeDocument/2006/relationships/hyperlink" Target="https://octopart.com/click/track?ai=8078&amp;sig=09239c3&amp;sid=459&amp;ppid=12144082&amp;vpid=454353355&amp;ct=offers" TargetMode="External"/><Relationship Id="rId75" Type="http://schemas.openxmlformats.org/officeDocument/2006/relationships/hyperlink" Target="https://octopart.com/click/track?ai=8078&amp;sig=0b5fb26&amp;sid=2401&amp;ppid=12144082&amp;vpid=454196526&amp;ct=offers" TargetMode="External"/><Relationship Id="rId76" Type="http://schemas.openxmlformats.org/officeDocument/2006/relationships/hyperlink" Target="https://octopart.com/click/track?c=1&amp;ai=8078&amp;sig=02c9e9e&amp;sid=459&amp;ppid=28947012&amp;vpid=76419534&amp;ct=offers" TargetMode="External"/><Relationship Id="rId77" Type="http://schemas.openxmlformats.org/officeDocument/2006/relationships/hyperlink" Target="https://octopart.com/click/track?ai=8078&amp;sig=0391ede&amp;sid=2401&amp;ppid=28947012&amp;vpid=465332833&amp;ct=offers" TargetMode="External"/><Relationship Id="rId78" Type="http://schemas.openxmlformats.org/officeDocument/2006/relationships/hyperlink" Target="http://datasheet.octopart.com/CRCW06030000Z0EBC-Vishay-datasheet-102570912.pdf" TargetMode="External"/><Relationship Id="rId79" Type="http://schemas.openxmlformats.org/officeDocument/2006/relationships/hyperlink" Target="https://octopart.com/click/track?ai=8078&amp;sig=06fb051&amp;sid=459&amp;ppid=87883024&amp;vpid=454353273&amp;ct=offers" TargetMode="External"/><Relationship Id="rId80" Type="http://schemas.openxmlformats.org/officeDocument/2006/relationships/hyperlink" Target="https://octopart.com/click/track?ai=8078&amp;sig=0bb93c9&amp;sid=2401&amp;ppid=87883024&amp;vpid=458952853&amp;ct=offers" TargetMode="External"/><Relationship Id="rId81" Type="http://schemas.openxmlformats.org/officeDocument/2006/relationships/vmlDrawing" Target="../drawings/vmlDrawing1.vml"/><Relationship Id="rId8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  <col min="14" max="14" width="9.140625" outlineLevel="1"/>
    <col min="15" max="15" width="9.140625" outlineLevel="2"/>
    <col min="16" max="16" width="9.140625" outlineLevel="2"/>
    <col min="17" max="17" width="15.7109375" customWidth="1"/>
    <col min="18" max="18" width="15.7109375" customWidth="1" outlineLevel="2"/>
    <col min="19" max="19" width="9.140625" outlineLevel="1"/>
    <col min="20" max="20" width="9.140625" outlineLevel="2"/>
    <col min="21" max="21" width="9.140625" outlineLevel="2"/>
    <col min="22" max="22" width="15.7109375" customWidth="1"/>
    <col min="23" max="23" width="15.7109375" customWidth="1" outlineLevel="2"/>
    <col min="24" max="24" width="9.140625" outlineLevel="1"/>
    <col min="25" max="25" width="9.140625" outlineLevel="2"/>
    <col min="26" max="26" width="9.140625" outlineLevel="2"/>
    <col min="27" max="27" width="15.7109375" customWidth="1"/>
    <col min="28" max="28" width="15.7109375" customWidth="1" outlineLevel="2"/>
  </cols>
  <sheetData>
    <row r="1" spans="1:28">
      <c r="A1" s="2" t="s">
        <v>123</v>
      </c>
      <c r="B1" s="3" t="s">
        <v>124</v>
      </c>
      <c r="G1" s="4" t="s">
        <v>129</v>
      </c>
      <c r="H1" s="4">
        <v>100</v>
      </c>
    </row>
    <row r="2" spans="1:28">
      <c r="A2" s="2" t="s">
        <v>125</v>
      </c>
      <c r="B2" s="3" t="s">
        <v>126</v>
      </c>
      <c r="G2" s="2" t="s">
        <v>131</v>
      </c>
      <c r="H2" s="5">
        <f>TotalCost/BoardQty</f>
        <v>0</v>
      </c>
    </row>
    <row r="3" spans="1:28">
      <c r="A3" s="2" t="s">
        <v>127</v>
      </c>
      <c r="B3" s="3" t="s">
        <v>128</v>
      </c>
      <c r="G3" s="2" t="s">
        <v>130</v>
      </c>
      <c r="H3" s="6">
        <f>SUM(H7:H33)</f>
        <v>0</v>
      </c>
      <c r="L3" s="6">
        <f>SUM(L7:L33)</f>
        <v>0</v>
      </c>
      <c r="M3" s="7">
        <f>(COUNTA(L7:L33)&amp;" of "&amp;ROWS(L7:L33)&amp;" parts found"</f>
        <v>0</v>
      </c>
      <c r="Q3" s="6">
        <f>SUM(Q7:Q33)</f>
        <v>0</v>
      </c>
      <c r="R3" s="7">
        <f>(COUNTA(Q7:Q33)&amp;" of "&amp;ROWS(Q7:Q33)&amp;" parts found"</f>
        <v>0</v>
      </c>
      <c r="V3" s="6">
        <f>SUM(V7:V33)</f>
        <v>0</v>
      </c>
      <c r="W3" s="7">
        <f>(COUNTA(V7:V33)&amp;" of "&amp;ROWS(V7:V33)&amp;" parts found"</f>
        <v>0</v>
      </c>
      <c r="AA3" s="6">
        <f>SUM(AA7:AA33)</f>
        <v>0</v>
      </c>
      <c r="AB3" s="7">
        <f>(COUNTA(AA7:AA33)&amp;" of "&amp;ROWS(AA7:AA33)&amp;" parts found"</f>
        <v>0</v>
      </c>
    </row>
    <row r="4" spans="1:28">
      <c r="A4" s="2" t="s">
        <v>132</v>
      </c>
      <c r="B4" s="3" t="s">
        <v>133</v>
      </c>
    </row>
    <row r="5" spans="1:28">
      <c r="A5" s="8" t="s">
        <v>0</v>
      </c>
      <c r="B5" s="8"/>
      <c r="C5" s="8"/>
      <c r="D5" s="8"/>
      <c r="E5" s="8"/>
      <c r="F5" s="8"/>
      <c r="G5" s="8"/>
      <c r="H5" s="8"/>
      <c r="I5" s="9" t="s">
        <v>134</v>
      </c>
      <c r="J5" s="9"/>
      <c r="K5" s="9"/>
      <c r="L5" s="9"/>
      <c r="M5" s="9"/>
      <c r="N5" s="10" t="s">
        <v>158</v>
      </c>
      <c r="O5" s="10"/>
      <c r="P5" s="10"/>
      <c r="Q5" s="10"/>
      <c r="R5" s="10"/>
      <c r="S5" s="11" t="s">
        <v>171</v>
      </c>
      <c r="T5" s="11"/>
      <c r="U5" s="11"/>
      <c r="V5" s="11"/>
      <c r="W5" s="11"/>
      <c r="X5" s="12" t="s">
        <v>191</v>
      </c>
      <c r="Y5" s="12"/>
      <c r="Z5" s="12"/>
      <c r="AA5" s="12"/>
      <c r="AB5" s="12"/>
    </row>
    <row r="6" spans="1:28">
      <c r="A6" s="13" t="s">
        <v>1</v>
      </c>
      <c r="B6" s="13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135</v>
      </c>
      <c r="J6" s="13" t="s">
        <v>136</v>
      </c>
      <c r="K6" s="13" t="s">
        <v>7</v>
      </c>
      <c r="L6" s="13" t="s">
        <v>8</v>
      </c>
      <c r="M6" s="13" t="s">
        <v>137</v>
      </c>
      <c r="N6" s="13" t="s">
        <v>135</v>
      </c>
      <c r="O6" s="13" t="s">
        <v>136</v>
      </c>
      <c r="P6" s="13" t="s">
        <v>7</v>
      </c>
      <c r="Q6" s="13" t="s">
        <v>8</v>
      </c>
      <c r="R6" s="13" t="s">
        <v>137</v>
      </c>
      <c r="S6" s="13" t="s">
        <v>135</v>
      </c>
      <c r="T6" s="13" t="s">
        <v>136</v>
      </c>
      <c r="U6" s="13" t="s">
        <v>7</v>
      </c>
      <c r="V6" s="13" t="s">
        <v>8</v>
      </c>
      <c r="W6" s="13" t="s">
        <v>137</v>
      </c>
      <c r="X6" s="13" t="s">
        <v>135</v>
      </c>
      <c r="Y6" s="13" t="s">
        <v>136</v>
      </c>
      <c r="Z6" s="13" t="s">
        <v>7</v>
      </c>
      <c r="AA6" s="13" t="s">
        <v>8</v>
      </c>
      <c r="AB6" s="13" t="s">
        <v>137</v>
      </c>
    </row>
    <row r="7" spans="1:28">
      <c r="A7" s="14" t="s">
        <v>9</v>
      </c>
      <c r="B7" s="14" t="s">
        <v>10</v>
      </c>
      <c r="C7" s="14" t="s">
        <v>11</v>
      </c>
      <c r="D7" s="14" t="s">
        <v>12</v>
      </c>
      <c r="E7" s="14" t="s">
        <v>13</v>
      </c>
      <c r="F7" s="14">
        <f>BoardQty*1</f>
        <v>0</v>
      </c>
      <c r="G7" s="15">
        <f>MINA(INDIRECT(ADDRESS(ROW(),COLUMN(digikey_part_data)+2)),INDIRECT(ADDRESS(ROW(),COLUMN(farnell_part_data)+2)),INDIRECT(ADDRESS(ROW(),COLUMN(mouser_part_data)+2)),INDIRECT(ADDRESS(ROW(),COLUMN(rs_part_data)+2)))</f>
        <v>0</v>
      </c>
      <c r="H7" s="15">
        <f>iferror(F7*G7,"")</f>
        <v>0</v>
      </c>
      <c r="I7" s="14">
        <v>7218</v>
      </c>
      <c r="K7" s="15">
        <f>iferror(EUR_USD*lookup(if(J7="",F7,J7),{0,1,10,50,100,500,1000,2000},{0.0,0.65,0.457,0.3454,0.3009,0.22288,0.18944,0.1783}),"")</f>
        <v>0</v>
      </c>
      <c r="L7" s="15">
        <f>iferror(if(J7="",F7,J7)*K7,"")</f>
        <v>0</v>
      </c>
      <c r="M7" s="16" t="s">
        <v>138</v>
      </c>
      <c r="N7" s="14">
        <v>449</v>
      </c>
      <c r="P7" s="15">
        <f>iferror(EUR_GBP*lookup(if(O7="",F7,O7),{0,1,5,50,150,250,500,1000,2000},{0.0,0.391,0.391,0.274,0.274,0.217,0.196,0.164,0.164}),"")</f>
        <v>0</v>
      </c>
      <c r="Q7" s="15">
        <f>iferror(if(O7="",F7,O7)*P7,"")</f>
        <v>0</v>
      </c>
      <c r="R7" s="16" t="s">
        <v>159</v>
      </c>
      <c r="S7" s="14">
        <v>1649</v>
      </c>
      <c r="U7" s="15">
        <f>iferror(EUR_USD*lookup(if(T7="",F7,T7),{0,1,10,50,100,1000,10000},{0.0,1.12,0.791,0.791,0.5,0.41,0.4}),"")</f>
        <v>0</v>
      </c>
      <c r="V7" s="15">
        <f>iferror(if(T7="",F7,T7)*U7,"")</f>
        <v>0</v>
      </c>
      <c r="W7" s="16" t="s">
        <v>172</v>
      </c>
      <c r="X7" s="14">
        <v>1750</v>
      </c>
      <c r="Z7" s="15">
        <f>iferror(EUR_GBP*lookup(if(Y7="",F7,Y7),{0,1,10,250,1000,2000},{0.0,0.385,0.385,0.193,0.166,0.122}),"")</f>
        <v>0</v>
      </c>
      <c r="AA7" s="15">
        <f>iferror(if(Y7="",F7,Y7)*Z7,"")</f>
        <v>0</v>
      </c>
      <c r="AB7" s="16" t="s">
        <v>192</v>
      </c>
    </row>
    <row r="8" spans="1:28">
      <c r="A8" s="14" t="s">
        <v>14</v>
      </c>
      <c r="B8" s="14" t="s">
        <v>15</v>
      </c>
      <c r="C8" s="14" t="s">
        <v>16</v>
      </c>
      <c r="D8" s="14" t="s">
        <v>17</v>
      </c>
      <c r="E8" s="14" t="s">
        <v>18</v>
      </c>
      <c r="F8" s="14">
        <f>BoardQty*1</f>
        <v>0</v>
      </c>
      <c r="G8" s="15">
        <f>MINA(INDIRECT(ADDRESS(ROW(),COLUMN(digikey_part_data)+2)),INDIRECT(ADDRESS(ROW(),COLUMN(farnell_part_data)+2)),INDIRECT(ADDRESS(ROW(),COLUMN(mouser_part_data)+2)),INDIRECT(ADDRESS(ROW(),COLUMN(rs_part_data)+2)))</f>
        <v>0</v>
      </c>
      <c r="H8" s="15">
        <f>iferror(F8*G8,"")</f>
        <v>0</v>
      </c>
      <c r="I8" s="17" t="s">
        <v>140</v>
      </c>
      <c r="K8" s="15">
        <f>iferror(EUR_USD*lookup(if(J8="",F8,J8),{0,1,10,50,100,900},{0.0,1.15,0.909,0.7882,0.6821,0.48502}),"")</f>
        <v>0</v>
      </c>
      <c r="L8" s="15">
        <f>iferror(if(J8="",F8,J8)*K8,"")</f>
        <v>0</v>
      </c>
      <c r="M8" s="16" t="s">
        <v>139</v>
      </c>
      <c r="N8" s="17" t="s">
        <v>140</v>
      </c>
      <c r="P8" s="15">
        <f>iferror(EUR_GBP*lookup(if(O8="",F8,O8),{0,1,900,4500},{0.0,0.456,0.456,0.378}),"")</f>
        <v>0</v>
      </c>
      <c r="Q8" s="15">
        <f>iferror(if(O8="",F8,O8)*P8,"")</f>
        <v>0</v>
      </c>
      <c r="R8" s="16" t="s">
        <v>160</v>
      </c>
      <c r="S8" s="17" t="s">
        <v>140</v>
      </c>
      <c r="U8" s="15">
        <f>iferror(EUR_USD*lookup(if(T8="",F8,T8),{0,1,10,50,100,1000,10000},{0.0,1.0,0.685,0.685,0.527,0.421,0.421}),"")</f>
        <v>0</v>
      </c>
      <c r="V8" s="15">
        <f>iferror(if(T8="",F8,T8)*U8,"")</f>
        <v>0</v>
      </c>
      <c r="W8" s="16" t="s">
        <v>173</v>
      </c>
    </row>
    <row r="9" spans="1:28">
      <c r="A9" s="14" t="s">
        <v>19</v>
      </c>
      <c r="B9" s="14" t="s">
        <v>20</v>
      </c>
      <c r="C9" s="14" t="s">
        <v>11</v>
      </c>
      <c r="D9" s="14" t="s">
        <v>21</v>
      </c>
      <c r="E9" s="14" t="s">
        <v>22</v>
      </c>
      <c r="F9" s="14">
        <f>BoardQty*1</f>
        <v>0</v>
      </c>
      <c r="G9" s="15">
        <f>MINA(INDIRECT(ADDRESS(ROW(),COLUMN(digikey_part_data)+2)),INDIRECT(ADDRESS(ROW(),COLUMN(farnell_part_data)+2)),INDIRECT(ADDRESS(ROW(),COLUMN(mouser_part_data)+2)),INDIRECT(ADDRESS(ROW(),COLUMN(rs_part_data)+2)))</f>
        <v>0</v>
      </c>
      <c r="H9" s="15">
        <f>iferror(F9*G9,"")</f>
        <v>0</v>
      </c>
      <c r="I9" s="17" t="s">
        <v>140</v>
      </c>
      <c r="K9" s="15">
        <f>iferror(EUR_USD*lookup(if(J9="",F9,J9),{0,1,10,50,100,500,1000,2000},{0.0,1.08,0.822,0.6832,0.5882,0.4554,0.39215,0.3335}),"")</f>
        <v>0</v>
      </c>
      <c r="L9" s="15">
        <f>iferror(if(J9="",F9,J9)*K9,"")</f>
        <v>0</v>
      </c>
      <c r="M9" s="16" t="s">
        <v>141</v>
      </c>
      <c r="N9" s="14">
        <v>1264</v>
      </c>
      <c r="P9" s="15">
        <f>iferror(EUR_GBP*lookup(if(O9="",F9,O9),{0,1,5,10,50,250,500,1000,2000,10000},{0.0,0.653,0.653,0.653,0.441,0.391,0.341,0.3,0.291,0.285}),"")</f>
        <v>0</v>
      </c>
      <c r="Q9" s="15">
        <f>iferror(if(O9="",F9,O9)*P9,"")</f>
        <v>0</v>
      </c>
      <c r="R9" s="16" t="s">
        <v>161</v>
      </c>
      <c r="S9" s="17" t="s">
        <v>140</v>
      </c>
      <c r="U9" s="15">
        <f>iferror(EUR_USD*lookup(if(T9="",F9,T9),{0,1,10,50,100,1000,10000},{0.0,1.03,0.652,0.652,0.561,0.435,0.435}),"")</f>
        <v>0</v>
      </c>
      <c r="V9" s="15">
        <f>iferror(if(T9="",F9,T9)*U9,"")</f>
        <v>0</v>
      </c>
      <c r="W9" s="16" t="s">
        <v>174</v>
      </c>
      <c r="X9" s="14">
        <v>845</v>
      </c>
      <c r="Z9" s="15">
        <f>iferror(EUR_GBP*lookup(if(Y9="",F9,Y9),{0,1,5,25,100,250,500},{0.0,1.056,1.056,0.982,0.866,0.718,0.592}),"")</f>
        <v>0</v>
      </c>
      <c r="AA9" s="15">
        <f>iferror(if(Y9="",F9,Y9)*Z9,"")</f>
        <v>0</v>
      </c>
      <c r="AB9" s="16" t="s">
        <v>193</v>
      </c>
    </row>
    <row r="10" spans="1:28">
      <c r="A10" s="14" t="s">
        <v>23</v>
      </c>
      <c r="B10" s="14" t="s">
        <v>24</v>
      </c>
      <c r="C10" s="14" t="s">
        <v>25</v>
      </c>
      <c r="D10" s="14" t="s">
        <v>21</v>
      </c>
      <c r="E10" s="14" t="s">
        <v>26</v>
      </c>
      <c r="F10" s="14">
        <f>BoardQty*1</f>
        <v>0</v>
      </c>
      <c r="G10" s="15">
        <f>MINA(INDIRECT(ADDRESS(ROW(),COLUMN(digikey_part_data)+2)),INDIRECT(ADDRESS(ROW(),COLUMN(farnell_part_data)+2)),INDIRECT(ADDRESS(ROW(),COLUMN(mouser_part_data)+2)),INDIRECT(ADDRESS(ROW(),COLUMN(rs_part_data)+2)))</f>
        <v>0</v>
      </c>
      <c r="H10" s="15">
        <f>iferror(F10*G10,"")</f>
        <v>0</v>
      </c>
      <c r="I10" s="14">
        <v>286099</v>
      </c>
      <c r="K10" s="15">
        <f>iferror(EUR_USD*lookup(if(J10="",F10,J10),{0,1,10,50,100,500,1000,2500,5000,10000},{0.0,0.14,0.102,0.0578,0.0478,0.03356,0.02778,0.02585,0.02365,0.022}),"")</f>
        <v>0</v>
      </c>
      <c r="L10" s="15">
        <f>iferror(if(J10="",F10,J10)*K10,"")</f>
        <v>0</v>
      </c>
      <c r="M10" s="16" t="s">
        <v>142</v>
      </c>
      <c r="N10" s="14">
        <v>780000</v>
      </c>
      <c r="P10" s="15">
        <f>iferror(EUR_GBP*lookup(if(O10="",F10,O10),{0,1,10,100,150,500,2500,5000,10000,50000},{0.0,0.0556,0.0556,0.0453,0.0453,0.0209,0.0157,0.0155,0.014,0.013}),"")</f>
        <v>0</v>
      </c>
      <c r="Q10" s="15">
        <f>iferror(if(O10="",F10,O10)*P10,"")</f>
        <v>0</v>
      </c>
      <c r="R10" s="16" t="s">
        <v>162</v>
      </c>
      <c r="S10" s="14">
        <v>55246</v>
      </c>
      <c r="U10" s="15">
        <f>iferror(EUR_USD*lookup(if(T10="",F10,T10),{0,1,10,50,100,1000,10000},{0.0,0.14,0.058,0.058,0.048,0.028,0.022}),"")</f>
        <v>0</v>
      </c>
      <c r="V10" s="15">
        <f>iferror(if(T10="",F10,T10)*U10,"")</f>
        <v>0</v>
      </c>
      <c r="W10" s="16" t="s">
        <v>175</v>
      </c>
      <c r="X10" s="14">
        <v>92400</v>
      </c>
      <c r="Z10" s="15">
        <f>iferror(EUR_GBP*lookup(if(Y10="",F10,Y10),{0,1,100,200,500,1000,2000},{0.0,0.034,0.034,0.032,0.028,0.025,0.021}),"")</f>
        <v>0</v>
      </c>
      <c r="AA10" s="15">
        <f>iferror(if(Y10="",F10,Y10)*Z10,"")</f>
        <v>0</v>
      </c>
      <c r="AB10" s="16" t="s">
        <v>194</v>
      </c>
    </row>
    <row r="11" spans="1:28">
      <c r="A11" s="14" t="s">
        <v>27</v>
      </c>
      <c r="B11" s="14" t="s">
        <v>28</v>
      </c>
      <c r="C11" s="14" t="s">
        <v>29</v>
      </c>
      <c r="D11" s="14" t="s">
        <v>30</v>
      </c>
      <c r="E11" s="14" t="s">
        <v>31</v>
      </c>
      <c r="F11" s="14">
        <f>BoardQty*2</f>
        <v>0</v>
      </c>
      <c r="G11" s="15">
        <f>MINA(INDIRECT(ADDRESS(ROW(),COLUMN(digikey_part_data)+2)),INDIRECT(ADDRESS(ROW(),COLUMN(farnell_part_data)+2)),INDIRECT(ADDRESS(ROW(),COLUMN(mouser_part_data)+2)),INDIRECT(ADDRESS(ROW(),COLUMN(rs_part_data)+2)))</f>
        <v>0</v>
      </c>
      <c r="H11" s="15">
        <f>iferror(F11*G11,"")</f>
        <v>0</v>
      </c>
      <c r="I11" s="17" t="s">
        <v>140</v>
      </c>
      <c r="K11" s="15">
        <f>iferror(EUR_USD*lookup(if(J11="",F11,J11),{0,1,10,50,100,500,1000,4000},{0.0,0.49,0.347,0.2622,0.2284,0.16916,0.14379,0.12688}),"")</f>
        <v>0</v>
      </c>
      <c r="L11" s="15">
        <f>iferror(if(J11="",F11,J11)*K11,"")</f>
        <v>0</v>
      </c>
      <c r="M11" s="16" t="s">
        <v>143</v>
      </c>
      <c r="S11" s="17" t="s">
        <v>140</v>
      </c>
      <c r="U11" s="15">
        <f>iferror(EUR_USD*lookup(if(T11="",F11,T11),{0,1,10,50,100,1000,10000},{0.0,0.5,0.268,0.268,0.233,0.149,0.115}),"")</f>
        <v>0</v>
      </c>
      <c r="V11" s="15">
        <f>iferror(if(T11="",F11,T11)*U11,"")</f>
        <v>0</v>
      </c>
      <c r="W11" s="16" t="s">
        <v>176</v>
      </c>
    </row>
    <row r="12" spans="1:28">
      <c r="A12" s="14" t="s">
        <v>32</v>
      </c>
      <c r="B12" s="14" t="s">
        <v>33</v>
      </c>
      <c r="C12" s="14" t="s">
        <v>25</v>
      </c>
      <c r="D12" s="14" t="s">
        <v>34</v>
      </c>
      <c r="E12" s="14" t="s">
        <v>35</v>
      </c>
      <c r="F12" s="14">
        <f>BoardQty*1</f>
        <v>0</v>
      </c>
      <c r="G12" s="15">
        <f>MINA(INDIRECT(ADDRESS(ROW(),COLUMN(digikey_part_data)+2)),INDIRECT(ADDRESS(ROW(),COLUMN(farnell_part_data)+2)),INDIRECT(ADDRESS(ROW(),COLUMN(mouser_part_data)+2)),INDIRECT(ADDRESS(ROW(),COLUMN(rs_part_data)+2)))</f>
        <v>0</v>
      </c>
      <c r="H12" s="15">
        <f>iferror(F12*G12,"")</f>
        <v>0</v>
      </c>
      <c r="I12" s="14">
        <v>14539429</v>
      </c>
      <c r="K12" s="15">
        <f>iferror(EUR_USD*lookup(if(J12="",F12,J12),{0,1,10,50,100,500,1000,2500,5000,10000},{0.0,0.1,0.029,0.0158,0.0129,0.00924,0.00726,0.0066,0.00607,0.00504}),"")</f>
        <v>0</v>
      </c>
      <c r="L12" s="15">
        <f>iferror(if(J12="",F12,J12)*K12,"")</f>
        <v>0</v>
      </c>
      <c r="M12" s="16" t="s">
        <v>144</v>
      </c>
      <c r="N12" s="14">
        <v>898882</v>
      </c>
      <c r="P12" s="15">
        <f>iferror(EUR_GBP*lookup(if(O12="",F12,O12),{0,1,10,100,150,500,2500,5000,10000,50000},{0.0,0.021,0.021,0.0171,0.0171,0.0088,0.0074,0.0063,0.0034,0.003}),"")</f>
        <v>0</v>
      </c>
      <c r="Q12" s="15">
        <f>iferror(if(O12="",F12,O12)*P12,"")</f>
        <v>0</v>
      </c>
      <c r="R12" s="16" t="s">
        <v>163</v>
      </c>
      <c r="S12" s="14">
        <v>5566988</v>
      </c>
      <c r="U12" s="15">
        <f>iferror(EUR_USD*lookup(if(T12="",F12,T12),{0,1,10,50,100,1000,10000},{0.0,0.1,0.05,0.05,0.018,0.01,0.007}),"")</f>
        <v>0</v>
      </c>
      <c r="V12" s="15">
        <f>iferror(if(T12="",F12,T12)*U12,"")</f>
        <v>0</v>
      </c>
      <c r="W12" s="16" t="s">
        <v>177</v>
      </c>
      <c r="X12" s="14">
        <v>13000</v>
      </c>
      <c r="Z12" s="15">
        <f>iferror(EUR_GBP*lookup(if(Y12="",F12,Y12),{0,1,200,2000,4000,10000,20000},{0.0,0.014,0.014,0.007,0.007,0.006,0.006}),"")</f>
        <v>0</v>
      </c>
      <c r="AA12" s="15">
        <f>iferror(if(Y12="",F12,Y12)*Z12,"")</f>
        <v>0</v>
      </c>
      <c r="AB12" s="16" t="s">
        <v>195</v>
      </c>
    </row>
    <row r="13" spans="1:28">
      <c r="A13" s="14" t="s">
        <v>36</v>
      </c>
      <c r="B13" s="14" t="s">
        <v>24</v>
      </c>
      <c r="C13" s="14" t="s">
        <v>29</v>
      </c>
      <c r="D13" s="14" t="s">
        <v>21</v>
      </c>
      <c r="E13" s="14" t="s">
        <v>37</v>
      </c>
      <c r="F13" s="14">
        <f>BoardQty*2</f>
        <v>0</v>
      </c>
      <c r="G13" s="15">
        <f>MINA(INDIRECT(ADDRESS(ROW(),COLUMN(digikey_part_data)+2)),INDIRECT(ADDRESS(ROW(),COLUMN(farnell_part_data)+2)),INDIRECT(ADDRESS(ROW(),COLUMN(mouser_part_data)+2)),INDIRECT(ADDRESS(ROW(),COLUMN(rs_part_data)+2)))</f>
        <v>0</v>
      </c>
      <c r="H13" s="15">
        <f>iferror(F13*G13,"")</f>
        <v>0</v>
      </c>
      <c r="I13" s="14">
        <v>3073674</v>
      </c>
      <c r="K13" s="15">
        <f>iferror(EUR_USD*lookup(if(J13="",F13,J13),{0,1,10,50,100,500,1000,4000},{0.0,0.1,0.073,0.0396,0.0323,0.0231,0.01815,0.0138}),"")</f>
        <v>0</v>
      </c>
      <c r="L13" s="15">
        <f>iferror(if(J13="",F13,J13)*K13,"")</f>
        <v>0</v>
      </c>
      <c r="M13" s="16" t="s">
        <v>145</v>
      </c>
      <c r="N13" s="14">
        <v>1564000</v>
      </c>
      <c r="P13" s="15">
        <f>iferror(EUR_GBP*lookup(if(O13="",F13,O13),{0,1,10,100,150,500,1000,2000,4000,20000},{0.0,0.0383,0.0383,0.0288,0.0288,0.0208,0.0156,0.0153,0.0146,0.0115}),"")</f>
        <v>0</v>
      </c>
      <c r="Q13" s="15">
        <f>iferror(if(O13="",F13,O13)*P13,"")</f>
        <v>0</v>
      </c>
      <c r="R13" s="16" t="s">
        <v>164</v>
      </c>
      <c r="S13" s="14">
        <v>2496616</v>
      </c>
      <c r="U13" s="15">
        <f>iferror(EUR_USD*lookup(if(T13="",F13,T13),{0,1,10,50,100,1000,10000},{0.0,0.1,0.038,0.038,0.028,0.018,0.012}),"")</f>
        <v>0</v>
      </c>
      <c r="V13" s="15">
        <f>iferror(if(T13="",F13,T13)*U13,"")</f>
        <v>0</v>
      </c>
      <c r="W13" s="16" t="s">
        <v>178</v>
      </c>
      <c r="X13" s="14">
        <v>322400</v>
      </c>
      <c r="Z13" s="15">
        <f>iferror(EUR_GBP*lookup(if(Y13="",F13,Y13),{0,1,50,800,2000,4000,12000},{0.0,0.039,0.039,0.015,0.01,0.02,0.019}),"")</f>
        <v>0</v>
      </c>
      <c r="AA13" s="15">
        <f>iferror(if(Y13="",F13,Y13)*Z13,"")</f>
        <v>0</v>
      </c>
      <c r="AB13" s="16" t="s">
        <v>196</v>
      </c>
    </row>
    <row r="14" spans="1:28">
      <c r="A14" s="14" t="s">
        <v>38</v>
      </c>
      <c r="B14" s="14" t="s">
        <v>39</v>
      </c>
      <c r="C14" s="14" t="s">
        <v>40</v>
      </c>
      <c r="D14" s="14" t="s">
        <v>41</v>
      </c>
      <c r="E14" s="14" t="s">
        <v>42</v>
      </c>
      <c r="F14" s="14">
        <f>BoardQty*1</f>
        <v>0</v>
      </c>
      <c r="G14" s="15">
        <f>MINA(INDIRECT(ADDRESS(ROW(),COLUMN(digikey_part_data)+2)),INDIRECT(ADDRESS(ROW(),COLUMN(farnell_part_data)+2)),INDIRECT(ADDRESS(ROW(),COLUMN(mouser_part_data)+2)),INDIRECT(ADDRESS(ROW(),COLUMN(rs_part_data)+2)))</f>
        <v>0</v>
      </c>
      <c r="H14" s="15">
        <f>iferror(F14*G14,"")</f>
        <v>0</v>
      </c>
    </row>
    <row r="15" spans="1:28">
      <c r="A15" s="14" t="s">
        <v>43</v>
      </c>
      <c r="B15" s="14" t="s">
        <v>44</v>
      </c>
      <c r="C15" s="14" t="s">
        <v>40</v>
      </c>
      <c r="D15" s="14" t="s">
        <v>45</v>
      </c>
      <c r="E15" s="14" t="s">
        <v>46</v>
      </c>
      <c r="F15" s="14">
        <f>BoardQty*1</f>
        <v>0</v>
      </c>
      <c r="G15" s="15">
        <f>MINA(INDIRECT(ADDRESS(ROW(),COLUMN(digikey_part_data)+2)),INDIRECT(ADDRESS(ROW(),COLUMN(farnell_part_data)+2)),INDIRECT(ADDRESS(ROW(),COLUMN(mouser_part_data)+2)),INDIRECT(ADDRESS(ROW(),COLUMN(rs_part_data)+2)))</f>
        <v>0</v>
      </c>
      <c r="H15" s="15">
        <f>iferror(F15*G15,"")</f>
        <v>0</v>
      </c>
    </row>
    <row r="16" spans="1:28">
      <c r="A16" s="14" t="s">
        <v>47</v>
      </c>
      <c r="B16" s="14" t="s">
        <v>48</v>
      </c>
      <c r="C16" s="14" t="s">
        <v>40</v>
      </c>
      <c r="D16" s="14" t="s">
        <v>45</v>
      </c>
      <c r="E16" s="14" t="s">
        <v>49</v>
      </c>
      <c r="F16" s="14">
        <f>BoardQty*1</f>
        <v>0</v>
      </c>
      <c r="G16" s="15">
        <f>MINA(INDIRECT(ADDRESS(ROW(),COLUMN(digikey_part_data)+2)),INDIRECT(ADDRESS(ROW(),COLUMN(farnell_part_data)+2)),INDIRECT(ADDRESS(ROW(),COLUMN(mouser_part_data)+2)),INDIRECT(ADDRESS(ROW(),COLUMN(rs_part_data)+2)))</f>
        <v>0</v>
      </c>
      <c r="H16" s="15">
        <f>iferror(F16*G16,"")</f>
        <v>0</v>
      </c>
    </row>
    <row r="17" spans="1:28">
      <c r="A17" s="14" t="s">
        <v>50</v>
      </c>
      <c r="B17" s="14" t="s">
        <v>51</v>
      </c>
      <c r="C17" s="14" t="s">
        <v>40</v>
      </c>
      <c r="D17" s="14" t="s">
        <v>52</v>
      </c>
      <c r="E17" s="14" t="s">
        <v>53</v>
      </c>
      <c r="F17" s="14">
        <f>BoardQty*1</f>
        <v>0</v>
      </c>
      <c r="G17" s="15">
        <f>MINA(INDIRECT(ADDRESS(ROW(),COLUMN(digikey_part_data)+2)),INDIRECT(ADDRESS(ROW(),COLUMN(farnell_part_data)+2)),INDIRECT(ADDRESS(ROW(),COLUMN(mouser_part_data)+2)),INDIRECT(ADDRESS(ROW(),COLUMN(rs_part_data)+2)))</f>
        <v>0</v>
      </c>
      <c r="H17" s="15">
        <f>iferror(F17*G17,"")</f>
        <v>0</v>
      </c>
      <c r="N17" s="14">
        <v>1703</v>
      </c>
      <c r="P17" s="15">
        <f>iferror(EUR_GBP*lookup(if(O17="",F17,O17),{0,1,5,50,100,150,500,1000,2000},{0.0,0.136,0.136,0.108,0.104,0.104,0.0885,0.0771,0.0766}),"")</f>
        <v>0</v>
      </c>
      <c r="Q17" s="15">
        <f>iferror(if(O17="",F17,O17)*P17,"")</f>
        <v>0</v>
      </c>
      <c r="R17" s="16" t="s">
        <v>165</v>
      </c>
      <c r="X17" s="14">
        <v>9440</v>
      </c>
      <c r="Z17" s="15">
        <f>iferror(EUR_GBP*lookup(if(Y17="",F17,Y17),{0,1,40,200,800,2000,4000},{0.0,0.134,0.134,0.081,0.072,0.053,0.051}),"")</f>
        <v>0</v>
      </c>
      <c r="AA17" s="15">
        <f>iferror(if(Y17="",F17,Y17)*Z17,"")</f>
        <v>0</v>
      </c>
      <c r="AB17" s="16" t="s">
        <v>197</v>
      </c>
    </row>
    <row r="18" spans="1:28">
      <c r="A18" s="14" t="s">
        <v>54</v>
      </c>
      <c r="B18" s="14" t="s">
        <v>55</v>
      </c>
      <c r="C18" s="14" t="s">
        <v>56</v>
      </c>
      <c r="D18" s="14" t="s">
        <v>57</v>
      </c>
      <c r="E18" s="14" t="s">
        <v>58</v>
      </c>
      <c r="F18" s="14">
        <f>BoardQty*1</f>
        <v>0</v>
      </c>
      <c r="G18" s="15">
        <f>MINA(INDIRECT(ADDRESS(ROW(),COLUMN(digikey_part_data)+2)),INDIRECT(ADDRESS(ROW(),COLUMN(farnell_part_data)+2)),INDIRECT(ADDRESS(ROW(),COLUMN(mouser_part_data)+2)),INDIRECT(ADDRESS(ROW(),COLUMN(rs_part_data)+2)))</f>
        <v>0</v>
      </c>
      <c r="H18" s="15">
        <f>iferror(F18*G18,"")</f>
        <v>0</v>
      </c>
    </row>
    <row r="19" spans="1:28">
      <c r="A19" s="14" t="s">
        <v>59</v>
      </c>
      <c r="B19" s="14" t="s">
        <v>60</v>
      </c>
      <c r="C19" s="14" t="s">
        <v>61</v>
      </c>
      <c r="D19" s="14" t="s">
        <v>62</v>
      </c>
      <c r="E19" s="14" t="s">
        <v>63</v>
      </c>
      <c r="F19" s="14">
        <f>BoardQty*1</f>
        <v>0</v>
      </c>
      <c r="G19" s="15">
        <f>MINA(INDIRECT(ADDRESS(ROW(),COLUMN(digikey_part_data)+2)),INDIRECT(ADDRESS(ROW(),COLUMN(farnell_part_data)+2)),INDIRECT(ADDRESS(ROW(),COLUMN(mouser_part_data)+2)),INDIRECT(ADDRESS(ROW(),COLUMN(rs_part_data)+2)))</f>
        <v>0</v>
      </c>
      <c r="H19" s="15">
        <f>iferror(F19*G19,"")</f>
        <v>0</v>
      </c>
      <c r="I19" s="14">
        <v>9350</v>
      </c>
      <c r="K19" s="15">
        <f>iferror(EUR_USD*lookup(if(J19="",F19,J19),{0,1,5,10,50,100,250,500,1000,5000,10000},{0.0,1.44,1.396,1.305,1.08,0.9,0.87752,0.7425,0.6525,0.5985,0.5985}),"")</f>
        <v>0</v>
      </c>
      <c r="L19" s="15">
        <f>iferror(if(J19="",F19,J19)*K19,"")</f>
        <v>0</v>
      </c>
      <c r="M19" s="16" t="s">
        <v>146</v>
      </c>
      <c r="N19" s="14">
        <v>1000</v>
      </c>
      <c r="P19" s="15">
        <f>iferror(EUR_GBP*lookup(if(O19="",F19,O19),{0,1,10,100,500,2500,5000,10000,50000},{0.0,1.35,1.35,1.06,0.988,0.928,0.909,0.891,0.875}),"")</f>
        <v>0</v>
      </c>
      <c r="Q19" s="15">
        <f>iferror(if(O19="",F19,O19)*P19,"")</f>
        <v>0</v>
      </c>
      <c r="R19" s="16" t="s">
        <v>166</v>
      </c>
      <c r="S19" s="14">
        <v>9939</v>
      </c>
      <c r="U19" s="15">
        <f>iferror(EUR_USD*lookup(if(T19="",F19,T19),{0,1,10,50,100,1000,10000},{0.0,1.4,1.31,1.08,1.01,0.925,0.918}),"")</f>
        <v>0</v>
      </c>
      <c r="V19" s="15">
        <f>iferror(if(T19="",F19,T19)*U19,"")</f>
        <v>0</v>
      </c>
      <c r="W19" s="16" t="s">
        <v>179</v>
      </c>
    </row>
    <row r="20" spans="1:28">
      <c r="A20" s="14" t="s">
        <v>64</v>
      </c>
      <c r="B20" s="14" t="s">
        <v>65</v>
      </c>
      <c r="C20" s="14" t="s">
        <v>66</v>
      </c>
      <c r="D20" s="14" t="s">
        <v>67</v>
      </c>
      <c r="E20" s="14" t="s">
        <v>68</v>
      </c>
      <c r="F20" s="14">
        <f>BoardQty*1</f>
        <v>0</v>
      </c>
      <c r="G20" s="15">
        <f>MINA(INDIRECT(ADDRESS(ROW(),COLUMN(digikey_part_data)+2)),INDIRECT(ADDRESS(ROW(),COLUMN(farnell_part_data)+2)),INDIRECT(ADDRESS(ROW(),COLUMN(mouser_part_data)+2)),INDIRECT(ADDRESS(ROW(),COLUMN(rs_part_data)+2)))</f>
        <v>0</v>
      </c>
      <c r="H20" s="15">
        <f>iferror(F20*G20,"")</f>
        <v>0</v>
      </c>
      <c r="I20" s="14">
        <v>1225</v>
      </c>
      <c r="K20" s="15">
        <f>iferror(EUR_USD*lookup(if(J20="",F20,J20),{0,1,10,100,500,1000,5000,10000},{0.0,0.73,0.644,0.5555,0.4545,0.404,0.3535,0.33583}),"")</f>
        <v>0</v>
      </c>
      <c r="L20" s="15">
        <f>iferror(if(J20="",F20,J20)*K20,"")</f>
        <v>0</v>
      </c>
      <c r="M20" s="16" t="s">
        <v>147</v>
      </c>
      <c r="N20" s="14">
        <v>49</v>
      </c>
      <c r="P20" s="15">
        <f>iferror(EUR_GBP*lookup(if(O20="",F20,O20),{0,1,10,100,500,1000,2500,5000},{0.0,0.337,0.337,0.261,0.234,0.208,0.204,0.2}),"")</f>
        <v>0</v>
      </c>
      <c r="Q20" s="15">
        <f>iferror(if(O20="",F20,O20)*P20,"")</f>
        <v>0</v>
      </c>
      <c r="R20" s="16" t="s">
        <v>167</v>
      </c>
      <c r="S20" s="14">
        <v>1000</v>
      </c>
      <c r="U20" s="15">
        <f>iferror(EUR_USD*lookup(if(T20="",F20,T20),{0,1,10,50,100,1000,10000},{0.0,0.64,0.599,0.599,0.459,0.329,0.269}),"")</f>
        <v>0</v>
      </c>
      <c r="V20" s="15">
        <f>iferror(if(T20="",F20,T20)*U20,"")</f>
        <v>0</v>
      </c>
      <c r="W20" s="16" t="s">
        <v>180</v>
      </c>
      <c r="X20" s="14">
        <v>177</v>
      </c>
      <c r="Z20" s="15">
        <f>iferror(EUR_GBP*lookup(if(Y20="",F20,Y20),{0,1,1000},{0.0,0.214,0.214}),"")</f>
        <v>0</v>
      </c>
      <c r="AA20" s="15">
        <f>iferror(if(Y20="",F20,Y20)*Z20,"")</f>
        <v>0</v>
      </c>
      <c r="AB20" s="16" t="s">
        <v>198</v>
      </c>
    </row>
    <row r="21" spans="1:28">
      <c r="A21" s="14" t="s">
        <v>69</v>
      </c>
      <c r="B21" s="14" t="s">
        <v>70</v>
      </c>
      <c r="C21" s="14" t="s">
        <v>71</v>
      </c>
      <c r="D21" s="14" t="s">
        <v>67</v>
      </c>
      <c r="E21" s="14" t="s">
        <v>72</v>
      </c>
      <c r="F21" s="14">
        <f>BoardQty*1</f>
        <v>0</v>
      </c>
      <c r="G21" s="15">
        <f>MINA(INDIRECT(ADDRESS(ROW(),COLUMN(digikey_part_data)+2)),INDIRECT(ADDRESS(ROW(),COLUMN(farnell_part_data)+2)),INDIRECT(ADDRESS(ROW(),COLUMN(mouser_part_data)+2)),INDIRECT(ADDRESS(ROW(),COLUMN(rs_part_data)+2)))</f>
        <v>0</v>
      </c>
      <c r="H21" s="15">
        <f>iferror(F21*G21,"")</f>
        <v>0</v>
      </c>
      <c r="I21" s="14">
        <v>2621</v>
      </c>
      <c r="K21" s="15">
        <f>iferror(EUR_USD*lookup(if(J21="",F21,J21),{0,1,10,100,500,1000,5000,10000},{0.0,0.55,0.515,0.3949,0.3434,0.2833,0.24896,0.2318}),"")</f>
        <v>0</v>
      </c>
      <c r="L21" s="15">
        <f>iferror(if(J21="",F21,J21)*K21,"")</f>
        <v>0</v>
      </c>
      <c r="M21" s="16" t="s">
        <v>148</v>
      </c>
      <c r="N21" s="14">
        <v>202</v>
      </c>
      <c r="P21" s="15">
        <f>iferror(EUR_GBP*lookup(if(O21="",F21,O21),{0,1,10,100,500,1000,2500,5000},{0.0,0.239,0.239,0.191,0.182,0.152,0.141,0.13}),"")</f>
        <v>0</v>
      </c>
      <c r="Q21" s="15">
        <f>iferror(if(O21="",F21,O21)*P21,"")</f>
        <v>0</v>
      </c>
      <c r="R21" s="16" t="s">
        <v>168</v>
      </c>
      <c r="S21" s="14">
        <v>3736</v>
      </c>
      <c r="U21" s="15">
        <f>iferror(EUR_USD*lookup(if(T21="",F21,T21),{0,1,10,50,100,1000,10000},{0.0,0.42,0.389,0.389,0.298,0.214,0.175}),"")</f>
        <v>0</v>
      </c>
      <c r="V21" s="15">
        <f>iferror(if(T21="",F21,T21)*U21,"")</f>
        <v>0</v>
      </c>
      <c r="W21" s="16" t="s">
        <v>181</v>
      </c>
      <c r="X21" s="14">
        <v>55</v>
      </c>
      <c r="Z21" s="15">
        <f>iferror(EUR_GBP*lookup(if(Y21="",F21,Y21),{0,1,1000},{0.0,0.161,0.161}),"")</f>
        <v>0</v>
      </c>
      <c r="AA21" s="15">
        <f>iferror(if(Y21="",F21,Y21)*Z21,"")</f>
        <v>0</v>
      </c>
      <c r="AB21" s="16" t="s">
        <v>199</v>
      </c>
    </row>
    <row r="22" spans="1:28">
      <c r="A22" s="14" t="s">
        <v>73</v>
      </c>
      <c r="B22" s="14" t="s">
        <v>74</v>
      </c>
      <c r="C22" s="14" t="s">
        <v>75</v>
      </c>
      <c r="D22" s="14" t="s">
        <v>76</v>
      </c>
      <c r="E22" s="14" t="s">
        <v>77</v>
      </c>
      <c r="F22" s="14">
        <f>BoardQty*1</f>
        <v>0</v>
      </c>
      <c r="G22" s="15">
        <f>MINA(INDIRECT(ADDRESS(ROW(),COLUMN(digikey_part_data)+2)),INDIRECT(ADDRESS(ROW(),COLUMN(farnell_part_data)+2)),INDIRECT(ADDRESS(ROW(),COLUMN(mouser_part_data)+2)),INDIRECT(ADDRESS(ROW(),COLUMN(rs_part_data)+2)))</f>
        <v>0</v>
      </c>
      <c r="H22" s="15">
        <f>iferror(F22*G22,"")</f>
        <v>0</v>
      </c>
    </row>
    <row r="23" spans="1:28">
      <c r="A23" s="14" t="s">
        <v>78</v>
      </c>
      <c r="B23" s="14" t="s">
        <v>79</v>
      </c>
      <c r="C23" s="14" t="s">
        <v>80</v>
      </c>
      <c r="D23" s="14" t="s">
        <v>67</v>
      </c>
      <c r="E23" s="14" t="s">
        <v>81</v>
      </c>
      <c r="F23" s="14">
        <f>BoardQty*1</f>
        <v>0</v>
      </c>
      <c r="G23" s="15">
        <f>MINA(INDIRECT(ADDRESS(ROW(),COLUMN(digikey_part_data)+2)),INDIRECT(ADDRESS(ROW(),COLUMN(farnell_part_data)+2)),INDIRECT(ADDRESS(ROW(),COLUMN(mouser_part_data)+2)),INDIRECT(ADDRESS(ROW(),COLUMN(rs_part_data)+2)))</f>
        <v>0</v>
      </c>
      <c r="H23" s="15">
        <f>iferror(F23*G23,"")</f>
        <v>0</v>
      </c>
      <c r="I23" s="14">
        <v>80</v>
      </c>
      <c r="K23" s="15">
        <f>iferror(EUR_USD*lookup(if(J23="",F23,J23),{0,1,10,100,500,1000,5000},{0.0,2.32,2.103,1.8028,1.50238,1.28775,1.1418}),"")</f>
        <v>0</v>
      </c>
      <c r="L23" s="15">
        <f>iferror(if(J23="",F23,J23)*K23,"")</f>
        <v>0</v>
      </c>
      <c r="M23" s="16" t="s">
        <v>149</v>
      </c>
      <c r="S23" s="14">
        <v>137</v>
      </c>
      <c r="U23" s="15">
        <f>iferror(EUR_USD*lookup(if(T23="",F23,T23),{0,1,10,50,100,1000,10000},{0.0,2.29,2.08,2.08,1.78,1.27,1.13}),"")</f>
        <v>0</v>
      </c>
      <c r="V23" s="15">
        <f>iferror(if(T23="",F23,T23)*U23,"")</f>
        <v>0</v>
      </c>
      <c r="W23" s="16" t="s">
        <v>182</v>
      </c>
    </row>
    <row r="24" spans="1:28">
      <c r="A24" s="14" t="s">
        <v>82</v>
      </c>
      <c r="B24" s="14" t="s">
        <v>83</v>
      </c>
      <c r="C24" s="14" t="s">
        <v>84</v>
      </c>
      <c r="D24" s="14" t="s">
        <v>85</v>
      </c>
      <c r="E24" s="14" t="s">
        <v>84</v>
      </c>
      <c r="F24" s="14">
        <f>BoardQty*1</f>
        <v>0</v>
      </c>
      <c r="G24" s="15">
        <f>MINA(INDIRECT(ADDRESS(ROW(),COLUMN(digikey_part_data)+2)),INDIRECT(ADDRESS(ROW(),COLUMN(farnell_part_data)+2)),INDIRECT(ADDRESS(ROW(),COLUMN(mouser_part_data)+2)),INDIRECT(ADDRESS(ROW(),COLUMN(rs_part_data)+2)))</f>
        <v>0</v>
      </c>
      <c r="H24" s="15">
        <f>iferror(F24*G24,"")</f>
        <v>0</v>
      </c>
      <c r="I24" s="14">
        <v>750</v>
      </c>
      <c r="K24" s="15">
        <f>iferror(EUR_USD*lookup(if(J24="",F24,J24),{0,1,10,25,50,100,250,500,1000,5000},{0.0,2.21,1.673,1.5504,1.394,1.36,1.19,1.088,0.986,0.867}),"")</f>
        <v>0</v>
      </c>
      <c r="L24" s="15">
        <f>iferror(if(J24="",F24,J24)*K24,"")</f>
        <v>0</v>
      </c>
      <c r="M24" s="16" t="s">
        <v>150</v>
      </c>
      <c r="S24" s="14">
        <v>1355</v>
      </c>
      <c r="U24" s="15">
        <f>iferror(EUR_USD*lookup(if(T24="",F24,T24),{0,1,10,50,100,1000,10000},{0.0,2.21,1.4,1.4,1.19,0.985,0.866}),"")</f>
        <v>0</v>
      </c>
      <c r="V24" s="15">
        <f>iferror(if(T24="",F24,T24)*U24,"")</f>
        <v>0</v>
      </c>
      <c r="W24" s="16" t="s">
        <v>183</v>
      </c>
    </row>
    <row r="25" spans="1:28">
      <c r="A25" s="14" t="s">
        <v>86</v>
      </c>
      <c r="B25" s="14" t="s">
        <v>87</v>
      </c>
      <c r="C25" s="14" t="s">
        <v>88</v>
      </c>
      <c r="D25" s="14" t="s">
        <v>85</v>
      </c>
      <c r="E25" s="14" t="s">
        <v>89</v>
      </c>
      <c r="F25" s="14">
        <f>BoardQty*1</f>
        <v>0</v>
      </c>
      <c r="G25" s="15">
        <f>MINA(INDIRECT(ADDRESS(ROW(),COLUMN(digikey_part_data)+2)),INDIRECT(ADDRESS(ROW(),COLUMN(farnell_part_data)+2)),INDIRECT(ADDRESS(ROW(),COLUMN(mouser_part_data)+2)),INDIRECT(ADDRESS(ROW(),COLUMN(rs_part_data)+2)))</f>
        <v>0</v>
      </c>
      <c r="H25" s="15">
        <f>iferror(F25*G25,"")</f>
        <v>0</v>
      </c>
      <c r="I25" s="14">
        <v>42129</v>
      </c>
      <c r="K25" s="15">
        <f>iferror(EUR_USD*lookup(if(J25="",F25,J25),{0,1,10,440,2000,6000,10000},{0.0,0.45,0.384,0.29843,0.22737,0.20606,0.19184}),"")</f>
        <v>0</v>
      </c>
      <c r="L25" s="15">
        <f>iferror(if(J25="",F25,J25)*K25,"")</f>
        <v>0</v>
      </c>
      <c r="M25" s="16" t="s">
        <v>151</v>
      </c>
      <c r="N25" s="14">
        <v>8432</v>
      </c>
      <c r="P25" s="15">
        <f>iferror(EUR_GBP*lookup(if(O25="",F25,O25),{0,1,10,50,100,500,1000},{0.0,0.338,0.284,0.253,0.221,0.21,0.174}),"")</f>
        <v>0</v>
      </c>
      <c r="Q25" s="15">
        <f>iferror(if(O25="",F25,O25)*P25,"")</f>
        <v>0</v>
      </c>
      <c r="R25" s="16" t="s">
        <v>169</v>
      </c>
      <c r="S25" s="14">
        <v>15508</v>
      </c>
      <c r="U25" s="15">
        <f>iferror(EUR_USD*lookup(if(T25="",F25,T25),{0,1,10,50,100,1000,10000},{0.0,0.45,0.381,0.381,0.296,0.233,0.187}),"")</f>
        <v>0</v>
      </c>
      <c r="V25" s="15">
        <f>iferror(if(T25="",F25,T25)*U25,"")</f>
        <v>0</v>
      </c>
      <c r="W25" s="16" t="s">
        <v>184</v>
      </c>
      <c r="X25" s="14">
        <v>1805</v>
      </c>
      <c r="Z25" s="15">
        <f>iferror(EUR_GBP*lookup(if(Y25="",F25,Y25),{0,1,5,125,500,2500,5000},{0.0,0.386,0.386,0.18,0.176,0.172,0.168}),"")</f>
        <v>0</v>
      </c>
      <c r="AA25" s="15">
        <f>iferror(if(Y25="",F25,Y25)*Z25,"")</f>
        <v>0</v>
      </c>
      <c r="AB25" s="16" t="s">
        <v>200</v>
      </c>
    </row>
    <row r="26" spans="1:28">
      <c r="A26" s="14" t="s">
        <v>90</v>
      </c>
      <c r="B26" s="14" t="s">
        <v>91</v>
      </c>
      <c r="C26" s="14" t="s">
        <v>92</v>
      </c>
      <c r="D26" s="14" t="s">
        <v>67</v>
      </c>
      <c r="E26" s="14" t="s">
        <v>93</v>
      </c>
      <c r="F26" s="14">
        <f>BoardQty*1</f>
        <v>0</v>
      </c>
      <c r="G26" s="15">
        <f>MINA(INDIRECT(ADDRESS(ROW(),COLUMN(digikey_part_data)+2)),INDIRECT(ADDRESS(ROW(),COLUMN(farnell_part_data)+2)),INDIRECT(ADDRESS(ROW(),COLUMN(mouser_part_data)+2)),INDIRECT(ADDRESS(ROW(),COLUMN(rs_part_data)+2)))</f>
        <v>0</v>
      </c>
      <c r="H26" s="15">
        <f>iferror(F26*G26,"")</f>
        <v>0</v>
      </c>
      <c r="I26" s="17" t="s">
        <v>140</v>
      </c>
      <c r="K26" s="15">
        <f>iferror(EUR_USD*lookup(if(J26="",F26,J26),{0,1},{0.0,1.75}),"")</f>
        <v>0</v>
      </c>
      <c r="L26" s="15">
        <f>iferror(if(J26="",F26,J26)*K26,"")</f>
        <v>0</v>
      </c>
      <c r="M26" s="16" t="s">
        <v>152</v>
      </c>
      <c r="S26" s="14">
        <v>145</v>
      </c>
      <c r="U26" s="15">
        <f>iferror(EUR_USD*lookup(if(T26="",F26,T26),{0,1,10,50,100,1000,10000},{0.0,1.73,1.56,1.56,1.34,0.959,0.851}),"")</f>
        <v>0</v>
      </c>
      <c r="V26" s="15">
        <f>iferror(if(T26="",F26,T26)*U26,"")</f>
        <v>0</v>
      </c>
      <c r="W26" s="16" t="s">
        <v>185</v>
      </c>
    </row>
    <row r="27" spans="1:28">
      <c r="A27" s="14" t="s">
        <v>94</v>
      </c>
      <c r="B27" s="14" t="s">
        <v>95</v>
      </c>
      <c r="C27" s="14" t="s">
        <v>96</v>
      </c>
      <c r="D27" s="14" t="s">
        <v>67</v>
      </c>
      <c r="E27" s="14" t="s">
        <v>97</v>
      </c>
      <c r="F27" s="14">
        <f>BoardQty*1</f>
        <v>0</v>
      </c>
      <c r="G27" s="15">
        <f>MINA(INDIRECT(ADDRESS(ROW(),COLUMN(digikey_part_data)+2)),INDIRECT(ADDRESS(ROW(),COLUMN(farnell_part_data)+2)),INDIRECT(ADDRESS(ROW(),COLUMN(mouser_part_data)+2)),INDIRECT(ADDRESS(ROW(),COLUMN(rs_part_data)+2)))</f>
        <v>0</v>
      </c>
      <c r="H27" s="15">
        <f>iferror(F27*G27,"")</f>
        <v>0</v>
      </c>
      <c r="I27" s="17" t="s">
        <v>140</v>
      </c>
      <c r="K27" s="15">
        <f>iferror(EUR_USD*lookup(if(J27="",F27,J27),{0,1},{0.0,2.68}),"")</f>
        <v>0</v>
      </c>
      <c r="L27" s="15">
        <f>iferror(if(J27="",F27,J27)*K27,"")</f>
        <v>0</v>
      </c>
      <c r="M27" s="16" t="s">
        <v>153</v>
      </c>
      <c r="N27" s="17" t="s">
        <v>140</v>
      </c>
      <c r="P27" s="15">
        <f>iferror(EUR_GBP*lookup(if(O27="",F27,O27),{0,1,10,25,50,100},{0.0,2.72,2.13,2.0,1.88,1.8}),"")</f>
        <v>0</v>
      </c>
      <c r="Q27" s="15">
        <f>iferror(if(O27="",F27,O27)*P27,"")</f>
        <v>0</v>
      </c>
      <c r="R27" s="16" t="s">
        <v>170</v>
      </c>
      <c r="S27" s="14">
        <v>144</v>
      </c>
      <c r="U27" s="15">
        <f>iferror(EUR_USD*lookup(if(T27="",F27,T27),{0,1,10,50,100,1000,10000},{0.0,2.17,1.93,1.93,1.65,1.18,1.05}),"")</f>
        <v>0</v>
      </c>
      <c r="V27" s="15">
        <f>iferror(if(T27="",F27,T27)*U27,"")</f>
        <v>0</v>
      </c>
      <c r="W27" s="16" t="s">
        <v>186</v>
      </c>
      <c r="X27" s="14">
        <v>72</v>
      </c>
      <c r="Z27" s="15">
        <f>iferror(EUR_GBP*lookup(if(Y27="",F27,Y27),{0,1,10,50,100,250},{0.0,1.88,1.43,1.3,1.18,1.11}),"")</f>
        <v>0</v>
      </c>
      <c r="AA27" s="15">
        <f>iferror(if(Y27="",F27,Y27)*Z27,"")</f>
        <v>0</v>
      </c>
      <c r="AB27" s="16" t="s">
        <v>201</v>
      </c>
    </row>
    <row r="28" spans="1:28">
      <c r="A28" s="14" t="s">
        <v>98</v>
      </c>
      <c r="B28" s="14" t="s">
        <v>95</v>
      </c>
      <c r="C28" s="14" t="s">
        <v>80</v>
      </c>
      <c r="D28" s="14" t="s">
        <v>67</v>
      </c>
      <c r="E28" s="14" t="s">
        <v>81</v>
      </c>
      <c r="F28" s="14">
        <f>BoardQty*1</f>
        <v>0</v>
      </c>
      <c r="G28" s="15">
        <f>MINA(INDIRECT(ADDRESS(ROW(),COLUMN(digikey_part_data)+2)),INDIRECT(ADDRESS(ROW(),COLUMN(farnell_part_data)+2)),INDIRECT(ADDRESS(ROW(),COLUMN(mouser_part_data)+2)),INDIRECT(ADDRESS(ROW(),COLUMN(rs_part_data)+2)))</f>
        <v>0</v>
      </c>
      <c r="H28" s="15">
        <f>iferror(F28*G28,"")</f>
        <v>0</v>
      </c>
      <c r="I28" s="14">
        <v>80</v>
      </c>
      <c r="K28" s="15">
        <f>iferror(EUR_USD*lookup(if(J28="",F28,J28),{0,1,10,100,500,1000,5000},{0.0,2.32,2.103,1.8028,1.50238,1.28775,1.1418}),"")</f>
        <v>0</v>
      </c>
      <c r="L28" s="15">
        <f>iferror(if(J28="",F28,J28)*K28,"")</f>
        <v>0</v>
      </c>
      <c r="M28" s="16" t="s">
        <v>149</v>
      </c>
      <c r="S28" s="14">
        <v>137</v>
      </c>
      <c r="U28" s="15">
        <f>iferror(EUR_USD*lookup(if(T28="",F28,T28),{0,1,10,50,100,1000,10000},{0.0,2.29,2.08,2.08,1.78,1.27,1.13}),"")</f>
        <v>0</v>
      </c>
      <c r="V28" s="15">
        <f>iferror(if(T28="",F28,T28)*U28,"")</f>
        <v>0</v>
      </c>
      <c r="W28" s="16" t="s">
        <v>182</v>
      </c>
    </row>
    <row r="29" spans="1:28">
      <c r="A29" s="14" t="s">
        <v>99</v>
      </c>
      <c r="B29" s="14" t="s">
        <v>100</v>
      </c>
      <c r="C29" s="14" t="s">
        <v>101</v>
      </c>
      <c r="D29" s="14" t="s">
        <v>85</v>
      </c>
      <c r="E29" s="14" t="s">
        <v>101</v>
      </c>
      <c r="F29" s="14">
        <f>BoardQty*1</f>
        <v>0</v>
      </c>
      <c r="G29" s="15">
        <f>MINA(INDIRECT(ADDRESS(ROW(),COLUMN(digikey_part_data)+2)),INDIRECT(ADDRESS(ROW(),COLUMN(farnell_part_data)+2)),INDIRECT(ADDRESS(ROW(),COLUMN(mouser_part_data)+2)),INDIRECT(ADDRESS(ROW(),COLUMN(rs_part_data)+2)))</f>
        <v>0</v>
      </c>
      <c r="H29" s="15">
        <f>iferror(F29*G29,"")</f>
        <v>0</v>
      </c>
      <c r="I29" s="14">
        <v>659</v>
      </c>
      <c r="K29" s="15">
        <f>iferror(EUR_USD*lookup(if(J29="",F29,J29),{0,1,10,25,50,100,250,500,1000,5000},{0.0,1.71,1.202,1.1204,1.017,1.0125,0.855,0.81,0.72,0.585}),"")</f>
        <v>0</v>
      </c>
      <c r="L29" s="15">
        <f>iferror(if(J29="",F29,J29)*K29,"")</f>
        <v>0</v>
      </c>
      <c r="M29" s="16" t="s">
        <v>154</v>
      </c>
      <c r="S29" s="14">
        <v>514</v>
      </c>
      <c r="U29" s="15">
        <f>iferror(EUR_USD*lookup(if(T29="",F29,T29),{0,1,10,50,100,1000,10000},{0.0,1.47,1.11,1.02,0.9,0.72,0.586}),"")</f>
        <v>0</v>
      </c>
      <c r="V29" s="15">
        <f>iferror(if(T29="",F29,T29)*U29,"")</f>
        <v>0</v>
      </c>
      <c r="W29" s="16" t="s">
        <v>187</v>
      </c>
    </row>
    <row r="30" spans="1:28">
      <c r="A30" s="14" t="s">
        <v>102</v>
      </c>
      <c r="B30" s="14" t="s">
        <v>103</v>
      </c>
      <c r="C30" s="14" t="s">
        <v>104</v>
      </c>
      <c r="D30" s="14" t="s">
        <v>105</v>
      </c>
      <c r="E30" s="14" t="s">
        <v>106</v>
      </c>
      <c r="F30" s="14">
        <f>BoardQty*6</f>
        <v>0</v>
      </c>
      <c r="G30" s="15">
        <f>MINA(INDIRECT(ADDRESS(ROW(),COLUMN(digikey_part_data)+2)),INDIRECT(ADDRESS(ROW(),COLUMN(farnell_part_data)+2)),INDIRECT(ADDRESS(ROW(),COLUMN(mouser_part_data)+2)),INDIRECT(ADDRESS(ROW(),COLUMN(rs_part_data)+2)))</f>
        <v>0</v>
      </c>
      <c r="H30" s="15">
        <f>iferror(F30*G30,"")</f>
        <v>0</v>
      </c>
      <c r="I30" s="14">
        <v>3199</v>
      </c>
      <c r="K30" s="15">
        <f>iferror(EUR_USD*lookup(if(J30="",F30,J30),{0,1,10,100,1000,2500,5000},{0.0,0.1,0.036,0.0145,0.00652,0.00566,0.00468}),"")</f>
        <v>0</v>
      </c>
      <c r="L30" s="15">
        <f>iferror(if(J30="",F30,J30)*K30,"")</f>
        <v>0</v>
      </c>
      <c r="M30" s="16" t="s">
        <v>155</v>
      </c>
      <c r="S30" s="14">
        <v>48145</v>
      </c>
      <c r="U30" s="15">
        <f>iferror(EUR_USD*lookup(if(T30="",F30,T30),{0,1,10,50,100,1000,10000},{0.0,0.1,0.026,0.026,0.01,0.004,0.004}),"")</f>
        <v>0</v>
      </c>
      <c r="V30" s="15">
        <f>iferror(if(T30="",F30,T30)*U30,"")</f>
        <v>0</v>
      </c>
      <c r="W30" s="16" t="s">
        <v>188</v>
      </c>
    </row>
    <row r="31" spans="1:28">
      <c r="A31" s="14" t="s">
        <v>107</v>
      </c>
      <c r="B31" s="14" t="s">
        <v>108</v>
      </c>
      <c r="C31" s="14" t="s">
        <v>104</v>
      </c>
      <c r="D31" s="14" t="s">
        <v>109</v>
      </c>
      <c r="E31" s="14" t="s">
        <v>110</v>
      </c>
      <c r="F31" s="14">
        <f>BoardQty*3</f>
        <v>0</v>
      </c>
      <c r="G31" s="15">
        <f>MINA(INDIRECT(ADDRESS(ROW(),COLUMN(digikey_part_data)+2)),INDIRECT(ADDRESS(ROW(),COLUMN(farnell_part_data)+2)),INDIRECT(ADDRESS(ROW(),COLUMN(mouser_part_data)+2)),INDIRECT(ADDRESS(ROW(),COLUMN(rs_part_data)+2)))</f>
        <v>0</v>
      </c>
      <c r="H31" s="15">
        <f>iferror(F31*G31,"")</f>
        <v>0</v>
      </c>
      <c r="I31" s="17" t="s">
        <v>140</v>
      </c>
      <c r="K31" s="15">
        <f>iferror(EUR_USD*lookup(if(J31="",F31,J31),{0,1,5000},{0.0,0.01496,0.01496}),"")</f>
        <v>0</v>
      </c>
      <c r="L31" s="15">
        <f>iferror(if(J31="",F31,J31)*K31,"")</f>
        <v>0</v>
      </c>
      <c r="M31" s="16" t="s">
        <v>156</v>
      </c>
      <c r="S31" s="14">
        <v>4477</v>
      </c>
      <c r="U31" s="15">
        <f>iferror(EUR_USD*lookup(if(T31="",F31,T31),{0,1,10,50,100,1000,10000},{0.0,0.13,0.115,0.115,0.044,0.02,0.013}),"")</f>
        <v>0</v>
      </c>
      <c r="V31" s="15">
        <f>iferror(if(T31="",F31,T31)*U31,"")</f>
        <v>0</v>
      </c>
      <c r="W31" s="16" t="s">
        <v>189</v>
      </c>
    </row>
    <row r="32" spans="1:28">
      <c r="A32" s="14" t="s">
        <v>111</v>
      </c>
      <c r="B32" s="14" t="s">
        <v>112</v>
      </c>
      <c r="C32" s="14" t="s">
        <v>104</v>
      </c>
      <c r="D32" s="14" t="s">
        <v>105</v>
      </c>
      <c r="E32" s="14" t="s">
        <v>113</v>
      </c>
      <c r="F32" s="14">
        <f>BoardQty*8</f>
        <v>0</v>
      </c>
      <c r="G32" s="15">
        <f>MINA(INDIRECT(ADDRESS(ROW(),COLUMN(digikey_part_data)+2)),INDIRECT(ADDRESS(ROW(),COLUMN(farnell_part_data)+2)),INDIRECT(ADDRESS(ROW(),COLUMN(mouser_part_data)+2)),INDIRECT(ADDRESS(ROW(),COLUMN(rs_part_data)+2)))</f>
        <v>0</v>
      </c>
      <c r="H32" s="15">
        <f>iferror(F32*G32,"")</f>
        <v>0</v>
      </c>
      <c r="I32" s="14">
        <v>844066</v>
      </c>
      <c r="K32" s="15">
        <f>iferror(EUR_USD*lookup(if(J32="",F32,J32),{0,1,10,100,1000,2500,5000,10000},{0.0,0.1,0.029,0.0119,0.00533,0.00463,0.00382,0.00332}),"")</f>
        <v>0</v>
      </c>
      <c r="L32" s="15">
        <f>iferror(if(J32="",F32,J32)*K32,"")</f>
        <v>0</v>
      </c>
      <c r="M32" s="16" t="s">
        <v>157</v>
      </c>
      <c r="S32" s="14">
        <v>120544</v>
      </c>
      <c r="U32" s="15">
        <f>iferror(EUR_USD*lookup(if(T32="",F32,T32),{0,1,10,50,100,1000,10000},{0.0,0.1,0.029,0.029,0.012,0.005,0.003}),"")</f>
        <v>0</v>
      </c>
      <c r="V32" s="15">
        <f>iferror(if(T32="",F32,T32)*U32,"")</f>
        <v>0</v>
      </c>
      <c r="W32" s="16" t="s">
        <v>190</v>
      </c>
    </row>
    <row r="33" spans="1:27">
      <c r="A33" s="14" t="s">
        <v>114</v>
      </c>
      <c r="B33" s="14" t="s">
        <v>115</v>
      </c>
      <c r="C33" s="14" t="s">
        <v>116</v>
      </c>
      <c r="D33" s="14" t="s">
        <v>117</v>
      </c>
      <c r="E33" s="14" t="s">
        <v>115</v>
      </c>
      <c r="F33" s="14">
        <f>BoardQty*1</f>
        <v>0</v>
      </c>
      <c r="G33" s="15">
        <f>MINA(INDIRECT(ADDRESS(ROW(),COLUMN(digikey_part_data)+2)),INDIRECT(ADDRESS(ROW(),COLUMN(farnell_part_data)+2)),INDIRECT(ADDRESS(ROW(),COLUMN(mouser_part_data)+2)),INDIRECT(ADDRESS(ROW(),COLUMN(rs_part_data)+2)))</f>
        <v>0</v>
      </c>
      <c r="H33" s="15">
        <f>iferror(F33*G33,"")</f>
        <v>0</v>
      </c>
    </row>
    <row r="35" spans="1:27">
      <c r="B35" s="18" t="s">
        <v>120</v>
      </c>
      <c r="G35" s="2" t="s">
        <v>118</v>
      </c>
      <c r="H35" s="6">
        <f>SUM(INDIRECT(ADDRESS(ROW(),COLUMN(digikey_part_data)+3)),INDIRECT(ADDRESS(ROW(),COLUMN(farnell_part_data)+3)),INDIRECT(ADDRESS(ROW(),COLUMN(mouser_part_data)+3)),INDIRECT(ADDRESS(ROW(),COLUMN(rs_part_data)+3)))</f>
        <v>0</v>
      </c>
      <c r="J35" s="7">
        <f>IFERROR(IF(OR(J7:J33),COUNTIFS(J7:J33,"&gt;0",L7:L33,"&lt;&gt;")&amp;" of "&amp;(ROWS(L7:L33)-COUNTBLANK(L7:L33))&amp;" parts purchased",""),"")</f>
        <v>0</v>
      </c>
      <c r="L35" s="6">
        <f>SUMIF(J7:J33,"&gt;0",L7:L33)</f>
        <v>0</v>
      </c>
      <c r="O35" s="7">
        <f>IFERROR(IF(OR(O7:O33),COUNTIFS(O7:O33,"&gt;0",Q7:Q33,"&lt;&gt;")&amp;" of "&amp;(ROWS(Q7:Q33)-COUNTBLANK(Q7:Q33))&amp;" parts purchased",""),"")</f>
        <v>0</v>
      </c>
      <c r="Q35" s="6">
        <f>SUMIF(O7:O33,"&gt;0",Q7:Q33)</f>
        <v>0</v>
      </c>
      <c r="T35" s="7">
        <f>IFERROR(IF(OR(T7:T33),COUNTIFS(T7:T33,"&gt;0",V7:V33,"&lt;&gt;")&amp;" of "&amp;(ROWS(V7:V33)-COUNTBLANK(V7:V33))&amp;" parts purchased",""),"")</f>
        <v>0</v>
      </c>
      <c r="V35" s="6">
        <f>SUMIF(T7:T33,"&gt;0",V7:V33)</f>
        <v>0</v>
      </c>
      <c r="Y35" s="7">
        <f>IFERROR(IF(OR(Y7:Y33),COUNTIFS(Y7:Y33,"&gt;0",AA7:AA33,"&lt;&gt;")&amp;" of "&amp;(ROWS(AA7:AA33)-COUNTBLANK(AA7:AA33))&amp;" parts purchased",""),"")</f>
        <v>0</v>
      </c>
      <c r="AA35" s="6">
        <f>SUMIF(Y7:Y33,"&gt;0",AA7:AA33)</f>
        <v>0</v>
      </c>
    </row>
    <row r="36" spans="1:27">
      <c r="B36" s="18" t="s">
        <v>121</v>
      </c>
      <c r="C36">
        <v>1.105913318514095</v>
      </c>
      <c r="G36" s="18" t="s">
        <v>119</v>
      </c>
      <c r="J36">
        <f t="array" ref="J36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36">
        <f t="array" ref="O36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36">
        <f t="array" ref="T36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36">
        <f t="array" ref="Y36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37" spans="1:27">
      <c r="B37" s="18" t="s">
        <v>122</v>
      </c>
      <c r="C37">
        <v>0.8669267446900737</v>
      </c>
      <c r="J37">
        <f t="array" ref="J37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37">
        <f t="array" ref="O37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37">
        <f t="array" ref="T37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37">
        <f t="array" ref="Y37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38" spans="1:27">
      <c r="J38">
        <f t="array" ref="J38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38">
        <f t="array" ref="O38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38">
        <f t="array" ref="T38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38">
        <f t="array" ref="Y38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39" spans="1:27">
      <c r="A39" s="3" t="s">
        <v>202</v>
      </c>
      <c r="J39">
        <f t="array" ref="J39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39">
        <f t="array" ref="O39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39">
        <f t="array" ref="T39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39">
        <f t="array" ref="Y39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0" spans="1:27">
      <c r="J40">
        <f t="array" ref="J40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0">
        <f t="array" ref="O40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0">
        <f t="array" ref="T40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0">
        <f t="array" ref="Y40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1" spans="1:27">
      <c r="J41">
        <f t="array" ref="J41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1">
        <f t="array" ref="O41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1">
        <f t="array" ref="T41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1">
        <f t="array" ref="Y41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2" spans="1:27">
      <c r="J42">
        <f t="array" ref="J42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2">
        <f t="array" ref="O42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2">
        <f t="array" ref="T42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2">
        <f t="array" ref="Y42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3" spans="1:27">
      <c r="J43">
        <f t="array" ref="J43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3">
        <f t="array" ref="O43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3">
        <f t="array" ref="T43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3">
        <f t="array" ref="Y43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4" spans="1:27">
      <c r="J44">
        <f t="array" ref="J44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4">
        <f t="array" ref="O44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4">
        <f t="array" ref="T44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4">
        <f t="array" ref="Y44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5" spans="1:27">
      <c r="J45">
        <f t="array" ref="J45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5">
        <f t="array" ref="O45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5">
        <f t="array" ref="T45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5">
        <f t="array" ref="Y45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6" spans="1:27">
      <c r="J46">
        <f t="array" ref="J46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6">
        <f t="array" ref="O46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6">
        <f t="array" ref="T46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6">
        <f t="array" ref="Y46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7" spans="1:27">
      <c r="J47">
        <f t="array" ref="J47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7">
        <f t="array" ref="O47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7">
        <f t="array" ref="T47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7">
        <f t="array" ref="Y47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8" spans="1:27">
      <c r="J48">
        <f t="array" ref="J48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8">
        <f t="array" ref="O48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8">
        <f t="array" ref="T48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8">
        <f t="array" ref="Y48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49" spans="10:25">
      <c r="J49">
        <f t="array" ref="J49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49">
        <f t="array" ref="O49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49">
        <f t="array" ref="T49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49">
        <f t="array" ref="Y49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0" spans="10:25">
      <c r="J50">
        <f t="array" ref="J50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0">
        <f t="array" ref="O50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0">
        <f t="array" ref="T50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0">
        <f t="array" ref="Y50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1" spans="10:25">
      <c r="J51">
        <f t="array" ref="J51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1">
        <f t="array" ref="O51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1">
        <f t="array" ref="T51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1">
        <f t="array" ref="Y51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2" spans="10:25">
      <c r="J52">
        <f t="array" ref="J52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2">
        <f t="array" ref="O52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2">
        <f t="array" ref="T52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2">
        <f t="array" ref="Y52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3" spans="10:25">
      <c r="J53">
        <f t="array" ref="J53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3">
        <f t="array" ref="O53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3">
        <f t="array" ref="T53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3">
        <f t="array" ref="Y53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4" spans="10:25">
      <c r="J54">
        <f t="array" ref="J54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4">
        <f t="array" ref="O54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4">
        <f t="array" ref="T54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4">
        <f t="array" ref="Y54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5" spans="10:25">
      <c r="J55">
        <f t="array" ref="J55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5">
        <f t="array" ref="O55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5">
        <f t="array" ref="T55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5">
        <f t="array" ref="Y55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6" spans="10:25">
      <c r="J56">
        <f t="array" ref="J56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6">
        <f t="array" ref="O56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6">
        <f t="array" ref="T56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6">
        <f t="array" ref="Y56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7" spans="10:25">
      <c r="J57">
        <f t="array" ref="J57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7">
        <f t="array" ref="O57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7">
        <f t="array" ref="T57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7">
        <f t="array" ref="Y57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8" spans="10:25">
      <c r="J58">
        <f t="array" ref="J58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8">
        <f t="array" ref="O58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8">
        <f t="array" ref="T58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8">
        <f t="array" ref="Y58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59" spans="10:25">
      <c r="J59">
        <f t="array" ref="J59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59">
        <f t="array" ref="O59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59">
        <f t="array" ref="T59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59">
        <f t="array" ref="Y59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60" spans="10:25">
      <c r="J60">
        <f t="array" ref="J60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60">
        <f t="array" ref="O60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60">
        <f t="array" ref="T60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60">
        <f t="array" ref="Y60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61" spans="10:25">
      <c r="J61">
        <f t="array" ref="J61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61">
        <f t="array" ref="O61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61">
        <f t="array" ref="T61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61">
        <f t="array" ref="Y61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  <row r="62" spans="10:25">
      <c r="J62">
        <f t="array" ref="J62">IFERROR(CONCATENATE(TEXT(INDEX(J7:J33,SMALL(IF(ISNUMBER(J7:J33),IF(J7:J33&gt;0,IF(M7:M33&lt;&gt;"",ROW(J7:J33)-MIN(ROW(J7:J33))+1))),ROW()-ROW(A$36)+1)),"##0"),",",INDEX(M7:M33,SMALL(IF(ISNUMBER(J7:J33),IF(J7:J33&gt;0,IF(M7:M33&lt;&gt;"",ROW(J7:J33)-MIN(ROW(J7:J33))+1))),ROW()-ROW(A$36)+1)),",",SUBSTITUTE(INDEX(IF(PURCHASE_DESCRIPTION&lt;&gt;"",PURCHASE_DESCRIPTION&amp;":","")&amp;A7:A33,SMALL(IF(ISNUMBER(J7:J33),IF(J7:J33&gt;0,IF(M7:M33&lt;&gt;"",ROW(J7:J33)-MIN(ROW(J7:J33))+1))),ROW()-ROW(A$36)+1)),",",";")),"")</f>
        <v>0</v>
      </c>
      <c r="O62">
        <f t="array" ref="O62">IFERROR(CONCATENATE(INDEX(R7:R33,SMALL(IF(ISNUMBER(O7:O33),IF(O7:O33&gt;0,IF(R7:R33&lt;&gt;"",ROW(O7:O33)-MIN(ROW(O7:O33))+1))),ROW()-ROW(A$36)+1))," ",TEXT(INDEX(O7:O33,SMALL(IF(ISNUMBER(O7:O33),IF(O7:O33&gt;0,IF(R7:R33&lt;&gt;"",ROW(O7:O33)-MIN(ROW(O7:O33))+1))),ROW()-ROW(A$36)+1)),"##0")," ",SUBSTITUTE(INDEX(IF(PURCHASE_DESCRIPTION&lt;&gt;"",PURCHASE_DESCRIPTION&amp;":","")&amp;A7:A33,SMALL(IF(ISNUMBER(O7:O33),IF(O7:O33&gt;0,IF(R7:R33&lt;&gt;"",ROW(O7:O33)-MIN(ROW(O7:O33))+1))),ROW()-ROW(A$36)+1))," ",";")),"")</f>
        <v>0</v>
      </c>
      <c r="T62">
        <f t="array" ref="T62">IFERROR(CONCATENATE(INDEX(W7:W33,SMALL(IF(ISNUMBER(T7:T33),IF(T7:T33&gt;0,IF(W7:W33&lt;&gt;"",ROW(T7:T33)-MIN(ROW(T7:T33))+1))),ROW()-ROW(A$36)+1)),"|",TEXT(INDEX(T7:T33,SMALL(IF(ISNUMBER(T7:T33),IF(T7:T33&gt;0,IF(W7:W33&lt;&gt;"",ROW(T7:T33)-MIN(ROW(T7:T33))+1))),ROW()-ROW(A$36)+1)),"##0"),"|",SUBSTITUTE(SUBSTITUTE(INDEX(IF(PURCHASE_DESCRIPTION&lt;&gt;"",PURCHASE_DESCRIPTION&amp;":","")&amp;A7:A33,SMALL(IF(ISNUMBER(T7:T33),IF(T7:T33&gt;0,IF(W7:W33&lt;&gt;"",ROW(T7:T33)-MIN(ROW(T7:T33))+1))),ROW()-ROW(A$36)+1)),"|",";")," ","_")),"")</f>
        <v>0</v>
      </c>
      <c r="Y62">
        <f t="array" ref="Y62">IFERROR(CONCATENATE(INDEX(AB7:AB33,SMALL(IF(ISNUMBER(Y7:Y33),IF(Y7:Y33&gt;0,IF(AB7:AB33&lt;&gt;"",ROW(Y7:Y33)-MIN(ROW(Y7:Y33))+1))),ROW()-ROW(A$36)+1))," ",TEXT(INDEX(Y7:Y33,SMALL(IF(ISNUMBER(Y7:Y33),IF(Y7:Y33&gt;0,IF(AB7:AB33&lt;&gt;"",ROW(Y7:Y33)-MIN(ROW(Y7:Y33))+1))),ROW()-ROW(A$36)+1)),"##0")," ",SUBSTITUTE(INDEX(IF(PURCHASE_DESCRIPTION&lt;&gt;"",PURCHASE_DESCRIPTION&amp;":","")&amp;A7:A33,SMALL(IF(ISNUMBER(Y7:Y33),IF(Y7:Y33&gt;0,IF(AB7:AB33&lt;&gt;"",ROW(Y7:Y33)-MIN(ROW(Y7:Y33))+1))),ROW()-ROW(A$36)+1))," ",";")),"")</f>
        <v>0</v>
      </c>
    </row>
  </sheetData>
  <mergeCells count="5">
    <mergeCell ref="A5:H5"/>
    <mergeCell ref="I5:M5"/>
    <mergeCell ref="N5:R5"/>
    <mergeCell ref="S5:W5"/>
    <mergeCell ref="X5:AB5"/>
  </mergeCells>
  <conditionalFormatting sqref="AA10">
    <cfRule type="cellIs" dxfId="4" priority="396" operator="lessThanOrEqual">
      <formula>H10</formula>
    </cfRule>
  </conditionalFormatting>
  <conditionalFormatting sqref="AA12">
    <cfRule type="cellIs" dxfId="4" priority="402" operator="lessThanOrEqual">
      <formula>H12</formula>
    </cfRule>
  </conditionalFormatting>
  <conditionalFormatting sqref="AA13">
    <cfRule type="cellIs" dxfId="4" priority="408" operator="lessThanOrEqual">
      <formula>H13</formula>
    </cfRule>
  </conditionalFormatting>
  <conditionalFormatting sqref="AA17">
    <cfRule type="cellIs" dxfId="4" priority="414" operator="lessThanOrEqual">
      <formula>H17</formula>
    </cfRule>
  </conditionalFormatting>
  <conditionalFormatting sqref="AA20">
    <cfRule type="cellIs" dxfId="4" priority="420" operator="lessThanOrEqual">
      <formula>H20</formula>
    </cfRule>
  </conditionalFormatting>
  <conditionalFormatting sqref="AA21">
    <cfRule type="cellIs" dxfId="4" priority="426" operator="lessThanOrEqual">
      <formula>H21</formula>
    </cfRule>
  </conditionalFormatting>
  <conditionalFormatting sqref="AA25">
    <cfRule type="cellIs" dxfId="4" priority="432" operator="lessThanOrEqual">
      <formula>H25</formula>
    </cfRule>
  </conditionalFormatting>
  <conditionalFormatting sqref="AA27">
    <cfRule type="cellIs" dxfId="4" priority="437" operator="lessThanOrEqual">
      <formula>H27</formula>
    </cfRule>
  </conditionalFormatting>
  <conditionalFormatting sqref="AA7">
    <cfRule type="cellIs" dxfId="4" priority="384" operator="lessThanOrEqual">
      <formula>H7</formula>
    </cfRule>
  </conditionalFormatting>
  <conditionalFormatting sqref="AA9">
    <cfRule type="cellIs" dxfId="4" priority="390" operator="lessThanOrEqual">
      <formula>H9</formula>
    </cfRule>
  </conditionalFormatting>
  <conditionalFormatting sqref="F10">
    <cfRule type="expression" dxfId="0" priority="13">
      <formula>AND(ISBLANK(E10),ISBLANK(INDIRECT(ADDRESS(ROW(),COLUMN(digikey_part_data)+4))),ISBLANK(INDIRECT(ADDRESS(ROW(),COLUMN(farnell_part_data)+4))),ISBLANK(INDIRECT(ADDRESS(ROW(),COLUMN(mouser_part_data)+4))),ISBLANK(INDIRECT(ADDRESS(ROW(),COLUMN(rs_part_data)+4))))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1">
    <cfRule type="expression" dxfId="0" priority="17">
      <formula>AND(ISBLANK(E11),ISBLANK(INDIRECT(ADDRESS(ROW(),COLUMN(digikey_part_data)+4))),ISBLANK(INDIRECT(ADDRESS(ROW(),COLUMN(farnell_part_data)+4))),ISBLANK(INDIRECT(ADDRESS(ROW(),COLUMN(mouser_part_data)+4))),ISBLANK(INDIRECT(ADDRESS(ROW(),COLUMN(rs_part_data)+4))))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2">
    <cfRule type="expression" dxfId="0" priority="21">
      <formula>AND(ISBLANK(E12),ISBLANK(INDIRECT(ADDRESS(ROW(),COLUMN(digikey_part_data)+4))),ISBLANK(INDIRECT(ADDRESS(ROW(),COLUMN(farnell_part_data)+4))),ISBLANK(INDIRECT(ADDRESS(ROW(),COLUMN(mouser_part_data)+4))),ISBLANK(INDIRECT(ADDRESS(ROW(),COLUMN(rs_part_data)+4))))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3">
    <cfRule type="expression" dxfId="0" priority="25">
      <formula>AND(ISBLANK(E13),ISBLANK(INDIRECT(ADDRESS(ROW(),COLUMN(digikey_part_data)+4))),ISBLANK(INDIRECT(ADDRESS(ROW(),COLUMN(farnell_part_data)+4))),ISBLANK(INDIRECT(ADDRESS(ROW(),COLUMN(mouser_part_data)+4))),ISBLANK(INDIRECT(ADDRESS(ROW(),COLUMN(rs_part_data)+4))))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4">
    <cfRule type="expression" dxfId="0" priority="29">
      <formula>AND(ISBLANK(E14),ISBLANK(INDIRECT(ADDRESS(ROW(),COLUMN(digikey_part_data)+4))),ISBLANK(INDIRECT(ADDRESS(ROW(),COLUMN(farnell_part_data)+4))),ISBLANK(INDIRECT(ADDRESS(ROW(),COLUMN(mouser_part_data)+4))),ISBLANK(INDIRECT(ADDRESS(ROW(),COLUMN(rs_part_data)+4))))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5">
    <cfRule type="expression" dxfId="0" priority="33">
      <formula>AND(ISBLANK(E15),ISBLANK(INDIRECT(ADDRESS(ROW(),COLUMN(digikey_part_data)+4))),ISBLANK(INDIRECT(ADDRESS(ROW(),COLUMN(farnell_part_data)+4))),ISBLANK(INDIRECT(ADDRESS(ROW(),COLUMN(mouser_part_data)+4))),ISBLANK(INDIRECT(ADDRESS(ROW(),COLUMN(rs_part_data)+4))))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6">
    <cfRule type="expression" dxfId="0" priority="37">
      <formula>AND(ISBLANK(E16),ISBLANK(INDIRECT(ADDRESS(ROW(),COLUMN(digikey_part_data)+4))),ISBLANK(INDIRECT(ADDRESS(ROW(),COLUMN(farnell_part_data)+4))),ISBLANK(INDIRECT(ADDRESS(ROW(),COLUMN(mouser_part_data)+4))),ISBLANK(INDIRECT(ADDRESS(ROW(),COLUMN(rs_part_data)+4))))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7">
    <cfRule type="expression" dxfId="0" priority="41">
      <formula>AND(ISBLANK(E17),ISBLANK(INDIRECT(ADDRESS(ROW(),COLUMN(digikey_part_data)+4))),ISBLANK(INDIRECT(ADDRESS(ROW(),COLUMN(farnell_part_data)+4))),ISBLANK(INDIRECT(ADDRESS(ROW(),COLUMN(mouser_part_data)+4))),ISBLANK(INDIRECT(ADDRESS(ROW(),COLUMN(rs_part_data)+4))))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8">
    <cfRule type="expression" dxfId="0" priority="45">
      <formula>AND(ISBLANK(E18),ISBLANK(INDIRECT(ADDRESS(ROW(),COLUMN(digikey_part_data)+4))),ISBLANK(INDIRECT(ADDRESS(ROW(),COLUMN(farnell_part_data)+4))),ISBLANK(INDIRECT(ADDRESS(ROW(),COLUMN(mouser_part_data)+4))),ISBLANK(INDIRECT(ADDRESS(ROW(),COLUMN(rs_part_data)+4))))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19">
    <cfRule type="expression" dxfId="0" priority="49">
      <formula>AND(ISBLANK(E19),ISBLANK(INDIRECT(ADDRESS(ROW(),COLUMN(digikey_part_data)+4))),ISBLANK(INDIRECT(ADDRESS(ROW(),COLUMN(farnell_part_data)+4))),ISBLANK(INDIRECT(ADDRESS(ROW(),COLUMN(mouser_part_data)+4))),ISBLANK(INDIRECT(ADDRESS(ROW(),COLUMN(rs_part_data)+4))))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0">
    <cfRule type="expression" dxfId="0" priority="53">
      <formula>AND(ISBLANK(E20),ISBLANK(INDIRECT(ADDRESS(ROW(),COLUMN(digikey_part_data)+4))),ISBLANK(INDIRECT(ADDRESS(ROW(),COLUMN(farnell_part_data)+4))),ISBLANK(INDIRECT(ADDRESS(ROW(),COLUMN(mouser_part_data)+4))),ISBLANK(INDIRECT(ADDRESS(ROW(),COLUMN(rs_part_data)+4))))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1">
    <cfRule type="expression" dxfId="0" priority="57">
      <formula>AND(ISBLANK(E21),ISBLANK(INDIRECT(ADDRESS(ROW(),COLUMN(digikey_part_data)+4))),ISBLANK(INDIRECT(ADDRESS(ROW(),COLUMN(farnell_part_data)+4))),ISBLANK(INDIRECT(ADDRESS(ROW(),COLUMN(mouser_part_data)+4))),ISBLANK(INDIRECT(ADDRESS(ROW(),COLUMN(rs_part_data)+4))))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2">
    <cfRule type="expression" dxfId="0" priority="61">
      <formula>AND(ISBLANK(E22),ISBLANK(INDIRECT(ADDRESS(ROW(),COLUMN(digikey_part_data)+4))),ISBLANK(INDIRECT(ADDRESS(ROW(),COLUMN(farnell_part_data)+4))),ISBLANK(INDIRECT(ADDRESS(ROW(),COLUMN(mouser_part_data)+4))),ISBLANK(INDIRECT(ADDRESS(ROW(),COLUMN(rs_part_data)+4))))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3">
    <cfRule type="expression" dxfId="0" priority="65">
      <formula>AND(ISBLANK(E23),ISBLANK(INDIRECT(ADDRESS(ROW(),COLUMN(digikey_part_data)+4))),ISBLANK(INDIRECT(ADDRESS(ROW(),COLUMN(farnell_part_data)+4))),ISBLANK(INDIRECT(ADDRESS(ROW(),COLUMN(mouser_part_data)+4))),ISBLANK(INDIRECT(ADDRESS(ROW(),COLUMN(rs_part_data)+4))))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4">
    <cfRule type="expression" dxfId="0" priority="69">
      <formula>AND(ISBLANK(E24),ISBLANK(INDIRECT(ADDRESS(ROW(),COLUMN(digikey_part_data)+4))),ISBLANK(INDIRECT(ADDRESS(ROW(),COLUMN(farnell_part_data)+4))),ISBLANK(INDIRECT(ADDRESS(ROW(),COLUMN(mouser_part_data)+4))),ISBLANK(INDIRECT(ADDRESS(ROW(),COLUMN(rs_part_data)+4))))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5">
    <cfRule type="expression" dxfId="0" priority="73">
      <formula>AND(ISBLANK(E25),ISBLANK(INDIRECT(ADDRESS(ROW(),COLUMN(digikey_part_data)+4))),ISBLANK(INDIRECT(ADDRESS(ROW(),COLUMN(farnell_part_data)+4))),ISBLANK(INDIRECT(ADDRESS(ROW(),COLUMN(mouser_part_data)+4))),ISBLANK(INDIRECT(ADDRESS(ROW(),COLUMN(rs_part_data)+4))))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6">
    <cfRule type="expression" dxfId="0" priority="77">
      <formula>AND(ISBLANK(E26),ISBLANK(INDIRECT(ADDRESS(ROW(),COLUMN(digikey_part_data)+4))),ISBLANK(INDIRECT(ADDRESS(ROW(),COLUMN(farnell_part_data)+4))),ISBLANK(INDIRECT(ADDRESS(ROW(),COLUMN(mouser_part_data)+4))),ISBLANK(INDIRECT(ADDRESS(ROW(),COLUMN(rs_part_data)+4))))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7">
    <cfRule type="expression" dxfId="0" priority="81">
      <formula>AND(ISBLANK(E27),ISBLANK(INDIRECT(ADDRESS(ROW(),COLUMN(digikey_part_data)+4))),ISBLANK(INDIRECT(ADDRESS(ROW(),COLUMN(farnell_part_data)+4))),ISBLANK(INDIRECT(ADDRESS(ROW(),COLUMN(mouser_part_data)+4))),ISBLANK(INDIRECT(ADDRESS(ROW(),COLUMN(rs_part_data)+4))))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8">
    <cfRule type="expression" dxfId="0" priority="85">
      <formula>AND(ISBLANK(E28),ISBLANK(INDIRECT(ADDRESS(ROW(),COLUMN(digikey_part_data)+4))),ISBLANK(INDIRECT(ADDRESS(ROW(),COLUMN(farnell_part_data)+4))),ISBLANK(INDIRECT(ADDRESS(ROW(),COLUMN(mouser_part_data)+4))),ISBLANK(INDIRECT(ADDRESS(ROW(),COLUMN(rs_part_data)+4))))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29">
    <cfRule type="expression" dxfId="0" priority="89">
      <formula>AND(ISBLANK(E29),ISBLANK(INDIRECT(ADDRESS(ROW(),COLUMN(digikey_part_data)+4))),ISBLANK(INDIRECT(ADDRESS(ROW(),COLUMN(farnell_part_data)+4))),ISBLANK(INDIRECT(ADDRESS(ROW(),COLUMN(mouser_part_data)+4))),ISBLANK(INDIRECT(ADDRESS(ROW(),COLUMN(rs_part_data)+4))))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0">
    <cfRule type="expression" dxfId="0" priority="93">
      <formula>AND(ISBLANK(E30),ISBLANK(INDIRECT(ADDRESS(ROW(),COLUMN(digikey_part_data)+4))),ISBLANK(INDIRECT(ADDRESS(ROW(),COLUMN(farnell_part_data)+4))),ISBLANK(INDIRECT(ADDRESS(ROW(),COLUMN(mouser_part_data)+4))),ISBLANK(INDIRECT(ADDRESS(ROW(),COLUMN(rs_part_data)+4))))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94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95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9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1">
    <cfRule type="expression" dxfId="0" priority="97">
      <formula>AND(ISBLANK(E31),ISBLANK(INDIRECT(ADDRESS(ROW(),COLUMN(digikey_part_data)+4))),ISBLANK(INDIRECT(ADDRESS(ROW(),COLUMN(farnell_part_data)+4))),ISBLANK(INDIRECT(ADDRESS(ROW(),COLUMN(mouser_part_data)+4))),ISBLANK(INDIRECT(ADDRESS(ROW(),COLUMN(rs_part_data)+4))))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98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99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0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2">
    <cfRule type="expression" dxfId="0" priority="101">
      <formula>AND(ISBLANK(E32),ISBLANK(INDIRECT(ADDRESS(ROW(),COLUMN(digikey_part_data)+4))),ISBLANK(INDIRECT(ADDRESS(ROW(),COLUMN(farnell_part_data)+4))),ISBLANK(INDIRECT(ADDRESS(ROW(),COLUMN(mouser_part_data)+4))),ISBLANK(INDIRECT(ADDRESS(ROW(),COLUMN(rs_part_data)+4))))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0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0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0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33">
    <cfRule type="expression" dxfId="0" priority="105">
      <formula>AND(ISBLANK(E33),ISBLANK(INDIRECT(ADDRESS(ROW(),COLUMN(digikey_part_data)+4))),ISBLANK(INDIRECT(ADDRESS(ROW(),COLUMN(farnell_part_data)+4))),ISBLANK(INDIRECT(ADDRESS(ROW(),COLUMN(mouser_part_data)+4))),ISBLANK(INDIRECT(ADDRESS(ROW(),COLUMN(rs_part_data)+4))))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0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0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0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7">
    <cfRule type="expression" dxfId="0" priority="1">
      <formula>AND(ISBLANK(E7),ISBLANK(INDIRECT(ADDRESS(ROW(),COLUMN(digikey_part_data)+4))),ISBLANK(INDIRECT(ADDRESS(ROW(),COLUMN(farnell_part_data)+4))),ISBLANK(INDIRECT(ADDRESS(ROW(),COLUMN(mouser_part_data)+4))),ISBLANK(INDIRECT(ADDRESS(ROW(),COLUMN(rs_part_data)+4))))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8">
    <cfRule type="expression" dxfId="0" priority="5">
      <formula>AND(ISBLANK(E8),ISBLANK(INDIRECT(ADDRESS(ROW(),COLUMN(digikey_part_data)+4))),ISBLANK(INDIRECT(ADDRESS(ROW(),COLUMN(farnell_part_data)+4))),ISBLANK(INDIRECT(ADDRESS(ROW(),COLUMN(mouser_part_data)+4))),ISBLANK(INDIRECT(ADDRESS(ROW(),COLUMN(rs_part_data)+4))))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F9">
    <cfRule type="expression" dxfId="0" priority="9">
      <formula>AND(ISBLANK(E9),ISBLANK(INDIRECT(ADDRESS(ROW(),COLUMN(digikey_part_data)+4))),ISBLANK(INDIRECT(ADDRESS(ROW(),COLUMN(farnell_part_data)+4))),ISBLANK(INDIRECT(ADDRESS(ROW(),COLUMN(mouser_part_data)+4))),ISBLANK(INDIRECT(ADDRESS(ROW(),COLUMN(rs_part_data)+4))))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IF(SUM(INDIRECT(ADDRESS(ROW(),COLUMN(digikey_part_data)+0)),INDIRECT(ADDRESS(ROW(),COLUMN(farnell_part_data)+0)),INDIRECT(ADDRESS(ROW(),COLUMN(mouser_part_data)+0)),INDIRECT(ADDRESS(ROW(),COLUMN(rs_part_data)+0)))=0,1,0)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SUM(INDIRECT(ADDRESS(ROW(),COLUMN(digikey_part_data)+0)),INDIRECT(ADDRESS(ROW(),COLUMN(farnell_part_data)+0)),INDIRECT(ADDRESS(ROW(),COLUMN(mouser_part_data)+0)),INDIRECT(ADDRESS(ROW(),COLUMN(rs_part_data)+0)))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rs_part_data)+2))),INDIRECT(ADDRESS(ROW(),COLUMN(rs_part_data)+1)),0))</formula>
    </cfRule>
  </conditionalFormatting>
  <conditionalFormatting sqref="I10">
    <cfRule type="cellIs" dxfId="1" priority="124" operator="equal">
      <formula>0</formula>
    </cfRule>
    <cfRule type="cellIs" dxfId="2" priority="125" operator="lessThan">
      <formula>F10</formula>
    </cfRule>
  </conditionalFormatting>
  <conditionalFormatting sqref="I11">
    <cfRule type="cellIs" dxfId="1" priority="129" operator="equal">
      <formula>0</formula>
    </cfRule>
    <cfRule type="cellIs" dxfId="2" priority="130" operator="lessThan">
      <formula>F11</formula>
    </cfRule>
  </conditionalFormatting>
  <conditionalFormatting sqref="I12">
    <cfRule type="cellIs" dxfId="1" priority="134" operator="equal">
      <formula>0</formula>
    </cfRule>
    <cfRule type="cellIs" dxfId="2" priority="135" operator="lessThan">
      <formula>F12</formula>
    </cfRule>
  </conditionalFormatting>
  <conditionalFormatting sqref="I13">
    <cfRule type="cellIs" dxfId="1" priority="139" operator="equal">
      <formula>0</formula>
    </cfRule>
    <cfRule type="cellIs" dxfId="2" priority="140" operator="lessThan">
      <formula>F13</formula>
    </cfRule>
  </conditionalFormatting>
  <conditionalFormatting sqref="I19">
    <cfRule type="cellIs" dxfId="1" priority="144" operator="equal">
      <formula>0</formula>
    </cfRule>
    <cfRule type="cellIs" dxfId="2" priority="145" operator="lessThan">
      <formula>F19</formula>
    </cfRule>
  </conditionalFormatting>
  <conditionalFormatting sqref="I20">
    <cfRule type="cellIs" dxfId="1" priority="149" operator="equal">
      <formula>0</formula>
    </cfRule>
    <cfRule type="cellIs" dxfId="2" priority="150" operator="lessThan">
      <formula>F20</formula>
    </cfRule>
  </conditionalFormatting>
  <conditionalFormatting sqref="I21">
    <cfRule type="cellIs" dxfId="1" priority="154" operator="equal">
      <formula>0</formula>
    </cfRule>
    <cfRule type="cellIs" dxfId="2" priority="155" operator="lessThan">
      <formula>F21</formula>
    </cfRule>
  </conditionalFormatting>
  <conditionalFormatting sqref="I23">
    <cfRule type="cellIs" dxfId="1" priority="159" operator="equal">
      <formula>0</formula>
    </cfRule>
    <cfRule type="cellIs" dxfId="2" priority="160" operator="lessThan">
      <formula>F23</formula>
    </cfRule>
  </conditionalFormatting>
  <conditionalFormatting sqref="I24">
    <cfRule type="cellIs" dxfId="1" priority="164" operator="equal">
      <formula>0</formula>
    </cfRule>
    <cfRule type="cellIs" dxfId="2" priority="165" operator="lessThan">
      <formula>F24</formula>
    </cfRule>
  </conditionalFormatting>
  <conditionalFormatting sqref="I25">
    <cfRule type="cellIs" dxfId="1" priority="169" operator="equal">
      <formula>0</formula>
    </cfRule>
    <cfRule type="cellIs" dxfId="2" priority="170" operator="lessThan">
      <formula>F25</formula>
    </cfRule>
  </conditionalFormatting>
  <conditionalFormatting sqref="I26">
    <cfRule type="cellIs" dxfId="1" priority="174" operator="equal">
      <formula>0</formula>
    </cfRule>
    <cfRule type="cellIs" dxfId="2" priority="175" operator="lessThan">
      <formula>F26</formula>
    </cfRule>
  </conditionalFormatting>
  <conditionalFormatting sqref="I27">
    <cfRule type="cellIs" dxfId="1" priority="179" operator="equal">
      <formula>0</formula>
    </cfRule>
    <cfRule type="cellIs" dxfId="2" priority="180" operator="lessThan">
      <formula>F27</formula>
    </cfRule>
  </conditionalFormatting>
  <conditionalFormatting sqref="I28">
    <cfRule type="cellIs" dxfId="1" priority="184" operator="equal">
      <formula>0</formula>
    </cfRule>
    <cfRule type="cellIs" dxfId="2" priority="185" operator="lessThan">
      <formula>F28</formula>
    </cfRule>
  </conditionalFormatting>
  <conditionalFormatting sqref="I29">
    <cfRule type="cellIs" dxfId="1" priority="189" operator="equal">
      <formula>0</formula>
    </cfRule>
    <cfRule type="cellIs" dxfId="2" priority="190" operator="lessThan">
      <formula>F29</formula>
    </cfRule>
  </conditionalFormatting>
  <conditionalFormatting sqref="I30">
    <cfRule type="cellIs" dxfId="1" priority="194" operator="equal">
      <formula>0</formula>
    </cfRule>
    <cfRule type="cellIs" dxfId="2" priority="195" operator="lessThan">
      <formula>F30</formula>
    </cfRule>
  </conditionalFormatting>
  <conditionalFormatting sqref="I31">
    <cfRule type="cellIs" dxfId="1" priority="199" operator="equal">
      <formula>0</formula>
    </cfRule>
    <cfRule type="cellIs" dxfId="2" priority="200" operator="lessThan">
      <formula>F31</formula>
    </cfRule>
  </conditionalFormatting>
  <conditionalFormatting sqref="I32">
    <cfRule type="cellIs" dxfId="1" priority="205" operator="equal">
      <formula>0</formula>
    </cfRule>
    <cfRule type="cellIs" dxfId="2" priority="206" operator="lessThan">
      <formula>F32</formula>
    </cfRule>
  </conditionalFormatting>
  <conditionalFormatting sqref="I7">
    <cfRule type="cellIs" dxfId="1" priority="109" operator="equal">
      <formula>0</formula>
    </cfRule>
    <cfRule type="cellIs" dxfId="2" priority="110" operator="lessThan">
      <formula>F7</formula>
    </cfRule>
  </conditionalFormatting>
  <conditionalFormatting sqref="I8">
    <cfRule type="cellIs" dxfId="1" priority="114" operator="equal">
      <formula>0</formula>
    </cfRule>
    <cfRule type="cellIs" dxfId="2" priority="115" operator="lessThan">
      <formula>F8</formula>
    </cfRule>
  </conditionalFormatting>
  <conditionalFormatting sqref="I9">
    <cfRule type="cellIs" dxfId="1" priority="119" operator="equal">
      <formula>0</formula>
    </cfRule>
    <cfRule type="cellIs" dxfId="2" priority="120" operator="lessThan">
      <formula>F9</formula>
    </cfRule>
  </conditionalFormatting>
  <conditionalFormatting sqref="J10">
    <cfRule type="cellIs" dxfId="1" priority="126" operator="greaterThan">
      <formula>I10</formula>
    </cfRule>
  </conditionalFormatting>
  <conditionalFormatting sqref="J11">
    <cfRule type="cellIs" dxfId="1" priority="131" operator="greaterThan">
      <formula>I11</formula>
    </cfRule>
  </conditionalFormatting>
  <conditionalFormatting sqref="J12">
    <cfRule type="cellIs" dxfId="1" priority="136" operator="greaterThan">
      <formula>I12</formula>
    </cfRule>
  </conditionalFormatting>
  <conditionalFormatting sqref="J13">
    <cfRule type="cellIs" dxfId="1" priority="141" operator="greaterThan">
      <formula>I13</formula>
    </cfRule>
  </conditionalFormatting>
  <conditionalFormatting sqref="J19">
    <cfRule type="cellIs" dxfId="1" priority="146" operator="greaterThan">
      <formula>I19</formula>
    </cfRule>
  </conditionalFormatting>
  <conditionalFormatting sqref="J20">
    <cfRule type="cellIs" dxfId="1" priority="151" operator="greaterThan">
      <formula>I20</formula>
    </cfRule>
  </conditionalFormatting>
  <conditionalFormatting sqref="J21">
    <cfRule type="cellIs" dxfId="1" priority="156" operator="greaterThan">
      <formula>I21</formula>
    </cfRule>
  </conditionalFormatting>
  <conditionalFormatting sqref="J23">
    <cfRule type="cellIs" dxfId="1" priority="161" operator="greaterThan">
      <formula>I23</formula>
    </cfRule>
  </conditionalFormatting>
  <conditionalFormatting sqref="J24">
    <cfRule type="cellIs" dxfId="1" priority="166" operator="greaterThan">
      <formula>I24</formula>
    </cfRule>
  </conditionalFormatting>
  <conditionalFormatting sqref="J25">
    <cfRule type="cellIs" dxfId="1" priority="171" operator="greaterThan">
      <formula>I25</formula>
    </cfRule>
  </conditionalFormatting>
  <conditionalFormatting sqref="J26">
    <cfRule type="cellIs" dxfId="1" priority="176" operator="greaterThan">
      <formula>I26</formula>
    </cfRule>
  </conditionalFormatting>
  <conditionalFormatting sqref="J27">
    <cfRule type="cellIs" dxfId="1" priority="181" operator="greaterThan">
      <formula>I27</formula>
    </cfRule>
  </conditionalFormatting>
  <conditionalFormatting sqref="J28">
    <cfRule type="cellIs" dxfId="1" priority="186" operator="greaterThan">
      <formula>I28</formula>
    </cfRule>
  </conditionalFormatting>
  <conditionalFormatting sqref="J29">
    <cfRule type="cellIs" dxfId="1" priority="191" operator="greaterThan">
      <formula>I29</formula>
    </cfRule>
  </conditionalFormatting>
  <conditionalFormatting sqref="J30">
    <cfRule type="cellIs" dxfId="1" priority="196" operator="greaterThan">
      <formula>I30</formula>
    </cfRule>
  </conditionalFormatting>
  <conditionalFormatting sqref="J31">
    <cfRule type="expression" dxfId="3" priority="201">
      <formula>AND(J31&gt;0,J31&lt;5000)</formula>
    </cfRule>
    <cfRule type="cellIs" dxfId="1" priority="202" operator="greaterThan">
      <formula>I31</formula>
    </cfRule>
  </conditionalFormatting>
  <conditionalFormatting sqref="J32">
    <cfRule type="cellIs" dxfId="1" priority="207" operator="greaterThan">
      <formula>I32</formula>
    </cfRule>
  </conditionalFormatting>
  <conditionalFormatting sqref="J7">
    <cfRule type="cellIs" dxfId="1" priority="111" operator="greaterThan">
      <formula>I7</formula>
    </cfRule>
  </conditionalFormatting>
  <conditionalFormatting sqref="J8">
    <cfRule type="cellIs" dxfId="1" priority="116" operator="greaterThan">
      <formula>I8</formula>
    </cfRule>
  </conditionalFormatting>
  <conditionalFormatting sqref="J9">
    <cfRule type="cellIs" dxfId="1" priority="121" operator="greaterThan">
      <formula>I9</formula>
    </cfRule>
  </conditionalFormatting>
  <conditionalFormatting sqref="K10">
    <cfRule type="cellIs" dxfId="4" priority="128" operator="lessThanOrEqual">
      <formula>G10</formula>
    </cfRule>
  </conditionalFormatting>
  <conditionalFormatting sqref="K11">
    <cfRule type="cellIs" dxfId="4" priority="133" operator="lessThanOrEqual">
      <formula>G11</formula>
    </cfRule>
  </conditionalFormatting>
  <conditionalFormatting sqref="K12">
    <cfRule type="cellIs" dxfId="4" priority="138" operator="lessThanOrEqual">
      <formula>G12</formula>
    </cfRule>
  </conditionalFormatting>
  <conditionalFormatting sqref="K13">
    <cfRule type="cellIs" dxfId="4" priority="143" operator="lessThanOrEqual">
      <formula>G13</formula>
    </cfRule>
  </conditionalFormatting>
  <conditionalFormatting sqref="K19">
    <cfRule type="cellIs" dxfId="4" priority="148" operator="lessThanOrEqual">
      <formula>G19</formula>
    </cfRule>
  </conditionalFormatting>
  <conditionalFormatting sqref="K20">
    <cfRule type="cellIs" dxfId="4" priority="153" operator="lessThanOrEqual">
      <formula>G20</formula>
    </cfRule>
  </conditionalFormatting>
  <conditionalFormatting sqref="K21">
    <cfRule type="cellIs" dxfId="4" priority="158" operator="lessThanOrEqual">
      <formula>G21</formula>
    </cfRule>
  </conditionalFormatting>
  <conditionalFormatting sqref="K23">
    <cfRule type="cellIs" dxfId="4" priority="163" operator="lessThanOrEqual">
      <formula>G23</formula>
    </cfRule>
  </conditionalFormatting>
  <conditionalFormatting sqref="K24">
    <cfRule type="cellIs" dxfId="4" priority="168" operator="lessThanOrEqual">
      <formula>G24</formula>
    </cfRule>
  </conditionalFormatting>
  <conditionalFormatting sqref="K25">
    <cfRule type="cellIs" dxfId="4" priority="173" operator="lessThanOrEqual">
      <formula>G25</formula>
    </cfRule>
  </conditionalFormatting>
  <conditionalFormatting sqref="K26">
    <cfRule type="cellIs" dxfId="4" priority="178" operator="lessThanOrEqual">
      <formula>G26</formula>
    </cfRule>
  </conditionalFormatting>
  <conditionalFormatting sqref="K27">
    <cfRule type="cellIs" dxfId="4" priority="183" operator="lessThanOrEqual">
      <formula>G27</formula>
    </cfRule>
  </conditionalFormatting>
  <conditionalFormatting sqref="K28">
    <cfRule type="cellIs" dxfId="4" priority="188" operator="lessThanOrEqual">
      <formula>G28</formula>
    </cfRule>
  </conditionalFormatting>
  <conditionalFormatting sqref="K29">
    <cfRule type="cellIs" dxfId="4" priority="193" operator="lessThanOrEqual">
      <formula>G29</formula>
    </cfRule>
  </conditionalFormatting>
  <conditionalFormatting sqref="K30">
    <cfRule type="cellIs" dxfId="4" priority="198" operator="lessThanOrEqual">
      <formula>G30</formula>
    </cfRule>
  </conditionalFormatting>
  <conditionalFormatting sqref="K31">
    <cfRule type="cellIs" dxfId="4" priority="204" operator="lessThanOrEqual">
      <formula>G31</formula>
    </cfRule>
  </conditionalFormatting>
  <conditionalFormatting sqref="K32">
    <cfRule type="cellIs" dxfId="4" priority="209" operator="lessThanOrEqual">
      <formula>G32</formula>
    </cfRule>
  </conditionalFormatting>
  <conditionalFormatting sqref="K7">
    <cfRule type="cellIs" dxfId="4" priority="113" operator="lessThanOrEqual">
      <formula>G7</formula>
    </cfRule>
  </conditionalFormatting>
  <conditionalFormatting sqref="K8">
    <cfRule type="cellIs" dxfId="4" priority="118" operator="lessThanOrEqual">
      <formula>G8</formula>
    </cfRule>
  </conditionalFormatting>
  <conditionalFormatting sqref="K9">
    <cfRule type="cellIs" dxfId="4" priority="123" operator="lessThanOrEqual">
      <formula>G9</formula>
    </cfRule>
  </conditionalFormatting>
  <conditionalFormatting sqref="L10">
    <cfRule type="cellIs" dxfId="4" priority="127" operator="lessThanOrEqual">
      <formula>H10</formula>
    </cfRule>
  </conditionalFormatting>
  <conditionalFormatting sqref="L11">
    <cfRule type="cellIs" dxfId="4" priority="132" operator="lessThanOrEqual">
      <formula>H11</formula>
    </cfRule>
  </conditionalFormatting>
  <conditionalFormatting sqref="L12">
    <cfRule type="cellIs" dxfId="4" priority="137" operator="lessThanOrEqual">
      <formula>H12</formula>
    </cfRule>
  </conditionalFormatting>
  <conditionalFormatting sqref="L13">
    <cfRule type="cellIs" dxfId="4" priority="142" operator="lessThanOrEqual">
      <formula>H13</formula>
    </cfRule>
  </conditionalFormatting>
  <conditionalFormatting sqref="L19">
    <cfRule type="cellIs" dxfId="4" priority="147" operator="lessThanOrEqual">
      <formula>H19</formula>
    </cfRule>
  </conditionalFormatting>
  <conditionalFormatting sqref="L20">
    <cfRule type="cellIs" dxfId="4" priority="152" operator="lessThanOrEqual">
      <formula>H20</formula>
    </cfRule>
  </conditionalFormatting>
  <conditionalFormatting sqref="L21">
    <cfRule type="cellIs" dxfId="4" priority="157" operator="lessThanOrEqual">
      <formula>H21</formula>
    </cfRule>
  </conditionalFormatting>
  <conditionalFormatting sqref="L23">
    <cfRule type="cellIs" dxfId="4" priority="162" operator="lessThanOrEqual">
      <formula>H23</formula>
    </cfRule>
  </conditionalFormatting>
  <conditionalFormatting sqref="L24">
    <cfRule type="cellIs" dxfId="4" priority="167" operator="lessThanOrEqual">
      <formula>H24</formula>
    </cfRule>
  </conditionalFormatting>
  <conditionalFormatting sqref="L25">
    <cfRule type="cellIs" dxfId="4" priority="172" operator="lessThanOrEqual">
      <formula>H25</formula>
    </cfRule>
  </conditionalFormatting>
  <conditionalFormatting sqref="L26">
    <cfRule type="cellIs" dxfId="4" priority="177" operator="lessThanOrEqual">
      <formula>H26</formula>
    </cfRule>
  </conditionalFormatting>
  <conditionalFormatting sqref="L27">
    <cfRule type="cellIs" dxfId="4" priority="182" operator="lessThanOrEqual">
      <formula>H27</formula>
    </cfRule>
  </conditionalFormatting>
  <conditionalFormatting sqref="L28">
    <cfRule type="cellIs" dxfId="4" priority="187" operator="lessThanOrEqual">
      <formula>H28</formula>
    </cfRule>
  </conditionalFormatting>
  <conditionalFormatting sqref="L29">
    <cfRule type="cellIs" dxfId="4" priority="192" operator="lessThanOrEqual">
      <formula>H29</formula>
    </cfRule>
  </conditionalFormatting>
  <conditionalFormatting sqref="L30">
    <cfRule type="cellIs" dxfId="4" priority="197" operator="lessThanOrEqual">
      <formula>H30</formula>
    </cfRule>
  </conditionalFormatting>
  <conditionalFormatting sqref="L31">
    <cfRule type="cellIs" dxfId="4" priority="203" operator="lessThanOrEqual">
      <formula>H31</formula>
    </cfRule>
  </conditionalFormatting>
  <conditionalFormatting sqref="L32">
    <cfRule type="cellIs" dxfId="4" priority="208" operator="lessThanOrEqual">
      <formula>H32</formula>
    </cfRule>
  </conditionalFormatting>
  <conditionalFormatting sqref="L7">
    <cfRule type="cellIs" dxfId="4" priority="112" operator="lessThanOrEqual">
      <formula>H7</formula>
    </cfRule>
  </conditionalFormatting>
  <conditionalFormatting sqref="L8">
    <cfRule type="cellIs" dxfId="4" priority="117" operator="lessThanOrEqual">
      <formula>H8</formula>
    </cfRule>
  </conditionalFormatting>
  <conditionalFormatting sqref="L9">
    <cfRule type="cellIs" dxfId="4" priority="122" operator="lessThanOrEqual">
      <formula>H9</formula>
    </cfRule>
  </conditionalFormatting>
  <conditionalFormatting sqref="N10">
    <cfRule type="cellIs" dxfId="1" priority="228" operator="equal">
      <formula>0</formula>
    </cfRule>
    <cfRule type="cellIs" dxfId="2" priority="229" operator="lessThan">
      <formula>F10</formula>
    </cfRule>
  </conditionalFormatting>
  <conditionalFormatting sqref="N12">
    <cfRule type="cellIs" dxfId="1" priority="234" operator="equal">
      <formula>0</formula>
    </cfRule>
    <cfRule type="cellIs" dxfId="2" priority="235" operator="lessThan">
      <formula>F12</formula>
    </cfRule>
  </conditionalFormatting>
  <conditionalFormatting sqref="N13">
    <cfRule type="cellIs" dxfId="1" priority="240" operator="equal">
      <formula>0</formula>
    </cfRule>
    <cfRule type="cellIs" dxfId="2" priority="241" operator="lessThan">
      <formula>F13</formula>
    </cfRule>
  </conditionalFormatting>
  <conditionalFormatting sqref="N17">
    <cfRule type="cellIs" dxfId="1" priority="246" operator="equal">
      <formula>0</formula>
    </cfRule>
    <cfRule type="cellIs" dxfId="2" priority="247" operator="lessThan">
      <formula>F17</formula>
    </cfRule>
  </conditionalFormatting>
  <conditionalFormatting sqref="N19">
    <cfRule type="cellIs" dxfId="1" priority="252" operator="equal">
      <formula>0</formula>
    </cfRule>
    <cfRule type="cellIs" dxfId="2" priority="253" operator="lessThan">
      <formula>F19</formula>
    </cfRule>
  </conditionalFormatting>
  <conditionalFormatting sqref="N20">
    <cfRule type="cellIs" dxfId="1" priority="258" operator="equal">
      <formula>0</formula>
    </cfRule>
    <cfRule type="cellIs" dxfId="2" priority="259" operator="lessThan">
      <formula>F20</formula>
    </cfRule>
  </conditionalFormatting>
  <conditionalFormatting sqref="N21">
    <cfRule type="cellIs" dxfId="1" priority="264" operator="equal">
      <formula>0</formula>
    </cfRule>
    <cfRule type="cellIs" dxfId="2" priority="265" operator="lessThan">
      <formula>F21</formula>
    </cfRule>
  </conditionalFormatting>
  <conditionalFormatting sqref="N25">
    <cfRule type="cellIs" dxfId="1" priority="270" operator="equal">
      <formula>0</formula>
    </cfRule>
    <cfRule type="cellIs" dxfId="2" priority="271" operator="lessThan">
      <formula>F25</formula>
    </cfRule>
  </conditionalFormatting>
  <conditionalFormatting sqref="N27">
    <cfRule type="cellIs" dxfId="1" priority="275" operator="equal">
      <formula>0</formula>
    </cfRule>
    <cfRule type="cellIs" dxfId="2" priority="276" operator="lessThan">
      <formula>F27</formula>
    </cfRule>
  </conditionalFormatting>
  <conditionalFormatting sqref="N7">
    <cfRule type="cellIs" dxfId="1" priority="210" operator="equal">
      <formula>0</formula>
    </cfRule>
    <cfRule type="cellIs" dxfId="2" priority="211" operator="lessThan">
      <formula>F7</formula>
    </cfRule>
  </conditionalFormatting>
  <conditionalFormatting sqref="N8">
    <cfRule type="cellIs" dxfId="1" priority="216" operator="equal">
      <formula>0</formula>
    </cfRule>
    <cfRule type="cellIs" dxfId="2" priority="217" operator="lessThan">
      <formula>F8</formula>
    </cfRule>
  </conditionalFormatting>
  <conditionalFormatting sqref="N9">
    <cfRule type="cellIs" dxfId="1" priority="222" operator="equal">
      <formula>0</formula>
    </cfRule>
    <cfRule type="cellIs" dxfId="2" priority="223" operator="lessThan">
      <formula>F9</formula>
    </cfRule>
  </conditionalFormatting>
  <conditionalFormatting sqref="O10">
    <cfRule type="expression" dxfId="3" priority="230">
      <formula>AND(O10&gt;0,O10&lt;10)</formula>
    </cfRule>
    <cfRule type="cellIs" dxfId="1" priority="231" operator="greaterThan">
      <formula>N10</formula>
    </cfRule>
  </conditionalFormatting>
  <conditionalFormatting sqref="O12">
    <cfRule type="expression" dxfId="3" priority="236">
      <formula>AND(O12&gt;0,O12&lt;10)</formula>
    </cfRule>
    <cfRule type="cellIs" dxfId="1" priority="237" operator="greaterThan">
      <formula>N12</formula>
    </cfRule>
  </conditionalFormatting>
  <conditionalFormatting sqref="O13">
    <cfRule type="expression" dxfId="3" priority="242">
      <formula>AND(O13&gt;0,O13&lt;10)</formula>
    </cfRule>
    <cfRule type="cellIs" dxfId="1" priority="243" operator="greaterThan">
      <formula>N13</formula>
    </cfRule>
  </conditionalFormatting>
  <conditionalFormatting sqref="O17">
    <cfRule type="expression" dxfId="3" priority="248">
      <formula>AND(O17&gt;0,O17&lt;5)</formula>
    </cfRule>
    <cfRule type="cellIs" dxfId="1" priority="249" operator="greaterThan">
      <formula>N17</formula>
    </cfRule>
  </conditionalFormatting>
  <conditionalFormatting sqref="O19">
    <cfRule type="expression" dxfId="3" priority="254">
      <formula>AND(O19&gt;0,O19&lt;10)</formula>
    </cfRule>
    <cfRule type="cellIs" dxfId="1" priority="255" operator="greaterThan">
      <formula>N19</formula>
    </cfRule>
  </conditionalFormatting>
  <conditionalFormatting sqref="O20">
    <cfRule type="expression" dxfId="3" priority="260">
      <formula>AND(O20&gt;0,O20&lt;10)</formula>
    </cfRule>
    <cfRule type="cellIs" dxfId="1" priority="261" operator="greaterThan">
      <formula>N20</formula>
    </cfRule>
  </conditionalFormatting>
  <conditionalFormatting sqref="O21">
    <cfRule type="expression" dxfId="3" priority="266">
      <formula>AND(O21&gt;0,O21&lt;10)</formula>
    </cfRule>
    <cfRule type="cellIs" dxfId="1" priority="267" operator="greaterThan">
      <formula>N21</formula>
    </cfRule>
  </conditionalFormatting>
  <conditionalFormatting sqref="O25">
    <cfRule type="cellIs" dxfId="1" priority="272" operator="greaterThan">
      <formula>N25</formula>
    </cfRule>
  </conditionalFormatting>
  <conditionalFormatting sqref="O27">
    <cfRule type="cellIs" dxfId="1" priority="277" operator="greaterThan">
      <formula>N27</formula>
    </cfRule>
  </conditionalFormatting>
  <conditionalFormatting sqref="O7">
    <cfRule type="expression" dxfId="3" priority="212">
      <formula>AND(O7&gt;0,O7&lt;5)</formula>
    </cfRule>
    <cfRule type="cellIs" dxfId="1" priority="213" operator="greaterThan">
      <formula>N7</formula>
    </cfRule>
  </conditionalFormatting>
  <conditionalFormatting sqref="O8">
    <cfRule type="expression" dxfId="3" priority="218">
      <formula>AND(O8&gt;0,O8&lt;900)</formula>
    </cfRule>
    <cfRule type="cellIs" dxfId="1" priority="219" operator="greaterThan">
      <formula>N8</formula>
    </cfRule>
  </conditionalFormatting>
  <conditionalFormatting sqref="O9">
    <cfRule type="expression" dxfId="3" priority="224">
      <formula>AND(O9&gt;0,O9&lt;5)</formula>
    </cfRule>
    <cfRule type="cellIs" dxfId="1" priority="225" operator="greaterThan">
      <formula>N9</formula>
    </cfRule>
  </conditionalFormatting>
  <conditionalFormatting sqref="P10">
    <cfRule type="cellIs" dxfId="4" priority="233" operator="lessThanOrEqual">
      <formula>G10</formula>
    </cfRule>
  </conditionalFormatting>
  <conditionalFormatting sqref="P12">
    <cfRule type="cellIs" dxfId="4" priority="239" operator="lessThanOrEqual">
      <formula>G12</formula>
    </cfRule>
  </conditionalFormatting>
  <conditionalFormatting sqref="P13">
    <cfRule type="cellIs" dxfId="4" priority="245" operator="lessThanOrEqual">
      <formula>G13</formula>
    </cfRule>
  </conditionalFormatting>
  <conditionalFormatting sqref="P17">
    <cfRule type="cellIs" dxfId="4" priority="251" operator="lessThanOrEqual">
      <formula>G17</formula>
    </cfRule>
  </conditionalFormatting>
  <conditionalFormatting sqref="P19">
    <cfRule type="cellIs" dxfId="4" priority="257" operator="lessThanOrEqual">
      <formula>G19</formula>
    </cfRule>
  </conditionalFormatting>
  <conditionalFormatting sqref="P20">
    <cfRule type="cellIs" dxfId="4" priority="263" operator="lessThanOrEqual">
      <formula>G20</formula>
    </cfRule>
  </conditionalFormatting>
  <conditionalFormatting sqref="P21">
    <cfRule type="cellIs" dxfId="4" priority="269" operator="lessThanOrEqual">
      <formula>G21</formula>
    </cfRule>
  </conditionalFormatting>
  <conditionalFormatting sqref="P25">
    <cfRule type="cellIs" dxfId="4" priority="274" operator="lessThanOrEqual">
      <formula>G25</formula>
    </cfRule>
  </conditionalFormatting>
  <conditionalFormatting sqref="P27">
    <cfRule type="cellIs" dxfId="4" priority="279" operator="lessThanOrEqual">
      <formula>G27</formula>
    </cfRule>
  </conditionalFormatting>
  <conditionalFormatting sqref="P7">
    <cfRule type="cellIs" dxfId="4" priority="215" operator="lessThanOrEqual">
      <formula>G7</formula>
    </cfRule>
  </conditionalFormatting>
  <conditionalFormatting sqref="P8">
    <cfRule type="cellIs" dxfId="4" priority="221" operator="lessThanOrEqual">
      <formula>G8</formula>
    </cfRule>
  </conditionalFormatting>
  <conditionalFormatting sqref="P9">
    <cfRule type="cellIs" dxfId="4" priority="227" operator="lessThanOrEqual">
      <formula>G9</formula>
    </cfRule>
  </conditionalFormatting>
  <conditionalFormatting sqref="Q10">
    <cfRule type="cellIs" dxfId="4" priority="232" operator="lessThanOrEqual">
      <formula>H10</formula>
    </cfRule>
  </conditionalFormatting>
  <conditionalFormatting sqref="Q12">
    <cfRule type="cellIs" dxfId="4" priority="238" operator="lessThanOrEqual">
      <formula>H12</formula>
    </cfRule>
  </conditionalFormatting>
  <conditionalFormatting sqref="Q13">
    <cfRule type="cellIs" dxfId="4" priority="244" operator="lessThanOrEqual">
      <formula>H13</formula>
    </cfRule>
  </conditionalFormatting>
  <conditionalFormatting sqref="Q17">
    <cfRule type="cellIs" dxfId="4" priority="250" operator="lessThanOrEqual">
      <formula>H17</formula>
    </cfRule>
  </conditionalFormatting>
  <conditionalFormatting sqref="Q19">
    <cfRule type="cellIs" dxfId="4" priority="256" operator="lessThanOrEqual">
      <formula>H19</formula>
    </cfRule>
  </conditionalFormatting>
  <conditionalFormatting sqref="Q20">
    <cfRule type="cellIs" dxfId="4" priority="262" operator="lessThanOrEqual">
      <formula>H20</formula>
    </cfRule>
  </conditionalFormatting>
  <conditionalFormatting sqref="Q21">
    <cfRule type="cellIs" dxfId="4" priority="268" operator="lessThanOrEqual">
      <formula>H21</formula>
    </cfRule>
  </conditionalFormatting>
  <conditionalFormatting sqref="Q25">
    <cfRule type="cellIs" dxfId="4" priority="273" operator="lessThanOrEqual">
      <formula>H25</formula>
    </cfRule>
  </conditionalFormatting>
  <conditionalFormatting sqref="Q27">
    <cfRule type="cellIs" dxfId="4" priority="278" operator="lessThanOrEqual">
      <formula>H27</formula>
    </cfRule>
  </conditionalFormatting>
  <conditionalFormatting sqref="Q7">
    <cfRule type="cellIs" dxfId="4" priority="214" operator="lessThanOrEqual">
      <formula>H7</formula>
    </cfRule>
  </conditionalFormatting>
  <conditionalFormatting sqref="Q8">
    <cfRule type="cellIs" dxfId="4" priority="220" operator="lessThanOrEqual">
      <formula>H8</formula>
    </cfRule>
  </conditionalFormatting>
  <conditionalFormatting sqref="Q9">
    <cfRule type="cellIs" dxfId="4" priority="226" operator="lessThanOrEqual">
      <formula>H9</formula>
    </cfRule>
  </conditionalFormatting>
  <conditionalFormatting sqref="S10">
    <cfRule type="cellIs" dxfId="1" priority="295" operator="equal">
      <formula>0</formula>
    </cfRule>
    <cfRule type="cellIs" dxfId="2" priority="296" operator="lessThan">
      <formula>F10</formula>
    </cfRule>
  </conditionalFormatting>
  <conditionalFormatting sqref="S11">
    <cfRule type="cellIs" dxfId="1" priority="300" operator="equal">
      <formula>0</formula>
    </cfRule>
    <cfRule type="cellIs" dxfId="2" priority="301" operator="lessThan">
      <formula>F11</formula>
    </cfRule>
  </conditionalFormatting>
  <conditionalFormatting sqref="S12">
    <cfRule type="cellIs" dxfId="1" priority="305" operator="equal">
      <formula>0</formula>
    </cfRule>
    <cfRule type="cellIs" dxfId="2" priority="306" operator="lessThan">
      <formula>F12</formula>
    </cfRule>
  </conditionalFormatting>
  <conditionalFormatting sqref="S13">
    <cfRule type="cellIs" dxfId="1" priority="310" operator="equal">
      <formula>0</formula>
    </cfRule>
    <cfRule type="cellIs" dxfId="2" priority="311" operator="lessThan">
      <formula>F13</formula>
    </cfRule>
  </conditionalFormatting>
  <conditionalFormatting sqref="S19">
    <cfRule type="cellIs" dxfId="1" priority="315" operator="equal">
      <formula>0</formula>
    </cfRule>
    <cfRule type="cellIs" dxfId="2" priority="316" operator="lessThan">
      <formula>F19</formula>
    </cfRule>
  </conditionalFormatting>
  <conditionalFormatting sqref="S20">
    <cfRule type="cellIs" dxfId="1" priority="320" operator="equal">
      <formula>0</formula>
    </cfRule>
    <cfRule type="cellIs" dxfId="2" priority="321" operator="lessThan">
      <formula>F20</formula>
    </cfRule>
  </conditionalFormatting>
  <conditionalFormatting sqref="S21">
    <cfRule type="cellIs" dxfId="1" priority="325" operator="equal">
      <formula>0</formula>
    </cfRule>
    <cfRule type="cellIs" dxfId="2" priority="326" operator="lessThan">
      <formula>F21</formula>
    </cfRule>
  </conditionalFormatting>
  <conditionalFormatting sqref="S23">
    <cfRule type="cellIs" dxfId="1" priority="330" operator="equal">
      <formula>0</formula>
    </cfRule>
    <cfRule type="cellIs" dxfId="2" priority="331" operator="lessThan">
      <formula>F23</formula>
    </cfRule>
  </conditionalFormatting>
  <conditionalFormatting sqref="S24">
    <cfRule type="cellIs" dxfId="1" priority="335" operator="equal">
      <formula>0</formula>
    </cfRule>
    <cfRule type="cellIs" dxfId="2" priority="336" operator="lessThan">
      <formula>F24</formula>
    </cfRule>
  </conditionalFormatting>
  <conditionalFormatting sqref="S25">
    <cfRule type="cellIs" dxfId="1" priority="340" operator="equal">
      <formula>0</formula>
    </cfRule>
    <cfRule type="cellIs" dxfId="2" priority="341" operator="lessThan">
      <formula>F25</formula>
    </cfRule>
  </conditionalFormatting>
  <conditionalFormatting sqref="S26">
    <cfRule type="cellIs" dxfId="1" priority="345" operator="equal">
      <formula>0</formula>
    </cfRule>
    <cfRule type="cellIs" dxfId="2" priority="346" operator="lessThan">
      <formula>F26</formula>
    </cfRule>
  </conditionalFormatting>
  <conditionalFormatting sqref="S27">
    <cfRule type="cellIs" dxfId="1" priority="350" operator="equal">
      <formula>0</formula>
    </cfRule>
    <cfRule type="cellIs" dxfId="2" priority="351" operator="lessThan">
      <formula>F27</formula>
    </cfRule>
  </conditionalFormatting>
  <conditionalFormatting sqref="S28">
    <cfRule type="cellIs" dxfId="1" priority="355" operator="equal">
      <formula>0</formula>
    </cfRule>
    <cfRule type="cellIs" dxfId="2" priority="356" operator="lessThan">
      <formula>F28</formula>
    </cfRule>
  </conditionalFormatting>
  <conditionalFormatting sqref="S29">
    <cfRule type="cellIs" dxfId="1" priority="360" operator="equal">
      <formula>0</formula>
    </cfRule>
    <cfRule type="cellIs" dxfId="2" priority="361" operator="lessThan">
      <formula>F29</formula>
    </cfRule>
  </conditionalFormatting>
  <conditionalFormatting sqref="S30">
    <cfRule type="cellIs" dxfId="1" priority="365" operator="equal">
      <formula>0</formula>
    </cfRule>
    <cfRule type="cellIs" dxfId="2" priority="366" operator="lessThan">
      <formula>F30</formula>
    </cfRule>
  </conditionalFormatting>
  <conditionalFormatting sqref="S31">
    <cfRule type="cellIs" dxfId="1" priority="370" operator="equal">
      <formula>0</formula>
    </cfRule>
    <cfRule type="cellIs" dxfId="2" priority="371" operator="lessThan">
      <formula>F31</formula>
    </cfRule>
  </conditionalFormatting>
  <conditionalFormatting sqref="S32">
    <cfRule type="cellIs" dxfId="1" priority="375" operator="equal">
      <formula>0</formula>
    </cfRule>
    <cfRule type="cellIs" dxfId="2" priority="376" operator="lessThan">
      <formula>F32</formula>
    </cfRule>
  </conditionalFormatting>
  <conditionalFormatting sqref="S7">
    <cfRule type="cellIs" dxfId="1" priority="280" operator="equal">
      <formula>0</formula>
    </cfRule>
    <cfRule type="cellIs" dxfId="2" priority="281" operator="lessThan">
      <formula>F7</formula>
    </cfRule>
  </conditionalFormatting>
  <conditionalFormatting sqref="S8">
    <cfRule type="cellIs" dxfId="1" priority="285" operator="equal">
      <formula>0</formula>
    </cfRule>
    <cfRule type="cellIs" dxfId="2" priority="286" operator="lessThan">
      <formula>F8</formula>
    </cfRule>
  </conditionalFormatting>
  <conditionalFormatting sqref="S9">
    <cfRule type="cellIs" dxfId="1" priority="290" operator="equal">
      <formula>0</formula>
    </cfRule>
    <cfRule type="cellIs" dxfId="2" priority="291" operator="lessThan">
      <formula>F9</formula>
    </cfRule>
  </conditionalFormatting>
  <conditionalFormatting sqref="T10">
    <cfRule type="cellIs" dxfId="1" priority="297" operator="greaterThan">
      <formula>S10</formula>
    </cfRule>
  </conditionalFormatting>
  <conditionalFormatting sqref="T11">
    <cfRule type="cellIs" dxfId="1" priority="302" operator="greaterThan">
      <formula>S11</formula>
    </cfRule>
  </conditionalFormatting>
  <conditionalFormatting sqref="T12">
    <cfRule type="cellIs" dxfId="1" priority="307" operator="greaterThan">
      <formula>S12</formula>
    </cfRule>
  </conditionalFormatting>
  <conditionalFormatting sqref="T13">
    <cfRule type="cellIs" dxfId="1" priority="312" operator="greaterThan">
      <formula>S13</formula>
    </cfRule>
  </conditionalFormatting>
  <conditionalFormatting sqref="T19">
    <cfRule type="cellIs" dxfId="1" priority="317" operator="greaterThan">
      <formula>S19</formula>
    </cfRule>
  </conditionalFormatting>
  <conditionalFormatting sqref="T20">
    <cfRule type="cellIs" dxfId="1" priority="322" operator="greaterThan">
      <formula>S20</formula>
    </cfRule>
  </conditionalFormatting>
  <conditionalFormatting sqref="T21">
    <cfRule type="cellIs" dxfId="1" priority="327" operator="greaterThan">
      <formula>S21</formula>
    </cfRule>
  </conditionalFormatting>
  <conditionalFormatting sqref="T23">
    <cfRule type="cellIs" dxfId="1" priority="332" operator="greaterThan">
      <formula>S23</formula>
    </cfRule>
  </conditionalFormatting>
  <conditionalFormatting sqref="T24">
    <cfRule type="cellIs" dxfId="1" priority="337" operator="greaterThan">
      <formula>S24</formula>
    </cfRule>
  </conditionalFormatting>
  <conditionalFormatting sqref="T25">
    <cfRule type="cellIs" dxfId="1" priority="342" operator="greaterThan">
      <formula>S25</formula>
    </cfRule>
  </conditionalFormatting>
  <conditionalFormatting sqref="T26">
    <cfRule type="cellIs" dxfId="1" priority="347" operator="greaterThan">
      <formula>S26</formula>
    </cfRule>
  </conditionalFormatting>
  <conditionalFormatting sqref="T27">
    <cfRule type="cellIs" dxfId="1" priority="352" operator="greaterThan">
      <formula>S27</formula>
    </cfRule>
  </conditionalFormatting>
  <conditionalFormatting sqref="T28">
    <cfRule type="cellIs" dxfId="1" priority="357" operator="greaterThan">
      <formula>S28</formula>
    </cfRule>
  </conditionalFormatting>
  <conditionalFormatting sqref="T29">
    <cfRule type="cellIs" dxfId="1" priority="362" operator="greaterThan">
      <formula>S29</formula>
    </cfRule>
  </conditionalFormatting>
  <conditionalFormatting sqref="T30">
    <cfRule type="cellIs" dxfId="1" priority="367" operator="greaterThan">
      <formula>S30</formula>
    </cfRule>
  </conditionalFormatting>
  <conditionalFormatting sqref="T31">
    <cfRule type="cellIs" dxfId="1" priority="372" operator="greaterThan">
      <formula>S31</formula>
    </cfRule>
  </conditionalFormatting>
  <conditionalFormatting sqref="T32">
    <cfRule type="cellIs" dxfId="1" priority="377" operator="greaterThan">
      <formula>S32</formula>
    </cfRule>
  </conditionalFormatting>
  <conditionalFormatting sqref="T7">
    <cfRule type="cellIs" dxfId="1" priority="282" operator="greaterThan">
      <formula>S7</formula>
    </cfRule>
  </conditionalFormatting>
  <conditionalFormatting sqref="T8">
    <cfRule type="cellIs" dxfId="1" priority="287" operator="greaterThan">
      <formula>S8</formula>
    </cfRule>
  </conditionalFormatting>
  <conditionalFormatting sqref="T9">
    <cfRule type="cellIs" dxfId="1" priority="292" operator="greaterThan">
      <formula>S9</formula>
    </cfRule>
  </conditionalFormatting>
  <conditionalFormatting sqref="U10">
    <cfRule type="cellIs" dxfId="4" priority="299" operator="lessThanOrEqual">
      <formula>G10</formula>
    </cfRule>
  </conditionalFormatting>
  <conditionalFormatting sqref="U11">
    <cfRule type="cellIs" dxfId="4" priority="304" operator="lessThanOrEqual">
      <formula>G11</formula>
    </cfRule>
  </conditionalFormatting>
  <conditionalFormatting sqref="U12">
    <cfRule type="cellIs" dxfId="4" priority="309" operator="lessThanOrEqual">
      <formula>G12</formula>
    </cfRule>
  </conditionalFormatting>
  <conditionalFormatting sqref="U13">
    <cfRule type="cellIs" dxfId="4" priority="314" operator="lessThanOrEqual">
      <formula>G13</formula>
    </cfRule>
  </conditionalFormatting>
  <conditionalFormatting sqref="U19">
    <cfRule type="cellIs" dxfId="4" priority="319" operator="lessThanOrEqual">
      <formula>G19</formula>
    </cfRule>
  </conditionalFormatting>
  <conditionalFormatting sqref="U20">
    <cfRule type="cellIs" dxfId="4" priority="324" operator="lessThanOrEqual">
      <formula>G20</formula>
    </cfRule>
  </conditionalFormatting>
  <conditionalFormatting sqref="U21">
    <cfRule type="cellIs" dxfId="4" priority="329" operator="lessThanOrEqual">
      <formula>G21</formula>
    </cfRule>
  </conditionalFormatting>
  <conditionalFormatting sqref="U23">
    <cfRule type="cellIs" dxfId="4" priority="334" operator="lessThanOrEqual">
      <formula>G23</formula>
    </cfRule>
  </conditionalFormatting>
  <conditionalFormatting sqref="U24">
    <cfRule type="cellIs" dxfId="4" priority="339" operator="lessThanOrEqual">
      <formula>G24</formula>
    </cfRule>
  </conditionalFormatting>
  <conditionalFormatting sqref="U25">
    <cfRule type="cellIs" dxfId="4" priority="344" operator="lessThanOrEqual">
      <formula>G25</formula>
    </cfRule>
  </conditionalFormatting>
  <conditionalFormatting sqref="U26">
    <cfRule type="cellIs" dxfId="4" priority="349" operator="lessThanOrEqual">
      <formula>G26</formula>
    </cfRule>
  </conditionalFormatting>
  <conditionalFormatting sqref="U27">
    <cfRule type="cellIs" dxfId="4" priority="354" operator="lessThanOrEqual">
      <formula>G27</formula>
    </cfRule>
  </conditionalFormatting>
  <conditionalFormatting sqref="U28">
    <cfRule type="cellIs" dxfId="4" priority="359" operator="lessThanOrEqual">
      <formula>G28</formula>
    </cfRule>
  </conditionalFormatting>
  <conditionalFormatting sqref="U29">
    <cfRule type="cellIs" dxfId="4" priority="364" operator="lessThanOrEqual">
      <formula>G29</formula>
    </cfRule>
  </conditionalFormatting>
  <conditionalFormatting sqref="U30">
    <cfRule type="cellIs" dxfId="4" priority="369" operator="lessThanOrEqual">
      <formula>G30</formula>
    </cfRule>
  </conditionalFormatting>
  <conditionalFormatting sqref="U31">
    <cfRule type="cellIs" dxfId="4" priority="374" operator="lessThanOrEqual">
      <formula>G31</formula>
    </cfRule>
  </conditionalFormatting>
  <conditionalFormatting sqref="U32">
    <cfRule type="cellIs" dxfId="4" priority="379" operator="lessThanOrEqual">
      <formula>G32</formula>
    </cfRule>
  </conditionalFormatting>
  <conditionalFormatting sqref="U7">
    <cfRule type="cellIs" dxfId="4" priority="284" operator="lessThanOrEqual">
      <formula>G7</formula>
    </cfRule>
  </conditionalFormatting>
  <conditionalFormatting sqref="U8">
    <cfRule type="cellIs" dxfId="4" priority="289" operator="lessThanOrEqual">
      <formula>G8</formula>
    </cfRule>
  </conditionalFormatting>
  <conditionalFormatting sqref="U9">
    <cfRule type="cellIs" dxfId="4" priority="294" operator="lessThanOrEqual">
      <formula>G9</formula>
    </cfRule>
  </conditionalFormatting>
  <conditionalFormatting sqref="V10">
    <cfRule type="cellIs" dxfId="4" priority="298" operator="lessThanOrEqual">
      <formula>H10</formula>
    </cfRule>
  </conditionalFormatting>
  <conditionalFormatting sqref="V11">
    <cfRule type="cellIs" dxfId="4" priority="303" operator="lessThanOrEqual">
      <formula>H11</formula>
    </cfRule>
  </conditionalFormatting>
  <conditionalFormatting sqref="V12">
    <cfRule type="cellIs" dxfId="4" priority="308" operator="lessThanOrEqual">
      <formula>H12</formula>
    </cfRule>
  </conditionalFormatting>
  <conditionalFormatting sqref="V13">
    <cfRule type="cellIs" dxfId="4" priority="313" operator="lessThanOrEqual">
      <formula>H13</formula>
    </cfRule>
  </conditionalFormatting>
  <conditionalFormatting sqref="V19">
    <cfRule type="cellIs" dxfId="4" priority="318" operator="lessThanOrEqual">
      <formula>H19</formula>
    </cfRule>
  </conditionalFormatting>
  <conditionalFormatting sqref="V20">
    <cfRule type="cellIs" dxfId="4" priority="323" operator="lessThanOrEqual">
      <formula>H20</formula>
    </cfRule>
  </conditionalFormatting>
  <conditionalFormatting sqref="V21">
    <cfRule type="cellIs" dxfId="4" priority="328" operator="lessThanOrEqual">
      <formula>H21</formula>
    </cfRule>
  </conditionalFormatting>
  <conditionalFormatting sqref="V23">
    <cfRule type="cellIs" dxfId="4" priority="333" operator="lessThanOrEqual">
      <formula>H23</formula>
    </cfRule>
  </conditionalFormatting>
  <conditionalFormatting sqref="V24">
    <cfRule type="cellIs" dxfId="4" priority="338" operator="lessThanOrEqual">
      <formula>H24</formula>
    </cfRule>
  </conditionalFormatting>
  <conditionalFormatting sqref="V25">
    <cfRule type="cellIs" dxfId="4" priority="343" operator="lessThanOrEqual">
      <formula>H25</formula>
    </cfRule>
  </conditionalFormatting>
  <conditionalFormatting sqref="V26">
    <cfRule type="cellIs" dxfId="4" priority="348" operator="lessThanOrEqual">
      <formula>H26</formula>
    </cfRule>
  </conditionalFormatting>
  <conditionalFormatting sqref="V27">
    <cfRule type="cellIs" dxfId="4" priority="353" operator="lessThanOrEqual">
      <formula>H27</formula>
    </cfRule>
  </conditionalFormatting>
  <conditionalFormatting sqref="V28">
    <cfRule type="cellIs" dxfId="4" priority="358" operator="lessThanOrEqual">
      <formula>H28</formula>
    </cfRule>
  </conditionalFormatting>
  <conditionalFormatting sqref="V29">
    <cfRule type="cellIs" dxfId="4" priority="363" operator="lessThanOrEqual">
      <formula>H29</formula>
    </cfRule>
  </conditionalFormatting>
  <conditionalFormatting sqref="V30">
    <cfRule type="cellIs" dxfId="4" priority="368" operator="lessThanOrEqual">
      <formula>H30</formula>
    </cfRule>
  </conditionalFormatting>
  <conditionalFormatting sqref="V31">
    <cfRule type="cellIs" dxfId="4" priority="373" operator="lessThanOrEqual">
      <formula>H31</formula>
    </cfRule>
  </conditionalFormatting>
  <conditionalFormatting sqref="V32">
    <cfRule type="cellIs" dxfId="4" priority="378" operator="lessThanOrEqual">
      <formula>H32</formula>
    </cfRule>
  </conditionalFormatting>
  <conditionalFormatting sqref="V7">
    <cfRule type="cellIs" dxfId="4" priority="283" operator="lessThanOrEqual">
      <formula>H7</formula>
    </cfRule>
  </conditionalFormatting>
  <conditionalFormatting sqref="V8">
    <cfRule type="cellIs" dxfId="4" priority="288" operator="lessThanOrEqual">
      <formula>H8</formula>
    </cfRule>
  </conditionalFormatting>
  <conditionalFormatting sqref="V9">
    <cfRule type="cellIs" dxfId="4" priority="293" operator="lessThanOrEqual">
      <formula>H9</formula>
    </cfRule>
  </conditionalFormatting>
  <conditionalFormatting sqref="X10">
    <cfRule type="cellIs" dxfId="1" priority="392" operator="equal">
      <formula>0</formula>
    </cfRule>
    <cfRule type="cellIs" dxfId="2" priority="393" operator="lessThan">
      <formula>F10</formula>
    </cfRule>
  </conditionalFormatting>
  <conditionalFormatting sqref="X12">
    <cfRule type="cellIs" dxfId="1" priority="398" operator="equal">
      <formula>0</formula>
    </cfRule>
    <cfRule type="cellIs" dxfId="2" priority="399" operator="lessThan">
      <formula>F12</formula>
    </cfRule>
  </conditionalFormatting>
  <conditionalFormatting sqref="X13">
    <cfRule type="cellIs" dxfId="1" priority="404" operator="equal">
      <formula>0</formula>
    </cfRule>
    <cfRule type="cellIs" dxfId="2" priority="405" operator="lessThan">
      <formula>F13</formula>
    </cfRule>
  </conditionalFormatting>
  <conditionalFormatting sqref="X17">
    <cfRule type="cellIs" dxfId="1" priority="410" operator="equal">
      <formula>0</formula>
    </cfRule>
    <cfRule type="cellIs" dxfId="2" priority="411" operator="lessThan">
      <formula>F17</formula>
    </cfRule>
  </conditionalFormatting>
  <conditionalFormatting sqref="X20">
    <cfRule type="cellIs" dxfId="1" priority="416" operator="equal">
      <formula>0</formula>
    </cfRule>
    <cfRule type="cellIs" dxfId="2" priority="417" operator="lessThan">
      <formula>F20</formula>
    </cfRule>
  </conditionalFormatting>
  <conditionalFormatting sqref="X21">
    <cfRule type="cellIs" dxfId="1" priority="422" operator="equal">
      <formula>0</formula>
    </cfRule>
    <cfRule type="cellIs" dxfId="2" priority="423" operator="lessThan">
      <formula>F21</formula>
    </cfRule>
  </conditionalFormatting>
  <conditionalFormatting sqref="X25">
    <cfRule type="cellIs" dxfId="1" priority="428" operator="equal">
      <formula>0</formula>
    </cfRule>
    <cfRule type="cellIs" dxfId="2" priority="429" operator="lessThan">
      <formula>F25</formula>
    </cfRule>
  </conditionalFormatting>
  <conditionalFormatting sqref="X27">
    <cfRule type="cellIs" dxfId="1" priority="434" operator="equal">
      <formula>0</formula>
    </cfRule>
    <cfRule type="cellIs" dxfId="2" priority="435" operator="lessThan">
      <formula>F27</formula>
    </cfRule>
  </conditionalFormatting>
  <conditionalFormatting sqref="X7">
    <cfRule type="cellIs" dxfId="1" priority="380" operator="equal">
      <formula>0</formula>
    </cfRule>
    <cfRule type="cellIs" dxfId="2" priority="381" operator="lessThan">
      <formula>F7</formula>
    </cfRule>
  </conditionalFormatting>
  <conditionalFormatting sqref="X9">
    <cfRule type="cellIs" dxfId="1" priority="386" operator="equal">
      <formula>0</formula>
    </cfRule>
    <cfRule type="cellIs" dxfId="2" priority="387" operator="lessThan">
      <formula>F9</formula>
    </cfRule>
  </conditionalFormatting>
  <conditionalFormatting sqref="Y10">
    <cfRule type="expression" dxfId="3" priority="394">
      <formula>AND(Y10&gt;0,Y10&lt;100)</formula>
    </cfRule>
    <cfRule type="cellIs" dxfId="1" priority="395" operator="greaterThan">
      <formula>X10</formula>
    </cfRule>
  </conditionalFormatting>
  <conditionalFormatting sqref="Y12">
    <cfRule type="expression" dxfId="3" priority="400">
      <formula>AND(Y12&gt;0,Y12&lt;200)</formula>
    </cfRule>
    <cfRule type="cellIs" dxfId="1" priority="401" operator="greaterThan">
      <formula>X12</formula>
    </cfRule>
  </conditionalFormatting>
  <conditionalFormatting sqref="Y13">
    <cfRule type="expression" dxfId="3" priority="406">
      <formula>AND(Y13&gt;0,Y13&lt;50)</formula>
    </cfRule>
    <cfRule type="cellIs" dxfId="1" priority="407" operator="greaterThan">
      <formula>X13</formula>
    </cfRule>
  </conditionalFormatting>
  <conditionalFormatting sqref="Y17">
    <cfRule type="expression" dxfId="3" priority="412">
      <formula>AND(Y17&gt;0,Y17&lt;40)</formula>
    </cfRule>
    <cfRule type="cellIs" dxfId="1" priority="413" operator="greaterThan">
      <formula>X17</formula>
    </cfRule>
  </conditionalFormatting>
  <conditionalFormatting sqref="Y20">
    <cfRule type="expression" dxfId="3" priority="418">
      <formula>AND(Y20&gt;0,Y20&lt;1000)</formula>
    </cfRule>
    <cfRule type="cellIs" dxfId="1" priority="419" operator="greaterThan">
      <formula>X20</formula>
    </cfRule>
  </conditionalFormatting>
  <conditionalFormatting sqref="Y21">
    <cfRule type="expression" dxfId="3" priority="424">
      <formula>AND(Y21&gt;0,Y21&lt;1000)</formula>
    </cfRule>
    <cfRule type="cellIs" dxfId="1" priority="425" operator="greaterThan">
      <formula>X21</formula>
    </cfRule>
  </conditionalFormatting>
  <conditionalFormatting sqref="Y25">
    <cfRule type="expression" dxfId="3" priority="430">
      <formula>AND(Y25&gt;0,Y25&lt;5)</formula>
    </cfRule>
    <cfRule type="cellIs" dxfId="1" priority="431" operator="greaterThan">
      <formula>X25</formula>
    </cfRule>
  </conditionalFormatting>
  <conditionalFormatting sqref="Y27">
    <cfRule type="cellIs" dxfId="1" priority="436" operator="greaterThan">
      <formula>X27</formula>
    </cfRule>
  </conditionalFormatting>
  <conditionalFormatting sqref="Y7">
    <cfRule type="expression" dxfId="3" priority="382">
      <formula>AND(Y7&gt;0,Y7&lt;10)</formula>
    </cfRule>
    <cfRule type="cellIs" dxfId="1" priority="383" operator="greaterThan">
      <formula>X7</formula>
    </cfRule>
  </conditionalFormatting>
  <conditionalFormatting sqref="Y9">
    <cfRule type="expression" dxfId="3" priority="388">
      <formula>AND(Y9&gt;0,Y9&lt;5)</formula>
    </cfRule>
    <cfRule type="cellIs" dxfId="1" priority="389" operator="greaterThan">
      <formula>X9</formula>
    </cfRule>
  </conditionalFormatting>
  <conditionalFormatting sqref="Z10">
    <cfRule type="cellIs" dxfId="4" priority="397" operator="lessThanOrEqual">
      <formula>G10</formula>
    </cfRule>
  </conditionalFormatting>
  <conditionalFormatting sqref="Z12">
    <cfRule type="cellIs" dxfId="4" priority="403" operator="lessThanOrEqual">
      <formula>G12</formula>
    </cfRule>
  </conditionalFormatting>
  <conditionalFormatting sqref="Z13">
    <cfRule type="cellIs" dxfId="4" priority="409" operator="lessThanOrEqual">
      <formula>G13</formula>
    </cfRule>
  </conditionalFormatting>
  <conditionalFormatting sqref="Z17">
    <cfRule type="cellIs" dxfId="4" priority="415" operator="lessThanOrEqual">
      <formula>G17</formula>
    </cfRule>
  </conditionalFormatting>
  <conditionalFormatting sqref="Z20">
    <cfRule type="cellIs" dxfId="4" priority="421" operator="lessThanOrEqual">
      <formula>G20</formula>
    </cfRule>
  </conditionalFormatting>
  <conditionalFormatting sqref="Z21">
    <cfRule type="cellIs" dxfId="4" priority="427" operator="lessThanOrEqual">
      <formula>G21</formula>
    </cfRule>
  </conditionalFormatting>
  <conditionalFormatting sqref="Z25">
    <cfRule type="cellIs" dxfId="4" priority="433" operator="lessThanOrEqual">
      <formula>G25</formula>
    </cfRule>
  </conditionalFormatting>
  <conditionalFormatting sqref="Z27">
    <cfRule type="cellIs" dxfId="4" priority="438" operator="lessThanOrEqual">
      <formula>G27</formula>
    </cfRule>
  </conditionalFormatting>
  <conditionalFormatting sqref="Z7">
    <cfRule type="cellIs" dxfId="4" priority="385" operator="lessThanOrEqual">
      <formula>G7</formula>
    </cfRule>
  </conditionalFormatting>
  <conditionalFormatting sqref="Z9">
    <cfRule type="cellIs" dxfId="4" priority="391" operator="lessThanOrEqual">
      <formula>G9</formula>
    </cfRule>
  </conditionalFormatting>
  <hyperlinks>
    <hyperlink ref="E7" r:id="rId1"/>
    <hyperlink ref="M7" r:id="rId2"/>
    <hyperlink ref="R7" r:id="rId3"/>
    <hyperlink ref="W7" r:id="rId4"/>
    <hyperlink ref="AB7" r:id="rId5"/>
    <hyperlink ref="E8" r:id="rId6"/>
    <hyperlink ref="M8" r:id="rId7"/>
    <hyperlink ref="R8" r:id="rId8"/>
    <hyperlink ref="W8" r:id="rId9"/>
    <hyperlink ref="E9" r:id="rId10"/>
    <hyperlink ref="M9" r:id="rId11"/>
    <hyperlink ref="R9" r:id="rId12"/>
    <hyperlink ref="W9" r:id="rId13"/>
    <hyperlink ref="AB9" r:id="rId14"/>
    <hyperlink ref="E10" r:id="rId15"/>
    <hyperlink ref="M10" r:id="rId16"/>
    <hyperlink ref="R10" r:id="rId17"/>
    <hyperlink ref="W10" r:id="rId18"/>
    <hyperlink ref="AB10" r:id="rId19"/>
    <hyperlink ref="E11" r:id="rId20"/>
    <hyperlink ref="M11" r:id="rId21"/>
    <hyperlink ref="W11" r:id="rId22"/>
    <hyperlink ref="E12" r:id="rId23"/>
    <hyperlink ref="M12" r:id="rId24"/>
    <hyperlink ref="R12" r:id="rId25"/>
    <hyperlink ref="W12" r:id="rId26"/>
    <hyperlink ref="AB12" r:id="rId27"/>
    <hyperlink ref="E13" r:id="rId28"/>
    <hyperlink ref="M13" r:id="rId29"/>
    <hyperlink ref="R13" r:id="rId30"/>
    <hyperlink ref="W13" r:id="rId31"/>
    <hyperlink ref="AB13" r:id="rId32"/>
    <hyperlink ref="E17" r:id="rId33"/>
    <hyperlink ref="R17" r:id="rId34"/>
    <hyperlink ref="AB17" r:id="rId35"/>
    <hyperlink ref="M19" r:id="rId36"/>
    <hyperlink ref="R19" r:id="rId37"/>
    <hyperlink ref="W19" r:id="rId38"/>
    <hyperlink ref="E20" r:id="rId39"/>
    <hyperlink ref="M20" r:id="rId40"/>
    <hyperlink ref="R20" r:id="rId41"/>
    <hyperlink ref="W20" r:id="rId42"/>
    <hyperlink ref="AB20" r:id="rId43"/>
    <hyperlink ref="M21" r:id="rId44"/>
    <hyperlink ref="R21" r:id="rId45"/>
    <hyperlink ref="W21" r:id="rId46"/>
    <hyperlink ref="AB21" r:id="rId47"/>
    <hyperlink ref="E23" r:id="rId48"/>
    <hyperlink ref="M23" r:id="rId49"/>
    <hyperlink ref="W23" r:id="rId50"/>
    <hyperlink ref="E24" r:id="rId51"/>
    <hyperlink ref="M24" r:id="rId52"/>
    <hyperlink ref="W24" r:id="rId53"/>
    <hyperlink ref="E25" r:id="rId54"/>
    <hyperlink ref="M25" r:id="rId55"/>
    <hyperlink ref="R25" r:id="rId56"/>
    <hyperlink ref="W25" r:id="rId57"/>
    <hyperlink ref="AB25" r:id="rId58"/>
    <hyperlink ref="E26" r:id="rId59"/>
    <hyperlink ref="M26" r:id="rId60"/>
    <hyperlink ref="W26" r:id="rId61"/>
    <hyperlink ref="E27" r:id="rId62"/>
    <hyperlink ref="M27" r:id="rId63"/>
    <hyperlink ref="R27" r:id="rId64"/>
    <hyperlink ref="W27" r:id="rId65"/>
    <hyperlink ref="AB27" r:id="rId66"/>
    <hyperlink ref="E28" r:id="rId67"/>
    <hyperlink ref="M28" r:id="rId68"/>
    <hyperlink ref="W28" r:id="rId69"/>
    <hyperlink ref="E29" r:id="rId70"/>
    <hyperlink ref="M29" r:id="rId71"/>
    <hyperlink ref="W29" r:id="rId72"/>
    <hyperlink ref="E30" r:id="rId73"/>
    <hyperlink ref="M30" r:id="rId74"/>
    <hyperlink ref="W30" r:id="rId75"/>
    <hyperlink ref="M31" r:id="rId76"/>
    <hyperlink ref="W31" r:id="rId77"/>
    <hyperlink ref="E32" r:id="rId78"/>
    <hyperlink ref="M32" r:id="rId79"/>
    <hyperlink ref="W32" r:id="rId80"/>
  </hyperlinks>
  <pageMargins left="0.7" right="0.7" top="0.75" bottom="0.75" header="0.3" footer="0.3"/>
  <legacy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Driverino-Shield</vt:lpstr>
      <vt:lpstr>BoardQty</vt:lpstr>
      <vt:lpstr>digikey_part_data</vt:lpstr>
      <vt:lpstr>EUR_GBP</vt:lpstr>
      <vt:lpstr>EUR_USD</vt:lpstr>
      <vt:lpstr>farnell_part_data</vt:lpstr>
      <vt:lpstr>global_part_data</vt:lpstr>
      <vt:lpstr>mouser_part_data</vt:lpstr>
      <vt:lpstr>PURCHASE_DESCRIPTION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2021-05-11T09:37:02Z</dcterms:created>
  <dcterms:modified xsi:type="dcterms:W3CDTF">2021-05-11T09:37:02Z</dcterms:modified>
</cp:coreProperties>
</file>