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<sst xmlns="http://schemas.openxmlformats.org/spreadsheetml/2006/main" count="60" uniqueCount="60">
  <si>
    <t xml:space="preserve">Reference</t>
  </si>
  <si>
    <t xml:space="preserve">QTY</t>
  </si>
  <si>
    <t xml:space="preserve">Link</t>
  </si>
  <si>
    <t xml:space="preserve">Part number (from link)</t>
  </si>
  <si>
    <t xml:space="preserve">Farnell</t>
  </si>
  <si>
    <t xml:space="preserve">USB Type A</t>
  </si>
  <si>
    <t xml:space="preserve">https://uk.farnell.com/amphenol-icc-fci/87520-0010blf/usb-2-0-type-a-plug-cable/dp/2112381?MER=sy-me-pd-mi-alte</t>
  </si>
  <si>
    <t xml:space="preserve">USB Type B Micro</t>
  </si>
  <si>
    <t xml:space="preserve">https://uk.farnell.com/hirose-hrs/zx62d-b-5p8-30/micro-usb-2-0-type-b-rcpt-smt/dp/2554980</t>
  </si>
  <si>
    <t xml:space="preserve">C1, C5, C9</t>
  </si>
  <si>
    <t xml:space="preserve">https://uk.farnell.com/kemet/c0805y104k4racauto/cap-0-1-f-16v-10-x7r-0805/dp/2673142?st=100nf%2016V%200805</t>
  </si>
  <si>
    <t xml:space="preserve">C2, C3</t>
  </si>
  <si>
    <t xml:space="preserve">https://uk.farnell.com/wurth-elektronik/885012007030/cap-mlcc-np0-22pf-25v-0805/dp/2533861?st=22pF%20capacitor</t>
  </si>
  <si>
    <t xml:space="preserve">C4, C8</t>
  </si>
  <si>
    <t xml:space="preserve">https://uk.farnell.com/panasonic-electronic-components/eee1ca100sr/cap-alu-elec-10uf-16v-smd/dp/9696920</t>
  </si>
  <si>
    <t xml:space="preserve">C6, C7, C10, C11</t>
  </si>
  <si>
    <t xml:space="preserve">https://uk.farnell.com/avx/08053c105jat2a/cap-mlcc-x7r-1uf-25v-0805/dp/2332736?st=SMD%20Multilayer%20Ceramic%20Capacitor,%200805%20[2012%20Metric],%201%20µF,%2025%20V,</t>
  </si>
  <si>
    <t xml:space="preserve">D1, D2, D3, D4</t>
  </si>
  <si>
    <t xml:space="preserve">https://uk.farnell.com/panasonic-electronic-components/db2w31900l/diode-schottky-30v-mini2-f3-b/dp/2284956?st=Schottky%20Rectifier,%2040%20V,%203%20A,%20Single,%20SOD-123F,%202%20Pins</t>
  </si>
  <si>
    <t xml:space="preserve">D5</t>
  </si>
  <si>
    <t xml:space="preserve">http://uk.farnell.com/bourns/cd1206-s01575/diode-switching-100v-150ma-1206/dp/2211947?st=CD1206-S01575</t>
  </si>
  <si>
    <t xml:space="preserve">D6</t>
  </si>
  <si>
    <t xml:space="preserve">http://uk.farnell.com/kingbright/kp-1608ec/led-red-8mcd-625nm-smd/dp/2463988?st=LOW%20POWER%20LED</t>
  </si>
  <si>
    <t xml:space="preserve">D7</t>
  </si>
  <si>
    <t xml:space="preserve">http://uk.farnell.com/kingbright/kp-1608cgck/led-0603-50mcd-green/dp/2290328?st=LOW%20POWER%20LED</t>
  </si>
  <si>
    <t xml:space="preserve">D8</t>
  </si>
  <si>
    <t xml:space="preserve">http://uk.farnell.com/kingbright/kpt-1608yc/led-0603-yellow-8mcd-588nm/dp/2099227?ost=2099227&amp;ddkey=http%3Aen-GB%2FElement14_United_Kingdom%2Fsearch</t>
  </si>
  <si>
    <t xml:space="preserve">D9</t>
  </si>
  <si>
    <t xml:space="preserve">http://uk.farnell.com/kingbright/kp-1608qbc-d/led-smd-0603-blue/dp/2217972?st=KPT-1608YC%20-%20%20LED,%20Low%20Power,%20Blue</t>
  </si>
  <si>
    <t xml:space="preserve">D10</t>
  </si>
  <si>
    <t xml:space="preserve">https://uk.farnell.com/bourns/cd-hd2004/diode-bridge-rect-1-ph-40v-smd/dp/2676044?krypto=HaflPpNLuHOFLHN6OxuHJMFd%2BijEvhI0duXna044V4ieLdAyHfbvP5zEqBpvqb3tSU5DiOtHH9J8%2Bn4HqqDhFw%3D%3D&amp;ddkey=https%3Aen-GB%2FElement14_United_Kingdom%2Fsearch</t>
  </si>
  <si>
    <t xml:space="preserve">F1</t>
  </si>
  <si>
    <t xml:space="preserve">https://uk.farnell.com/littelfuse/minismdc260f-2/polyswitch-smd-1812-2-6a/dp/1345935</t>
  </si>
  <si>
    <t xml:space="preserve">F2, F3, F4</t>
  </si>
  <si>
    <t xml:space="preserve">http://uk.farnell.com/littelfuse/1210l035yr/polyfuse-ptc-1210-0-35a/dp/1822207</t>
  </si>
  <si>
    <t xml:space="preserve">F5</t>
  </si>
  <si>
    <t xml:space="preserve">http://uk.farnell.com/littelfuse/1206l050yr/fuse-resettable-1206-6v-500ma/dp/1596993?ost=1596993&amp;ddkey=http%3Aen-GB%2FElement14_United_Kingdom%2Fsearch</t>
  </si>
  <si>
    <t xml:space="preserve">L1</t>
  </si>
  <si>
    <t xml:space="preserve">https://uk.farnell.com/tdk/mpz2012s601a/ferrite-bead-0-1ohm-2a-0805/dp/1669753?krypto=pMnlyQddMKTtnSihmqgvLosEEzd2cAKvNg7xDsx5mDFep%2BmTNOTdaG4z%2BrM3Rjigbmp6qVL%2FD0NwlcmmAVGi2A%3D%3D&amp;ddkey=https%3Aen-GB%2FElement14_United_Kingdom%2Fsearch</t>
  </si>
  <si>
    <t xml:space="preserve">L2</t>
  </si>
  <si>
    <t xml:space="preserve">https://uk.farnell.com/wurth-elektronik/742792031/ferrite-bead-0-05ohm-3a-0805/dp/1635734?st=Ferrite%20Bead,%200805%20[2012%20Metric],%20600%20ohm,%203%20A,</t>
  </si>
  <si>
    <t xml:space="preserve">J12, J13, J14</t>
  </si>
  <si>
    <t xml:space="preserve">http://uk.farnell.com/jst-japan-solderless-terminals/s5b-xh-a-lf-sn/header-right-angle-5way/dp/1516293?ost=1516293&amp;ddkey=http%3Aen-GB%2FElement14_United_Kingdom%2Fsearch</t>
  </si>
  <si>
    <t xml:space="preserve">R1, R2, R5, R6</t>
  </si>
  <si>
    <t xml:space="preserve">https://uk.farnell.com/panasonic-electronic-components/erj6geyj103v/res-thick-film-10k-5-0-125w-0805/dp/2057719?MER=sy-me-pd-mi-alte&amp;st=10k%20SMD%20RESISTOR</t>
  </si>
  <si>
    <t xml:space="preserve">R3, R4</t>
  </si>
  <si>
    <t xml:space="preserve">https://uk.farnell.com/panasonic-electronic-components/erj6geyj220v/res-thick-film-22r-5-0-125w-0805/dp/2057672?st=SMD%20Chip%20Resistor,%2022%20ohm,%20150%20V,%20Thick%20Film,%200805%20[2012%20Metric],%20125%20mW</t>
  </si>
  <si>
    <t xml:space="preserve">RN1</t>
  </si>
  <si>
    <t xml:space="preserve">http://uk.farnell.com/panasonic-electronic-components/exb38v102jv/resistor-cvex-array-0603x4-1k/dp/2060100?ost=2060100&amp;scope=partnumberlookahead&amp;exaMfpn=true&amp;searchref=searchlookahead&amp;ddkey=http%3Aen-GB%2FElement14_United_Kingdom%2Fw%2Fsearch</t>
  </si>
  <si>
    <t xml:space="preserve">RV1, VR2</t>
  </si>
  <si>
    <t xml:space="preserve">http://uk.farnell.com/bourns/cg0603mlc-05e/varistor-supp-esd-protect-20v/dp/1838966?ost=1838966&amp;ddkey=http%3Aen-GB%2FElement14_United_Kingdom%2Fsearch</t>
  </si>
  <si>
    <t xml:space="preserve">U1</t>
  </si>
  <si>
    <t xml:space="preserve">http://uk.farnell.com/microchip/atmega32u4-au/mcu-8bit-megaavr-16mhz-tqfp-44/dp/1748525?st=ATMEGA32U4</t>
  </si>
  <si>
    <t xml:space="preserve">U2, U3</t>
  </si>
  <si>
    <t xml:space="preserve">http://uk.farnell.com/on-semiconductor/uln2003adr2g/trans-npn-50v-0-5a-soic-16/dp/2628016?st=ULN2003</t>
  </si>
  <si>
    <t xml:space="preserve">Y1</t>
  </si>
  <si>
    <t xml:space="preserve">http://uk.farnell.com/abracon/abm8-16-000mhz-b2-t/crystal-16mhz-18pf-cl-3-2x2-5mm/dp/1611819?ost=1611819&amp;ddkey=http%3Aen-GB%2FElement14_United_Kingdom%2Fsearch</t>
  </si>
  <si>
    <t xml:space="preserve">Male headers</t>
  </si>
  <si>
    <t xml:space="preserve">https://uk.farnell.com/multicomp/2213s-50g/connector-header-50pos-2-54mm/dp/2847228?st=2%20row%20header%20male</t>
  </si>
  <si>
    <t xml:space="preserve">Total parts: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</si>
</sst>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name val="Calibri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k.farnell.com/amphenol-icc-fci/87520-0010blf/usb-2-0-type-a-plug-cable/dp/2112381?MER=sy-me-pd-mi-alte" TargetMode="External"/><Relationship Id="rId2" Type="http://schemas.openxmlformats.org/officeDocument/2006/relationships/hyperlink" Target="https://uk.farnell.com/hirose-hrs/zx62d-b-5p8-30/micro-usb-2-0-type-b-rcpt-smt/dp/2554980" TargetMode="External"/><Relationship Id="rId3" Type="http://schemas.openxmlformats.org/officeDocument/2006/relationships/hyperlink" Target="https://uk.farnell.com/kemet/c0805y104k4racauto/cap-0-1-f-16v-10-x7r-0805/dp/2673142?st=100nf%2016V%200805" TargetMode="External"/><Relationship Id="rId4" Type="http://schemas.openxmlformats.org/officeDocument/2006/relationships/hyperlink" Target="https://uk.farnell.com/wurth-elektronik/885012007030/cap-mlcc-np0-22pf-25v-0805/dp/2533861?st=22pF%20capacitor" TargetMode="External"/><Relationship Id="rId5" Type="http://schemas.openxmlformats.org/officeDocument/2006/relationships/hyperlink" Target="https://uk.farnell.com/panasonic-electronic-components/eee1ca100sr/cap-alu-elec-10uf-16v-smd/dp/9696920" TargetMode="External"/><Relationship Id="rId6" Type="http://schemas.openxmlformats.org/officeDocument/2006/relationships/hyperlink" Target="https://uk.farnell.com/avx/08053c105jat2a/cap-mlcc-x7r-1uf-25v-0805/dp/2332736?st=SMD%20Multilayer%20Ceramic%20Capacitor,%200805%20%5B2012%20Metric%5D,%201%20&#181;F,%2025%20V," TargetMode="External"/><Relationship Id="rId7" Type="http://schemas.openxmlformats.org/officeDocument/2006/relationships/hyperlink" Target="https://uk.farnell.com/panasonic-electronic-components/db2w31900l/diode-schottky-30v-mini2-f3-b/dp/2284956?st=Schottky%20Rectifier,%2040%20V,%203%20A,%20Single,%20SOD-123F,%202%20Pins" TargetMode="External"/><Relationship Id="rId8" Type="http://schemas.openxmlformats.org/officeDocument/2006/relationships/hyperlink" Target="http://uk.farnell.com/bourns/cd1206-s01575/diode-switching-100v-150ma-1206/dp/2211947?st=CD1206-S01575" TargetMode="External"/><Relationship Id="rId9" Type="http://schemas.openxmlformats.org/officeDocument/2006/relationships/hyperlink" Target="http://uk.farnell.com/kingbright/kp-1608ec/led-red-8mcd-625nm-smd/dp/2463988?st=LOW%20POWER%20LED" TargetMode="External"/><Relationship Id="rId10" Type="http://schemas.openxmlformats.org/officeDocument/2006/relationships/hyperlink" Target="http://uk.farnell.com/kingbright/kp-1608cgck/led-0603-50mcd-green/dp/2290328?st=LOW%20POWER%20LED" TargetMode="External"/><Relationship Id="rId11" Type="http://schemas.openxmlformats.org/officeDocument/2006/relationships/hyperlink" Target="http://uk.farnell.com/kingbright/kpt-1608yc/led-0603-yellow-8mcd-588nm/dp/2099227?ost=2099227&amp;ddkey=http%3Aen-GB%2FElement14_United_Kingdom%2Fsearch" TargetMode="External"/><Relationship Id="rId12" Type="http://schemas.openxmlformats.org/officeDocument/2006/relationships/hyperlink" Target="http://uk.farnell.com/kingbright/kp-1608qbc-d/led-smd-0603-blue/dp/2217972?st=KPT-1608YC%20-%20%20LED,%20Low%20Power,%20Blue" TargetMode="External"/><Relationship Id="rId13" Type="http://schemas.openxmlformats.org/officeDocument/2006/relationships/hyperlink" Target="https://uk.farnell.com/bourns/cd-hd2004/diode-bridge-rect-1-ph-40v-smd/dp/2676044?krypto=HaflPpNLuHOFLHN6OxuHJMFd%2BijEvhI0duXna044V4ieLdAyHfbvP5zEqBpvqb3tSU5DiOtHH9J8%2Bn4HqqDhFw%3D%3D&amp;ddkey=https%3Aen-GB%2FElement14_United_Kingdom%2Fsearch" TargetMode="External"/><Relationship Id="rId14" Type="http://schemas.openxmlformats.org/officeDocument/2006/relationships/hyperlink" Target="https://uk.farnell.com/littelfuse/minismdc260f-2/polyswitch-smd-1812-2-6a/dp/1345935" TargetMode="External"/><Relationship Id="rId15" Type="http://schemas.openxmlformats.org/officeDocument/2006/relationships/hyperlink" Target="http://uk.farnell.com/littelfuse/1210l035yr/polyfuse-ptc-1210-0-35a/dp/1822207" TargetMode="External"/><Relationship Id="rId16" Type="http://schemas.openxmlformats.org/officeDocument/2006/relationships/hyperlink" Target="http://uk.farnell.com/littelfuse/1206l050yr/fuse-resettable-1206-6v-500ma/dp/1596993?ost=1596993&amp;ddkey=http%3Aen-GB%2FElement14_United_Kingdom%2Fsearch" TargetMode="External"/><Relationship Id="rId17" Type="http://schemas.openxmlformats.org/officeDocument/2006/relationships/hyperlink" Target="https://uk.farnell.com/wurth-elektronik/742792031/ferrite-bead-0-05ohm-3a-0805/dp/1635734?st=Ferrite%20Bead,%200805%20%5B2012%20Metric%5D,%20600%20ohm,%203%20A," TargetMode="External"/><Relationship Id="rId18" Type="http://schemas.openxmlformats.org/officeDocument/2006/relationships/hyperlink" Target="http://uk.farnell.com/jst-japan-solderless-terminals/s5b-xh-a-lf-sn/header-right-angle-5way/dp/1516293?ost=1516293&amp;ddkey=http%3Aen-GB%2FElement14_United_Kingdom%2Fsearch" TargetMode="External"/><Relationship Id="rId19" Type="http://schemas.openxmlformats.org/officeDocument/2006/relationships/hyperlink" Target="https://uk.farnell.com/panasonic-electronic-components/erj6geyj103v/res-thick-film-10k-5-0-125w-0805/dp/2057719?MER=sy-me-pd-mi-alte&amp;st=10k%20SMD%20RESISTOR" TargetMode="External"/><Relationship Id="rId20" Type="http://schemas.openxmlformats.org/officeDocument/2006/relationships/hyperlink" Target="https://uk.farnell.com/panasonic-electronic-components/erj6geyj220v/res-thick-film-22r-5-0-125w-0805/dp/2057672?st=SMD%20Chip%20Resistor,%2022%20ohm,%20150%20V,%20Thick%20Film,%200805%20%5B2012%20Metric%5D,%20125%20mW" TargetMode="External"/><Relationship Id="rId21" Type="http://schemas.openxmlformats.org/officeDocument/2006/relationships/hyperlink" Target="http://uk.farnell.com/panasonic-electronic-components/exb38v102jv/resistor-cvex-array-0603x4-1k/dp/2060100?ost=2060100&amp;scope=partnumberlookahead&amp;exaMfpn=true&amp;searchref=searchlookahead&amp;ddkey=http%3Aen-GB%2FElement14_United_Kingdom%2Fw%2Fsearch" TargetMode="External"/><Relationship Id="rId22" Type="http://schemas.openxmlformats.org/officeDocument/2006/relationships/hyperlink" Target="http://uk.farnell.com/bourns/cg0603mlc-05e/varistor-supp-esd-protect-20v/dp/1838966?ost=1838966&amp;ddkey=http%3Aen-GB%2FElement14_United_Kingdom%2Fsearch" TargetMode="External"/><Relationship Id="rId23" Type="http://schemas.openxmlformats.org/officeDocument/2006/relationships/hyperlink" Target="http://uk.farnell.com/microchip/atmega32u4-au/mcu-8bit-megaavr-16mhz-tqfp-44/dp/1748525?st=ATMEGA32U4" TargetMode="External"/><Relationship Id="rId24" Type="http://schemas.openxmlformats.org/officeDocument/2006/relationships/hyperlink" Target="http://uk.farnell.com/on-semiconductor/uln2003adr2g/trans-npn-50v-0-5a-soic-16/dp/2628016?st=ULN2003" TargetMode="External"/><Relationship Id="rId25" Type="http://schemas.openxmlformats.org/officeDocument/2006/relationships/hyperlink" Target="http://uk.farnell.com/abracon/abm8-16-000mhz-b2-t/crystal-16mhz-18pf-cl-3-2x2-5mm/dp/1611819?ost=1611819&amp;ddkey=http%3Aen-GB%2FElement14_United_Kingdom%2Fsearch" TargetMode="External"/><Relationship Id="rId26" Type="http://schemas.openxmlformats.org/officeDocument/2006/relationships/hyperlink" Target="https://uk.farnell.com/multicomp/2213s-50g/connector-header-50pos-2-54mm/dp/2847228?st=2%20row%20header%20mal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1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L8" activeCellId="0" sqref="L8"/>
    </sheetView>
  </sheetViews>
  <sheetFormatPr defaultRowHeight="15" zeroHeight="false" outlineLevelRow="0" outlineLevelCol="0"/>
  <cols>
    <col collapsed="false" customWidth="true" hidden="false" outlineLevel="0" max="1" min="1" style="0" width="18.92"/>
    <col collapsed="false" customWidth="true" hidden="false" outlineLevel="0" max="2" min="2" style="1" width="5.73"/>
    <col collapsed="false" customWidth="true" hidden="false" outlineLevel="0" max="3" min="3" style="0" width="59.06"/>
    <col collapsed="false" customWidth="true" hidden="true" outlineLevel="0" max="5" min="4" style="0" width="8.73"/>
    <col collapsed="false" customWidth="true" hidden="true" outlineLevel="0" max="6" min="6" style="0" width="21.66"/>
    <col collapsed="false" customWidth="true" hidden="false" outlineLevel="0" max="7" min="7" style="2" width="21.86"/>
    <col collapsed="false" customWidth="true" hidden="true" outlineLevel="0" max="10" min="8" style="0" width="8.73"/>
    <col collapsed="false" customWidth="true" hidden="false" outlineLevel="0" max="22" min="11" style="0" width="8.73"/>
    <col collapsed="false" customWidth="true" hidden="false" outlineLevel="0" max="1023" min="23" style="0" width="14.4"/>
    <col collapsed="false" customWidth="false" hidden="false" outlineLevel="0" max="1025" min="1024" style="0" width="11.52"/>
  </cols>
  <sheetData>
    <row r="1" s="1" customFormat="true" ht="14.25" hidden="false" customHeight="true" outlineLevel="0" collapsed="false">
      <c r="A1" s="3" t="s">
        <v>0</v>
      </c>
      <c r="B1" s="3" t="s">
        <v>1</v>
      </c>
      <c r="C1" s="3" t="s">
        <v>2</v>
      </c>
      <c r="D1" s="3"/>
      <c r="E1" s="3"/>
      <c r="F1" s="3"/>
      <c r="G1" s="3" t="s">
        <v>3</v>
      </c>
      <c r="H1" s="3"/>
      <c r="I1" s="3"/>
      <c r="J1" s="3"/>
      <c r="K1" s="3" t="s">
        <v>4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AMJ1" s="0"/>
    </row>
    <row r="2" customFormat="false" ht="14.25" hidden="false" customHeight="true" outlineLevel="0" collapsed="false">
      <c r="A2" s="0" t="s">
        <v>5</v>
      </c>
      <c r="B2" s="1" t="n">
        <v>1</v>
      </c>
      <c r="C2" s="4" t="s">
        <v>6</v>
      </c>
      <c r="D2" s="0" t="str">
        <f aca="false">IFERROR(__xludf.dummyfunction("split(D2,""/"")"),"http:")</f>
        <v>http:</v>
      </c>
      <c r="E2" s="5" t="str">
        <f aca="false">IFERROR(__xludf.dummyfunction("""COMPUTED_VALUE"""),"uk.farnell.com")</f>
        <v>uk.farnell.com</v>
      </c>
      <c r="F2" s="0" t="str">
        <f aca="false">IFERROR(__xludf.dummyfunction("""COMPUTED_VALUE"""),"amphenol-icc-fci")</f>
        <v>amphenol-icc-fci</v>
      </c>
      <c r="G2" s="2" t="str">
        <f aca="false">IFERROR(__xludf.dummyfunction("""COMPUTED_VALUE"""),"87520-0010blf")</f>
        <v>87520-0010blf</v>
      </c>
      <c r="H2" s="0" t="str">
        <f aca="false">IFERROR(__xludf.dummyfunction("""COMPUTED_VALUE"""),"usb-2-0-type-a-plug-cable")</f>
        <v>usb-2-0-type-a-plug-cable</v>
      </c>
      <c r="I2" s="0" t="str">
        <f aca="false">IFERROR(__xludf.dummyfunction("""COMPUTED_VALUE"""),"dp")</f>
        <v>dp</v>
      </c>
      <c r="J2" s="0" t="str">
        <f aca="false">IFERROR(__xludf.dummyfunction("""COMPUTED_VALUE"""),"2112381?MER=sy-me-pd-mi-alte")</f>
        <v>2112381?MER=sy-me-pd-mi-alte</v>
      </c>
      <c r="K2" s="0" t="n">
        <v>2112381</v>
      </c>
    </row>
    <row r="3" customFormat="false" ht="14.25" hidden="false" customHeight="true" outlineLevel="0" collapsed="false">
      <c r="A3" s="0" t="s">
        <v>7</v>
      </c>
      <c r="B3" s="1" t="n">
        <v>2</v>
      </c>
      <c r="C3" s="4" t="s">
        <v>8</v>
      </c>
      <c r="D3" s="0" t="str">
        <f aca="false">IFERROR(__xludf.dummyfunction("split(D2,""/"")"),"http:")</f>
        <v>http:</v>
      </c>
      <c r="E3" s="5" t="str">
        <f aca="false">IFERROR(__xludf.dummyfunction("""COMPUTED_VALUE"""),"uk.farnell.com")</f>
        <v>uk.farnell.com</v>
      </c>
      <c r="F3" s="0" t="str">
        <f aca="false">IFERROR(__xludf.dummyfunction("""COMPUTED_VALUE"""),"hirose-hrs")</f>
        <v>hirose-hrs</v>
      </c>
      <c r="G3" s="2" t="str">
        <f aca="false">IFERROR(__xludf.dummyfunction("""COMPUTED_VALUE"""),"zx62d-b-5p8-30")</f>
        <v>zx62d-b-5p8-30</v>
      </c>
      <c r="H3" s="0" t="str">
        <f aca="false">IFERROR(__xludf.dummyfunction("""COMPUTED_VALUE"""),"micro-usb-2-0-type-b-rcpt-smt")</f>
        <v>micro-usb-2-0-type-b-rcpt-smt</v>
      </c>
      <c r="I3" s="0" t="str">
        <f aca="false">IFERROR(__xludf.dummyfunction("""COMPUTED_VALUE"""),"dp")</f>
        <v>dp</v>
      </c>
      <c r="J3" s="0" t="n">
        <f aca="false">IFERROR(__xludf.dummyfunction("""COMPUTED_VALUE"""),2554980)</f>
        <v>2554980</v>
      </c>
      <c r="K3" s="0" t="n">
        <v>2554980</v>
      </c>
    </row>
    <row r="4" customFormat="false" ht="14.25" hidden="false" customHeight="true" outlineLevel="0" collapsed="false">
      <c r="A4" s="0" t="s">
        <v>9</v>
      </c>
      <c r="B4" s="1" t="n">
        <v>3</v>
      </c>
      <c r="C4" s="6" t="s">
        <v>10</v>
      </c>
      <c r="D4" s="0" t="str">
        <f aca="false">IFERROR(__xludf.dummyfunction("split(D2,""/"")"),"http:")</f>
        <v>http:</v>
      </c>
      <c r="E4" s="5" t="str">
        <f aca="false">IFERROR(__xludf.dummyfunction("""COMPUTED_VALUE"""),"uk.farnell.com")</f>
        <v>uk.farnell.com</v>
      </c>
      <c r="F4" s="0" t="str">
        <f aca="false">IFERROR(__xludf.dummyfunction("""COMPUTED_VALUE"""),"kemet")</f>
        <v>kemet</v>
      </c>
      <c r="G4" s="2" t="str">
        <f aca="false">IFERROR(__xludf.dummyfunction("""COMPUTED_VALUE"""),"c0805y104k4racauto")</f>
        <v>c0805y104k4racauto</v>
      </c>
      <c r="H4" s="0" t="str">
        <f aca="false">IFERROR(__xludf.dummyfunction("""COMPUTED_VALUE"""),"cap-0-1-f-16v-10-x7r-0805")</f>
        <v>cap-0-1-f-16v-10-x7r-0805</v>
      </c>
      <c r="I4" s="0" t="str">
        <f aca="false">IFERROR(__xludf.dummyfunction("""COMPUTED_VALUE"""),"dp")</f>
        <v>dp</v>
      </c>
      <c r="J4" s="0" t="str">
        <f aca="false">IFERROR(__xludf.dummyfunction("""COMPUTED_VALUE"""),"2673142?st=100nf%2016V%200805")</f>
        <v>2673142?st=100nf%2016V%200805</v>
      </c>
      <c r="K4" s="0" t="n">
        <v>2673142</v>
      </c>
    </row>
    <row r="5" s="10" customFormat="true" ht="14.25" hidden="false" customHeight="true" outlineLevel="0" collapsed="false">
      <c r="A5" s="7" t="s">
        <v>11</v>
      </c>
      <c r="B5" s="8" t="n">
        <v>2</v>
      </c>
      <c r="C5" s="9" t="s">
        <v>12</v>
      </c>
      <c r="D5" s="10" t="str">
        <f aca="false">IFERROR(__xludf.dummyfunction("split(D2,""/"")"),"http:")</f>
        <v>http:</v>
      </c>
      <c r="E5" s="11" t="str">
        <f aca="false">IFERROR(__xludf.dummyfunction("""COMPUTED_VALUE"""),"uk.farnell.com")</f>
        <v>uk.farnell.com</v>
      </c>
      <c r="F5" s="7" t="str">
        <f aca="false">IFERROR(__xludf.dummyfunction("""COMPUTED_VALUE"""),"wurth-elektronik")</f>
        <v>wurth-elektronik</v>
      </c>
      <c r="G5" s="12" t="n">
        <f aca="false">IFERROR(__xludf.dummyfunction("""COMPUTED_VALUE"""),885012007030)</f>
        <v>885012007030</v>
      </c>
      <c r="H5" s="7" t="str">
        <f aca="false">IFERROR(__xludf.dummyfunction("""COMPUTED_VALUE"""),"cap-mlcc-np0-22pf-25v-0805")</f>
        <v>cap-mlcc-np0-22pf-25v-0805</v>
      </c>
      <c r="I5" s="7" t="str">
        <f aca="false">IFERROR(__xludf.dummyfunction("""COMPUTED_VALUE"""),"dp")</f>
        <v>dp</v>
      </c>
      <c r="J5" s="7" t="str">
        <f aca="false">IFERROR(__xludf.dummyfunction("""COMPUTED_VALUE"""),"2533861?st=22pF%20capacitor")</f>
        <v>2533861?st=22pF%20capacitor</v>
      </c>
      <c r="K5" s="7" t="n">
        <v>2533861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AMJ5" s="0"/>
    </row>
    <row r="6" s="10" customFormat="true" ht="14.25" hidden="false" customHeight="true" outlineLevel="0" collapsed="false">
      <c r="A6" s="10" t="s">
        <v>13</v>
      </c>
      <c r="B6" s="13" t="n">
        <v>2</v>
      </c>
      <c r="C6" s="14" t="s">
        <v>14</v>
      </c>
      <c r="D6" s="10" t="str">
        <f aca="false">IFERROR(__xludf.dummyfunction("split(D2,""/"")"),"http:")</f>
        <v>http:</v>
      </c>
      <c r="E6" s="11" t="str">
        <f aca="false">IFERROR(__xludf.dummyfunction("""COMPUTED_VALUE"""),"uk.farnell.com")</f>
        <v>uk.farnell.com</v>
      </c>
      <c r="F6" s="10" t="str">
        <f aca="false">IFERROR(__xludf.dummyfunction("""COMPUTED_VALUE"""),"panasonic-electronic-components")</f>
        <v>panasonic-electronic-components</v>
      </c>
      <c r="G6" s="15" t="str">
        <f aca="false">IFERROR(__xludf.dummyfunction("""COMPUTED_VALUE"""),"eee1ca100sr")</f>
        <v>eee1ca100sr</v>
      </c>
      <c r="H6" s="10" t="str">
        <f aca="false">IFERROR(__xludf.dummyfunction("""COMPUTED_VALUE"""),"cap-alu-elec-10uf-16v-smd")</f>
        <v>cap-alu-elec-10uf-16v-smd</v>
      </c>
      <c r="I6" s="10" t="str">
        <f aca="false">IFERROR(__xludf.dummyfunction("""COMPUTED_VALUE"""),"dp")</f>
        <v>dp</v>
      </c>
      <c r="J6" s="10" t="n">
        <f aca="false">IFERROR(__xludf.dummyfunction("""COMPUTED_VALUE"""),9696920)</f>
        <v>9696920</v>
      </c>
      <c r="K6" s="10" t="n">
        <v>9696920</v>
      </c>
      <c r="AMJ6" s="0"/>
    </row>
    <row r="7" s="10" customFormat="true" ht="14.25" hidden="false" customHeight="true" outlineLevel="0" collapsed="false">
      <c r="A7" s="10" t="s">
        <v>15</v>
      </c>
      <c r="B7" s="13" t="n">
        <v>4</v>
      </c>
      <c r="C7" s="14" t="s">
        <v>16</v>
      </c>
      <c r="D7" s="10" t="str">
        <f aca="false">IFERROR(__xludf.dummyfunction("split(D2,""/"")"),"http:")</f>
        <v>http:</v>
      </c>
      <c r="E7" s="11" t="str">
        <f aca="false">IFERROR(__xludf.dummyfunction("""COMPUTED_VALUE"""),"uk.farnell.com")</f>
        <v>uk.farnell.com</v>
      </c>
      <c r="F7" s="10" t="str">
        <f aca="false">IFERROR(__xludf.dummyfunction("""COMPUTED_VALUE"""),"avx")</f>
        <v>avx</v>
      </c>
      <c r="G7" s="15" t="str">
        <f aca="false">IFERROR(__xludf.dummyfunction("""COMPUTED_VALUE"""),"08053c105jat2a")</f>
        <v>08053c105jat2a</v>
      </c>
      <c r="H7" s="10" t="str">
        <f aca="false">IFERROR(__xludf.dummyfunction("""COMPUTED_VALUE"""),"cap-mlcc-x7r-1uf-25v-0805")</f>
        <v>cap-mlcc-x7r-1uf-25v-0805</v>
      </c>
      <c r="I7" s="10" t="str">
        <f aca="false">IFERROR(__xludf.dummyfunction("""COMPUTED_VALUE"""),"dp")</f>
        <v>dp</v>
      </c>
      <c r="J7" s="10" t="str">
        <f aca="false">IFERROR(__xludf.dummyfunction("""COMPUTED_VALUE"""),"2332736?st=SMD%20Multilayer%20Ceramic%20Capacitor,%200805%20[2012%20Metric],%201%20µF,%2025%20V,")</f>
        <v>2332736?st=SMD%20Multilayer%20Ceramic%20Capacitor,%200805%20[2012%20Metric],%201%20µF,%2025%20V,</v>
      </c>
      <c r="K7" s="10" t="n">
        <v>2332736</v>
      </c>
      <c r="AMJ7" s="0"/>
    </row>
    <row r="8" s="10" customFormat="true" ht="14.25" hidden="false" customHeight="true" outlineLevel="0" collapsed="false">
      <c r="A8" s="10" t="s">
        <v>17</v>
      </c>
      <c r="B8" s="13" t="n">
        <v>4</v>
      </c>
      <c r="C8" s="14" t="s">
        <v>18</v>
      </c>
      <c r="D8" s="10" t="str">
        <f aca="false">IFERROR(__xludf.dummyfunction("split(D2,""/"")"),"http:")</f>
        <v>http:</v>
      </c>
      <c r="E8" s="11" t="str">
        <f aca="false">IFERROR(__xludf.dummyfunction("""COMPUTED_VALUE"""),"uk.farnell.com")</f>
        <v>uk.farnell.com</v>
      </c>
      <c r="F8" s="10" t="str">
        <f aca="false">IFERROR(__xludf.dummyfunction("""COMPUTED_VALUE"""),"panasonic-electronic-components")</f>
        <v>panasonic-electronic-components</v>
      </c>
      <c r="G8" s="15" t="str">
        <f aca="false">IFERROR(__xludf.dummyfunction("""COMPUTED_VALUE"""),"db2w31900l")</f>
        <v>db2w31900l</v>
      </c>
      <c r="H8" s="10" t="str">
        <f aca="false">IFERROR(__xludf.dummyfunction("""COMPUTED_VALUE"""),"diode-schottky-30v-mini2-f3-b")</f>
        <v>diode-schottky-30v-mini2-f3-b</v>
      </c>
      <c r="I8" s="10" t="str">
        <f aca="false">IFERROR(__xludf.dummyfunction("""COMPUTED_VALUE"""),"dp")</f>
        <v>dp</v>
      </c>
      <c r="J8" s="10" t="str">
        <f aca="false">IFERROR(__xludf.dummyfunction("""COMPUTED_VALUE"""),"2284956?st=Schottky%20Rectifier,%2040%20V,%203%20A,%20Single,%20SOD-123F,%202%20Pins")</f>
        <v>2284956?st=Schottky%20Rectifier,%2040%20V,%203%20A,%20Single,%20SOD-123F,%202%20Pins</v>
      </c>
      <c r="K8" s="10" t="n">
        <v>2284956</v>
      </c>
      <c r="AMJ8" s="0"/>
    </row>
    <row r="9" s="10" customFormat="true" ht="14.25" hidden="false" customHeight="true" outlineLevel="0" collapsed="false">
      <c r="A9" s="10" t="s">
        <v>19</v>
      </c>
      <c r="B9" s="13" t="n">
        <v>1</v>
      </c>
      <c r="C9" s="14" t="s">
        <v>20</v>
      </c>
      <c r="D9" s="10" t="str">
        <f aca="false">IFERROR(__xludf.dummyfunction("split(D2,""/"")"),"http:")</f>
        <v>http:</v>
      </c>
      <c r="E9" s="11" t="str">
        <f aca="false">IFERROR(__xludf.dummyfunction("""COMPUTED_VALUE"""),"uk.farnell.com")</f>
        <v>uk.farnell.com</v>
      </c>
      <c r="F9" s="10" t="str">
        <f aca="false">IFERROR(__xludf.dummyfunction("""COMPUTED_VALUE"""),"bourns")</f>
        <v>bourns</v>
      </c>
      <c r="G9" s="15" t="str">
        <f aca="false">IFERROR(__xludf.dummyfunction("""COMPUTED_VALUE"""),"cd1206-s01575")</f>
        <v>cd1206-s01575</v>
      </c>
      <c r="H9" s="10" t="str">
        <f aca="false">IFERROR(__xludf.dummyfunction("""COMPUTED_VALUE"""),"diode-switching-100v-150ma-1206")</f>
        <v>diode-switching-100v-150ma-1206</v>
      </c>
      <c r="I9" s="10" t="str">
        <f aca="false">IFERROR(__xludf.dummyfunction("""COMPUTED_VALUE"""),"dp")</f>
        <v>dp</v>
      </c>
      <c r="J9" s="10" t="str">
        <f aca="false">IFERROR(__xludf.dummyfunction("""COMPUTED_VALUE"""),"2211947?st=CD1206-S01575")</f>
        <v>2211947?st=CD1206-S01575</v>
      </c>
      <c r="K9" s="10" t="n">
        <v>2211947</v>
      </c>
      <c r="AMJ9" s="0"/>
    </row>
    <row r="10" s="10" customFormat="true" ht="14.25" hidden="false" customHeight="true" outlineLevel="0" collapsed="false">
      <c r="A10" s="10" t="s">
        <v>21</v>
      </c>
      <c r="B10" s="13" t="n">
        <v>1</v>
      </c>
      <c r="C10" s="14" t="s">
        <v>22</v>
      </c>
      <c r="D10" s="10" t="str">
        <f aca="false">IFERROR(__xludf.dummyfunction("split(D2,""/"")"),"http:")</f>
        <v>http:</v>
      </c>
      <c r="E10" s="11" t="str">
        <f aca="false">IFERROR(__xludf.dummyfunction("""COMPUTED_VALUE"""),"uk.farnell.com")</f>
        <v>uk.farnell.com</v>
      </c>
      <c r="F10" s="10" t="str">
        <f aca="false">IFERROR(__xludf.dummyfunction("""COMPUTED_VALUE"""),"kingbright")</f>
        <v>kingbright</v>
      </c>
      <c r="G10" s="15" t="str">
        <f aca="false">IFERROR(__xludf.dummyfunction("""COMPUTED_VALUE"""),"kp-1608ec")</f>
        <v>kp-1608ec</v>
      </c>
      <c r="H10" s="10" t="str">
        <f aca="false">IFERROR(__xludf.dummyfunction("""COMPUTED_VALUE"""),"led-red-8mcd-625nm-smd")</f>
        <v>led-red-8mcd-625nm-smd</v>
      </c>
      <c r="I10" s="10" t="str">
        <f aca="false">IFERROR(__xludf.dummyfunction("""COMPUTED_VALUE"""),"dp")</f>
        <v>dp</v>
      </c>
      <c r="J10" s="10" t="str">
        <f aca="false">IFERROR(__xludf.dummyfunction("""COMPUTED_VALUE"""),"2463988?st=LOW%20POWER%20LED")</f>
        <v>2463988?st=LOW%20POWER%20LED</v>
      </c>
      <c r="K10" s="10" t="n">
        <v>2463988</v>
      </c>
      <c r="AMJ10" s="0"/>
    </row>
    <row r="11" s="10" customFormat="true" ht="14.25" hidden="false" customHeight="true" outlineLevel="0" collapsed="false">
      <c r="A11" s="10" t="s">
        <v>23</v>
      </c>
      <c r="B11" s="13" t="n">
        <v>1</v>
      </c>
      <c r="C11" s="14" t="s">
        <v>24</v>
      </c>
      <c r="D11" s="10" t="str">
        <f aca="false">IFERROR(__xludf.dummyfunction("split(D2,""/"")"),"http:")</f>
        <v>http:</v>
      </c>
      <c r="E11" s="11" t="str">
        <f aca="false">IFERROR(__xludf.dummyfunction("""COMPUTED_VALUE"""),"uk.farnell.com")</f>
        <v>uk.farnell.com</v>
      </c>
      <c r="F11" s="10" t="str">
        <f aca="false">IFERROR(__xludf.dummyfunction("""COMPUTED_VALUE"""),"kingbright")</f>
        <v>kingbright</v>
      </c>
      <c r="G11" s="15" t="str">
        <f aca="false">IFERROR(__xludf.dummyfunction("""COMPUTED_VALUE"""),"kp-1608cgck")</f>
        <v>kp-1608cgck</v>
      </c>
      <c r="H11" s="10" t="str">
        <f aca="false">IFERROR(__xludf.dummyfunction("""COMPUTED_VALUE"""),"led-0603-50mcd-green")</f>
        <v>led-0603-50mcd-green</v>
      </c>
      <c r="I11" s="10" t="str">
        <f aca="false">IFERROR(__xludf.dummyfunction("""COMPUTED_VALUE"""),"dp")</f>
        <v>dp</v>
      </c>
      <c r="J11" s="10" t="str">
        <f aca="false">IFERROR(__xludf.dummyfunction("""COMPUTED_VALUE"""),"2290328?st=LOW%20POWER%20LED")</f>
        <v>2290328?st=LOW%20POWER%20LED</v>
      </c>
      <c r="K11" s="10" t="n">
        <v>2290328</v>
      </c>
      <c r="AMJ11" s="0"/>
    </row>
    <row r="12" s="10" customFormat="true" ht="14.25" hidden="false" customHeight="true" outlineLevel="0" collapsed="false">
      <c r="A12" s="10" t="s">
        <v>25</v>
      </c>
      <c r="B12" s="13" t="n">
        <v>1</v>
      </c>
      <c r="C12" s="14" t="s">
        <v>26</v>
      </c>
      <c r="D12" s="10" t="str">
        <f aca="false">IFERROR(__xludf.dummyfunction("split(D2,""/"")"),"http:")</f>
        <v>http:</v>
      </c>
      <c r="E12" s="11" t="str">
        <f aca="false">IFERROR(__xludf.dummyfunction("""COMPUTED_VALUE"""),"uk.farnell.com")</f>
        <v>uk.farnell.com</v>
      </c>
      <c r="F12" s="10" t="str">
        <f aca="false">IFERROR(__xludf.dummyfunction("""COMPUTED_VALUE"""),"kingbright")</f>
        <v>kingbright</v>
      </c>
      <c r="G12" s="15" t="str">
        <f aca="false">IFERROR(__xludf.dummyfunction("""COMPUTED_VALUE"""),"kpt-1608yc")</f>
        <v>kpt-1608yc</v>
      </c>
      <c r="H12" s="10" t="str">
        <f aca="false">IFERROR(__xludf.dummyfunction("""COMPUTED_VALUE"""),"led-0603-yellow-8mcd-588nm")</f>
        <v>led-0603-yellow-8mcd-588nm</v>
      </c>
      <c r="I12" s="10" t="str">
        <f aca="false">IFERROR(__xludf.dummyfunction("""COMPUTED_VALUE"""),"dp")</f>
        <v>dp</v>
      </c>
      <c r="J12" s="10" t="str">
        <f aca="false">IFERROR(__xludf.dummyfunction("""COMPUTED_VALUE"""),"2099227?ost=2099227&amp;ddkey=http%3Aen-GB%2FElement14_United_Kingdom%2Fsearch")</f>
        <v>2099227?ost=2099227&amp;ddkey=http%3Aen-GB%2FElement14_United_Kingdom%2Fsearch</v>
      </c>
      <c r="K12" s="10" t="n">
        <v>2099227</v>
      </c>
      <c r="AMJ12" s="0"/>
    </row>
    <row r="13" s="10" customFormat="true" ht="14.25" hidden="false" customHeight="true" outlineLevel="0" collapsed="false">
      <c r="A13" s="10" t="s">
        <v>27</v>
      </c>
      <c r="B13" s="13" t="n">
        <v>1</v>
      </c>
      <c r="C13" s="14" t="s">
        <v>28</v>
      </c>
      <c r="D13" s="10" t="str">
        <f aca="false">IFERROR(__xludf.dummyfunction("split(D2,""/"")"),"http:")</f>
        <v>http:</v>
      </c>
      <c r="E13" s="11" t="str">
        <f aca="false">IFERROR(__xludf.dummyfunction("""COMPUTED_VALUE"""),"uk.farnell.com")</f>
        <v>uk.farnell.com</v>
      </c>
      <c r="F13" s="10" t="str">
        <f aca="false">IFERROR(__xludf.dummyfunction("""COMPUTED_VALUE"""),"kingbright")</f>
        <v>kingbright</v>
      </c>
      <c r="G13" s="15" t="str">
        <f aca="false">IFERROR(__xludf.dummyfunction("""COMPUTED_VALUE"""),"kp-1608qbc-d")</f>
        <v>kp-1608qbc-d</v>
      </c>
      <c r="H13" s="10" t="str">
        <f aca="false">IFERROR(__xludf.dummyfunction("""COMPUTED_VALUE"""),"led-smd-0603-blue")</f>
        <v>led-smd-0603-blue</v>
      </c>
      <c r="I13" s="10" t="str">
        <f aca="false">IFERROR(__xludf.dummyfunction("""COMPUTED_VALUE"""),"dp")</f>
        <v>dp</v>
      </c>
      <c r="J13" s="10" t="str">
        <f aca="false">IFERROR(__xludf.dummyfunction("""COMPUTED_VALUE"""),"2217972?st=KPT-1608YC%20-%20%20LED,%20Low%20Power,%20Blue")</f>
        <v>2217972?st=KPT-1608YC%20-%20%20LED,%20Low%20Power,%20Blue</v>
      </c>
      <c r="K13" s="10" t="n">
        <v>2217972</v>
      </c>
      <c r="AMJ13" s="0"/>
    </row>
    <row r="14" s="10" customFormat="true" ht="14.25" hidden="false" customHeight="true" outlineLevel="0" collapsed="false">
      <c r="A14" s="16" t="s">
        <v>29</v>
      </c>
      <c r="B14" s="13" t="n">
        <v>1</v>
      </c>
      <c r="C14" s="14" t="s">
        <v>30</v>
      </c>
      <c r="D14" s="10" t="str">
        <f aca="false">IFERROR(__xludf.dummyfunction("split(D2,""/"")"),"http:")</f>
        <v>http:</v>
      </c>
      <c r="E14" s="11" t="str">
        <f aca="false">IFERROR(__xludf.dummyfunction("""COMPUTED_VALUE"""),"uk.farnell.com")</f>
        <v>uk.farnell.com</v>
      </c>
      <c r="F14" s="10" t="str">
        <f aca="false">IFERROR(__xludf.dummyfunction("""COMPUTED_VALUE"""),"bourns")</f>
        <v>bourns</v>
      </c>
      <c r="G14" s="15" t="str">
        <f aca="false">IFERROR(__xludf.dummyfunction("""COMPUTED_VALUE"""),"cd-hd2004")</f>
        <v>cd-hd2004</v>
      </c>
      <c r="H14" s="10" t="str">
        <f aca="false">IFERROR(__xludf.dummyfunction("""COMPUTED_VALUE"""),"diode-bridge-rect-1-ph-40v-smd")</f>
        <v>diode-bridge-rect-1-ph-40v-smd</v>
      </c>
      <c r="I14" s="10" t="str">
        <f aca="false">IFERROR(__xludf.dummyfunction("""COMPUTED_VALUE"""),"dp")</f>
        <v>dp</v>
      </c>
      <c r="J14" s="10" t="str">
        <f aca="false">IFERROR(__xludf.dummyfunction("""COMPUTED_VALUE"""),"2676044?krypto=HaflPpNLuHOFLHN6OxuHJMFd%2BijEvhI0duXna044V4ieLdAyHfbvP5zEqBpvqb3tSU5DiOtHH9J8%2Bn4HqqDhFw%3D%3D&amp;ddkey=https%3Aen-GB%2FElement14_United_Kingdom%2Fsearch")</f>
        <v>2676044?krypto=HaflPpNLuHOFLHN6OxuHJMFd%2BijEvhI0duXna044V4ieLdAyHfbvP5zEqBpvqb3tSU5DiOtHH9J8%2Bn4HqqDhFw%3D%3D&amp;ddkey=https%3Aen-GB%2FElement14_United_Kingdom%2Fsearch</v>
      </c>
      <c r="K14" s="10" t="n">
        <v>2676044</v>
      </c>
      <c r="AMJ14" s="0"/>
    </row>
    <row r="15" s="10" customFormat="true" ht="14.25" hidden="false" customHeight="true" outlineLevel="0" collapsed="false">
      <c r="A15" s="7" t="s">
        <v>31</v>
      </c>
      <c r="B15" s="8" t="n">
        <v>1</v>
      </c>
      <c r="C15" s="9" t="s">
        <v>32</v>
      </c>
      <c r="D15" s="10" t="str">
        <f aca="false">IFERROR(__xludf.dummyfunction("split(D2,""/"")"),"http:")</f>
        <v>http:</v>
      </c>
      <c r="E15" s="11" t="str">
        <f aca="false">IFERROR(__xludf.dummyfunction("""COMPUTED_VALUE"""),"uk.farnell.com")</f>
        <v>uk.farnell.com</v>
      </c>
      <c r="F15" s="7" t="str">
        <f aca="false">IFERROR(__xludf.dummyfunction("""COMPUTED_VALUE"""),"littelfuse")</f>
        <v>littelfuse</v>
      </c>
      <c r="G15" s="12" t="str">
        <f aca="false">IFERROR(__xludf.dummyfunction("""COMPUTED_VALUE"""),"minismdc260f-2")</f>
        <v>minismdc260f-2</v>
      </c>
      <c r="H15" s="7" t="str">
        <f aca="false">IFERROR(__xludf.dummyfunction("""COMPUTED_VALUE"""),"polyswitch-smd-1812-2-6a")</f>
        <v>polyswitch-smd-1812-2-6a</v>
      </c>
      <c r="I15" s="7" t="str">
        <f aca="false">IFERROR(__xludf.dummyfunction("""COMPUTED_VALUE"""),"dp")</f>
        <v>dp</v>
      </c>
      <c r="J15" s="7" t="n">
        <f aca="false">IFERROR(__xludf.dummyfunction("""COMPUTED_VALUE"""),1345935)</f>
        <v>1345935</v>
      </c>
      <c r="K15" s="7" t="n">
        <v>1345935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AMJ15" s="0"/>
    </row>
    <row r="16" customFormat="false" ht="14.25" hidden="false" customHeight="true" outlineLevel="0" collapsed="false">
      <c r="A16" s="0" t="s">
        <v>33</v>
      </c>
      <c r="B16" s="1" t="n">
        <v>3</v>
      </c>
      <c r="C16" s="4" t="s">
        <v>34</v>
      </c>
      <c r="D16" s="0" t="str">
        <f aca="false">IFERROR(__xludf.dummyfunction("split(D2,""/"")"),"http:")</f>
        <v>http:</v>
      </c>
      <c r="E16" s="5" t="str">
        <f aca="false">IFERROR(__xludf.dummyfunction("""COMPUTED_VALUE"""),"uk.farnell.com")</f>
        <v>uk.farnell.com</v>
      </c>
      <c r="F16" s="0" t="str">
        <f aca="false">IFERROR(__xludf.dummyfunction("""COMPUTED_VALUE"""),"littelfuse")</f>
        <v>littelfuse</v>
      </c>
      <c r="G16" s="2" t="str">
        <f aca="false">IFERROR(__xludf.dummyfunction("""COMPUTED_VALUE"""),"1210l035yr")</f>
        <v>1210l035yr</v>
      </c>
      <c r="H16" s="0" t="str">
        <f aca="false">IFERROR(__xludf.dummyfunction("""COMPUTED_VALUE"""),"polyfuse-ptc-1210-0-35a")</f>
        <v>polyfuse-ptc-1210-0-35a</v>
      </c>
      <c r="I16" s="0" t="str">
        <f aca="false">IFERROR(__xludf.dummyfunction("""COMPUTED_VALUE"""),"dp")</f>
        <v>dp</v>
      </c>
      <c r="J16" s="0" t="n">
        <f aca="false">IFERROR(__xludf.dummyfunction("""COMPUTED_VALUE"""),1822207)</f>
        <v>1822207</v>
      </c>
      <c r="K16" s="0" t="n">
        <v>1822207</v>
      </c>
    </row>
    <row r="17" customFormat="false" ht="14.25" hidden="false" customHeight="true" outlineLevel="0" collapsed="false">
      <c r="A17" s="0" t="s">
        <v>35</v>
      </c>
      <c r="B17" s="1" t="n">
        <v>1</v>
      </c>
      <c r="C17" s="4" t="s">
        <v>36</v>
      </c>
      <c r="D17" s="0" t="str">
        <f aca="false">IFERROR(__xludf.dummyfunction("split(D2,""/"")"),"http:")</f>
        <v>http:</v>
      </c>
      <c r="E17" s="5" t="str">
        <f aca="false">IFERROR(__xludf.dummyfunction("""COMPUTED_VALUE"""),"uk.farnell.com")</f>
        <v>uk.farnell.com</v>
      </c>
      <c r="F17" s="0" t="str">
        <f aca="false">IFERROR(__xludf.dummyfunction("""COMPUTED_VALUE"""),"littelfuse")</f>
        <v>littelfuse</v>
      </c>
      <c r="G17" s="2" t="str">
        <f aca="false">IFERROR(__xludf.dummyfunction("""COMPUTED_VALUE"""),"1206l050yr")</f>
        <v>1206l050yr</v>
      </c>
      <c r="H17" s="0" t="str">
        <f aca="false">IFERROR(__xludf.dummyfunction("""COMPUTED_VALUE"""),"fuse-resettable-1206-6v-500ma")</f>
        <v>fuse-resettable-1206-6v-500ma</v>
      </c>
      <c r="I17" s="0" t="str">
        <f aca="false">IFERROR(__xludf.dummyfunction("""COMPUTED_VALUE"""),"dp")</f>
        <v>dp</v>
      </c>
      <c r="J17" s="0" t="str">
        <f aca="false">IFERROR(__xludf.dummyfunction("""COMPUTED_VALUE"""),"1596993?ost=1596993&amp;ddkey=http%3Aen-GB%2FElement14_United_Kingdom%2Fsearch")</f>
        <v>1596993?ost=1596993&amp;ddkey=http%3Aen-GB%2FElement14_United_Kingdom%2Fsearch</v>
      </c>
      <c r="K17" s="0" t="n">
        <v>1596993</v>
      </c>
    </row>
    <row r="18" customFormat="false" ht="14.25" hidden="false" customHeight="true" outlineLevel="0" collapsed="false">
      <c r="A18" s="0" t="s">
        <v>37</v>
      </c>
      <c r="B18" s="1" t="n">
        <v>1</v>
      </c>
      <c r="C18" s="4" t="s">
        <v>38</v>
      </c>
      <c r="D18" s="0" t="str">
        <f aca="false">IFERROR(__xludf.dummyfunction("split(D2,""/"")"),"http:")</f>
        <v>http:</v>
      </c>
      <c r="E18" s="5" t="str">
        <f aca="false">IFERROR(__xludf.dummyfunction("""COMPUTED_VALUE"""),"uk.farnell.com")</f>
        <v>uk.farnell.com</v>
      </c>
      <c r="F18" s="0" t="str">
        <f aca="false">IFERROR(__xludf.dummyfunction("""COMPUTED_VALUE"""),"tdk")</f>
        <v>tdk</v>
      </c>
      <c r="G18" s="2" t="str">
        <f aca="false">IFERROR(__xludf.dummyfunction("""COMPUTED_VALUE"""),"mpz2012s601a")</f>
        <v>mpz2012s601a</v>
      </c>
      <c r="H18" s="0" t="str">
        <f aca="false">IFERROR(__xludf.dummyfunction("""COMPUTED_VALUE"""),"ferrite-bead-0-1ohm-2a-0805")</f>
        <v>ferrite-bead-0-1ohm-2a-0805</v>
      </c>
      <c r="I18" s="0" t="str">
        <f aca="false">IFERROR(__xludf.dummyfunction("""COMPUTED_VALUE"""),"dp")</f>
        <v>dp</v>
      </c>
      <c r="J18" s="0" t="str">
        <f aca="false">IFERROR(__xludf.dummyfunction("""COMPUTED_VALUE"""),"1669753?krypto=pMnlyQddMKTtnSihmqgvLosEEzd2cAKvNg7xDsx5mDFep%2BmTNOTdaG4z%2BrM3Rjigbmp6qVL%2FD0NwlcmmAVGi2A%3D%3D&amp;ddkey=https%3Aen-GB%2FElement14_United_Kingdom%2Fsearch")</f>
        <v>1669753?krypto=pMnlyQddMKTtnSihmqgvLosEEzd2cAKvNg7xDsx5mDFep%2BmTNOTdaG4z%2BrM3Rjigbmp6qVL%2FD0NwlcmmAVGi2A%3D%3D&amp;ddkey=https%3Aen-GB%2FElement14_United_Kingdom%2Fsearch</v>
      </c>
      <c r="K18" s="0" t="n">
        <v>1669753</v>
      </c>
    </row>
    <row r="19" customFormat="false" ht="14.25" hidden="false" customHeight="true" outlineLevel="0" collapsed="false">
      <c r="A19" s="17" t="s">
        <v>39</v>
      </c>
      <c r="B19" s="1" t="n">
        <v>1</v>
      </c>
      <c r="C19" s="4" t="s">
        <v>40</v>
      </c>
      <c r="D19" s="0" t="str">
        <f aca="false">IFERROR(__xludf.dummyfunction("split(D2,""/"")"),"http:")</f>
        <v>http:</v>
      </c>
      <c r="E19" s="5" t="str">
        <f aca="false">IFERROR(__xludf.dummyfunction("""COMPUTED_VALUE"""),"uk.farnell.com")</f>
        <v>uk.farnell.com</v>
      </c>
      <c r="F19" s="0" t="str">
        <f aca="false">IFERROR(__xludf.dummyfunction("""COMPUTED_VALUE"""),"wurth-elektronik")</f>
        <v>wurth-elektronik</v>
      </c>
      <c r="G19" s="2" t="n">
        <f aca="false">IFERROR(__xludf.dummyfunction("""COMPUTED_VALUE"""),742792031)</f>
        <v>742792031</v>
      </c>
      <c r="H19" s="0" t="str">
        <f aca="false">IFERROR(__xludf.dummyfunction("""COMPUTED_VALUE"""),"ferrite-bead-0-05ohm-3a-0805")</f>
        <v>ferrite-bead-0-05ohm-3a-0805</v>
      </c>
      <c r="I19" s="0" t="str">
        <f aca="false">IFERROR(__xludf.dummyfunction("""COMPUTED_VALUE"""),"dp")</f>
        <v>dp</v>
      </c>
      <c r="J19" s="0" t="str">
        <f aca="false">IFERROR(__xludf.dummyfunction("""COMPUTED_VALUE"""),"1635734?st=Ferrite%20Bead,%200805%20[2012%20Metric],%20600%20ohm,%203%20A,")</f>
        <v>1635734?st=Ferrite%20Bead,%200805%20[2012%20Metric],%20600%20ohm,%203%20A,</v>
      </c>
      <c r="K19" s="0" t="n">
        <v>1635734</v>
      </c>
    </row>
    <row r="20" customFormat="false" ht="14.25" hidden="false" customHeight="true" outlineLevel="0" collapsed="false">
      <c r="A20" s="0" t="s">
        <v>41</v>
      </c>
      <c r="B20" s="1" t="n">
        <v>3</v>
      </c>
      <c r="C20" s="4" t="s">
        <v>42</v>
      </c>
      <c r="D20" s="0" t="str">
        <f aca="false">IFERROR(__xludf.dummyfunction("split(D2,""/"")"),"http:")</f>
        <v>http:</v>
      </c>
      <c r="E20" s="5" t="str">
        <f aca="false">IFERROR(__xludf.dummyfunction("""COMPUTED_VALUE"""),"uk.farnell.com")</f>
        <v>uk.farnell.com</v>
      </c>
      <c r="F20" s="0" t="str">
        <f aca="false">IFERROR(__xludf.dummyfunction("""COMPUTED_VALUE"""),"jst-japan-solderless-terminals")</f>
        <v>jst-japan-solderless-terminals</v>
      </c>
      <c r="G20" s="2" t="str">
        <f aca="false">IFERROR(__xludf.dummyfunction("""COMPUTED_VALUE"""),"s5b-xh-a-lf-sn")</f>
        <v>s5b-xh-a-lf-sn</v>
      </c>
      <c r="H20" s="0" t="str">
        <f aca="false">IFERROR(__xludf.dummyfunction("""COMPUTED_VALUE"""),"header-right-angle-5way")</f>
        <v>header-right-angle-5way</v>
      </c>
      <c r="I20" s="0" t="str">
        <f aca="false">IFERROR(__xludf.dummyfunction("""COMPUTED_VALUE"""),"dp")</f>
        <v>dp</v>
      </c>
      <c r="J20" s="0" t="str">
        <f aca="false">IFERROR(__xludf.dummyfunction("""COMPUTED_VALUE"""),"1516293?ost=1516293&amp;ddkey=http%3Aen-GB%2FElement14_United_Kingdom%2Fsearch")</f>
        <v>1516293?ost=1516293&amp;ddkey=http%3Aen-GB%2FElement14_United_Kingdom%2Fsearch</v>
      </c>
      <c r="K20" s="0" t="n">
        <v>1516293</v>
      </c>
    </row>
    <row r="21" customFormat="false" ht="14.25" hidden="false" customHeight="true" outlineLevel="0" collapsed="false">
      <c r="A21" s="0" t="s">
        <v>43</v>
      </c>
      <c r="B21" s="1" t="n">
        <v>4</v>
      </c>
      <c r="C21" s="4" t="s">
        <v>44</v>
      </c>
      <c r="D21" s="0" t="str">
        <f aca="false">IFERROR(__xludf.dummyfunction("split(D2,""/"")"),"http:")</f>
        <v>http:</v>
      </c>
      <c r="E21" s="5" t="str">
        <f aca="false">IFERROR(__xludf.dummyfunction("""COMPUTED_VALUE"""),"uk.farnell.com")</f>
        <v>uk.farnell.com</v>
      </c>
      <c r="F21" s="0" t="str">
        <f aca="false">IFERROR(__xludf.dummyfunction("""COMPUTED_VALUE"""),"panasonic-electronic-components")</f>
        <v>panasonic-electronic-components</v>
      </c>
      <c r="G21" s="2" t="str">
        <f aca="false">IFERROR(__xludf.dummyfunction("""COMPUTED_VALUE"""),"erj6geyj103v")</f>
        <v>erj6geyj103v</v>
      </c>
      <c r="H21" s="0" t="str">
        <f aca="false">IFERROR(__xludf.dummyfunction("""COMPUTED_VALUE"""),"res-thick-film-10k-5-0-125w-0805")</f>
        <v>res-thick-film-10k-5-0-125w-0805</v>
      </c>
      <c r="I21" s="0" t="str">
        <f aca="false">IFERROR(__xludf.dummyfunction("""COMPUTED_VALUE"""),"dp")</f>
        <v>dp</v>
      </c>
      <c r="J21" s="0" t="str">
        <f aca="false">IFERROR(__xludf.dummyfunction("""COMPUTED_VALUE"""),"2057719?MER=sy-me-pd-mi-alte&amp;st=10k%20SMD%20RESISTOR")</f>
        <v>2057719?MER=sy-me-pd-mi-alte&amp;st=10k%20SMD%20RESISTOR</v>
      </c>
      <c r="K21" s="0" t="n">
        <v>2057719</v>
      </c>
    </row>
    <row r="22" customFormat="false" ht="14.25" hidden="false" customHeight="true" outlineLevel="0" collapsed="false">
      <c r="A22" s="0" t="s">
        <v>45</v>
      </c>
      <c r="B22" s="1" t="n">
        <v>2</v>
      </c>
      <c r="C22" s="4" t="s">
        <v>46</v>
      </c>
      <c r="D22" s="0" t="str">
        <f aca="false">IFERROR(__xludf.dummyfunction("split(D2,""/"")"),"http:")</f>
        <v>http:</v>
      </c>
      <c r="E22" s="5" t="str">
        <f aca="false">IFERROR(__xludf.dummyfunction("""COMPUTED_VALUE"""),"uk.farnell.com")</f>
        <v>uk.farnell.com</v>
      </c>
      <c r="F22" s="0" t="str">
        <f aca="false">IFERROR(__xludf.dummyfunction("""COMPUTED_VALUE"""),"panasonic-electronic-components")</f>
        <v>panasonic-electronic-components</v>
      </c>
      <c r="G22" s="2" t="str">
        <f aca="false">IFERROR(__xludf.dummyfunction("""COMPUTED_VALUE"""),"erj6geyj220v")</f>
        <v>erj6geyj220v</v>
      </c>
      <c r="H22" s="0" t="str">
        <f aca="false">IFERROR(__xludf.dummyfunction("""COMPUTED_VALUE"""),"res-thick-film-22r-5-0-125w-0805")</f>
        <v>res-thick-film-22r-5-0-125w-0805</v>
      </c>
      <c r="I22" s="0" t="str">
        <f aca="false">IFERROR(__xludf.dummyfunction("""COMPUTED_VALUE"""),"dp")</f>
        <v>dp</v>
      </c>
      <c r="J22" s="0" t="str">
        <f aca="false">IFERROR(__xludf.dummyfunction("""COMPUTED_VALUE"""),"2057672?st=SMD%20Chip%20Resistor,%2022%20ohm,%20150%20V,%20Thick%20Film,%200805%20[2012%20Metric],%20125%20mW")</f>
        <v>2057672?st=SMD%20Chip%20Resistor,%2022%20ohm,%20150%20V,%20Thick%20Film,%200805%20[2012%20Metric],%20125%20mW</v>
      </c>
      <c r="K22" s="0" t="n">
        <v>2057672</v>
      </c>
    </row>
    <row r="23" customFormat="false" ht="14.25" hidden="false" customHeight="true" outlineLevel="0" collapsed="false">
      <c r="A23" s="0" t="s">
        <v>47</v>
      </c>
      <c r="B23" s="1" t="n">
        <v>1</v>
      </c>
      <c r="C23" s="4" t="s">
        <v>48</v>
      </c>
      <c r="D23" s="0" t="str">
        <f aca="false">IFERROR(__xludf.dummyfunction("split(D2,""/"")"),"http:")</f>
        <v>http:</v>
      </c>
      <c r="E23" s="5" t="str">
        <f aca="false">IFERROR(__xludf.dummyfunction("""COMPUTED_VALUE"""),"uk.farnell.com")</f>
        <v>uk.farnell.com</v>
      </c>
      <c r="F23" s="0" t="str">
        <f aca="false">IFERROR(__xludf.dummyfunction("""COMPUTED_VALUE"""),"panasonic-electronic-components")</f>
        <v>panasonic-electronic-components</v>
      </c>
      <c r="G23" s="2" t="str">
        <f aca="false">IFERROR(__xludf.dummyfunction("""COMPUTED_VALUE"""),"exb38v102jv")</f>
        <v>exb38v102jv</v>
      </c>
      <c r="H23" s="0" t="str">
        <f aca="false">IFERROR(__xludf.dummyfunction("""COMPUTED_VALUE"""),"resistor-cvex-array-0603x4-1k")</f>
        <v>resistor-cvex-array-0603x4-1k</v>
      </c>
      <c r="I23" s="0" t="str">
        <f aca="false">IFERROR(__xludf.dummyfunction("""COMPUTED_VALUE"""),"dp")</f>
        <v>dp</v>
      </c>
      <c r="J23" s="0" t="str">
        <f aca="false">IFERROR(__xludf.dummyfunction("""COMPUTED_VALUE"""),"2060100?ost=2060100&amp;scope=partnumberlookahead&amp;exaMfpn=true&amp;searchref=searchlookahead&amp;ddkey=http%3Aen-GB%2FElement14_United_Kingdom%2Fw%2Fsearch")</f>
        <v>2060100?ost=2060100&amp;scope=partnumberlookahead&amp;exaMfpn=true&amp;searchref=searchlookahead&amp;ddkey=http%3Aen-GB%2FElement14_United_Kingdom%2Fw%2Fsearch</v>
      </c>
      <c r="K23" s="0" t="n">
        <v>2060100</v>
      </c>
    </row>
    <row r="24" customFormat="false" ht="14.25" hidden="false" customHeight="true" outlineLevel="0" collapsed="false">
      <c r="A24" s="0" t="s">
        <v>49</v>
      </c>
      <c r="B24" s="1" t="n">
        <v>2</v>
      </c>
      <c r="C24" s="4" t="s">
        <v>50</v>
      </c>
      <c r="D24" s="0" t="str">
        <f aca="false">IFERROR(__xludf.dummyfunction("split(D2,""/"")"),"http:")</f>
        <v>http:</v>
      </c>
      <c r="E24" s="5" t="str">
        <f aca="false">IFERROR(__xludf.dummyfunction("""COMPUTED_VALUE"""),"uk.farnell.com")</f>
        <v>uk.farnell.com</v>
      </c>
      <c r="F24" s="0" t="str">
        <f aca="false">IFERROR(__xludf.dummyfunction("""COMPUTED_VALUE"""),"bourns")</f>
        <v>bourns</v>
      </c>
      <c r="G24" s="2" t="str">
        <f aca="false">IFERROR(__xludf.dummyfunction("""COMPUTED_VALUE"""),"cg0603mlc-05e")</f>
        <v>cg0603mlc-05e</v>
      </c>
      <c r="H24" s="0" t="str">
        <f aca="false">IFERROR(__xludf.dummyfunction("""COMPUTED_VALUE"""),"varistor-supp-esd-protect-20v")</f>
        <v>varistor-supp-esd-protect-20v</v>
      </c>
      <c r="I24" s="0" t="str">
        <f aca="false">IFERROR(__xludf.dummyfunction("""COMPUTED_VALUE"""),"dp")</f>
        <v>dp</v>
      </c>
      <c r="J24" s="0" t="str">
        <f aca="false">IFERROR(__xludf.dummyfunction("""COMPUTED_VALUE"""),"1838966?ost=1838966&amp;ddkey=http%3Aen-GB%2FElement14_United_Kingdom%2Fsearch")</f>
        <v>1838966?ost=1838966&amp;ddkey=http%3Aen-GB%2FElement14_United_Kingdom%2Fsearch</v>
      </c>
      <c r="K24" s="0" t="n">
        <v>1838966</v>
      </c>
    </row>
    <row r="25" customFormat="false" ht="14.25" hidden="false" customHeight="true" outlineLevel="0" collapsed="false">
      <c r="A25" s="0" t="s">
        <v>51</v>
      </c>
      <c r="B25" s="1" t="n">
        <v>1</v>
      </c>
      <c r="C25" s="4" t="s">
        <v>52</v>
      </c>
      <c r="D25" s="0" t="str">
        <f aca="false">IFERROR(__xludf.dummyfunction("split(D2,""/"")"),"http:")</f>
        <v>http:</v>
      </c>
      <c r="E25" s="5" t="str">
        <f aca="false">IFERROR(__xludf.dummyfunction("""COMPUTED_VALUE"""),"uk.farnell.com")</f>
        <v>uk.farnell.com</v>
      </c>
      <c r="F25" s="0" t="str">
        <f aca="false">IFERROR(__xludf.dummyfunction("""COMPUTED_VALUE"""),"microchip")</f>
        <v>microchip</v>
      </c>
      <c r="G25" s="2" t="str">
        <f aca="false">IFERROR(__xludf.dummyfunction("""COMPUTED_VALUE"""),"atmega32u4-au")</f>
        <v>atmega32u4-au</v>
      </c>
      <c r="H25" s="0" t="str">
        <f aca="false">IFERROR(__xludf.dummyfunction("""COMPUTED_VALUE"""),"mcu-8bit-megaavr-16mhz-tqfp-44")</f>
        <v>mcu-8bit-megaavr-16mhz-tqfp-44</v>
      </c>
      <c r="I25" s="0" t="str">
        <f aca="false">IFERROR(__xludf.dummyfunction("""COMPUTED_VALUE"""),"dp")</f>
        <v>dp</v>
      </c>
      <c r="J25" s="0" t="str">
        <f aca="false">IFERROR(__xludf.dummyfunction("""COMPUTED_VALUE"""),"1748525?st=ATMEGA32U4")</f>
        <v>1748525?st=ATMEGA32U4</v>
      </c>
      <c r="K25" s="0" t="n">
        <v>1748525</v>
      </c>
    </row>
    <row r="26" customFormat="false" ht="14.25" hidden="false" customHeight="true" outlineLevel="0" collapsed="false">
      <c r="A26" s="0" t="s">
        <v>53</v>
      </c>
      <c r="B26" s="1" t="n">
        <v>2</v>
      </c>
      <c r="C26" s="4" t="s">
        <v>54</v>
      </c>
      <c r="D26" s="0" t="str">
        <f aca="false">IFERROR(__xludf.dummyfunction("split(D2,""/"")"),"http:")</f>
        <v>http:</v>
      </c>
      <c r="E26" s="5" t="str">
        <f aca="false">IFERROR(__xludf.dummyfunction("""COMPUTED_VALUE"""),"uk.farnell.com")</f>
        <v>uk.farnell.com</v>
      </c>
      <c r="F26" s="0" t="str">
        <f aca="false">IFERROR(__xludf.dummyfunction("""COMPUTED_VALUE"""),"on-semiconductor")</f>
        <v>on-semiconductor</v>
      </c>
      <c r="G26" s="2" t="str">
        <f aca="false">IFERROR(__xludf.dummyfunction("""COMPUTED_VALUE"""),"uln2003adr2g")</f>
        <v>uln2003adr2g</v>
      </c>
      <c r="H26" s="0" t="str">
        <f aca="false">IFERROR(__xludf.dummyfunction("""COMPUTED_VALUE"""),"trans-npn-50v-0-5a-soic-16")</f>
        <v>trans-npn-50v-0-5a-soic-16</v>
      </c>
      <c r="I26" s="0" t="str">
        <f aca="false">IFERROR(__xludf.dummyfunction("""COMPUTED_VALUE"""),"dp")</f>
        <v>dp</v>
      </c>
      <c r="J26" s="0" t="str">
        <f aca="false">IFERROR(__xludf.dummyfunction("""COMPUTED_VALUE"""),"2628016?st=ULN2003")</f>
        <v>2628016?st=ULN2003</v>
      </c>
      <c r="K26" s="0" t="n">
        <v>2628016</v>
      </c>
    </row>
    <row r="27" customFormat="false" ht="14.25" hidden="false" customHeight="true" outlineLevel="0" collapsed="false">
      <c r="A27" s="0" t="s">
        <v>55</v>
      </c>
      <c r="B27" s="1" t="n">
        <v>1</v>
      </c>
      <c r="C27" s="4" t="s">
        <v>56</v>
      </c>
      <c r="D27" s="0" t="str">
        <f aca="false">IFERROR(__xludf.dummyfunction("split(D2,""/"")"),"http:")</f>
        <v>http:</v>
      </c>
      <c r="E27" s="5" t="str">
        <f aca="false">IFERROR(__xludf.dummyfunction("""COMPUTED_VALUE"""),"uk.farnell.com")</f>
        <v>uk.farnell.com</v>
      </c>
      <c r="F27" s="0" t="str">
        <f aca="false">IFERROR(__xludf.dummyfunction("""COMPUTED_VALUE"""),"abracon")</f>
        <v>abracon</v>
      </c>
      <c r="G27" s="2" t="str">
        <f aca="false">IFERROR(__xludf.dummyfunction("""COMPUTED_VALUE"""),"abm8-16-000mhz-b2-t")</f>
        <v>abm8-16-000mhz-b2-t</v>
      </c>
      <c r="H27" s="0" t="str">
        <f aca="false">IFERROR(__xludf.dummyfunction("""COMPUTED_VALUE"""),"crystal-16mhz-18pf-cl-3-2x2-5mm")</f>
        <v>crystal-16mhz-18pf-cl-3-2x2-5mm</v>
      </c>
      <c r="I27" s="0" t="str">
        <f aca="false">IFERROR(__xludf.dummyfunction("""COMPUTED_VALUE"""),"dp")</f>
        <v>dp</v>
      </c>
      <c r="J27" s="0" t="str">
        <f aca="false">IFERROR(__xludf.dummyfunction("""COMPUTED_VALUE"""),"1611819?ost=1611819&amp;ddkey=http%3Aen-GB%2FElement14_United_Kingdom%2Fsearch")</f>
        <v>1611819?ost=1611819&amp;ddkey=http%3Aen-GB%2FElement14_United_Kingdom%2Fsearch</v>
      </c>
      <c r="K27" s="0" t="n">
        <v>1611819</v>
      </c>
    </row>
    <row r="28" s="10" customFormat="true" ht="14.25" hidden="false" customHeight="true" outlineLevel="0" collapsed="false">
      <c r="A28" s="7" t="s">
        <v>57</v>
      </c>
      <c r="B28" s="8" t="n">
        <v>1</v>
      </c>
      <c r="C28" s="9" t="s">
        <v>58</v>
      </c>
      <c r="D28" s="10" t="str">
        <f aca="false">IFERROR(__xludf.dummyfunction("split(D2,""/"")"),"http:")</f>
        <v>http:</v>
      </c>
      <c r="E28" s="11" t="str">
        <f aca="false">IFERROR(__xludf.dummyfunction("""COMPUTED_VALUE"""),"uk.farnell.com")</f>
        <v>uk.farnell.com</v>
      </c>
      <c r="F28" s="7" t="str">
        <f aca="false">IFERROR(__xludf.dummyfunction("""COMPUTED_VALUE"""),"multicomp")</f>
        <v>multicomp</v>
      </c>
      <c r="G28" s="12" t="str">
        <f aca="false">IFERROR(__xludf.dummyfunction("""COMPUTED_VALUE"""),"2213s-50g")</f>
        <v>2213s-50g</v>
      </c>
      <c r="H28" s="7" t="str">
        <f aca="false">IFERROR(__xludf.dummyfunction("""COMPUTED_VALUE"""),"connector-header-50pos-2-54mm")</f>
        <v>connector-header-50pos-2-54mm</v>
      </c>
      <c r="I28" s="7" t="str">
        <f aca="false">IFERROR(__xludf.dummyfunction("""COMPUTED_VALUE"""),"dp")</f>
        <v>dp</v>
      </c>
      <c r="J28" s="7" t="str">
        <f aca="false">IFERROR(__xludf.dummyfunction("""COMPUTED_VALUE"""),"2847228?st=2%20row%20header%20male")</f>
        <v>2847228?st=2%20row%20header%20male</v>
      </c>
      <c r="K28" s="7" t="n">
        <v>2847228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AMJ28" s="0"/>
    </row>
    <row r="29" customFormat="false" ht="14.25" hidden="false" customHeight="true" outlineLevel="0" collapsed="false"/>
    <row r="30" customFormat="false" ht="14.25" hidden="false" customHeight="true" outlineLevel="0" collapsed="false">
      <c r="A30" s="18" t="s">
        <v>59</v>
      </c>
      <c r="B30" s="19" t="n">
        <f aca="false">SUM(B2:B28)</f>
        <v>48</v>
      </c>
    </row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</sheetData>
  <hyperlinks>
    <hyperlink ref="C2" r:id="rId1" display="https://uk.farnell.com/amphenol-icc-fci/87520-0010blf/usb-2-0-type-a-plug-cable/dp/2112381?MER=sy-me-pd-mi-alte"/>
    <hyperlink ref="C3" r:id="rId2" display="https://uk.farnell.com/hirose-hrs/zx62d-b-5p8-30/micro-usb-2-0-type-b-rcpt-smt/dp/2554980"/>
    <hyperlink ref="C4" r:id="rId3" display="https://uk.farnell.com/kemet/c0805y104k4racauto/cap-0-1-f-16v-10-x7r-0805/dp/2673142?st=100nf%2016V%200805"/>
    <hyperlink ref="C5" r:id="rId4" display="https://uk.farnell.com/wurth-elektronik/885012007030/cap-mlcc-np0-22pf-25v-0805/dp/2533861?st=22pF%20capacitor"/>
    <hyperlink ref="C6" r:id="rId5" display="https://uk.farnell.com/panasonic-electronic-components/eee1ca100sr/cap-alu-elec-10uf-16v-smd/dp/9696920"/>
    <hyperlink ref="C7" r:id="rId6" display="https://uk.farnell.com/avx/08053c105jat2a/cap-mlcc-x7r-1uf-25v-0805/dp/2332736?st=SMD%20Multilayer%20Ceramic%20Capacitor,%200805%20[2012%20Metric],%201%20µF,%2025%20V,"/>
    <hyperlink ref="C8" r:id="rId7" display="https://uk.farnell.com/panasonic-electronic-components/db2w31900l/diode-schottky-30v-mini2-f3-b/dp/2284956?st=Schottky%20Rectifier,%2040%20V,%203%20A,%20Single,%20SOD-123F,%202%20Pins"/>
    <hyperlink ref="C9" r:id="rId8" display="http://uk.farnell.com/bourns/cd1206-s01575/diode-switching-100v-150ma-1206/dp/2211947?st=CD1206-S01575"/>
    <hyperlink ref="C10" r:id="rId9" display="http://uk.farnell.com/kingbright/kp-1608ec/led-red-8mcd-625nm-smd/dp/2463988?st=LOW%20POWER%20LED"/>
    <hyperlink ref="C11" r:id="rId10" display="http://uk.farnell.com/kingbright/kp-1608cgck/led-0603-50mcd-green/dp/2290328?st=LOW%20POWER%20LED"/>
    <hyperlink ref="C12" r:id="rId11" display="http://uk.farnell.com/kingbright/kpt-1608yc/led-0603-yellow-8mcd-588nm/dp/2099227?ost=2099227&amp;ddkey=http%3Aen-GB%2FElement14_United_Kingdom%2Fsearch"/>
    <hyperlink ref="C13" r:id="rId12" display="http://uk.farnell.com/kingbright/kp-1608qbc-d/led-smd-0603-blue/dp/2217972?st=KPT-1608YC%20-%20%20LED,%20Low%20Power,%20Blue"/>
    <hyperlink ref="C14" r:id="rId13" display="https://uk.farnell.com/bourns/cd-hd2004/diode-bridge-rect-1-ph-40v-smd/dp/2676044?krypto=HaflPpNLuHOFLHN6OxuHJMFd%2BijEvhI0duXna044V4ieLdAyHfbvP5zEqBpvqb3tSU5DiOtHH9J8%2Bn4HqqDhFw%3D%3D&amp;ddkey=https%3Aen-GB%2FElement14_United_Kingdom%2Fsearch"/>
    <hyperlink ref="C15" r:id="rId14" display="https://uk.farnell.com/littelfuse/minismdc260f-2/polyswitch-smd-1812-2-6a/dp/1345935"/>
    <hyperlink ref="C16" r:id="rId15" display="http://uk.farnell.com/littelfuse/1210l035yr/polyfuse-ptc-1210-0-35a/dp/1822207"/>
    <hyperlink ref="C17" r:id="rId16" display="http://uk.farnell.com/littelfuse/1206l050yr/fuse-resettable-1206-6v-500ma/dp/1596993?ost=1596993&amp;ddkey=http%3Aen-GB%2FElement14_United_Kingdom%2Fsearch"/>
    <hyperlink ref="C19" r:id="rId17" display="https://uk.farnell.com/wurth-elektronik/742792031/ferrite-bead-0-05ohm-3a-0805/dp/1635734?st=Ferrite%20Bead,%200805%20[2012%20Metric],%20600%20ohm,%203%20A,"/>
    <hyperlink ref="C20" r:id="rId18" display="http://uk.farnell.com/jst-japan-solderless-terminals/s5b-xh-a-lf-sn/header-right-angle-5way/dp/1516293?ost=1516293&amp;ddkey=http%3Aen-GB%2FElement14_United_Kingdom%2Fsearch"/>
    <hyperlink ref="C21" r:id="rId19" display="https://uk.farnell.com/panasonic-electronic-components/erj6geyj103v/res-thick-film-10k-5-0-125w-0805/dp/2057719?MER=sy-me-pd-mi-alte&amp;st=10k%20SMD%20RESISTOR"/>
    <hyperlink ref="C22" r:id="rId20" display="https://uk.farnell.com/panasonic-electronic-components/erj6geyj220v/res-thick-film-22r-5-0-125w-0805/dp/2057672?st=SMD%20Chip%20Resistor,%2022%20ohm,%20150%20V,%20Thick%20Film,%200805%20[2012%20Metric],%20125%20mW"/>
    <hyperlink ref="C23" r:id="rId21" display="http://uk.farnell.com/panasonic-electronic-components/exb38v102jv/resistor-cvex-array-0603x4-1k/dp/2060100?ost=2060100&amp;scope=partnumberlookahead&amp;exaMfpn=true&amp;searchref=searchlookahead&amp;ddkey=http%3Aen-GB%2FElement14_United_Kingdom%2Fw%2Fsearch"/>
    <hyperlink ref="C24" r:id="rId22" display="http://uk.farnell.com/bourns/cg0603mlc-05e/varistor-supp-esd-protect-20v/dp/1838966?ost=1838966&amp;ddkey=http%3Aen-GB%2FElement14_United_Kingdom%2Fsearch"/>
    <hyperlink ref="C25" r:id="rId23" display="http://uk.farnell.com/microchip/atmega32u4-au/mcu-8bit-megaavr-16mhz-tqfp-44/dp/1748525?st=ATMEGA32U4"/>
    <hyperlink ref="C26" r:id="rId24" display="http://uk.farnell.com/on-semiconductor/uln2003adr2g/trans-npn-50v-0-5a-soic-16/dp/2628016?st=ULN2003"/>
    <hyperlink ref="C27" r:id="rId25" display="http://uk.farnell.com/abracon/abm8-16-000mhz-b2-t/crystal-16mhz-18pf-cl-3-2x2-5mm/dp/1611819?ost=1611819&amp;ddkey=http%3Aen-GB%2FElement14_United_Kingdom%2Fsearch"/>
    <hyperlink ref="C28" r:id="rId26" display="https://uk.farnell.com/multicomp/2213s-50g/connector-header-50pos-2-54mm/dp/2847228?st=2%20row%20header%20mal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2019-09-09T15:01:44Z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