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. SANGA Valerian\Documents\myDesigns\KiCAD Designs\sangaboard_v0.3\"/>
    </mc:Choice>
  </mc:AlternateContent>
  <xr:revisionPtr revIDLastSave="0" documentId="13_ncr:1_{73516CAB-82A3-4676-9297-ECD65A377EF0}" xr6:coauthVersionLast="37" xr6:coauthVersionMax="37" xr10:uidLastSave="{00000000-0000-0000-0000-000000000000}"/>
  <bookViews>
    <workbookView xWindow="0" yWindow="0" windowWidth="8250" windowHeight="5873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0" i="1" l="1"/>
  <c r="J28" i="1"/>
  <c r="I28" i="1"/>
  <c r="H28" i="1"/>
  <c r="G28" i="1"/>
  <c r="F28" i="1"/>
  <c r="E28" i="1"/>
  <c r="D28" i="1"/>
  <c r="J27" i="1"/>
  <c r="I27" i="1"/>
  <c r="H27" i="1"/>
  <c r="G27" i="1"/>
  <c r="F27" i="1"/>
  <c r="E27" i="1"/>
  <c r="D27" i="1"/>
  <c r="J26" i="1"/>
  <c r="I26" i="1"/>
  <c r="H26" i="1"/>
  <c r="G26" i="1"/>
  <c r="F26" i="1"/>
  <c r="E26" i="1"/>
  <c r="D26" i="1"/>
  <c r="J25" i="1"/>
  <c r="I25" i="1"/>
  <c r="H25" i="1"/>
  <c r="G25" i="1"/>
  <c r="F25" i="1"/>
  <c r="E25" i="1"/>
  <c r="D25" i="1"/>
  <c r="J24" i="1"/>
  <c r="I24" i="1"/>
  <c r="H24" i="1"/>
  <c r="G24" i="1"/>
  <c r="F24" i="1"/>
  <c r="E24" i="1"/>
  <c r="D24" i="1"/>
  <c r="J23" i="1"/>
  <c r="I23" i="1"/>
  <c r="H23" i="1"/>
  <c r="G23" i="1"/>
  <c r="F23" i="1"/>
  <c r="E23" i="1"/>
  <c r="D23" i="1"/>
  <c r="J22" i="1"/>
  <c r="I22" i="1"/>
  <c r="H22" i="1"/>
  <c r="G22" i="1"/>
  <c r="F22" i="1"/>
  <c r="E22" i="1"/>
  <c r="D22" i="1"/>
  <c r="J21" i="1"/>
  <c r="I21" i="1"/>
  <c r="H21" i="1"/>
  <c r="G21" i="1"/>
  <c r="F21" i="1"/>
  <c r="E21" i="1"/>
  <c r="D21" i="1"/>
  <c r="J20" i="1"/>
  <c r="I20" i="1"/>
  <c r="H20" i="1"/>
  <c r="G20" i="1"/>
  <c r="F20" i="1"/>
  <c r="E20" i="1"/>
  <c r="D20" i="1"/>
  <c r="J19" i="1"/>
  <c r="I19" i="1"/>
  <c r="H19" i="1"/>
  <c r="G19" i="1"/>
  <c r="F19" i="1"/>
  <c r="E19" i="1"/>
  <c r="D19" i="1"/>
  <c r="J18" i="1"/>
  <c r="I18" i="1"/>
  <c r="H18" i="1"/>
  <c r="G18" i="1"/>
  <c r="F18" i="1"/>
  <c r="E18" i="1"/>
  <c r="D18" i="1"/>
  <c r="J17" i="1"/>
  <c r="I17" i="1"/>
  <c r="H17" i="1"/>
  <c r="G17" i="1"/>
  <c r="F17" i="1"/>
  <c r="E17" i="1"/>
  <c r="D17" i="1"/>
  <c r="J16" i="1"/>
  <c r="I16" i="1"/>
  <c r="H16" i="1"/>
  <c r="G16" i="1"/>
  <c r="F16" i="1"/>
  <c r="E16" i="1"/>
  <c r="D16" i="1"/>
  <c r="J15" i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12" i="1"/>
  <c r="I12" i="1"/>
  <c r="H12" i="1"/>
  <c r="G12" i="1"/>
  <c r="F12" i="1"/>
  <c r="E12" i="1"/>
  <c r="D12" i="1"/>
  <c r="J11" i="1"/>
  <c r="I11" i="1"/>
  <c r="H11" i="1"/>
  <c r="G11" i="1"/>
  <c r="F11" i="1"/>
  <c r="E11" i="1"/>
  <c r="D11" i="1"/>
  <c r="J10" i="1"/>
  <c r="I10" i="1"/>
  <c r="H10" i="1"/>
  <c r="G10" i="1"/>
  <c r="F10" i="1"/>
  <c r="E10" i="1"/>
  <c r="D10" i="1"/>
  <c r="J9" i="1"/>
  <c r="I9" i="1"/>
  <c r="H9" i="1"/>
  <c r="G9" i="1"/>
  <c r="F9" i="1"/>
  <c r="E9" i="1"/>
  <c r="D9" i="1"/>
  <c r="J8" i="1"/>
  <c r="I8" i="1"/>
  <c r="H8" i="1"/>
  <c r="G8" i="1"/>
  <c r="F8" i="1"/>
  <c r="E8" i="1"/>
  <c r="D8" i="1"/>
  <c r="J7" i="1"/>
  <c r="I7" i="1"/>
  <c r="H7" i="1"/>
  <c r="G7" i="1"/>
  <c r="F7" i="1"/>
  <c r="E7" i="1"/>
  <c r="D7" i="1"/>
  <c r="J6" i="1"/>
  <c r="I6" i="1"/>
  <c r="H6" i="1"/>
  <c r="G6" i="1"/>
  <c r="F6" i="1"/>
  <c r="E6" i="1"/>
  <c r="D6" i="1"/>
  <c r="J5" i="1"/>
  <c r="I5" i="1"/>
  <c r="H5" i="1"/>
  <c r="G5" i="1"/>
  <c r="F5" i="1"/>
  <c r="E5" i="1"/>
  <c r="D5" i="1"/>
  <c r="J4" i="1"/>
  <c r="I4" i="1"/>
  <c r="H4" i="1"/>
  <c r="G4" i="1"/>
  <c r="F4" i="1"/>
  <c r="E4" i="1"/>
  <c r="D4" i="1"/>
  <c r="J3" i="1"/>
  <c r="I3" i="1"/>
  <c r="H3" i="1"/>
  <c r="G3" i="1"/>
  <c r="F3" i="1"/>
  <c r="E3" i="1"/>
  <c r="D3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<sst xmlns="http://schemas.openxmlformats.org/spreadsheetml/2006/main" count="59" uniqueCount="59">
  <si>
    <t>part name</t>
  </si>
  <si>
    <t>QTY</t>
  </si>
  <si>
    <t>Link</t>
  </si>
  <si>
    <t>Part number (from link)</t>
  </si>
  <si>
    <t>USB Type A</t>
  </si>
  <si>
    <t>https://uk.farnell.com/amphenol-icc-fci/87520-0010blf/usb-2-0-type-a-plug-cable/dp/2112381?MER=sy-me-pd-mi-alte</t>
  </si>
  <si>
    <t>USB Type B Micro</t>
  </si>
  <si>
    <t>https://uk.farnell.com/hirose-hrs/zx62d-b-5p8-30/micro-usb-2-0-type-b-rcpt-smt/dp/2554980</t>
  </si>
  <si>
    <t>C1, C5, C9</t>
  </si>
  <si>
    <t>https://uk.farnell.com/kemet/c0805y104k4racauto/cap-0-1-f-16v-10-x7r-0805/dp/2673142?st=100nf%2016V%200805</t>
  </si>
  <si>
    <t>C2, C3</t>
  </si>
  <si>
    <t>https://uk.farnell.com/wurth-elektronik/885012007030/cap-mlcc-np0-22pf-25v-0805/dp/2533861?st=22pF%20capacitor</t>
  </si>
  <si>
    <t>C4, C8</t>
  </si>
  <si>
    <t>https://uk.farnell.com/panasonic-electronic-components/eee1ca100sr/cap-alu-elec-10uf-16v-smd/dp/9696920</t>
  </si>
  <si>
    <t>C6, C7, C10, C11</t>
  </si>
  <si>
    <t>https://uk.farnell.com/avx/08053c105jat2a/cap-mlcc-x7r-1uf-25v-0805/dp/2332736?st=SMD%20Multilayer%20Ceramic%20Capacitor,%200805%20[2012%20Metric],%201%20µF,%2025%20V,</t>
  </si>
  <si>
    <t>D1, D2, D3, D4</t>
  </si>
  <si>
    <t>https://uk.farnell.com/panasonic-electronic-components/db2w31900l/diode-schottky-30v-mini2-f3-b/dp/2284956?st=Schottky%20Rectifier,%2040%20V,%203%20A,%20Single,%20SOD-123F,%202%20Pins</t>
  </si>
  <si>
    <t>D5</t>
  </si>
  <si>
    <t>http://uk.farnell.com/bourns/cd1206-s01575/diode-switching-100v-150ma-1206/dp/2211947?st=CD1206-S01575</t>
  </si>
  <si>
    <t>D6</t>
  </si>
  <si>
    <t>http://uk.farnell.com/kingbright/kp-1608ec/led-red-8mcd-625nm-smd/dp/2463988?st=LOW%20POWER%20LED</t>
  </si>
  <si>
    <t>D7</t>
  </si>
  <si>
    <t>http://uk.farnell.com/kingbright/kp-1608cgck/led-0603-50mcd-green/dp/2290328?st=LOW%20POWER%20LED</t>
  </si>
  <si>
    <t>D8</t>
  </si>
  <si>
    <t>http://uk.farnell.com/kingbright/kpt-1608yc/led-0603-yellow-8mcd-588nm/dp/2099227?ost=2099227&amp;ddkey=http%3Aen-GB%2FElement14_United_Kingdom%2Fsearch</t>
  </si>
  <si>
    <t>D9</t>
  </si>
  <si>
    <t>http://uk.farnell.com/kingbright/kp-1608qbc-d/led-smd-0603-blue/dp/2217972?st=KPT-1608YC%20-%20%20LED,%20Low%20Power,%20Blue</t>
  </si>
  <si>
    <t>D10</t>
  </si>
  <si>
    <t>https://uk.farnell.com/bourns/cd-hd2004/diode-bridge-rect-1-ph-40v-smd/dp/2676044?krypto=HaflPpNLuHOFLHN6OxuHJMFd%2BijEvhI0duXna044V4ieLdAyHfbvP5zEqBpvqb3tSU5DiOtHH9J8%2Bn4HqqDhFw%3D%3D&amp;ddkey=https%3Aen-GB%2FElement14_United_Kingdom%2Fsearch</t>
  </si>
  <si>
    <t>F1</t>
  </si>
  <si>
    <t>https://uk.farnell.com/littelfuse/minismdc260f-2/polyswitch-smd-1812-2-6a/dp/1345935</t>
  </si>
  <si>
    <t>F2, F3, F4</t>
  </si>
  <si>
    <t>http://uk.farnell.com/littelfuse/1210l035yr/polyfuse-ptc-1210-0-35a/dp/1822207</t>
  </si>
  <si>
    <t>F5</t>
  </si>
  <si>
    <t>http://uk.farnell.com/littelfuse/1206l050yr/fuse-resettable-1206-6v-500ma/dp/1596993?ost=1596993&amp;ddkey=http%3Aen-GB%2FElement14_United_Kingdom%2Fsearch</t>
  </si>
  <si>
    <t>L1</t>
  </si>
  <si>
    <t>https://uk.farnell.com/tdk/mpz2012s601a/ferrite-bead-0-1ohm-2a-0805/dp/1669753?krypto=pMnlyQddMKTtnSihmqgvLosEEzd2cAKvNg7xDsx5mDFep%2BmTNOTdaG4z%2BrM3Rjigbmp6qVL%2FD0NwlcmmAVGi2A%3D%3D&amp;ddkey=https%3Aen-GB%2FElement14_United_Kingdom%2Fsearch</t>
  </si>
  <si>
    <t>L2</t>
  </si>
  <si>
    <t>https://uk.farnell.com/wurth-elektronik/742792031/ferrite-bead-0-05ohm-3a-0805/dp/1635734?st=Ferrite%20Bead,%200805%20[2012%20Metric],%20600%20ohm,%203%20A,</t>
  </si>
  <si>
    <t>J12, J13, J14</t>
  </si>
  <si>
    <t>http://uk.farnell.com/jst-japan-solderless-terminals/s5b-xh-a-lf-sn/header-right-angle-5way/dp/1516293?ost=1516293&amp;ddkey=http%3Aen-GB%2FElement14_United_Kingdom%2Fsearch</t>
  </si>
  <si>
    <t>R1, R2, R5, R6</t>
  </si>
  <si>
    <t>https://uk.farnell.com/panasonic-electronic-components/erj6geyj103v/res-thick-film-10k-5-0-125w-0805/dp/2057719?MER=sy-me-pd-mi-alte&amp;st=10k%20SMD%20RESISTOR</t>
  </si>
  <si>
    <t>R3, R4</t>
  </si>
  <si>
    <t>https://uk.farnell.com/panasonic-electronic-components/erj6geyj220v/res-thick-film-22r-5-0-125w-0805/dp/2057672?st=SMD%20Chip%20Resistor,%2022%20ohm,%20150%20V,%20Thick%20Film,%200805%20[2012%20Metric],%20125%20mW</t>
  </si>
  <si>
    <t>RN1</t>
  </si>
  <si>
    <t>http://uk.farnell.com/panasonic-electronic-components/exb38v102jv/resistor-cvex-array-0603x4-1k/dp/2060100?ost=2060100&amp;scope=partnumberlookahead&amp;exaMfpn=true&amp;searchref=searchlookahead&amp;ddkey=http%3Aen-GB%2FElement14_United_Kingdom%2Fw%2Fsearch</t>
  </si>
  <si>
    <t>RV1, VR2</t>
  </si>
  <si>
    <t>http://uk.farnell.com/bourns/cg0603mlc-05e/varistor-supp-esd-protect-20v/dp/1838966?ost=1838966&amp;ddkey=http%3Aen-GB%2FElement14_United_Kingdom%2Fsearch</t>
  </si>
  <si>
    <t>U1</t>
  </si>
  <si>
    <t>http://uk.farnell.com/microchip/atmega32u4-au/mcu-8bit-megaavr-16mhz-tqfp-44/dp/1748525?st=ATMEGA32U4</t>
  </si>
  <si>
    <t>U2, U3</t>
  </si>
  <si>
    <t>http://uk.farnell.com/on-semiconductor/uln2003adr2g/trans-npn-50v-0-5a-soic-16/dp/2628016?st=ULN2003</t>
  </si>
  <si>
    <t>Y1</t>
  </si>
  <si>
    <t>http://uk.farnell.com/abracon/abm8-16-000mhz-b2-t/crystal-16mhz-18pf-cl-3-2x2-5mm/dp/1611819?ost=1611819&amp;ddkey=http%3Aen-GB%2FElement14_United_Kingdom%2Fsearch</t>
  </si>
  <si>
    <t>Male headers</t>
  </si>
  <si>
    <t>https://uk.farnell.com/multicomp/2213s-50g/connector-header-50pos-2-54mm/dp/2847228?st=2%20row%20header%20male</t>
  </si>
  <si>
    <t>Total parts: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</si>
</sst>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Fill="1"/>
    <xf numFmtId="0" fontId="6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farnell.com/panasonic-electronic-components/db2w31900l/diode-schottky-30v-mini2-f3-b/dp/2284956?st=Schottky%20Rectifier,%2040%20V,%203%20A,%20Single,%20SOD-123F,%202%20Pins" TargetMode="External"/><Relationship Id="rId18" Type="http://schemas.openxmlformats.org/officeDocument/2006/relationships/hyperlink" Target="http://uk.farnell.com/" TargetMode="External"/><Relationship Id="rId26" Type="http://schemas.openxmlformats.org/officeDocument/2006/relationships/hyperlink" Target="http://uk.farnell.com/" TargetMode="External"/><Relationship Id="rId39" Type="http://schemas.openxmlformats.org/officeDocument/2006/relationships/hyperlink" Target="http://uk.farnell.com/" TargetMode="External"/><Relationship Id="rId3" Type="http://schemas.openxmlformats.org/officeDocument/2006/relationships/hyperlink" Target="https://uk.farnell.com/hirose-hrs/zx62d-b-5p8-30/micro-usb-2-0-type-b-rcpt-smt/dp/2554980" TargetMode="External"/><Relationship Id="rId21" Type="http://schemas.openxmlformats.org/officeDocument/2006/relationships/hyperlink" Target="http://uk.farnell.com/kingbright/kpt-1608yc/led-0603-yellow-8mcd-588nm/dp/2099227?ost=2099227&amp;ddkey=http%3Aen-GB%2FElement14_United_Kingdom%2Fsearch" TargetMode="External"/><Relationship Id="rId34" Type="http://schemas.openxmlformats.org/officeDocument/2006/relationships/hyperlink" Target="https://uk.farnell.com/wurth-elektronik/742792031/ferrite-bead-0-05ohm-3a-0805/dp/1635734?st=Ferrite%20Bead,%200805%20%5b2012%20Metric%5d,%20600%20ohm,%203%20A," TargetMode="External"/><Relationship Id="rId42" Type="http://schemas.openxmlformats.org/officeDocument/2006/relationships/hyperlink" Target="http://uk.farnell.com/panasonic-electronic-components/exb38v102jv/resistor-cvex-array-0603x4-1k/dp/2060100?ost=2060100&amp;scope=partnumberlookahead&amp;exaMfpn=true&amp;searchref=searchlookahead&amp;ddkey=http%3Aen-GB%2FElement14_United_Kingdom%2Fw%2Fsearch" TargetMode="External"/><Relationship Id="rId47" Type="http://schemas.openxmlformats.org/officeDocument/2006/relationships/hyperlink" Target="http://uk.farnell.com/" TargetMode="External"/><Relationship Id="rId50" Type="http://schemas.openxmlformats.org/officeDocument/2006/relationships/hyperlink" Target="http://uk.farnell.com/abracon/abm8-16-000mhz-b2-t/crystal-16mhz-18pf-cl-3-2x2-5mm/dp/1611819?ost=1611819&amp;ddkey=http%3Aen-GB%2FElement14_United_Kingdom%2Fsearch" TargetMode="External"/><Relationship Id="rId7" Type="http://schemas.openxmlformats.org/officeDocument/2006/relationships/hyperlink" Target="https://uk.farnell.com/wurth-elektronik/885012007030/cap-mlcc-np0-22pf-25v-0805/dp/2533861?st=22pF%20capacitor" TargetMode="External"/><Relationship Id="rId12" Type="http://schemas.openxmlformats.org/officeDocument/2006/relationships/hyperlink" Target="http://uk.farnell.com/" TargetMode="External"/><Relationship Id="rId17" Type="http://schemas.openxmlformats.org/officeDocument/2006/relationships/hyperlink" Target="http://uk.farnell.com/kingbright/kp-1608ec/led-red-8mcd-625nm-smd/dp/2463988?st=LOW%20POWER%20LED" TargetMode="External"/><Relationship Id="rId25" Type="http://schemas.openxmlformats.org/officeDocument/2006/relationships/hyperlink" Target="https://uk.farnell.com/bourns/cd-hd2004/diode-bridge-rect-1-ph-40v-smd/dp/2676044?krypto=HaflPpNLuHOFLHN6OxuHJMFd%2BijEvhI0duXna044V4ieLdAyHfbvP5zEqBpvqb3tSU5DiOtHH9J8%2Bn4HqqDhFw%3D%3D&amp;ddkey=https%3Aen-GB%2FElement14_United_Kingdom%2Fsearch" TargetMode="External"/><Relationship Id="rId33" Type="http://schemas.openxmlformats.org/officeDocument/2006/relationships/hyperlink" Target="http://uk.farnell.com/" TargetMode="External"/><Relationship Id="rId38" Type="http://schemas.openxmlformats.org/officeDocument/2006/relationships/hyperlink" Target="https://uk.farnell.com/panasonic-electronic-components/erj6geyj103v/res-thick-film-10k-5-0-125w-0805/dp/2057719?MER=sy-me-pd-mi-alte&amp;st=10k%20SMD%20RESISTOR" TargetMode="External"/><Relationship Id="rId46" Type="http://schemas.openxmlformats.org/officeDocument/2006/relationships/hyperlink" Target="http://uk.farnell.com/microchip/atmega32u4-au/mcu-8bit-megaavr-16mhz-tqfp-44/dp/1748525?st=ATMEGA32U4" TargetMode="External"/><Relationship Id="rId2" Type="http://schemas.openxmlformats.org/officeDocument/2006/relationships/hyperlink" Target="http://uk.farnell.com/" TargetMode="External"/><Relationship Id="rId16" Type="http://schemas.openxmlformats.org/officeDocument/2006/relationships/hyperlink" Target="http://uk.farnell.com/" TargetMode="External"/><Relationship Id="rId20" Type="http://schemas.openxmlformats.org/officeDocument/2006/relationships/hyperlink" Target="http://uk.farnell.com/" TargetMode="External"/><Relationship Id="rId29" Type="http://schemas.openxmlformats.org/officeDocument/2006/relationships/hyperlink" Target="http://uk.farnell.com/littelfuse/1210l035yr/polyfuse-ptc-1210-0-35a/dp/1822207" TargetMode="External"/><Relationship Id="rId41" Type="http://schemas.openxmlformats.org/officeDocument/2006/relationships/hyperlink" Target="http://uk.farnell.com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uk.farnell.com/amphenol-icc-fci/87520-0010blf/usb-2-0-type-a-plug-cable/dp/2112381?MER=sy-me-pd-mi-alte" TargetMode="External"/><Relationship Id="rId6" Type="http://schemas.openxmlformats.org/officeDocument/2006/relationships/hyperlink" Target="http://uk.farnell.com/" TargetMode="External"/><Relationship Id="rId11" Type="http://schemas.openxmlformats.org/officeDocument/2006/relationships/hyperlink" Target="https://uk.farnell.com/avx/08053c105jat2a/cap-mlcc-x7r-1uf-25v-0805/dp/2332736?st=SMD%20Multilayer%20Ceramic%20Capacitor,%200805%20%5b2012%20Metric%5d,%201%20&#181;F,%2025%20V," TargetMode="External"/><Relationship Id="rId24" Type="http://schemas.openxmlformats.org/officeDocument/2006/relationships/hyperlink" Target="http://uk.farnell.com/" TargetMode="External"/><Relationship Id="rId32" Type="http://schemas.openxmlformats.org/officeDocument/2006/relationships/hyperlink" Target="http://uk.farnell.com/" TargetMode="External"/><Relationship Id="rId37" Type="http://schemas.openxmlformats.org/officeDocument/2006/relationships/hyperlink" Target="http://uk.farnell.com/" TargetMode="External"/><Relationship Id="rId40" Type="http://schemas.openxmlformats.org/officeDocument/2006/relationships/hyperlink" Target="https://uk.farnell.com/panasonic-electronic-components/erj6geyj220v/res-thick-film-22r-5-0-125w-0805/dp/2057672?st=SMD%20Chip%20Resistor,%2022%20ohm,%20150%20V,%20Thick%20Film,%200805%20%5b2012%20Metric%5d,%20125%20mW" TargetMode="External"/><Relationship Id="rId45" Type="http://schemas.openxmlformats.org/officeDocument/2006/relationships/hyperlink" Target="http://uk.farnell.com/" TargetMode="External"/><Relationship Id="rId53" Type="http://schemas.openxmlformats.org/officeDocument/2006/relationships/hyperlink" Target="http://uk.farnell.com/" TargetMode="External"/><Relationship Id="rId5" Type="http://schemas.openxmlformats.org/officeDocument/2006/relationships/hyperlink" Target="https://uk.farnell.com/kemet/c0805y104k4racauto/cap-0-1-f-16v-10-x7r-0805/dp/2673142?st=100nf%2016V%200805" TargetMode="External"/><Relationship Id="rId15" Type="http://schemas.openxmlformats.org/officeDocument/2006/relationships/hyperlink" Target="http://uk.farnell.com/bourns/cd1206-s01575/diode-switching-100v-150ma-1206/dp/2211947?st=CD1206-S01575" TargetMode="External"/><Relationship Id="rId23" Type="http://schemas.openxmlformats.org/officeDocument/2006/relationships/hyperlink" Target="http://uk.farnell.com/kingbright/kp-1608qbc-d/led-smd-0603-blue/dp/2217972?st=KPT-1608YC%20-%20%20LED,%20Low%20Power,%20Blue" TargetMode="External"/><Relationship Id="rId28" Type="http://schemas.openxmlformats.org/officeDocument/2006/relationships/hyperlink" Target="http://uk.farnell.com/" TargetMode="External"/><Relationship Id="rId36" Type="http://schemas.openxmlformats.org/officeDocument/2006/relationships/hyperlink" Target="http://uk.farnell.com/jst-japan-solderless-terminals/s5b-xh-a-lf-sn/header-right-angle-5way/dp/1516293?ost=1516293&amp;ddkey=http%3Aen-GB%2FElement14_United_Kingdom%2Fsearch" TargetMode="External"/><Relationship Id="rId49" Type="http://schemas.openxmlformats.org/officeDocument/2006/relationships/hyperlink" Target="http://uk.farnell.com/" TargetMode="External"/><Relationship Id="rId10" Type="http://schemas.openxmlformats.org/officeDocument/2006/relationships/hyperlink" Target="http://uk.farnell.com/" TargetMode="External"/><Relationship Id="rId19" Type="http://schemas.openxmlformats.org/officeDocument/2006/relationships/hyperlink" Target="http://uk.farnell.com/kingbright/kp-1608cgck/led-0603-50mcd-green/dp/2290328?st=LOW%20POWER%20LED" TargetMode="External"/><Relationship Id="rId31" Type="http://schemas.openxmlformats.org/officeDocument/2006/relationships/hyperlink" Target="http://uk.farnell.com/littelfuse/1206l050yr/fuse-resettable-1206-6v-500ma/dp/1596993?ost=1596993&amp;ddkey=http%3Aen-GB%2FElement14_United_Kingdom%2Fsearch" TargetMode="External"/><Relationship Id="rId44" Type="http://schemas.openxmlformats.org/officeDocument/2006/relationships/hyperlink" Target="http://uk.farnell.com/bourns/cg0603mlc-05e/varistor-supp-esd-protect-20v/dp/1838966?ost=1838966&amp;ddkey=http%3Aen-GB%2FElement14_United_Kingdom%2Fsearch" TargetMode="External"/><Relationship Id="rId52" Type="http://schemas.openxmlformats.org/officeDocument/2006/relationships/hyperlink" Target="https://uk.farnell.com/multicomp/2213s-50g/connector-header-50pos-2-54mm/dp/2847228?st=2%20row%20header%20male" TargetMode="External"/><Relationship Id="rId4" Type="http://schemas.openxmlformats.org/officeDocument/2006/relationships/hyperlink" Target="http://uk.farnell.com/" TargetMode="External"/><Relationship Id="rId9" Type="http://schemas.openxmlformats.org/officeDocument/2006/relationships/hyperlink" Target="https://uk.farnell.com/panasonic-electronic-components/eee1ca100sr/cap-alu-elec-10uf-16v-smd/dp/9696920" TargetMode="External"/><Relationship Id="rId14" Type="http://schemas.openxmlformats.org/officeDocument/2006/relationships/hyperlink" Target="http://uk.farnell.com/" TargetMode="External"/><Relationship Id="rId22" Type="http://schemas.openxmlformats.org/officeDocument/2006/relationships/hyperlink" Target="http://uk.farnell.com/" TargetMode="External"/><Relationship Id="rId27" Type="http://schemas.openxmlformats.org/officeDocument/2006/relationships/hyperlink" Target="https://uk.farnell.com/littelfuse/minismdc260f-2/polyswitch-smd-1812-2-6a/dp/1345935" TargetMode="External"/><Relationship Id="rId30" Type="http://schemas.openxmlformats.org/officeDocument/2006/relationships/hyperlink" Target="http://uk.farnell.com/" TargetMode="External"/><Relationship Id="rId35" Type="http://schemas.openxmlformats.org/officeDocument/2006/relationships/hyperlink" Target="http://uk.farnell.com/" TargetMode="External"/><Relationship Id="rId43" Type="http://schemas.openxmlformats.org/officeDocument/2006/relationships/hyperlink" Target="http://uk.farnell.com/" TargetMode="External"/><Relationship Id="rId48" Type="http://schemas.openxmlformats.org/officeDocument/2006/relationships/hyperlink" Target="http://uk.farnell.com/on-semiconductor/uln2003adr2g/trans-npn-50v-0-5a-soic-16/dp/2628016?st=ULN2003" TargetMode="External"/><Relationship Id="rId8" Type="http://schemas.openxmlformats.org/officeDocument/2006/relationships/hyperlink" Target="http://uk.farnell.com/" TargetMode="External"/><Relationship Id="rId51" Type="http://schemas.openxmlformats.org/officeDocument/2006/relationships/hyperlink" Target="http://uk.farn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tabSelected="1" workbookViewId="0">
      <selection activeCell="O11" sqref="O11"/>
    </sheetView>
  </sheetViews>
  <sheetFormatPr defaultColWidth="14.3984375" defaultRowHeight="15" customHeight="1"/>
  <cols>
    <col min="1" max="1" width="18.9296875" customWidth="1"/>
    <col min="2" max="2" width="5.73046875" style="16" customWidth="1"/>
    <col min="3" max="3" width="59.06640625" customWidth="1"/>
    <col min="4" max="5" width="8.73046875" hidden="1" customWidth="1"/>
    <col min="6" max="6" width="21.6640625" hidden="1" customWidth="1"/>
    <col min="7" max="7" width="21.86328125" style="6" customWidth="1"/>
    <col min="8" max="10" width="8.73046875" hidden="1" customWidth="1"/>
    <col min="11" max="23" width="8.73046875" customWidth="1"/>
  </cols>
  <sheetData>
    <row r="1" spans="1:23" s="16" customFormat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t="s">
        <v>4</v>
      </c>
      <c r="B2" s="16">
        <v>1</v>
      </c>
      <c r="C2" s="3" t="s">
        <v>5</v>
      </c>
      <c r="D2" t="str">
        <f t="shared" ref="D2:D28" ca="1" si="0">IFERROR(__xludf.DUMMYFUNCTION("split(D2,""/"")"),"http:")</f>
        <v>http:</v>
      </c>
      <c r="E2" s="4" t="str">
        <f ca="1">IFERROR(__xludf.DUMMYFUNCTION("""COMPUTED_VALUE"""),"uk.farnell.com")</f>
        <v>uk.farnell.com</v>
      </c>
      <c r="F2" t="str">
        <f ca="1">IFERROR(__xludf.DUMMYFUNCTION("""COMPUTED_VALUE"""),"amphenol-icc-fci")</f>
        <v>amphenol-icc-fci</v>
      </c>
      <c r="G2" s="6" t="str">
        <f ca="1">IFERROR(__xludf.DUMMYFUNCTION("""COMPUTED_VALUE"""),"87520-0010blf")</f>
        <v>87520-0010blf</v>
      </c>
      <c r="H2" t="str">
        <f ca="1">IFERROR(__xludf.DUMMYFUNCTION("""COMPUTED_VALUE"""),"usb-2-0-type-a-plug-cable")</f>
        <v>usb-2-0-type-a-plug-cable</v>
      </c>
      <c r="I2" t="str">
        <f ca="1">IFERROR(__xludf.DUMMYFUNCTION("""COMPUTED_VALUE"""),"dp")</f>
        <v>dp</v>
      </c>
      <c r="J2" t="str">
        <f ca="1">IFERROR(__xludf.DUMMYFUNCTION("""COMPUTED_VALUE"""),"2112381?MER=sy-me-pd-mi-alte")</f>
        <v>2112381?MER=sy-me-pd-mi-alte</v>
      </c>
    </row>
    <row r="3" spans="1:23" ht="14.25" customHeight="1">
      <c r="A3" t="s">
        <v>6</v>
      </c>
      <c r="B3" s="16">
        <v>2</v>
      </c>
      <c r="C3" s="3" t="s">
        <v>7</v>
      </c>
      <c r="D3" t="str">
        <f t="shared" ca="1" si="0"/>
        <v>http:</v>
      </c>
      <c r="E3" s="4" t="str">
        <f ca="1">IFERROR(__xludf.DUMMYFUNCTION("""COMPUTED_VALUE"""),"uk.farnell.com")</f>
        <v>uk.farnell.com</v>
      </c>
      <c r="F3" t="str">
        <f ca="1">IFERROR(__xludf.DUMMYFUNCTION("""COMPUTED_VALUE"""),"hirose-hrs")</f>
        <v>hirose-hrs</v>
      </c>
      <c r="G3" s="6" t="str">
        <f ca="1">IFERROR(__xludf.DUMMYFUNCTION("""COMPUTED_VALUE"""),"zx62d-b-5p8-30")</f>
        <v>zx62d-b-5p8-30</v>
      </c>
      <c r="H3" t="str">
        <f ca="1">IFERROR(__xludf.DUMMYFUNCTION("""COMPUTED_VALUE"""),"micro-usb-2-0-type-b-rcpt-smt")</f>
        <v>micro-usb-2-0-type-b-rcpt-smt</v>
      </c>
      <c r="I3" t="str">
        <f ca="1">IFERROR(__xludf.DUMMYFUNCTION("""COMPUTED_VALUE"""),"dp")</f>
        <v>dp</v>
      </c>
      <c r="J3">
        <f ca="1">IFERROR(__xludf.DUMMYFUNCTION("""COMPUTED_VALUE"""),2554980)</f>
        <v>2554980</v>
      </c>
    </row>
    <row r="4" spans="1:23" ht="14.25" customHeight="1">
      <c r="A4" t="s">
        <v>8</v>
      </c>
      <c r="B4" s="16">
        <v>3</v>
      </c>
      <c r="C4" s="5" t="s">
        <v>9</v>
      </c>
      <c r="D4" t="str">
        <f t="shared" ca="1" si="0"/>
        <v>http:</v>
      </c>
      <c r="E4" s="4" t="str">
        <f ca="1">IFERROR(__xludf.DUMMYFUNCTION("""COMPUTED_VALUE"""),"uk.farnell.com")</f>
        <v>uk.farnell.com</v>
      </c>
      <c r="F4" t="str">
        <f ca="1">IFERROR(__xludf.DUMMYFUNCTION("""COMPUTED_VALUE"""),"kemet")</f>
        <v>kemet</v>
      </c>
      <c r="G4" s="6" t="str">
        <f ca="1">IFERROR(__xludf.DUMMYFUNCTION("""COMPUTED_VALUE"""),"c0805y104k4racauto")</f>
        <v>c0805y104k4racauto</v>
      </c>
      <c r="H4" t="str">
        <f ca="1">IFERROR(__xludf.DUMMYFUNCTION("""COMPUTED_VALUE"""),"cap-0-1-f-16v-10-x7r-0805")</f>
        <v>cap-0-1-f-16v-10-x7r-0805</v>
      </c>
      <c r="I4" t="str">
        <f ca="1">IFERROR(__xludf.DUMMYFUNCTION("""COMPUTED_VALUE"""),"dp")</f>
        <v>dp</v>
      </c>
      <c r="J4" t="str">
        <f ca="1">IFERROR(__xludf.DUMMYFUNCTION("""COMPUTED_VALUE"""),"2673142?st=100nf%2016V%200805")</f>
        <v>2673142?st=100nf%2016V%200805</v>
      </c>
    </row>
    <row r="5" spans="1:23" s="9" customFormat="1" ht="14.25" customHeight="1">
      <c r="A5" s="7" t="s">
        <v>10</v>
      </c>
      <c r="B5" s="17">
        <v>2</v>
      </c>
      <c r="C5" s="8" t="s">
        <v>11</v>
      </c>
      <c r="D5" s="9" t="str">
        <f t="shared" ca="1" si="0"/>
        <v>http:</v>
      </c>
      <c r="E5" s="10" t="str">
        <f ca="1">IFERROR(__xludf.DUMMYFUNCTION("""COMPUTED_VALUE"""),"uk.farnell.com")</f>
        <v>uk.farnell.com</v>
      </c>
      <c r="F5" s="7" t="str">
        <f ca="1">IFERROR(__xludf.DUMMYFUNCTION("""COMPUTED_VALUE"""),"wurth-elektronik")</f>
        <v>wurth-elektronik</v>
      </c>
      <c r="G5" s="14">
        <f ca="1">IFERROR(__xludf.DUMMYFUNCTION("""COMPUTED_VALUE"""),885012007030)</f>
        <v>885012007030</v>
      </c>
      <c r="H5" s="7" t="str">
        <f ca="1">IFERROR(__xludf.DUMMYFUNCTION("""COMPUTED_VALUE"""),"cap-mlcc-np0-22pf-25v-0805")</f>
        <v>cap-mlcc-np0-22pf-25v-0805</v>
      </c>
      <c r="I5" s="7" t="str">
        <f ca="1">IFERROR(__xludf.DUMMYFUNCTION("""COMPUTED_VALUE"""),"dp")</f>
        <v>dp</v>
      </c>
      <c r="J5" s="7" t="str">
        <f ca="1">IFERROR(__xludf.DUMMYFUNCTION("""COMPUTED_VALUE"""),"2533861?st=22pF%20capacitor")</f>
        <v>2533861?st=22pF%20capacitor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s="9" customFormat="1" ht="14.25" customHeight="1">
      <c r="A6" s="9" t="s">
        <v>12</v>
      </c>
      <c r="B6" s="18">
        <v>2</v>
      </c>
      <c r="C6" s="11" t="s">
        <v>13</v>
      </c>
      <c r="D6" s="9" t="str">
        <f t="shared" ca="1" si="0"/>
        <v>http:</v>
      </c>
      <c r="E6" s="12" t="str">
        <f ca="1">IFERROR(__xludf.DUMMYFUNCTION("""COMPUTED_VALUE"""),"uk.farnell.com")</f>
        <v>uk.farnell.com</v>
      </c>
      <c r="F6" s="9" t="str">
        <f ca="1">IFERROR(__xludf.DUMMYFUNCTION("""COMPUTED_VALUE"""),"panasonic-electronic-components")</f>
        <v>panasonic-electronic-components</v>
      </c>
      <c r="G6" s="15" t="str">
        <f ca="1">IFERROR(__xludf.DUMMYFUNCTION("""COMPUTED_VALUE"""),"eee1ca100sr")</f>
        <v>eee1ca100sr</v>
      </c>
      <c r="H6" s="9" t="str">
        <f ca="1">IFERROR(__xludf.DUMMYFUNCTION("""COMPUTED_VALUE"""),"cap-alu-elec-10uf-16v-smd")</f>
        <v>cap-alu-elec-10uf-16v-smd</v>
      </c>
      <c r="I6" s="9" t="str">
        <f ca="1">IFERROR(__xludf.DUMMYFUNCTION("""COMPUTED_VALUE"""),"dp")</f>
        <v>dp</v>
      </c>
      <c r="J6" s="9">
        <f ca="1">IFERROR(__xludf.DUMMYFUNCTION("""COMPUTED_VALUE"""),9696920)</f>
        <v>9696920</v>
      </c>
    </row>
    <row r="7" spans="1:23" s="9" customFormat="1" ht="14.25" customHeight="1">
      <c r="A7" s="9" t="s">
        <v>14</v>
      </c>
      <c r="B7" s="18">
        <v>4</v>
      </c>
      <c r="C7" s="11" t="s">
        <v>15</v>
      </c>
      <c r="D7" s="9" t="str">
        <f t="shared" ca="1" si="0"/>
        <v>http:</v>
      </c>
      <c r="E7" s="12" t="str">
        <f ca="1">IFERROR(__xludf.DUMMYFUNCTION("""COMPUTED_VALUE"""),"uk.farnell.com")</f>
        <v>uk.farnell.com</v>
      </c>
      <c r="F7" s="9" t="str">
        <f ca="1">IFERROR(__xludf.DUMMYFUNCTION("""COMPUTED_VALUE"""),"avx")</f>
        <v>avx</v>
      </c>
      <c r="G7" s="15" t="str">
        <f ca="1">IFERROR(__xludf.DUMMYFUNCTION("""COMPUTED_VALUE"""),"08053c105jat2a")</f>
        <v>08053c105jat2a</v>
      </c>
      <c r="H7" s="9" t="str">
        <f ca="1">IFERROR(__xludf.DUMMYFUNCTION("""COMPUTED_VALUE"""),"cap-mlcc-x7r-1uf-25v-0805")</f>
        <v>cap-mlcc-x7r-1uf-25v-0805</v>
      </c>
      <c r="I7" s="9" t="str">
        <f ca="1">IFERROR(__xludf.DUMMYFUNCTION("""COMPUTED_VALUE"""),"dp")</f>
        <v>dp</v>
      </c>
      <c r="J7" s="9" t="str">
        <f ca="1">IFERROR(__xludf.DUMMYFUNCTION("""COMPUTED_VALUE"""),"2332736?st=SMD%20Multilayer%20Ceramic%20Capacitor,%200805%20[2012%20Metric],%201%20µF,%2025%20V,")</f>
        <v>2332736?st=SMD%20Multilayer%20Ceramic%20Capacitor,%200805%20[2012%20Metric],%201%20µF,%2025%20V,</v>
      </c>
    </row>
    <row r="8" spans="1:23" s="9" customFormat="1" ht="14.25" customHeight="1">
      <c r="A8" s="9" t="s">
        <v>16</v>
      </c>
      <c r="B8" s="18">
        <v>4</v>
      </c>
      <c r="C8" s="11" t="s">
        <v>17</v>
      </c>
      <c r="D8" s="9" t="str">
        <f t="shared" ca="1" si="0"/>
        <v>http:</v>
      </c>
      <c r="E8" s="12" t="str">
        <f ca="1">IFERROR(__xludf.DUMMYFUNCTION("""COMPUTED_VALUE"""),"uk.farnell.com")</f>
        <v>uk.farnell.com</v>
      </c>
      <c r="F8" s="9" t="str">
        <f ca="1">IFERROR(__xludf.DUMMYFUNCTION("""COMPUTED_VALUE"""),"panasonic-electronic-components")</f>
        <v>panasonic-electronic-components</v>
      </c>
      <c r="G8" s="15" t="str">
        <f ca="1">IFERROR(__xludf.DUMMYFUNCTION("""COMPUTED_VALUE"""),"db2w31900l")</f>
        <v>db2w31900l</v>
      </c>
      <c r="H8" s="9" t="str">
        <f ca="1">IFERROR(__xludf.DUMMYFUNCTION("""COMPUTED_VALUE"""),"diode-schottky-30v-mini2-f3-b")</f>
        <v>diode-schottky-30v-mini2-f3-b</v>
      </c>
      <c r="I8" s="9" t="str">
        <f ca="1">IFERROR(__xludf.DUMMYFUNCTION("""COMPUTED_VALUE"""),"dp")</f>
        <v>dp</v>
      </c>
      <c r="J8" s="9" t="str">
        <f ca="1">IFERROR(__xludf.DUMMYFUNCTION("""COMPUTED_VALUE"""),"2284956?st=Schottky%20Rectifier,%2040%20V,%203%20A,%20Single,%20SOD-123F,%202%20Pins")</f>
        <v>2284956?st=Schottky%20Rectifier,%2040%20V,%203%20A,%20Single,%20SOD-123F,%202%20Pins</v>
      </c>
    </row>
    <row r="9" spans="1:23" s="9" customFormat="1" ht="14.25" customHeight="1">
      <c r="A9" s="9" t="s">
        <v>18</v>
      </c>
      <c r="B9" s="18">
        <v>1</v>
      </c>
      <c r="C9" s="11" t="s">
        <v>19</v>
      </c>
      <c r="D9" s="9" t="str">
        <f t="shared" ca="1" si="0"/>
        <v>http:</v>
      </c>
      <c r="E9" s="12" t="str">
        <f ca="1">IFERROR(__xludf.DUMMYFUNCTION("""COMPUTED_VALUE"""),"uk.farnell.com")</f>
        <v>uk.farnell.com</v>
      </c>
      <c r="F9" s="9" t="str">
        <f ca="1">IFERROR(__xludf.DUMMYFUNCTION("""COMPUTED_VALUE"""),"bourns")</f>
        <v>bourns</v>
      </c>
      <c r="G9" s="15" t="str">
        <f ca="1">IFERROR(__xludf.DUMMYFUNCTION("""COMPUTED_VALUE"""),"cd1206-s01575")</f>
        <v>cd1206-s01575</v>
      </c>
      <c r="H9" s="9" t="str">
        <f ca="1">IFERROR(__xludf.DUMMYFUNCTION("""COMPUTED_VALUE"""),"diode-switching-100v-150ma-1206")</f>
        <v>diode-switching-100v-150ma-1206</v>
      </c>
      <c r="I9" s="9" t="str">
        <f ca="1">IFERROR(__xludf.DUMMYFUNCTION("""COMPUTED_VALUE"""),"dp")</f>
        <v>dp</v>
      </c>
      <c r="J9" s="9" t="str">
        <f ca="1">IFERROR(__xludf.DUMMYFUNCTION("""COMPUTED_VALUE"""),"2211947?st=CD1206-S01575")</f>
        <v>2211947?st=CD1206-S01575</v>
      </c>
    </row>
    <row r="10" spans="1:23" s="9" customFormat="1" ht="14.25" customHeight="1">
      <c r="A10" s="9" t="s">
        <v>20</v>
      </c>
      <c r="B10" s="18">
        <v>1</v>
      </c>
      <c r="C10" s="11" t="s">
        <v>21</v>
      </c>
      <c r="D10" s="9" t="str">
        <f t="shared" ca="1" si="0"/>
        <v>http:</v>
      </c>
      <c r="E10" s="12" t="str">
        <f ca="1">IFERROR(__xludf.DUMMYFUNCTION("""COMPUTED_VALUE"""),"uk.farnell.com")</f>
        <v>uk.farnell.com</v>
      </c>
      <c r="F10" s="9" t="str">
        <f ca="1">IFERROR(__xludf.DUMMYFUNCTION("""COMPUTED_VALUE"""),"kingbright")</f>
        <v>kingbright</v>
      </c>
      <c r="G10" s="15" t="str">
        <f ca="1">IFERROR(__xludf.DUMMYFUNCTION("""COMPUTED_VALUE"""),"kp-1608ec")</f>
        <v>kp-1608ec</v>
      </c>
      <c r="H10" s="9" t="str">
        <f ca="1">IFERROR(__xludf.DUMMYFUNCTION("""COMPUTED_VALUE"""),"led-red-8mcd-625nm-smd")</f>
        <v>led-red-8mcd-625nm-smd</v>
      </c>
      <c r="I10" s="9" t="str">
        <f ca="1">IFERROR(__xludf.DUMMYFUNCTION("""COMPUTED_VALUE"""),"dp")</f>
        <v>dp</v>
      </c>
      <c r="J10" s="9" t="str">
        <f ca="1">IFERROR(__xludf.DUMMYFUNCTION("""COMPUTED_VALUE"""),"2463988?st=LOW%20POWER%20LED")</f>
        <v>2463988?st=LOW%20POWER%20LED</v>
      </c>
    </row>
    <row r="11" spans="1:23" s="9" customFormat="1" ht="14.25" customHeight="1">
      <c r="A11" s="9" t="s">
        <v>22</v>
      </c>
      <c r="B11" s="18">
        <v>1</v>
      </c>
      <c r="C11" s="11" t="s">
        <v>23</v>
      </c>
      <c r="D11" s="9" t="str">
        <f t="shared" ca="1" si="0"/>
        <v>http:</v>
      </c>
      <c r="E11" s="12" t="str">
        <f ca="1">IFERROR(__xludf.DUMMYFUNCTION("""COMPUTED_VALUE"""),"uk.farnell.com")</f>
        <v>uk.farnell.com</v>
      </c>
      <c r="F11" s="9" t="str">
        <f ca="1">IFERROR(__xludf.DUMMYFUNCTION("""COMPUTED_VALUE"""),"kingbright")</f>
        <v>kingbright</v>
      </c>
      <c r="G11" s="15" t="str">
        <f ca="1">IFERROR(__xludf.DUMMYFUNCTION("""COMPUTED_VALUE"""),"kp-1608cgck")</f>
        <v>kp-1608cgck</v>
      </c>
      <c r="H11" s="9" t="str">
        <f ca="1">IFERROR(__xludf.DUMMYFUNCTION("""COMPUTED_VALUE"""),"led-0603-50mcd-green")</f>
        <v>led-0603-50mcd-green</v>
      </c>
      <c r="I11" s="9" t="str">
        <f ca="1">IFERROR(__xludf.DUMMYFUNCTION("""COMPUTED_VALUE"""),"dp")</f>
        <v>dp</v>
      </c>
      <c r="J11" s="9" t="str">
        <f ca="1">IFERROR(__xludf.DUMMYFUNCTION("""COMPUTED_VALUE"""),"2290328?st=LOW%20POWER%20LED")</f>
        <v>2290328?st=LOW%20POWER%20LED</v>
      </c>
    </row>
    <row r="12" spans="1:23" s="9" customFormat="1" ht="14.25" customHeight="1">
      <c r="A12" s="9" t="s">
        <v>24</v>
      </c>
      <c r="B12" s="18">
        <v>1</v>
      </c>
      <c r="C12" s="11" t="s">
        <v>25</v>
      </c>
      <c r="D12" s="9" t="str">
        <f t="shared" ca="1" si="0"/>
        <v>http:</v>
      </c>
      <c r="E12" s="12" t="str">
        <f ca="1">IFERROR(__xludf.DUMMYFUNCTION("""COMPUTED_VALUE"""),"uk.farnell.com")</f>
        <v>uk.farnell.com</v>
      </c>
      <c r="F12" s="9" t="str">
        <f ca="1">IFERROR(__xludf.DUMMYFUNCTION("""COMPUTED_VALUE"""),"kingbright")</f>
        <v>kingbright</v>
      </c>
      <c r="G12" s="15" t="str">
        <f ca="1">IFERROR(__xludf.DUMMYFUNCTION("""COMPUTED_VALUE"""),"kpt-1608yc")</f>
        <v>kpt-1608yc</v>
      </c>
      <c r="H12" s="9" t="str">
        <f ca="1">IFERROR(__xludf.DUMMYFUNCTION("""COMPUTED_VALUE"""),"led-0603-yellow-8mcd-588nm")</f>
        <v>led-0603-yellow-8mcd-588nm</v>
      </c>
      <c r="I12" s="9" t="str">
        <f ca="1">IFERROR(__xludf.DUMMYFUNCTION("""COMPUTED_VALUE"""),"dp")</f>
        <v>dp</v>
      </c>
      <c r="J12" s="9" t="str">
        <f ca="1">IFERROR(__xludf.DUMMYFUNCTION("""COMPUTED_VALUE"""),"2099227?ost=2099227&amp;ddkey=http%3Aen-GB%2FElement14_United_Kingdom%2Fsearch")</f>
        <v>2099227?ost=2099227&amp;ddkey=http%3Aen-GB%2FElement14_United_Kingdom%2Fsearch</v>
      </c>
    </row>
    <row r="13" spans="1:23" s="9" customFormat="1" ht="14.25" customHeight="1">
      <c r="A13" s="9" t="s">
        <v>26</v>
      </c>
      <c r="B13" s="18">
        <v>1</v>
      </c>
      <c r="C13" s="11" t="s">
        <v>27</v>
      </c>
      <c r="D13" s="9" t="str">
        <f t="shared" ca="1" si="0"/>
        <v>http:</v>
      </c>
      <c r="E13" s="12" t="str">
        <f ca="1">IFERROR(__xludf.DUMMYFUNCTION("""COMPUTED_VALUE"""),"uk.farnell.com")</f>
        <v>uk.farnell.com</v>
      </c>
      <c r="F13" s="9" t="str">
        <f ca="1">IFERROR(__xludf.DUMMYFUNCTION("""COMPUTED_VALUE"""),"kingbright")</f>
        <v>kingbright</v>
      </c>
      <c r="G13" s="15" t="str">
        <f ca="1">IFERROR(__xludf.DUMMYFUNCTION("""COMPUTED_VALUE"""),"kp-1608qbc-d")</f>
        <v>kp-1608qbc-d</v>
      </c>
      <c r="H13" s="9" t="str">
        <f ca="1">IFERROR(__xludf.DUMMYFUNCTION("""COMPUTED_VALUE"""),"led-smd-0603-blue")</f>
        <v>led-smd-0603-blue</v>
      </c>
      <c r="I13" s="9" t="str">
        <f ca="1">IFERROR(__xludf.DUMMYFUNCTION("""COMPUTED_VALUE"""),"dp")</f>
        <v>dp</v>
      </c>
      <c r="J13" s="9" t="str">
        <f ca="1">IFERROR(__xludf.DUMMYFUNCTION("""COMPUTED_VALUE"""),"2217972?st=KPT-1608YC%20-%20%20LED,%20Low%20Power,%20Blue")</f>
        <v>2217972?st=KPT-1608YC%20-%20%20LED,%20Low%20Power,%20Blue</v>
      </c>
    </row>
    <row r="14" spans="1:23" s="9" customFormat="1" ht="14.25" customHeight="1">
      <c r="A14" s="13" t="s">
        <v>28</v>
      </c>
      <c r="B14" s="18">
        <v>1</v>
      </c>
      <c r="C14" s="11" t="s">
        <v>29</v>
      </c>
      <c r="D14" s="9" t="str">
        <f t="shared" ca="1" si="0"/>
        <v>http:</v>
      </c>
      <c r="E14" s="12" t="str">
        <f ca="1">IFERROR(__xludf.DUMMYFUNCTION("""COMPUTED_VALUE"""),"uk.farnell.com")</f>
        <v>uk.farnell.com</v>
      </c>
      <c r="F14" s="9" t="str">
        <f ca="1">IFERROR(__xludf.DUMMYFUNCTION("""COMPUTED_VALUE"""),"bourns")</f>
        <v>bourns</v>
      </c>
      <c r="G14" s="15" t="str">
        <f ca="1">IFERROR(__xludf.DUMMYFUNCTION("""COMPUTED_VALUE"""),"cd-hd2004")</f>
        <v>cd-hd2004</v>
      </c>
      <c r="H14" s="9" t="str">
        <f ca="1">IFERROR(__xludf.DUMMYFUNCTION("""COMPUTED_VALUE"""),"diode-bridge-rect-1-ph-40v-smd")</f>
        <v>diode-bridge-rect-1-ph-40v-smd</v>
      </c>
      <c r="I14" s="9" t="str">
        <f ca="1">IFERROR(__xludf.DUMMYFUNCTION("""COMPUTED_VALUE"""),"dp")</f>
        <v>dp</v>
      </c>
      <c r="J14" s="9" t="str">
        <f ca="1">IFERROR(__xludf.DUMMYFUNCTION("""COMPUTED_VALUE"""),"2676044?krypto=HaflPpNLuHOFLHN6OxuHJMFd%2BijEvhI0duXna044V4ieLdAyHfbvP5zEqBpvqb3tSU5DiOtHH9J8%2Bn4HqqDhFw%3D%3D&amp;ddkey=https%3Aen-GB%2FElement14_United_Kingdom%2Fsearch")</f>
        <v>2676044?krypto=HaflPpNLuHOFLHN6OxuHJMFd%2BijEvhI0duXna044V4ieLdAyHfbvP5zEqBpvqb3tSU5DiOtHH9J8%2Bn4HqqDhFw%3D%3D&amp;ddkey=https%3Aen-GB%2FElement14_United_Kingdom%2Fsearch</v>
      </c>
    </row>
    <row r="15" spans="1:23" s="9" customFormat="1" ht="14.25" customHeight="1">
      <c r="A15" s="7" t="s">
        <v>30</v>
      </c>
      <c r="B15" s="17">
        <v>1</v>
      </c>
      <c r="C15" s="8" t="s">
        <v>31</v>
      </c>
      <c r="D15" s="9" t="str">
        <f t="shared" ca="1" si="0"/>
        <v>http:</v>
      </c>
      <c r="E15" s="10" t="str">
        <f ca="1">IFERROR(__xludf.DUMMYFUNCTION("""COMPUTED_VALUE"""),"uk.farnell.com")</f>
        <v>uk.farnell.com</v>
      </c>
      <c r="F15" s="7" t="str">
        <f ca="1">IFERROR(__xludf.DUMMYFUNCTION("""COMPUTED_VALUE"""),"littelfuse")</f>
        <v>littelfuse</v>
      </c>
      <c r="G15" s="14" t="str">
        <f ca="1">IFERROR(__xludf.DUMMYFUNCTION("""COMPUTED_VALUE"""),"minismdc260f-2")</f>
        <v>minismdc260f-2</v>
      </c>
      <c r="H15" s="7" t="str">
        <f ca="1">IFERROR(__xludf.DUMMYFUNCTION("""COMPUTED_VALUE"""),"polyswitch-smd-1812-2-6a")</f>
        <v>polyswitch-smd-1812-2-6a</v>
      </c>
      <c r="I15" s="7" t="str">
        <f ca="1">IFERROR(__xludf.DUMMYFUNCTION("""COMPUTED_VALUE"""),"dp")</f>
        <v>dp</v>
      </c>
      <c r="J15" s="7">
        <f ca="1">IFERROR(__xludf.DUMMYFUNCTION("""COMPUTED_VALUE"""),1345935)</f>
        <v>1345935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4.25" customHeight="1">
      <c r="A16" t="s">
        <v>32</v>
      </c>
      <c r="B16" s="16">
        <v>3</v>
      </c>
      <c r="C16" s="3" t="s">
        <v>33</v>
      </c>
      <c r="D16" t="str">
        <f t="shared" ca="1" si="0"/>
        <v>http:</v>
      </c>
      <c r="E16" s="4" t="str">
        <f ca="1">IFERROR(__xludf.DUMMYFUNCTION("""COMPUTED_VALUE"""),"uk.farnell.com")</f>
        <v>uk.farnell.com</v>
      </c>
      <c r="F16" t="str">
        <f ca="1">IFERROR(__xludf.DUMMYFUNCTION("""COMPUTED_VALUE"""),"littelfuse")</f>
        <v>littelfuse</v>
      </c>
      <c r="G16" s="6" t="str">
        <f ca="1">IFERROR(__xludf.DUMMYFUNCTION("""COMPUTED_VALUE"""),"1210l035yr")</f>
        <v>1210l035yr</v>
      </c>
      <c r="H16" t="str">
        <f ca="1">IFERROR(__xludf.DUMMYFUNCTION("""COMPUTED_VALUE"""),"polyfuse-ptc-1210-0-35a")</f>
        <v>polyfuse-ptc-1210-0-35a</v>
      </c>
      <c r="I16" t="str">
        <f ca="1">IFERROR(__xludf.DUMMYFUNCTION("""COMPUTED_VALUE"""),"dp")</f>
        <v>dp</v>
      </c>
      <c r="J16">
        <f ca="1">IFERROR(__xludf.DUMMYFUNCTION("""COMPUTED_VALUE"""),1822207)</f>
        <v>1822207</v>
      </c>
    </row>
    <row r="17" spans="1:23" ht="14.25" customHeight="1">
      <c r="A17" t="s">
        <v>34</v>
      </c>
      <c r="B17" s="16">
        <v>1</v>
      </c>
      <c r="C17" s="3" t="s">
        <v>35</v>
      </c>
      <c r="D17" t="str">
        <f t="shared" ca="1" si="0"/>
        <v>http:</v>
      </c>
      <c r="E17" s="4" t="str">
        <f ca="1">IFERROR(__xludf.DUMMYFUNCTION("""COMPUTED_VALUE"""),"uk.farnell.com")</f>
        <v>uk.farnell.com</v>
      </c>
      <c r="F17" t="str">
        <f ca="1">IFERROR(__xludf.DUMMYFUNCTION("""COMPUTED_VALUE"""),"littelfuse")</f>
        <v>littelfuse</v>
      </c>
      <c r="G17" s="6" t="str">
        <f ca="1">IFERROR(__xludf.DUMMYFUNCTION("""COMPUTED_VALUE"""),"1206l050yr")</f>
        <v>1206l050yr</v>
      </c>
      <c r="H17" t="str">
        <f ca="1">IFERROR(__xludf.DUMMYFUNCTION("""COMPUTED_VALUE"""),"fuse-resettable-1206-6v-500ma")</f>
        <v>fuse-resettable-1206-6v-500ma</v>
      </c>
      <c r="I17" t="str">
        <f ca="1">IFERROR(__xludf.DUMMYFUNCTION("""COMPUTED_VALUE"""),"dp")</f>
        <v>dp</v>
      </c>
      <c r="J17" t="str">
        <f ca="1">IFERROR(__xludf.DUMMYFUNCTION("""COMPUTED_VALUE"""),"1596993?ost=1596993&amp;ddkey=http%3Aen-GB%2FElement14_United_Kingdom%2Fsearch")</f>
        <v>1596993?ost=1596993&amp;ddkey=http%3Aen-GB%2FElement14_United_Kingdom%2Fsearch</v>
      </c>
    </row>
    <row r="18" spans="1:23" ht="14.25" customHeight="1">
      <c r="A18" t="s">
        <v>36</v>
      </c>
      <c r="B18" s="16">
        <v>1</v>
      </c>
      <c r="C18" s="3" t="s">
        <v>37</v>
      </c>
      <c r="D18" t="str">
        <f t="shared" ca="1" si="0"/>
        <v>http:</v>
      </c>
      <c r="E18" s="4" t="str">
        <f ca="1">IFERROR(__xludf.DUMMYFUNCTION("""COMPUTED_VALUE"""),"uk.farnell.com")</f>
        <v>uk.farnell.com</v>
      </c>
      <c r="F18" t="str">
        <f ca="1">IFERROR(__xludf.DUMMYFUNCTION("""COMPUTED_VALUE"""),"tdk")</f>
        <v>tdk</v>
      </c>
      <c r="G18" s="6" t="str">
        <f ca="1">IFERROR(__xludf.DUMMYFUNCTION("""COMPUTED_VALUE"""),"mpz2012s601a")</f>
        <v>mpz2012s601a</v>
      </c>
      <c r="H18" t="str">
        <f ca="1">IFERROR(__xludf.DUMMYFUNCTION("""COMPUTED_VALUE"""),"ferrite-bead-0-1ohm-2a-0805")</f>
        <v>ferrite-bead-0-1ohm-2a-0805</v>
      </c>
      <c r="I18" t="str">
        <f ca="1">IFERROR(__xludf.DUMMYFUNCTION("""COMPUTED_VALUE"""),"dp")</f>
        <v>dp</v>
      </c>
      <c r="J18" t="str">
        <f ca="1">IFERROR(__xludf.DUMMYFUNCTION("""COMPUTED_VALUE"""),"1669753?krypto=pMnlyQddMKTtnSihmqgvLosEEzd2cAKvNg7xDsx5mDFep%2BmTNOTdaG4z%2BrM3Rjigbmp6qVL%2FD0NwlcmmAVGi2A%3D%3D&amp;ddkey=https%3Aen-GB%2FElement14_United_Kingdom%2Fsearch")</f>
        <v>1669753?krypto=pMnlyQddMKTtnSihmqgvLosEEzd2cAKvNg7xDsx5mDFep%2BmTNOTdaG4z%2BrM3Rjigbmp6qVL%2FD0NwlcmmAVGi2A%3D%3D&amp;ddkey=https%3Aen-GB%2FElement14_United_Kingdom%2Fsearch</v>
      </c>
    </row>
    <row r="19" spans="1:23" ht="14.25" customHeight="1">
      <c r="A19" s="2" t="s">
        <v>38</v>
      </c>
      <c r="B19" s="16">
        <v>1</v>
      </c>
      <c r="C19" s="3" t="s">
        <v>39</v>
      </c>
      <c r="D19" t="str">
        <f t="shared" ca="1" si="0"/>
        <v>http:</v>
      </c>
      <c r="E19" s="4" t="str">
        <f ca="1">IFERROR(__xludf.DUMMYFUNCTION("""COMPUTED_VALUE"""),"uk.farnell.com")</f>
        <v>uk.farnell.com</v>
      </c>
      <c r="F19" t="str">
        <f ca="1">IFERROR(__xludf.DUMMYFUNCTION("""COMPUTED_VALUE"""),"wurth-elektronik")</f>
        <v>wurth-elektronik</v>
      </c>
      <c r="G19" s="6">
        <f ca="1">IFERROR(__xludf.DUMMYFUNCTION("""COMPUTED_VALUE"""),742792031)</f>
        <v>742792031</v>
      </c>
      <c r="H19" t="str">
        <f ca="1">IFERROR(__xludf.DUMMYFUNCTION("""COMPUTED_VALUE"""),"ferrite-bead-0-05ohm-3a-0805")</f>
        <v>ferrite-bead-0-05ohm-3a-0805</v>
      </c>
      <c r="I19" t="str">
        <f ca="1">IFERROR(__xludf.DUMMYFUNCTION("""COMPUTED_VALUE"""),"dp")</f>
        <v>dp</v>
      </c>
      <c r="J19" t="str">
        <f ca="1">IFERROR(__xludf.DUMMYFUNCTION("""COMPUTED_VALUE"""),"1635734?st=Ferrite%20Bead,%200805%20[2012%20Metric],%20600%20ohm,%203%20A,")</f>
        <v>1635734?st=Ferrite%20Bead,%200805%20[2012%20Metric],%20600%20ohm,%203%20A,</v>
      </c>
    </row>
    <row r="20" spans="1:23" ht="14.25" customHeight="1">
      <c r="A20" t="s">
        <v>40</v>
      </c>
      <c r="B20" s="16">
        <v>3</v>
      </c>
      <c r="C20" s="3" t="s">
        <v>41</v>
      </c>
      <c r="D20" t="str">
        <f t="shared" ca="1" si="0"/>
        <v>http:</v>
      </c>
      <c r="E20" s="4" t="str">
        <f ca="1">IFERROR(__xludf.DUMMYFUNCTION("""COMPUTED_VALUE"""),"uk.farnell.com")</f>
        <v>uk.farnell.com</v>
      </c>
      <c r="F20" t="str">
        <f ca="1">IFERROR(__xludf.DUMMYFUNCTION("""COMPUTED_VALUE"""),"jst-japan-solderless-terminals")</f>
        <v>jst-japan-solderless-terminals</v>
      </c>
      <c r="G20" s="6" t="str">
        <f ca="1">IFERROR(__xludf.DUMMYFUNCTION("""COMPUTED_VALUE"""),"s5b-xh-a-lf-sn")</f>
        <v>s5b-xh-a-lf-sn</v>
      </c>
      <c r="H20" t="str">
        <f ca="1">IFERROR(__xludf.DUMMYFUNCTION("""COMPUTED_VALUE"""),"header-right-angle-5way")</f>
        <v>header-right-angle-5way</v>
      </c>
      <c r="I20" t="str">
        <f ca="1">IFERROR(__xludf.DUMMYFUNCTION("""COMPUTED_VALUE"""),"dp")</f>
        <v>dp</v>
      </c>
      <c r="J20" t="str">
        <f ca="1">IFERROR(__xludf.DUMMYFUNCTION("""COMPUTED_VALUE"""),"1516293?ost=1516293&amp;ddkey=http%3Aen-GB%2FElement14_United_Kingdom%2Fsearch")</f>
        <v>1516293?ost=1516293&amp;ddkey=http%3Aen-GB%2FElement14_United_Kingdom%2Fsearch</v>
      </c>
    </row>
    <row r="21" spans="1:23" ht="14.25" customHeight="1">
      <c r="A21" t="s">
        <v>42</v>
      </c>
      <c r="B21" s="16">
        <v>4</v>
      </c>
      <c r="C21" s="3" t="s">
        <v>43</v>
      </c>
      <c r="D21" t="str">
        <f t="shared" ca="1" si="0"/>
        <v>http:</v>
      </c>
      <c r="E21" s="4" t="str">
        <f ca="1">IFERROR(__xludf.DUMMYFUNCTION("""COMPUTED_VALUE"""),"uk.farnell.com")</f>
        <v>uk.farnell.com</v>
      </c>
      <c r="F21" t="str">
        <f ca="1">IFERROR(__xludf.DUMMYFUNCTION("""COMPUTED_VALUE"""),"panasonic-electronic-components")</f>
        <v>panasonic-electronic-components</v>
      </c>
      <c r="G21" s="6" t="str">
        <f ca="1">IFERROR(__xludf.DUMMYFUNCTION("""COMPUTED_VALUE"""),"erj6geyj103v")</f>
        <v>erj6geyj103v</v>
      </c>
      <c r="H21" t="str">
        <f ca="1">IFERROR(__xludf.DUMMYFUNCTION("""COMPUTED_VALUE"""),"res-thick-film-10k-5-0-125w-0805")</f>
        <v>res-thick-film-10k-5-0-125w-0805</v>
      </c>
      <c r="I21" t="str">
        <f ca="1">IFERROR(__xludf.DUMMYFUNCTION("""COMPUTED_VALUE"""),"dp")</f>
        <v>dp</v>
      </c>
      <c r="J21" t="str">
        <f ca="1">IFERROR(__xludf.DUMMYFUNCTION("""COMPUTED_VALUE"""),"2057719?MER=sy-me-pd-mi-alte&amp;st=10k%20SMD%20RESISTOR")</f>
        <v>2057719?MER=sy-me-pd-mi-alte&amp;st=10k%20SMD%20RESISTOR</v>
      </c>
    </row>
    <row r="22" spans="1:23" ht="14.25" customHeight="1">
      <c r="A22" t="s">
        <v>44</v>
      </c>
      <c r="B22" s="16">
        <v>2</v>
      </c>
      <c r="C22" s="3" t="s">
        <v>45</v>
      </c>
      <c r="D22" t="str">
        <f t="shared" ca="1" si="0"/>
        <v>http:</v>
      </c>
      <c r="E22" s="4" t="str">
        <f ca="1">IFERROR(__xludf.DUMMYFUNCTION("""COMPUTED_VALUE"""),"uk.farnell.com")</f>
        <v>uk.farnell.com</v>
      </c>
      <c r="F22" t="str">
        <f ca="1">IFERROR(__xludf.DUMMYFUNCTION("""COMPUTED_VALUE"""),"panasonic-electronic-components")</f>
        <v>panasonic-electronic-components</v>
      </c>
      <c r="G22" s="6" t="str">
        <f ca="1">IFERROR(__xludf.DUMMYFUNCTION("""COMPUTED_VALUE"""),"erj6geyj220v")</f>
        <v>erj6geyj220v</v>
      </c>
      <c r="H22" t="str">
        <f ca="1">IFERROR(__xludf.DUMMYFUNCTION("""COMPUTED_VALUE"""),"res-thick-film-22r-5-0-125w-0805")</f>
        <v>res-thick-film-22r-5-0-125w-0805</v>
      </c>
      <c r="I22" t="str">
        <f ca="1">IFERROR(__xludf.DUMMYFUNCTION("""COMPUTED_VALUE"""),"dp")</f>
        <v>dp</v>
      </c>
      <c r="J22" t="str">
        <f ca="1">IFERROR(__xludf.DUMMYFUNCTION("""COMPUTED_VALUE"""),"2057672?st=SMD%20Chip%20Resistor,%2022%20ohm,%20150%20V,%20Thick%20Film,%200805%20[2012%20Metric],%20125%20mW")</f>
        <v>2057672?st=SMD%20Chip%20Resistor,%2022%20ohm,%20150%20V,%20Thick%20Film,%200805%20[2012%20Metric],%20125%20mW</v>
      </c>
    </row>
    <row r="23" spans="1:23" ht="14.25" customHeight="1">
      <c r="A23" t="s">
        <v>46</v>
      </c>
      <c r="B23" s="16">
        <v>1</v>
      </c>
      <c r="C23" s="3" t="s">
        <v>47</v>
      </c>
      <c r="D23" t="str">
        <f t="shared" ca="1" si="0"/>
        <v>http:</v>
      </c>
      <c r="E23" s="4" t="str">
        <f ca="1">IFERROR(__xludf.DUMMYFUNCTION("""COMPUTED_VALUE"""),"uk.farnell.com")</f>
        <v>uk.farnell.com</v>
      </c>
      <c r="F23" t="str">
        <f ca="1">IFERROR(__xludf.DUMMYFUNCTION("""COMPUTED_VALUE"""),"panasonic-electronic-components")</f>
        <v>panasonic-electronic-components</v>
      </c>
      <c r="G23" s="6" t="str">
        <f ca="1">IFERROR(__xludf.DUMMYFUNCTION("""COMPUTED_VALUE"""),"exb38v102jv")</f>
        <v>exb38v102jv</v>
      </c>
      <c r="H23" t="str">
        <f ca="1">IFERROR(__xludf.DUMMYFUNCTION("""COMPUTED_VALUE"""),"resistor-cvex-array-0603x4-1k")</f>
        <v>resistor-cvex-array-0603x4-1k</v>
      </c>
      <c r="I23" t="str">
        <f ca="1">IFERROR(__xludf.DUMMYFUNCTION("""COMPUTED_VALUE"""),"dp")</f>
        <v>dp</v>
      </c>
      <c r="J23" t="str">
        <f ca="1">IFERROR(__xludf.DUMMYFUNCTION("""COMPUTED_VALUE"""),"2060100?ost=2060100&amp;scope=partnumberlookahead&amp;exaMfpn=true&amp;searchref=searchlookahead&amp;ddkey=http%3Aen-GB%2FElement14_United_Kingdom%2Fw%2Fsearch")</f>
        <v>2060100?ost=2060100&amp;scope=partnumberlookahead&amp;exaMfpn=true&amp;searchref=searchlookahead&amp;ddkey=http%3Aen-GB%2FElement14_United_Kingdom%2Fw%2Fsearch</v>
      </c>
    </row>
    <row r="24" spans="1:23" ht="14.25" customHeight="1">
      <c r="A24" t="s">
        <v>48</v>
      </c>
      <c r="B24" s="16">
        <v>2</v>
      </c>
      <c r="C24" s="3" t="s">
        <v>49</v>
      </c>
      <c r="D24" t="str">
        <f t="shared" ca="1" si="0"/>
        <v>http:</v>
      </c>
      <c r="E24" s="4" t="str">
        <f ca="1">IFERROR(__xludf.DUMMYFUNCTION("""COMPUTED_VALUE"""),"uk.farnell.com")</f>
        <v>uk.farnell.com</v>
      </c>
      <c r="F24" t="str">
        <f ca="1">IFERROR(__xludf.DUMMYFUNCTION("""COMPUTED_VALUE"""),"bourns")</f>
        <v>bourns</v>
      </c>
      <c r="G24" s="6" t="str">
        <f ca="1">IFERROR(__xludf.DUMMYFUNCTION("""COMPUTED_VALUE"""),"cg0603mlc-05e")</f>
        <v>cg0603mlc-05e</v>
      </c>
      <c r="H24" t="str">
        <f ca="1">IFERROR(__xludf.DUMMYFUNCTION("""COMPUTED_VALUE"""),"varistor-supp-esd-protect-20v")</f>
        <v>varistor-supp-esd-protect-20v</v>
      </c>
      <c r="I24" t="str">
        <f ca="1">IFERROR(__xludf.DUMMYFUNCTION("""COMPUTED_VALUE"""),"dp")</f>
        <v>dp</v>
      </c>
      <c r="J24" t="str">
        <f ca="1">IFERROR(__xludf.DUMMYFUNCTION("""COMPUTED_VALUE"""),"1838966?ost=1838966&amp;ddkey=http%3Aen-GB%2FElement14_United_Kingdom%2Fsearch")</f>
        <v>1838966?ost=1838966&amp;ddkey=http%3Aen-GB%2FElement14_United_Kingdom%2Fsearch</v>
      </c>
    </row>
    <row r="25" spans="1:23" ht="14.25" customHeight="1">
      <c r="A25" t="s">
        <v>50</v>
      </c>
      <c r="B25" s="16">
        <v>1</v>
      </c>
      <c r="C25" s="3" t="s">
        <v>51</v>
      </c>
      <c r="D25" t="str">
        <f t="shared" ca="1" si="0"/>
        <v>http:</v>
      </c>
      <c r="E25" s="4" t="str">
        <f ca="1">IFERROR(__xludf.DUMMYFUNCTION("""COMPUTED_VALUE"""),"uk.farnell.com")</f>
        <v>uk.farnell.com</v>
      </c>
      <c r="F25" t="str">
        <f ca="1">IFERROR(__xludf.DUMMYFUNCTION("""COMPUTED_VALUE"""),"microchip")</f>
        <v>microchip</v>
      </c>
      <c r="G25" s="6" t="str">
        <f ca="1">IFERROR(__xludf.DUMMYFUNCTION("""COMPUTED_VALUE"""),"atmega32u4-au")</f>
        <v>atmega32u4-au</v>
      </c>
      <c r="H25" t="str">
        <f ca="1">IFERROR(__xludf.DUMMYFUNCTION("""COMPUTED_VALUE"""),"mcu-8bit-megaavr-16mhz-tqfp-44")</f>
        <v>mcu-8bit-megaavr-16mhz-tqfp-44</v>
      </c>
      <c r="I25" t="str">
        <f ca="1">IFERROR(__xludf.DUMMYFUNCTION("""COMPUTED_VALUE"""),"dp")</f>
        <v>dp</v>
      </c>
      <c r="J25" t="str">
        <f ca="1">IFERROR(__xludf.DUMMYFUNCTION("""COMPUTED_VALUE"""),"1748525?st=ATMEGA32U4")</f>
        <v>1748525?st=ATMEGA32U4</v>
      </c>
    </row>
    <row r="26" spans="1:23" ht="14.25" customHeight="1">
      <c r="A26" t="s">
        <v>52</v>
      </c>
      <c r="B26" s="16">
        <v>2</v>
      </c>
      <c r="C26" s="3" t="s">
        <v>53</v>
      </c>
      <c r="D26" t="str">
        <f t="shared" ca="1" si="0"/>
        <v>http:</v>
      </c>
      <c r="E26" s="4" t="str">
        <f ca="1">IFERROR(__xludf.DUMMYFUNCTION("""COMPUTED_VALUE"""),"uk.farnell.com")</f>
        <v>uk.farnell.com</v>
      </c>
      <c r="F26" t="str">
        <f ca="1">IFERROR(__xludf.DUMMYFUNCTION("""COMPUTED_VALUE"""),"on-semiconductor")</f>
        <v>on-semiconductor</v>
      </c>
      <c r="G26" s="6" t="str">
        <f ca="1">IFERROR(__xludf.DUMMYFUNCTION("""COMPUTED_VALUE"""),"uln2003adr2g")</f>
        <v>uln2003adr2g</v>
      </c>
      <c r="H26" t="str">
        <f ca="1">IFERROR(__xludf.DUMMYFUNCTION("""COMPUTED_VALUE"""),"trans-npn-50v-0-5a-soic-16")</f>
        <v>trans-npn-50v-0-5a-soic-16</v>
      </c>
      <c r="I26" t="str">
        <f ca="1">IFERROR(__xludf.DUMMYFUNCTION("""COMPUTED_VALUE"""),"dp")</f>
        <v>dp</v>
      </c>
      <c r="J26" t="str">
        <f ca="1">IFERROR(__xludf.DUMMYFUNCTION("""COMPUTED_VALUE"""),"2628016?st=ULN2003")</f>
        <v>2628016?st=ULN2003</v>
      </c>
    </row>
    <row r="27" spans="1:23" ht="14.25" customHeight="1">
      <c r="A27" t="s">
        <v>54</v>
      </c>
      <c r="B27" s="16">
        <v>1</v>
      </c>
      <c r="C27" s="3" t="s">
        <v>55</v>
      </c>
      <c r="D27" t="str">
        <f t="shared" ca="1" si="0"/>
        <v>http:</v>
      </c>
      <c r="E27" s="4" t="str">
        <f ca="1">IFERROR(__xludf.DUMMYFUNCTION("""COMPUTED_VALUE"""),"uk.farnell.com")</f>
        <v>uk.farnell.com</v>
      </c>
      <c r="F27" t="str">
        <f ca="1">IFERROR(__xludf.DUMMYFUNCTION("""COMPUTED_VALUE"""),"abracon")</f>
        <v>abracon</v>
      </c>
      <c r="G27" s="6" t="str">
        <f ca="1">IFERROR(__xludf.DUMMYFUNCTION("""COMPUTED_VALUE"""),"abm8-16-000mhz-b2-t")</f>
        <v>abm8-16-000mhz-b2-t</v>
      </c>
      <c r="H27" t="str">
        <f ca="1">IFERROR(__xludf.DUMMYFUNCTION("""COMPUTED_VALUE"""),"crystal-16mhz-18pf-cl-3-2x2-5mm")</f>
        <v>crystal-16mhz-18pf-cl-3-2x2-5mm</v>
      </c>
      <c r="I27" t="str">
        <f ca="1">IFERROR(__xludf.DUMMYFUNCTION("""COMPUTED_VALUE"""),"dp")</f>
        <v>dp</v>
      </c>
      <c r="J27" t="str">
        <f ca="1">IFERROR(__xludf.DUMMYFUNCTION("""COMPUTED_VALUE"""),"1611819?ost=1611819&amp;ddkey=http%3Aen-GB%2FElement14_United_Kingdom%2Fsearch")</f>
        <v>1611819?ost=1611819&amp;ddkey=http%3Aen-GB%2FElement14_United_Kingdom%2Fsearch</v>
      </c>
    </row>
    <row r="28" spans="1:23" s="9" customFormat="1" ht="14.25" customHeight="1">
      <c r="A28" s="7" t="s">
        <v>56</v>
      </c>
      <c r="B28" s="17">
        <v>1</v>
      </c>
      <c r="C28" s="8" t="s">
        <v>57</v>
      </c>
      <c r="D28" s="9" t="str">
        <f t="shared" ca="1" si="0"/>
        <v>http:</v>
      </c>
      <c r="E28" s="10" t="str">
        <f ca="1">IFERROR(__xludf.DUMMYFUNCTION("""COMPUTED_VALUE"""),"uk.farnell.com")</f>
        <v>uk.farnell.com</v>
      </c>
      <c r="F28" s="7" t="str">
        <f ca="1">IFERROR(__xludf.DUMMYFUNCTION("""COMPUTED_VALUE"""),"multicomp")</f>
        <v>multicomp</v>
      </c>
      <c r="G28" s="14" t="str">
        <f ca="1">IFERROR(__xludf.DUMMYFUNCTION("""COMPUTED_VALUE"""),"2213s-50g")</f>
        <v>2213s-50g</v>
      </c>
      <c r="H28" s="7" t="str">
        <f ca="1">IFERROR(__xludf.DUMMYFUNCTION("""COMPUTED_VALUE"""),"connector-header-50pos-2-54mm")</f>
        <v>connector-header-50pos-2-54mm</v>
      </c>
      <c r="I28" s="7" t="str">
        <f ca="1">IFERROR(__xludf.DUMMYFUNCTION("""COMPUTED_VALUE"""),"dp")</f>
        <v>dp</v>
      </c>
      <c r="J28" s="7" t="str">
        <f ca="1">IFERROR(__xludf.DUMMYFUNCTION("""COMPUTED_VALUE"""),"2847228?st=2%20row%20header%20male")</f>
        <v>2847228?st=2%20row%20header%20male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4.25" customHeight="1"/>
    <row r="30" spans="1:23" ht="14.25" customHeight="1">
      <c r="A30" s="19" t="s">
        <v>58</v>
      </c>
      <c r="B30" s="20">
        <f>SUM(B2:B28)</f>
        <v>48</v>
      </c>
    </row>
    <row r="31" spans="1:23" ht="14.25" customHeight="1"/>
    <row r="32" spans="1:2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C2" r:id="rId1" xr:uid="{00000000-0004-0000-0000-000002000000}"/>
    <hyperlink ref="E2" r:id="rId2" display="http://uk.farnell.com/" xr:uid="{00000000-0004-0000-0000-000003000000}"/>
    <hyperlink ref="C3" r:id="rId3" xr:uid="{00000000-0004-0000-0000-000004000000}"/>
    <hyperlink ref="E3" r:id="rId4" display="http://uk.farnell.com/" xr:uid="{00000000-0004-0000-0000-000005000000}"/>
    <hyperlink ref="C4" r:id="rId5" xr:uid="{00000000-0004-0000-0000-000006000000}"/>
    <hyperlink ref="E4" r:id="rId6" display="http://uk.farnell.com/" xr:uid="{00000000-0004-0000-0000-000007000000}"/>
    <hyperlink ref="C5" r:id="rId7" xr:uid="{00000000-0004-0000-0000-000008000000}"/>
    <hyperlink ref="E5" r:id="rId8" display="http://uk.farnell.com/" xr:uid="{00000000-0004-0000-0000-000009000000}"/>
    <hyperlink ref="C6" r:id="rId9" xr:uid="{00000000-0004-0000-0000-00000A000000}"/>
    <hyperlink ref="E6" r:id="rId10" display="http://uk.farnell.com/" xr:uid="{00000000-0004-0000-0000-00000B000000}"/>
    <hyperlink ref="C7" r:id="rId11" xr:uid="{00000000-0004-0000-0000-00000C000000}"/>
    <hyperlink ref="E7" r:id="rId12" display="http://uk.farnell.com/" xr:uid="{00000000-0004-0000-0000-00000D000000}"/>
    <hyperlink ref="C8" r:id="rId13" xr:uid="{00000000-0004-0000-0000-00000E000000}"/>
    <hyperlink ref="E8" r:id="rId14" display="http://uk.farnell.com/" xr:uid="{00000000-0004-0000-0000-00000F000000}"/>
    <hyperlink ref="C9" r:id="rId15" xr:uid="{00000000-0004-0000-0000-000010000000}"/>
    <hyperlink ref="E9" r:id="rId16" display="http://uk.farnell.com/" xr:uid="{00000000-0004-0000-0000-000011000000}"/>
    <hyperlink ref="C10" r:id="rId17" xr:uid="{00000000-0004-0000-0000-000012000000}"/>
    <hyperlink ref="E10" r:id="rId18" display="http://uk.farnell.com/" xr:uid="{00000000-0004-0000-0000-000013000000}"/>
    <hyperlink ref="C11" r:id="rId19" xr:uid="{00000000-0004-0000-0000-000014000000}"/>
    <hyperlink ref="E11" r:id="rId20" display="http://uk.farnell.com/" xr:uid="{00000000-0004-0000-0000-000015000000}"/>
    <hyperlink ref="C12" r:id="rId21" xr:uid="{00000000-0004-0000-0000-000016000000}"/>
    <hyperlink ref="E12" r:id="rId22" display="http://uk.farnell.com/" xr:uid="{00000000-0004-0000-0000-000017000000}"/>
    <hyperlink ref="C13" r:id="rId23" xr:uid="{00000000-0004-0000-0000-000018000000}"/>
    <hyperlink ref="E13" r:id="rId24" display="http://uk.farnell.com/" xr:uid="{00000000-0004-0000-0000-000019000000}"/>
    <hyperlink ref="C14" r:id="rId25" xr:uid="{00000000-0004-0000-0000-00001A000000}"/>
    <hyperlink ref="E14" r:id="rId26" display="http://uk.farnell.com/" xr:uid="{00000000-0004-0000-0000-00001B000000}"/>
    <hyperlink ref="C15" r:id="rId27" xr:uid="{00000000-0004-0000-0000-00001C000000}"/>
    <hyperlink ref="E15" r:id="rId28" display="http://uk.farnell.com/" xr:uid="{00000000-0004-0000-0000-00001D000000}"/>
    <hyperlink ref="C16" r:id="rId29" xr:uid="{00000000-0004-0000-0000-00001E000000}"/>
    <hyperlink ref="E16" r:id="rId30" display="http://uk.farnell.com/" xr:uid="{00000000-0004-0000-0000-00001F000000}"/>
    <hyperlink ref="C17" r:id="rId31" xr:uid="{00000000-0004-0000-0000-000020000000}"/>
    <hyperlink ref="E17" r:id="rId32" display="http://uk.farnell.com/" xr:uid="{00000000-0004-0000-0000-000021000000}"/>
    <hyperlink ref="E18" r:id="rId33" display="http://uk.farnell.com/" xr:uid="{00000000-0004-0000-0000-000022000000}"/>
    <hyperlink ref="C19" r:id="rId34" xr:uid="{00000000-0004-0000-0000-000023000000}"/>
    <hyperlink ref="E19" r:id="rId35" display="http://uk.farnell.com/" xr:uid="{00000000-0004-0000-0000-000024000000}"/>
    <hyperlink ref="C20" r:id="rId36" xr:uid="{00000000-0004-0000-0000-000025000000}"/>
    <hyperlink ref="E20" r:id="rId37" display="http://uk.farnell.com/" xr:uid="{00000000-0004-0000-0000-000026000000}"/>
    <hyperlink ref="C21" r:id="rId38" xr:uid="{00000000-0004-0000-0000-000027000000}"/>
    <hyperlink ref="E21" r:id="rId39" display="http://uk.farnell.com/" xr:uid="{00000000-0004-0000-0000-000028000000}"/>
    <hyperlink ref="C22" r:id="rId40" xr:uid="{00000000-0004-0000-0000-000029000000}"/>
    <hyperlink ref="E22" r:id="rId41" display="http://uk.farnell.com/" xr:uid="{00000000-0004-0000-0000-00002A000000}"/>
    <hyperlink ref="C23" r:id="rId42" xr:uid="{00000000-0004-0000-0000-00002B000000}"/>
    <hyperlink ref="E23" r:id="rId43" display="http://uk.farnell.com/" xr:uid="{00000000-0004-0000-0000-00002C000000}"/>
    <hyperlink ref="C24" r:id="rId44" xr:uid="{00000000-0004-0000-0000-00002D000000}"/>
    <hyperlink ref="E24" r:id="rId45" display="http://uk.farnell.com/" xr:uid="{00000000-0004-0000-0000-00002E000000}"/>
    <hyperlink ref="C25" r:id="rId46" xr:uid="{00000000-0004-0000-0000-00002F000000}"/>
    <hyperlink ref="E25" r:id="rId47" display="http://uk.farnell.com/" xr:uid="{00000000-0004-0000-0000-000030000000}"/>
    <hyperlink ref="C26" r:id="rId48" xr:uid="{00000000-0004-0000-0000-000031000000}"/>
    <hyperlink ref="E26" r:id="rId49" display="http://uk.farnell.com/" xr:uid="{00000000-0004-0000-0000-000032000000}"/>
    <hyperlink ref="C27" r:id="rId50" xr:uid="{00000000-0004-0000-0000-000033000000}"/>
    <hyperlink ref="E27" r:id="rId51" display="http://uk.farnell.com/" xr:uid="{00000000-0004-0000-0000-000034000000}"/>
    <hyperlink ref="C28" r:id="rId52" xr:uid="{00000000-0004-0000-0000-000037000000}"/>
    <hyperlink ref="E28" r:id="rId53" display="http://uk.farnell.com/" xr:uid="{00000000-0004-0000-0000-000038000000}"/>
  </hyperlinks>
  <pageMargins left="0.7" right="0.7" top="0.75" bottom="0.75" header="0" footer="0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Eng. Valerian Sanga</cp:lastModifiedBy>
  <dcterms:modified xsi:type="dcterms:W3CDTF">2018-10-21T12:22:43Z</dcterms:modified>
</cp:coreProperties>
</file>