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8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arma\code\GitHub\or-crash-recoder\templates\"/>
    </mc:Choice>
  </mc:AlternateContent>
  <xr:revisionPtr revIDLastSave="0" documentId="13_ncr:1_{364D27FD-4127-4D80-88D7-D02A2AEB5475}" xr6:coauthVersionLast="47" xr6:coauthVersionMax="47" xr10:uidLastSave="{00000000-0000-0000-0000-000000000000}"/>
  <bookViews>
    <workbookView xWindow="28680" yWindow="1290" windowWidth="29040" windowHeight="15720" firstSheet="4" activeTab="7" xr2:uid="{00000000-000D-0000-FFFF-FFFF00000000}"/>
  </bookViews>
  <sheets>
    <sheet name="Table of Contents" sheetId="1" r:id="rId1"/>
    <sheet name="Severity" sheetId="2" r:id="rId2"/>
    <sheet name="Type" sheetId="3" r:id="rId3"/>
    <sheet name="Cause" sheetId="4" r:id="rId4"/>
    <sheet name="Event" sheetId="5" r:id="rId5"/>
    <sheet name="Temporal" sheetId="6" r:id="rId6"/>
    <sheet name="Road User" sheetId="7" r:id="rId7"/>
    <sheet name="Drvr Cond" sheetId="8" r:id="rId8"/>
    <sheet name="Rdwy Cond" sheetId="9" r:id="rId9"/>
    <sheet name="Location" sheetId="10" r:id="rId10"/>
    <sheet name="Age + Action" sheetId="11" r:id="rId11"/>
    <sheet name="&lt;&lt;---Outputs" sheetId="12" r:id="rId12"/>
    <sheet name="Inputs---&gt;&gt;" sheetId="13" r:id="rId13"/>
    <sheet name="Party" sheetId="14" r:id="rId14"/>
    <sheet name="Collision" sheetId="15" r:id="rId15"/>
    <sheet name="COI" sheetId="16" r:id="rId16"/>
  </sheets>
  <definedNames>
    <definedName name="_xlnm._FilterDatabase" localSheetId="14" hidden="1">Collision!$A$1:$AJE$16</definedName>
    <definedName name="_xlnm._FilterDatabase" localSheetId="13" hidden="1">Party!$A$1:$IA$31</definedName>
    <definedName name="Party_Codes">#REF!</definedName>
    <definedName name="Party_Columns">#REF!</definedName>
    <definedName name="Party_Meanings">#REF!</definedName>
    <definedName name="SWITRS_Codes">#REF!</definedName>
    <definedName name="SWITRS_Columns">#REF!</definedName>
    <definedName name="SWITRS_Meaning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7" l="1"/>
  <c r="K14" i="7"/>
  <c r="K15" i="7"/>
  <c r="K16" i="7"/>
  <c r="K17" i="7"/>
  <c r="K18" i="7"/>
  <c r="K19" i="7"/>
  <c r="K20" i="7"/>
  <c r="C7" i="7"/>
  <c r="D32" i="8"/>
  <c r="H33" i="8"/>
  <c r="H32" i="8"/>
  <c r="G32" i="8"/>
  <c r="G33" i="8"/>
  <c r="E33" i="8"/>
  <c r="F32" i="8"/>
  <c r="F33" i="8"/>
  <c r="E32" i="8"/>
  <c r="D33" i="8"/>
  <c r="J33" i="8" l="1"/>
  <c r="J32" i="8"/>
  <c r="K74" i="7"/>
  <c r="K75" i="7"/>
  <c r="K76" i="7"/>
  <c r="K77" i="7"/>
  <c r="K78" i="7"/>
  <c r="K79" i="7"/>
  <c r="K80" i="7"/>
  <c r="K81" i="7"/>
  <c r="K82" i="7"/>
  <c r="K83" i="7"/>
  <c r="K84" i="7"/>
  <c r="K85" i="7"/>
  <c r="C6" i="7"/>
  <c r="C6" i="6" l="1"/>
  <c r="C3" i="6"/>
  <c r="C5" i="11"/>
  <c r="C4" i="11"/>
  <c r="C3" i="11"/>
  <c r="C3" i="10"/>
  <c r="C5" i="9"/>
  <c r="C4" i="9"/>
  <c r="C3" i="9"/>
  <c r="C6" i="8"/>
  <c r="C5" i="8"/>
  <c r="C4" i="8"/>
  <c r="C3" i="8"/>
  <c r="G154" i="7"/>
  <c r="I154" i="7" s="1"/>
  <c r="D103" i="7"/>
  <c r="K97" i="7"/>
  <c r="K96" i="7"/>
  <c r="K95" i="7"/>
  <c r="K94" i="7"/>
  <c r="K93" i="7"/>
  <c r="K92" i="7"/>
  <c r="K91" i="7"/>
  <c r="K90" i="7"/>
  <c r="K89" i="7"/>
  <c r="K88" i="7"/>
  <c r="K87" i="7"/>
  <c r="K86" i="7"/>
  <c r="K73" i="7"/>
  <c r="K72" i="7"/>
  <c r="K71" i="7"/>
  <c r="K70" i="7"/>
  <c r="K69" i="7"/>
  <c r="K68" i="7"/>
  <c r="K67" i="7"/>
  <c r="K66" i="7"/>
  <c r="K65" i="7"/>
  <c r="K64" i="7"/>
  <c r="K63" i="7"/>
  <c r="K62" i="7"/>
  <c r="C5" i="7"/>
  <c r="C4" i="7"/>
  <c r="C3" i="7"/>
  <c r="D40" i="6"/>
  <c r="C5" i="6"/>
  <c r="C4" i="6"/>
  <c r="C347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C3" i="5"/>
  <c r="C152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C3" i="4"/>
  <c r="G2" i="4" s="1"/>
  <c r="G3" i="4" s="1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C63" i="3"/>
  <c r="C77" i="3" s="1"/>
  <c r="C3" i="3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C8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C48" i="2"/>
  <c r="C3" i="2"/>
  <c r="H111" i="7" a="1"/>
  <c r="E63" i="6" a="1"/>
  <c r="J111" i="7" a="1"/>
  <c r="G116" i="7" a="1"/>
  <c r="H112" i="7" a="1"/>
  <c r="F47" i="7"/>
  <c r="I123" i="7" a="1"/>
  <c r="E120" i="7" a="1"/>
  <c r="C9" i="3"/>
  <c r="D76" i="7"/>
  <c r="F44" i="7"/>
  <c r="E51" i="6" a="1"/>
  <c r="F109" i="7" a="1"/>
  <c r="D49" i="7"/>
  <c r="C78" i="7"/>
  <c r="F50" i="7"/>
  <c r="C110" i="2"/>
  <c r="J128" i="7" a="1"/>
  <c r="E109" i="7" a="1"/>
  <c r="D56" i="6" a="1"/>
  <c r="G54" i="6" a="1"/>
  <c r="D44" i="7"/>
  <c r="I44" i="6" a="1"/>
  <c r="F114" i="7" a="1"/>
  <c r="H105" i="7" a="1"/>
  <c r="G66" i="6" a="1"/>
  <c r="G61" i="6" a="1"/>
  <c r="E108" i="7" a="1"/>
  <c r="E158" i="7" a="1"/>
  <c r="E74" i="7" a="1"/>
  <c r="E129" i="7" a="1"/>
  <c r="E46" i="7" a="1"/>
  <c r="F157" i="7"/>
  <c r="F15" i="7"/>
  <c r="F27" i="6" a="1"/>
  <c r="E105" i="7" a="1"/>
  <c r="C113" i="2"/>
  <c r="C116" i="2"/>
  <c r="E31" i="3" a="1"/>
  <c r="I63" i="6" a="1"/>
  <c r="C15" i="3"/>
  <c r="J49" i="6" a="1"/>
  <c r="F52" i="7"/>
  <c r="F81" i="7"/>
  <c r="E33" i="3" a="1"/>
  <c r="F64" i="6" a="1"/>
  <c r="C82" i="7"/>
  <c r="F46" i="7"/>
  <c r="E84" i="7" a="1"/>
  <c r="C83" i="7"/>
  <c r="H58" i="6" a="1"/>
  <c r="D82" i="7"/>
  <c r="D120" i="7" a="1"/>
  <c r="J43" i="6" a="1"/>
  <c r="C111" i="2"/>
  <c r="H113" i="7" a="1"/>
  <c r="I51" i="6" a="1"/>
  <c r="F46" i="6" a="1"/>
  <c r="D33" i="6"/>
  <c r="D15" i="7"/>
  <c r="F47" i="6" a="1"/>
  <c r="F125" i="7" a="1"/>
  <c r="E29" i="9" a="1"/>
  <c r="E81" i="7" a="1"/>
  <c r="E126" i="7" a="1"/>
  <c r="D125" i="7" a="1"/>
  <c r="E44" i="6" a="1"/>
  <c r="F80" i="7"/>
  <c r="C51" i="7"/>
  <c r="E44" i="7" a="1"/>
  <c r="H123" i="7" a="1"/>
  <c r="G129" i="7" a="1"/>
  <c r="E112" i="7" a="1"/>
  <c r="H118" i="7" a="1"/>
  <c r="C109" i="2"/>
  <c r="E64" i="6" a="1"/>
  <c r="E24" i="6"/>
  <c r="G56" i="6" a="1"/>
  <c r="D124" i="7" a="1"/>
  <c r="G43" i="6" a="1"/>
  <c r="F120" i="7" a="1"/>
  <c r="E157" i="7" a="1"/>
  <c r="F119" i="7" a="1"/>
  <c r="I124" i="7" a="1"/>
  <c r="H54" i="6" a="1"/>
  <c r="C10" i="2"/>
  <c r="E65" i="6" a="1"/>
  <c r="C13" i="7"/>
  <c r="F79" i="7"/>
  <c r="H59" i="6" a="1"/>
  <c r="D157" i="7"/>
  <c r="C13" i="11"/>
  <c r="G42" i="6" a="1"/>
  <c r="E114" i="7" a="1"/>
  <c r="E124" i="7" a="1"/>
  <c r="E33" i="6"/>
  <c r="G48" i="6" a="1"/>
  <c r="F54" i="6" a="1"/>
  <c r="F117" i="7" a="1"/>
  <c r="E25" i="9" a="1"/>
  <c r="I48" i="6" a="1"/>
  <c r="C118" i="2"/>
  <c r="E75" i="7" a="1"/>
  <c r="F28" i="6" a="1"/>
  <c r="C120" i="2"/>
  <c r="G108" i="7" a="1"/>
  <c r="F13" i="7"/>
  <c r="G51" i="6" a="1"/>
  <c r="E29" i="6"/>
  <c r="G105" i="7" a="1"/>
  <c r="J66" i="6" a="1"/>
  <c r="I52" i="6" a="1"/>
  <c r="F129" i="7" a="1"/>
  <c r="D74" i="7"/>
  <c r="E57" i="6" a="1"/>
  <c r="H62" i="6" a="1"/>
  <c r="D107" i="7" a="1"/>
  <c r="F53" i="6" a="1"/>
  <c r="E26" i="6"/>
  <c r="G115" i="7" a="1"/>
  <c r="E52" i="6" a="1"/>
  <c r="G64" i="6" a="1"/>
  <c r="I113" i="7" a="1"/>
  <c r="C39" i="11" a="1"/>
  <c r="C15" i="11"/>
  <c r="G114" i="7" a="1"/>
  <c r="E77" i="7" a="1"/>
  <c r="E45" i="7" a="1"/>
  <c r="D85" i="7"/>
  <c r="H47" i="6" a="1"/>
  <c r="E11" i="9" a="1"/>
  <c r="D54" i="6" a="1"/>
  <c r="F58" i="6" a="1"/>
  <c r="F50" i="6" a="1"/>
  <c r="I127" i="7" a="1"/>
  <c r="D114" i="7" a="1"/>
  <c r="J51" i="6" a="1"/>
  <c r="F30" i="6" a="1"/>
  <c r="I106" i="7" a="1"/>
  <c r="F12" i="8" a="1"/>
  <c r="F110" i="7" a="1"/>
  <c r="E39" i="3" a="1"/>
  <c r="D63" i="6" a="1"/>
  <c r="I108" i="7" a="1"/>
  <c r="C114" i="2"/>
  <c r="I111" i="7" a="1"/>
  <c r="E24" i="9" a="1"/>
  <c r="J55" i="6" a="1"/>
  <c r="E34" i="6"/>
  <c r="F56" i="6" a="1"/>
  <c r="E52" i="7" a="1"/>
  <c r="F51" i="7"/>
  <c r="H120" i="7" a="1"/>
  <c r="G119" i="7" a="1"/>
  <c r="E79" i="7" a="1"/>
  <c r="I110" i="7" a="1"/>
  <c r="D24" i="6"/>
  <c r="G57" i="6" a="1"/>
  <c r="F84" i="7"/>
  <c r="I109" i="7" a="1"/>
  <c r="C21" i="3"/>
  <c r="C14" i="7"/>
  <c r="G45" i="6" a="1"/>
  <c r="C53" i="7"/>
  <c r="C49" i="7"/>
  <c r="C20" i="2"/>
  <c r="I118" i="7" a="1"/>
  <c r="G44" i="6" a="1"/>
  <c r="E48" i="7" a="1"/>
  <c r="E59" i="6" a="1"/>
  <c r="N40" i="10" a="1"/>
  <c r="F107" i="7" a="1"/>
  <c r="E49" i="7" a="1"/>
  <c r="G55" i="6" a="1"/>
  <c r="C77" i="7"/>
  <c r="G65" i="6" a="1"/>
  <c r="E48" i="6" a="1"/>
  <c r="C54" i="7"/>
  <c r="G110" i="7" a="1"/>
  <c r="E46" i="6" a="1"/>
  <c r="H64" i="6" a="1"/>
  <c r="I56" i="6" a="1"/>
  <c r="F60" i="6" a="1"/>
  <c r="G120" i="7" a="1"/>
  <c r="D14" i="7"/>
  <c r="J58" i="6" a="1"/>
  <c r="C79" i="7"/>
  <c r="E30" i="6"/>
  <c r="D62" i="6" a="1"/>
  <c r="D61" i="6" a="1"/>
  <c r="D45" i="7"/>
  <c r="G125" i="7" a="1"/>
  <c r="I126" i="7" a="1"/>
  <c r="D79" i="7"/>
  <c r="G106" i="7" a="1"/>
  <c r="C75" i="7"/>
  <c r="E60" i="6" a="1"/>
  <c r="J57" i="6" a="1"/>
  <c r="C19" i="7"/>
  <c r="I66" i="6" a="1"/>
  <c r="D48" i="6" a="1"/>
  <c r="E32" i="3" a="1"/>
  <c r="E127" i="7" a="1"/>
  <c r="E156" i="7" a="1"/>
  <c r="G113" i="7" a="1"/>
  <c r="C31" i="11" a="1"/>
  <c r="J48" i="6" a="1"/>
  <c r="J122" i="7" a="1"/>
  <c r="D57" i="6" a="1"/>
  <c r="E51" i="7" a="1"/>
  <c r="C16" i="11"/>
  <c r="F33" i="6" a="1"/>
  <c r="G58" i="6" a="1"/>
  <c r="D115" i="7" a="1"/>
  <c r="E45" i="6" a="1"/>
  <c r="G50" i="6" a="1"/>
  <c r="D117" i="7" a="1"/>
  <c r="E27" i="6"/>
  <c r="D83" i="7"/>
  <c r="D127" i="7" a="1"/>
  <c r="G60" i="6" a="1"/>
  <c r="F127" i="7" a="1"/>
  <c r="F123" i="7" a="1"/>
  <c r="I117" i="7" a="1"/>
  <c r="D55" i="7"/>
  <c r="D47" i="6" a="1"/>
  <c r="D47" i="7"/>
  <c r="D34" i="6"/>
  <c r="D31" i="6"/>
  <c r="E21" i="9" a="1"/>
  <c r="C18" i="7"/>
  <c r="C48" i="7"/>
  <c r="G47" i="6" a="1"/>
  <c r="F77" i="7"/>
  <c r="D32" i="6"/>
  <c r="F53" i="7"/>
  <c r="G124" i="7" a="1"/>
  <c r="J60" i="6" a="1"/>
  <c r="H66" i="6" a="1"/>
  <c r="J53" i="6" a="1"/>
  <c r="J120" i="7" a="1"/>
  <c r="C117" i="2"/>
  <c r="D78" i="7"/>
  <c r="D43" i="6" a="1"/>
  <c r="J59" i="6" a="1"/>
  <c r="H61" i="6" a="1"/>
  <c r="H65" i="6" a="1"/>
  <c r="D113" i="7" a="1"/>
  <c r="F128" i="7" a="1"/>
  <c r="D81" i="7"/>
  <c r="J61" i="6" a="1"/>
  <c r="C13" i="3"/>
  <c r="H125" i="7" a="1"/>
  <c r="J117" i="7" a="1"/>
  <c r="F32" i="6" a="1"/>
  <c r="E115" i="7" a="1"/>
  <c r="C62" i="7"/>
  <c r="D55" i="6" a="1"/>
  <c r="E128" i="7" a="1"/>
  <c r="J123" i="7" a="1"/>
  <c r="J54" i="6" a="1"/>
  <c r="J46" i="6" a="1"/>
  <c r="D108" i="7" a="1"/>
  <c r="D26" i="6"/>
  <c r="E85" i="7" a="1"/>
  <c r="F48" i="7"/>
  <c r="J105" i="7" a="1"/>
  <c r="C16" i="7"/>
  <c r="F57" i="6" a="1"/>
  <c r="E55" i="6" a="1"/>
  <c r="G107" i="7" a="1"/>
  <c r="I45" i="6" a="1"/>
  <c r="F31" i="6" a="1"/>
  <c r="J124" i="7" a="1"/>
  <c r="E40" i="3" a="1"/>
  <c r="C158" i="7"/>
  <c r="F126" i="7" a="1"/>
  <c r="E50" i="6" a="1"/>
  <c r="D112" i="7" a="1"/>
  <c r="C112" i="2"/>
  <c r="G112" i="7" a="1"/>
  <c r="C55" i="7"/>
  <c r="G111" i="7" a="1"/>
  <c r="H119" i="7" a="1"/>
  <c r="C159" i="7"/>
  <c r="F122" i="7" a="1"/>
  <c r="D58" i="6" a="1"/>
  <c r="J115" i="7" a="1"/>
  <c r="G117" i="7" a="1"/>
  <c r="C50" i="7"/>
  <c r="H55" i="6" a="1"/>
  <c r="D64" i="6" a="1"/>
  <c r="F63" i="6" a="1"/>
  <c r="C20" i="3"/>
  <c r="D42" i="6" a="1"/>
  <c r="F159" i="7"/>
  <c r="I65" i="6" a="1"/>
  <c r="I116" i="7" a="1"/>
  <c r="E78" i="7" a="1"/>
  <c r="G62" i="6" a="1"/>
  <c r="E116" i="7" a="1"/>
  <c r="D118" i="7" a="1"/>
  <c r="H42" i="6" a="1"/>
  <c r="F59" i="6" a="1"/>
  <c r="H63" i="6" a="1"/>
  <c r="E76" i="7" a="1"/>
  <c r="C12" i="3"/>
  <c r="E160" i="7" a="1"/>
  <c r="J109" i="7" a="1"/>
  <c r="J108" i="7" a="1"/>
  <c r="H110" i="7" a="1"/>
  <c r="J125" i="7" a="1"/>
  <c r="H43" i="6" a="1"/>
  <c r="J113" i="7" a="1"/>
  <c r="J50" i="6" a="1"/>
  <c r="F66" i="6" a="1"/>
  <c r="D52" i="7"/>
  <c r="C11" i="11"/>
  <c r="F75" i="7"/>
  <c r="H60" i="6" a="1"/>
  <c r="J114" i="7" a="1"/>
  <c r="H106" i="7" a="1"/>
  <c r="E111" i="7" a="1"/>
  <c r="F24" i="6" a="1"/>
  <c r="F44" i="6" a="1"/>
  <c r="D65" i="6" a="1"/>
  <c r="J63" i="6" a="1"/>
  <c r="F76" i="7"/>
  <c r="D111" i="7" a="1"/>
  <c r="C17" i="7"/>
  <c r="E49" i="6" a="1"/>
  <c r="J118" i="7" a="1"/>
  <c r="D158" i="7"/>
  <c r="H25" i="8"/>
  <c r="I64" i="6" a="1"/>
  <c r="E47" i="7" a="1"/>
  <c r="G59" i="6" a="1"/>
  <c r="E113" i="7" a="1"/>
  <c r="G123" i="7" a="1"/>
  <c r="I119" i="7" a="1"/>
  <c r="G121" i="7" a="1"/>
  <c r="F48" i="6" a="1"/>
  <c r="E25" i="6"/>
  <c r="J127" i="7" a="1"/>
  <c r="E106" i="7" a="1"/>
  <c r="G109" i="7" a="1"/>
  <c r="C119" i="2"/>
  <c r="F124" i="7" a="1"/>
  <c r="H114" i="7" a="1"/>
  <c r="I53" i="6" a="1"/>
  <c r="E31" i="6"/>
  <c r="E56" i="6" a="1"/>
  <c r="D52" i="6" a="1"/>
  <c r="I60" i="6" a="1"/>
  <c r="D27" i="6"/>
  <c r="D51" i="6" a="1"/>
  <c r="D46" i="6" a="1"/>
  <c r="D60" i="6" a="1"/>
  <c r="F74" i="7"/>
  <c r="F106" i="7" a="1"/>
  <c r="E54" i="7" a="1"/>
  <c r="H51" i="6" a="1"/>
  <c r="J126" i="7" a="1"/>
  <c r="I49" i="6" a="1"/>
  <c r="H53" i="6" a="1"/>
  <c r="F78" i="7"/>
  <c r="J62" i="6" a="1"/>
  <c r="F49" i="6" a="1"/>
  <c r="F121" i="7" a="1"/>
  <c r="E110" i="7" a="1"/>
  <c r="E54" i="6" a="1"/>
  <c r="C16" i="3"/>
  <c r="J121" i="7" a="1"/>
  <c r="D126" i="7" a="1"/>
  <c r="J56" i="6" a="1"/>
  <c r="J110" i="7" a="1"/>
  <c r="H57" i="6" a="1"/>
  <c r="C20" i="7"/>
  <c r="C52" i="7"/>
  <c r="C14" i="11"/>
  <c r="I121" i="7" a="1"/>
  <c r="G52" i="6" a="1"/>
  <c r="C108" i="2"/>
  <c r="D77" i="7"/>
  <c r="D54" i="7"/>
  <c r="E50" i="7" a="1"/>
  <c r="E14" i="7" a="1"/>
  <c r="J64" i="6" a="1"/>
  <c r="E119" i="7" a="1"/>
  <c r="J65" i="6" a="1"/>
  <c r="J52" i="6" a="1"/>
  <c r="G53" i="6" a="1"/>
  <c r="E38" i="9" a="1"/>
  <c r="E117" i="7" a="1"/>
  <c r="E58" i="6" a="1"/>
  <c r="F34" i="6" a="1"/>
  <c r="C115" i="2"/>
  <c r="F51" i="6" a="1"/>
  <c r="E15" i="7" a="1"/>
  <c r="F49" i="7"/>
  <c r="H127" i="7" a="1"/>
  <c r="D59" i="6" a="1"/>
  <c r="F26" i="8" a="1"/>
  <c r="C47" i="7"/>
  <c r="F45" i="7"/>
  <c r="B12" i="6" a="1"/>
  <c r="I128" i="7" a="1"/>
  <c r="C85" i="7"/>
  <c r="D51" i="7"/>
  <c r="D129" i="7" a="1"/>
  <c r="J129" i="7" a="1"/>
  <c r="F61" i="6" a="1"/>
  <c r="D116" i="7" a="1"/>
  <c r="E42" i="6" a="1"/>
  <c r="H45" i="6" a="1"/>
  <c r="H121" i="7" a="1"/>
  <c r="F82" i="7"/>
  <c r="J112" i="7" a="1"/>
  <c r="E37" i="9" a="1"/>
  <c r="H52" i="6" a="1"/>
  <c r="J106" i="7" a="1"/>
  <c r="C80" i="7"/>
  <c r="G122" i="7" a="1"/>
  <c r="I43" i="6" a="1"/>
  <c r="E61" i="6" a="1"/>
  <c r="F105" i="7" a="1"/>
  <c r="I125" i="7" a="1"/>
  <c r="E53" i="6" a="1"/>
  <c r="C76" i="7"/>
  <c r="J42" i="6" a="1"/>
  <c r="D119" i="7" a="1"/>
  <c r="E35" i="3" a="1"/>
  <c r="E118" i="7" a="1"/>
  <c r="D75" i="7"/>
  <c r="I50" i="6" a="1"/>
  <c r="D30" i="6"/>
  <c r="F113" i="7" a="1"/>
  <c r="D122" i="7" a="1"/>
  <c r="I47" i="6" a="1"/>
  <c r="D159" i="7"/>
  <c r="F116" i="7" a="1"/>
  <c r="J116" i="7" a="1"/>
  <c r="F62" i="6" a="1"/>
  <c r="G46" i="6" a="1"/>
  <c r="D10" i="9"/>
  <c r="H107" i="7" a="1"/>
  <c r="D48" i="7"/>
  <c r="E34" i="3" a="1"/>
  <c r="D160" i="7"/>
  <c r="C23" i="2"/>
  <c r="C44" i="7"/>
  <c r="I58" i="6" a="1"/>
  <c r="F42" i="6" a="1"/>
  <c r="E83" i="7" a="1"/>
  <c r="G128" i="7" a="1"/>
  <c r="C40" i="11" a="1"/>
  <c r="E80" i="7" a="1"/>
  <c r="H129" i="7" a="1"/>
  <c r="C84" i="7"/>
  <c r="D50" i="7"/>
  <c r="H48" i="6" a="1"/>
  <c r="G49" i="6" a="1"/>
  <c r="E122" i="7" a="1"/>
  <c r="E107" i="7" a="1"/>
  <c r="I55" i="6" a="1"/>
  <c r="E32" i="6"/>
  <c r="C15" i="7"/>
  <c r="E123" i="7" a="1"/>
  <c r="D46" i="7"/>
  <c r="F156" i="7"/>
  <c r="D44" i="6" a="1"/>
  <c r="I115" i="7" a="1"/>
  <c r="C35" i="11" a="1"/>
  <c r="E66" i="6" a="1"/>
  <c r="G127" i="7" a="1"/>
  <c r="F65" i="6" a="1"/>
  <c r="E28" i="6"/>
  <c r="D53" i="6" a="1"/>
  <c r="D49" i="6" a="1"/>
  <c r="I42" i="6" a="1"/>
  <c r="E62" i="6" a="1"/>
  <c r="I46" i="6" a="1"/>
  <c r="D121" i="7" a="1"/>
  <c r="F85" i="7"/>
  <c r="H117" i="7" a="1"/>
  <c r="H116" i="7" a="1"/>
  <c r="G63" i="6" a="1"/>
  <c r="E121" i="7" a="1"/>
  <c r="I129" i="7" a="1"/>
  <c r="H124" i="7" a="1"/>
  <c r="H50" i="6" a="1"/>
  <c r="F45" i="6" a="1"/>
  <c r="I61" i="6" a="1"/>
  <c r="H46" i="6" a="1"/>
  <c r="F111" i="7" a="1"/>
  <c r="J45" i="6" a="1"/>
  <c r="F25" i="6" a="1"/>
  <c r="E125" i="7" a="1"/>
  <c r="E55" i="7" a="1"/>
  <c r="H44" i="6" a="1"/>
  <c r="H109" i="7" a="1"/>
  <c r="C27" i="11" a="1"/>
  <c r="I122" i="7" a="1"/>
  <c r="I54" i="6" a="1"/>
  <c r="E19" i="7" a="1"/>
  <c r="E43" i="6" a="1"/>
  <c r="C19" i="3"/>
  <c r="H56" i="6" a="1"/>
  <c r="H108" i="7" a="1"/>
  <c r="F112" i="7" a="1"/>
  <c r="D106" i="7" a="1"/>
  <c r="F115" i="7" a="1"/>
  <c r="J47" i="6" a="1"/>
  <c r="C74" i="7"/>
  <c r="E53" i="7" a="1"/>
  <c r="G118" i="7" a="1"/>
  <c r="H49" i="6" a="1"/>
  <c r="D29" i="6"/>
  <c r="E47" i="6" a="1"/>
  <c r="J44" i="6" a="1"/>
  <c r="F26" i="6" a="1"/>
  <c r="C46" i="7"/>
  <c r="F83" i="7"/>
  <c r="C17" i="3"/>
  <c r="F18" i="8" a="1"/>
  <c r="D128" i="7" a="1"/>
  <c r="D53" i="7"/>
  <c r="F43" i="6" a="1"/>
  <c r="D50" i="6" a="1"/>
  <c r="C81" i="7"/>
  <c r="H128" i="7" a="1"/>
  <c r="D109" i="7" a="1"/>
  <c r="D80" i="7"/>
  <c r="I62" i="6" a="1"/>
  <c r="F54" i="7"/>
  <c r="C45" i="7"/>
  <c r="I112" i="7" a="1"/>
  <c r="F14" i="7"/>
  <c r="D110" i="7" a="1"/>
  <c r="D45" i="6" a="1"/>
  <c r="D66" i="6" a="1"/>
  <c r="D25" i="6"/>
  <c r="F52" i="6" a="1"/>
  <c r="I57" i="6" a="1"/>
  <c r="D105" i="7" a="1"/>
  <c r="E82" i="7" a="1"/>
  <c r="I120" i="7" a="1"/>
  <c r="F55" i="7"/>
  <c r="C11" i="3"/>
  <c r="F108" i="7" a="1"/>
  <c r="F29" i="6" a="1"/>
  <c r="I114" i="7" a="1"/>
  <c r="D28" i="6"/>
  <c r="I105" i="7" a="1"/>
  <c r="J107" i="7" a="1"/>
  <c r="H122" i="7" a="1"/>
  <c r="H115" i="7" a="1"/>
  <c r="G126" i="7" a="1"/>
  <c r="J119" i="7" a="1"/>
  <c r="H126" i="7" a="1"/>
  <c r="F55" i="6" a="1"/>
  <c r="D84" i="7"/>
  <c r="F118" i="7" a="1"/>
  <c r="I59" i="6" a="1"/>
  <c r="I107" i="7" a="1"/>
  <c r="C12" i="11"/>
  <c r="D123" i="7" a="1"/>
  <c r="E53" i="7" l="1"/>
  <c r="G53" i="7" s="1"/>
  <c r="E49" i="7"/>
  <c r="G49" i="7" s="1"/>
  <c r="E46" i="7"/>
  <c r="G46" i="7" s="1"/>
  <c r="I46" i="7"/>
  <c r="I52" i="7"/>
  <c r="I50" i="7"/>
  <c r="I53" i="7"/>
  <c r="E45" i="7"/>
  <c r="G45" i="7" s="1"/>
  <c r="E55" i="7"/>
  <c r="G55" i="7" s="1"/>
  <c r="E51" i="7"/>
  <c r="G51" i="7" s="1"/>
  <c r="I48" i="7"/>
  <c r="I45" i="7"/>
  <c r="I55" i="7"/>
  <c r="E54" i="7"/>
  <c r="G54" i="7" s="1"/>
  <c r="I51" i="7"/>
  <c r="E48" i="7"/>
  <c r="G48" i="7" s="1"/>
  <c r="E44" i="7"/>
  <c r="E56" i="7" s="1"/>
  <c r="I47" i="7"/>
  <c r="E47" i="7"/>
  <c r="G47" i="7" s="1"/>
  <c r="I54" i="7"/>
  <c r="E52" i="7"/>
  <c r="G52" i="7" s="1"/>
  <c r="I49" i="7"/>
  <c r="E50" i="7"/>
  <c r="G50" i="7" s="1"/>
  <c r="G14" i="7"/>
  <c r="I14" i="7"/>
  <c r="E14" i="7"/>
  <c r="I15" i="7"/>
  <c r="G15" i="7"/>
  <c r="E15" i="7"/>
  <c r="G44" i="7"/>
  <c r="I44" i="7"/>
  <c r="E76" i="7"/>
  <c r="G76" i="7" s="1"/>
  <c r="E82" i="7"/>
  <c r="G82" i="7" s="1"/>
  <c r="E81" i="7"/>
  <c r="G81" i="7" s="1"/>
  <c r="E83" i="7"/>
  <c r="G83" i="7" s="1"/>
  <c r="E78" i="7"/>
  <c r="G78" i="7" s="1"/>
  <c r="E77" i="7"/>
  <c r="G77" i="7" s="1"/>
  <c r="E84" i="7"/>
  <c r="G84" i="7" s="1"/>
  <c r="E75" i="7"/>
  <c r="G75" i="7" s="1"/>
  <c r="E79" i="7"/>
  <c r="G79" i="7" s="1"/>
  <c r="E85" i="7"/>
  <c r="G85" i="7" s="1"/>
  <c r="E74" i="7"/>
  <c r="G74" i="7" s="1"/>
  <c r="E80" i="7"/>
  <c r="G80" i="7" s="1"/>
  <c r="I74" i="7"/>
  <c r="I75" i="7"/>
  <c r="I76" i="7"/>
  <c r="I77" i="7"/>
  <c r="I78" i="7"/>
  <c r="I79" i="7"/>
  <c r="I84" i="7"/>
  <c r="I80" i="7"/>
  <c r="I81" i="7"/>
  <c r="I82" i="7"/>
  <c r="I83" i="7"/>
  <c r="I85" i="7"/>
  <c r="F29" i="6"/>
  <c r="F34" i="6"/>
  <c r="F28" i="6"/>
  <c r="F33" i="6"/>
  <c r="F27" i="6"/>
  <c r="F32" i="6"/>
  <c r="F26" i="6"/>
  <c r="F31" i="6"/>
  <c r="F25" i="6"/>
  <c r="F30" i="6"/>
  <c r="F24" i="6"/>
  <c r="B12" i="6"/>
  <c r="E58" i="2"/>
  <c r="E62" i="2"/>
  <c r="E39" i="3"/>
  <c r="E50" i="2"/>
  <c r="E31" i="3"/>
  <c r="G54" i="6"/>
  <c r="E40" i="3"/>
  <c r="E54" i="2"/>
  <c r="E350" i="5"/>
  <c r="E66" i="3"/>
  <c r="E155" i="4"/>
  <c r="E32" i="3"/>
  <c r="E34" i="3"/>
  <c r="G45" i="6"/>
  <c r="F50" i="6"/>
  <c r="E52" i="2"/>
  <c r="E56" i="2"/>
  <c r="E60" i="2"/>
  <c r="E35" i="3"/>
  <c r="E53" i="2"/>
  <c r="E57" i="2"/>
  <c r="E61" i="2"/>
  <c r="E33" i="3"/>
  <c r="E43" i="6"/>
  <c r="H64" i="6"/>
  <c r="F53" i="6"/>
  <c r="H56" i="6"/>
  <c r="G48" i="6"/>
  <c r="F49" i="6"/>
  <c r="H61" i="6"/>
  <c r="J42" i="6"/>
  <c r="J45" i="6"/>
  <c r="E57" i="6"/>
  <c r="D43" i="6"/>
  <c r="E46" i="6"/>
  <c r="H57" i="6"/>
  <c r="F44" i="6"/>
  <c r="F47" i="6"/>
  <c r="I50" i="6"/>
  <c r="D55" i="6"/>
  <c r="H59" i="6"/>
  <c r="H44" i="6"/>
  <c r="I47" i="6"/>
  <c r="E51" i="6"/>
  <c r="F55" i="6"/>
  <c r="I44" i="6"/>
  <c r="H55" i="6"/>
  <c r="G66" i="6"/>
  <c r="G47" i="6"/>
  <c r="D49" i="6"/>
  <c r="D53" i="6"/>
  <c r="E55" i="6"/>
  <c r="H43" i="6"/>
  <c r="D45" i="6"/>
  <c r="H46" i="6"/>
  <c r="E48" i="6"/>
  <c r="J49" i="6"/>
  <c r="J51" i="6"/>
  <c r="E42" i="6"/>
  <c r="I43" i="6"/>
  <c r="E45" i="6"/>
  <c r="I46" i="6"/>
  <c r="D61" i="6"/>
  <c r="F42" i="6"/>
  <c r="J43" i="6"/>
  <c r="F45" i="6"/>
  <c r="G56" i="6"/>
  <c r="H58" i="6"/>
  <c r="E19" i="7"/>
  <c r="G44" i="6"/>
  <c r="J46" i="6"/>
  <c r="H47" i="6"/>
  <c r="F48" i="6"/>
  <c r="E49" i="6"/>
  <c r="D51" i="6"/>
  <c r="E53" i="6"/>
  <c r="F57" i="6"/>
  <c r="G58" i="6"/>
  <c r="J59" i="6"/>
  <c r="E61" i="6"/>
  <c r="G62" i="6"/>
  <c r="D64" i="6"/>
  <c r="J65" i="6"/>
  <c r="F18" i="8"/>
  <c r="G42" i="6"/>
  <c r="J44" i="6"/>
  <c r="H45" i="6"/>
  <c r="F46" i="6"/>
  <c r="D47" i="6"/>
  <c r="J47" i="6"/>
  <c r="H48" i="6"/>
  <c r="H49" i="6"/>
  <c r="F51" i="6"/>
  <c r="G52" i="6"/>
  <c r="H53" i="6"/>
  <c r="H54" i="6"/>
  <c r="I56" i="6"/>
  <c r="J57" i="6"/>
  <c r="D59" i="6"/>
  <c r="E63" i="6"/>
  <c r="H42" i="6"/>
  <c r="F43" i="6"/>
  <c r="E44" i="6"/>
  <c r="I45" i="6"/>
  <c r="E47" i="6"/>
  <c r="I48" i="6"/>
  <c r="I49" i="6"/>
  <c r="G50" i="6"/>
  <c r="H51" i="6"/>
  <c r="H52" i="6"/>
  <c r="I54" i="6"/>
  <c r="J55" i="6"/>
  <c r="E59" i="6"/>
  <c r="G60" i="6"/>
  <c r="J61" i="6"/>
  <c r="F63" i="6"/>
  <c r="J64" i="6"/>
  <c r="I42" i="6"/>
  <c r="G43" i="6"/>
  <c r="G46" i="6"/>
  <c r="H50" i="6"/>
  <c r="I52" i="6"/>
  <c r="J53" i="6"/>
  <c r="D57" i="6"/>
  <c r="H60" i="6"/>
  <c r="J66" i="6"/>
  <c r="I51" i="6"/>
  <c r="F52" i="6"/>
  <c r="I53" i="6"/>
  <c r="F54" i="6"/>
  <c r="I55" i="6"/>
  <c r="F56" i="6"/>
  <c r="I57" i="6"/>
  <c r="F58" i="6"/>
  <c r="I59" i="6"/>
  <c r="F60" i="6"/>
  <c r="I61" i="6"/>
  <c r="F62" i="6"/>
  <c r="D63" i="6"/>
  <c r="G65" i="6"/>
  <c r="H66" i="6"/>
  <c r="G108" i="7"/>
  <c r="G112" i="7"/>
  <c r="G116" i="7"/>
  <c r="G120" i="7"/>
  <c r="G124" i="7"/>
  <c r="I58" i="6"/>
  <c r="F59" i="6"/>
  <c r="I60" i="6"/>
  <c r="F61" i="6"/>
  <c r="G63" i="6"/>
  <c r="E64" i="6"/>
  <c r="G106" i="7"/>
  <c r="G110" i="7"/>
  <c r="G114" i="7"/>
  <c r="G118" i="7"/>
  <c r="G122" i="7"/>
  <c r="H126" i="7"/>
  <c r="D42" i="6"/>
  <c r="D44" i="6"/>
  <c r="D46" i="6"/>
  <c r="D48" i="6"/>
  <c r="D50" i="6"/>
  <c r="D52" i="6"/>
  <c r="D54" i="6"/>
  <c r="D56" i="6"/>
  <c r="D58" i="6"/>
  <c r="D60" i="6"/>
  <c r="D62" i="6"/>
  <c r="J62" i="6"/>
  <c r="H63" i="6"/>
  <c r="F64" i="6"/>
  <c r="D66" i="6"/>
  <c r="E127" i="7"/>
  <c r="E156" i="7"/>
  <c r="J48" i="6"/>
  <c r="G49" i="6"/>
  <c r="E50" i="6"/>
  <c r="J50" i="6"/>
  <c r="G51" i="6"/>
  <c r="E52" i="6"/>
  <c r="J52" i="6"/>
  <c r="G53" i="6"/>
  <c r="E54" i="6"/>
  <c r="J54" i="6"/>
  <c r="G55" i="6"/>
  <c r="E56" i="6"/>
  <c r="J56" i="6"/>
  <c r="G57" i="6"/>
  <c r="E58" i="6"/>
  <c r="J58" i="6"/>
  <c r="G59" i="6"/>
  <c r="E60" i="6"/>
  <c r="J60" i="6"/>
  <c r="G61" i="6"/>
  <c r="E62" i="6"/>
  <c r="G64" i="6"/>
  <c r="F65" i="6"/>
  <c r="H62" i="6"/>
  <c r="I63" i="6"/>
  <c r="H65" i="6"/>
  <c r="F105" i="7"/>
  <c r="F107" i="7"/>
  <c r="F109" i="7"/>
  <c r="F111" i="7"/>
  <c r="F113" i="7"/>
  <c r="F115" i="7"/>
  <c r="F117" i="7"/>
  <c r="F119" i="7"/>
  <c r="F121" i="7"/>
  <c r="F123" i="7"/>
  <c r="F125" i="7"/>
  <c r="H127" i="7"/>
  <c r="I159" i="7"/>
  <c r="F66" i="6"/>
  <c r="G105" i="7"/>
  <c r="G107" i="7"/>
  <c r="G109" i="7"/>
  <c r="G111" i="7"/>
  <c r="G113" i="7"/>
  <c r="G115" i="7"/>
  <c r="G117" i="7"/>
  <c r="G119" i="7"/>
  <c r="G121" i="7"/>
  <c r="G123" i="7"/>
  <c r="G125" i="7"/>
  <c r="I127" i="7"/>
  <c r="I62" i="6"/>
  <c r="J63" i="6"/>
  <c r="D65" i="6"/>
  <c r="D126" i="7"/>
  <c r="F106" i="7"/>
  <c r="F108" i="7"/>
  <c r="F110" i="7"/>
  <c r="F112" i="7"/>
  <c r="F114" i="7"/>
  <c r="F116" i="7"/>
  <c r="F118" i="7"/>
  <c r="F120" i="7"/>
  <c r="F122" i="7"/>
  <c r="F124" i="7"/>
  <c r="G126" i="7"/>
  <c r="I128" i="7"/>
  <c r="F12" i="8"/>
  <c r="E11" i="9"/>
  <c r="J127" i="7"/>
  <c r="J125" i="7"/>
  <c r="D128" i="7"/>
  <c r="E129" i="7"/>
  <c r="N40" i="10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F129" i="7"/>
  <c r="E158" i="7"/>
  <c r="C31" i="11"/>
  <c r="I64" i="6"/>
  <c r="E65" i="6"/>
  <c r="I65" i="6"/>
  <c r="E66" i="6"/>
  <c r="I66" i="6"/>
  <c r="F128" i="7"/>
  <c r="G129" i="7"/>
  <c r="D127" i="7"/>
  <c r="E128" i="7"/>
  <c r="J128" i="7"/>
  <c r="E157" i="7"/>
  <c r="E160" i="7"/>
  <c r="E24" i="9"/>
  <c r="C40" i="11"/>
  <c r="C35" i="11"/>
  <c r="D105" i="7"/>
  <c r="H105" i="7"/>
  <c r="D106" i="7"/>
  <c r="H106" i="7"/>
  <c r="D107" i="7"/>
  <c r="H107" i="7"/>
  <c r="D108" i="7"/>
  <c r="H108" i="7"/>
  <c r="D109" i="7"/>
  <c r="H109" i="7"/>
  <c r="D110" i="7"/>
  <c r="H110" i="7"/>
  <c r="D111" i="7"/>
  <c r="H111" i="7"/>
  <c r="D112" i="7"/>
  <c r="H112" i="7"/>
  <c r="D113" i="7"/>
  <c r="H113" i="7"/>
  <c r="D114" i="7"/>
  <c r="H114" i="7"/>
  <c r="D115" i="7"/>
  <c r="H115" i="7"/>
  <c r="D116" i="7"/>
  <c r="H116" i="7"/>
  <c r="D117" i="7"/>
  <c r="H117" i="7"/>
  <c r="D118" i="7"/>
  <c r="H118" i="7"/>
  <c r="D119" i="7"/>
  <c r="H119" i="7"/>
  <c r="D120" i="7"/>
  <c r="H120" i="7"/>
  <c r="D121" i="7"/>
  <c r="H121" i="7"/>
  <c r="D122" i="7"/>
  <c r="H122" i="7"/>
  <c r="D123" i="7"/>
  <c r="H123" i="7"/>
  <c r="D124" i="7"/>
  <c r="H124" i="7"/>
  <c r="D125" i="7"/>
  <c r="H125" i="7"/>
  <c r="I126" i="7"/>
  <c r="F127" i="7"/>
  <c r="G128" i="7"/>
  <c r="H129" i="7"/>
  <c r="I158" i="7"/>
  <c r="E25" i="9"/>
  <c r="E126" i="7"/>
  <c r="J126" i="7"/>
  <c r="D129" i="7"/>
  <c r="C27" i="11"/>
  <c r="E105" i="7"/>
  <c r="I105" i="7"/>
  <c r="E106" i="7"/>
  <c r="I106" i="7"/>
  <c r="E107" i="7"/>
  <c r="I107" i="7"/>
  <c r="E108" i="7"/>
  <c r="I108" i="7"/>
  <c r="E109" i="7"/>
  <c r="I109" i="7"/>
  <c r="E110" i="7"/>
  <c r="I110" i="7"/>
  <c r="E111" i="7"/>
  <c r="I111" i="7"/>
  <c r="E112" i="7"/>
  <c r="I112" i="7"/>
  <c r="E113" i="7"/>
  <c r="I113" i="7"/>
  <c r="E114" i="7"/>
  <c r="I114" i="7"/>
  <c r="E115" i="7"/>
  <c r="I115" i="7"/>
  <c r="E116" i="7"/>
  <c r="I116" i="7"/>
  <c r="E117" i="7"/>
  <c r="I117" i="7"/>
  <c r="E118" i="7"/>
  <c r="I118" i="7"/>
  <c r="E119" i="7"/>
  <c r="I119" i="7"/>
  <c r="E120" i="7"/>
  <c r="I120" i="7"/>
  <c r="E121" i="7"/>
  <c r="I121" i="7"/>
  <c r="E122" i="7"/>
  <c r="I122" i="7"/>
  <c r="E123" i="7"/>
  <c r="I123" i="7"/>
  <c r="E124" i="7"/>
  <c r="I124" i="7"/>
  <c r="E125" i="7"/>
  <c r="I125" i="7"/>
  <c r="F126" i="7"/>
  <c r="G127" i="7"/>
  <c r="H128" i="7"/>
  <c r="J129" i="7"/>
  <c r="F26" i="8"/>
  <c r="E38" i="9"/>
  <c r="C39" i="11"/>
  <c r="E37" i="9"/>
  <c r="C17" i="11"/>
  <c r="D15" i="11" s="1"/>
  <c r="E21" i="9"/>
  <c r="E29" i="9"/>
  <c r="I129" i="7"/>
  <c r="G4" i="4"/>
  <c r="G2" i="5"/>
  <c r="G3" i="5" s="1"/>
  <c r="D88" i="7"/>
  <c r="C69" i="3"/>
  <c r="C37" i="3"/>
  <c r="C33" i="3"/>
  <c r="E88" i="7" a="1"/>
  <c r="C39" i="3"/>
  <c r="D12" i="9"/>
  <c r="F37" i="9"/>
  <c r="F14" i="9"/>
  <c r="C61" i="4"/>
  <c r="D23" i="6"/>
  <c r="F16" i="6"/>
  <c r="H30" i="6"/>
  <c r="N39" i="10"/>
  <c r="F71" i="7"/>
  <c r="F17" i="7"/>
  <c r="F18" i="7"/>
  <c r="C59" i="2"/>
  <c r="C91" i="2"/>
  <c r="F29" i="3"/>
  <c r="C71" i="4"/>
  <c r="F65" i="7"/>
  <c r="G23" i="10"/>
  <c r="E64" i="7" a="1"/>
  <c r="G28" i="6"/>
  <c r="C105" i="2"/>
  <c r="C94" i="2"/>
  <c r="D90" i="7"/>
  <c r="E30" i="9" a="1"/>
  <c r="D161" i="7"/>
  <c r="F88" i="7"/>
  <c r="C39" i="9"/>
  <c r="F26" i="9"/>
  <c r="F23" i="9"/>
  <c r="G22" i="2"/>
  <c r="E12" i="8"/>
  <c r="C57" i="2"/>
  <c r="E40" i="11" a="1"/>
  <c r="C53" i="2"/>
  <c r="E86" i="4" a="1"/>
  <c r="F69" i="4"/>
  <c r="C50" i="2"/>
  <c r="C72" i="7"/>
  <c r="E73" i="4" a="1"/>
  <c r="C14" i="3"/>
  <c r="C80" i="4"/>
  <c r="C70" i="7"/>
  <c r="E90" i="7" a="1"/>
  <c r="D29" i="3"/>
  <c r="C102" i="3"/>
  <c r="F39" i="9"/>
  <c r="D15" i="6"/>
  <c r="C65" i="4"/>
  <c r="F161" i="7"/>
  <c r="F95" i="7"/>
  <c r="H19" i="8"/>
  <c r="C97" i="2"/>
  <c r="C88" i="3"/>
  <c r="E92" i="7" a="1"/>
  <c r="C22" i="9"/>
  <c r="F89" i="7"/>
  <c r="D16" i="6"/>
  <c r="G26" i="8"/>
  <c r="C66" i="4"/>
  <c r="D38" i="3"/>
  <c r="E15" i="11" a="1"/>
  <c r="C106" i="3"/>
  <c r="C74" i="4"/>
  <c r="E30" i="3" a="1"/>
  <c r="F70" i="7"/>
  <c r="C15" i="4"/>
  <c r="D92" i="7"/>
  <c r="F77" i="4"/>
  <c r="C81" i="3"/>
  <c r="E11" i="11" a="1"/>
  <c r="F96" i="7"/>
  <c r="D57" i="4"/>
  <c r="G32" i="10" a="1"/>
  <c r="G23" i="2"/>
  <c r="F16" i="7"/>
  <c r="C29" i="4"/>
  <c r="C66" i="3"/>
  <c r="E35" i="11" a="1"/>
  <c r="C109" i="3"/>
  <c r="C10" i="3"/>
  <c r="C156" i="4"/>
  <c r="C90" i="2"/>
  <c r="C64" i="7"/>
  <c r="C16" i="4"/>
  <c r="E26" i="8"/>
  <c r="C37" i="11" a="1"/>
  <c r="C13" i="2"/>
  <c r="C99" i="2"/>
  <c r="C102" i="2"/>
  <c r="C86" i="3"/>
  <c r="F40" i="3"/>
  <c r="C89" i="7"/>
  <c r="D86" i="7"/>
  <c r="F15" i="9"/>
  <c r="C87" i="2"/>
  <c r="F62" i="7"/>
  <c r="C55" i="4"/>
  <c r="C57" i="4"/>
  <c r="E37" i="11" a="1"/>
  <c r="C67" i="7"/>
  <c r="C60" i="2"/>
  <c r="E24" i="11" a="1"/>
  <c r="G31" i="6"/>
  <c r="G18" i="8"/>
  <c r="C104" i="2"/>
  <c r="E77" i="4" a="1"/>
  <c r="C99" i="3"/>
  <c r="E15" i="9" a="1"/>
  <c r="D12" i="8"/>
  <c r="C69" i="7"/>
  <c r="D156" i="7"/>
  <c r="D30" i="3"/>
  <c r="E73" i="7" a="1"/>
  <c r="D85" i="4"/>
  <c r="H26" i="6"/>
  <c r="D80" i="4"/>
  <c r="D37" i="3"/>
  <c r="D19" i="8"/>
  <c r="G39" i="10"/>
  <c r="E17" i="6" a="1"/>
  <c r="C27" i="9"/>
  <c r="N24" i="10" a="1"/>
  <c r="F40" i="9"/>
  <c r="F20" i="7"/>
  <c r="C72" i="4"/>
  <c r="C24" i="11" a="1"/>
  <c r="E39" i="11" a="1"/>
  <c r="D95" i="7"/>
  <c r="E93" i="7" a="1"/>
  <c r="N48" i="10" a="1"/>
  <c r="C11" i="2"/>
  <c r="D29" i="9"/>
  <c r="C26" i="9"/>
  <c r="C75" i="4"/>
  <c r="E85" i="4" a="1"/>
  <c r="C32" i="11" a="1"/>
  <c r="D69" i="7"/>
  <c r="E55" i="4" a="1"/>
  <c r="C37" i="4"/>
  <c r="E33" i="11" a="1"/>
  <c r="F93" i="7"/>
  <c r="C41" i="4"/>
  <c r="F160" i="7"/>
  <c r="E69" i="7" a="1"/>
  <c r="C156" i="7"/>
  <c r="D25" i="9"/>
  <c r="F27" i="9"/>
  <c r="C63" i="7"/>
  <c r="F69" i="7"/>
  <c r="E72" i="7" a="1"/>
  <c r="C92" i="7"/>
  <c r="C81" i="4"/>
  <c r="C10" i="9"/>
  <c r="G25" i="8"/>
  <c r="E27" i="11" a="1"/>
  <c r="C105" i="3"/>
  <c r="C86" i="2"/>
  <c r="H26" i="8"/>
  <c r="C88" i="7"/>
  <c r="G34" i="6"/>
  <c r="C36" i="3"/>
  <c r="C24" i="2"/>
  <c r="C85" i="2"/>
  <c r="F14" i="6"/>
  <c r="E23" i="9" a="1"/>
  <c r="F13" i="9"/>
  <c r="D70" i="7"/>
  <c r="C89" i="2"/>
  <c r="E13" i="6" a="1"/>
  <c r="D24" i="9"/>
  <c r="E79" i="4" a="1"/>
  <c r="E61" i="4" a="1"/>
  <c r="C31" i="3"/>
  <c r="D65" i="4"/>
  <c r="D28" i="3"/>
  <c r="E26" i="11" a="1"/>
  <c r="G24" i="2"/>
  <c r="C103" i="2"/>
  <c r="E16" i="11" a="1"/>
  <c r="C29" i="9"/>
  <c r="C64" i="4"/>
  <c r="F91" i="7"/>
  <c r="C79" i="3"/>
  <c r="E67" i="4" a="1"/>
  <c r="G12" i="8"/>
  <c r="C38" i="9"/>
  <c r="E12" i="9" a="1"/>
  <c r="F68" i="7"/>
  <c r="F73" i="7"/>
  <c r="D62" i="7"/>
  <c r="C93" i="3"/>
  <c r="C95" i="3"/>
  <c r="F64" i="4"/>
  <c r="F17" i="6"/>
  <c r="F13" i="6"/>
  <c r="F70" i="4"/>
  <c r="D17" i="7"/>
  <c r="C94" i="7"/>
  <c r="G47" i="10"/>
  <c r="F33" i="3"/>
  <c r="E54" i="4" a="1"/>
  <c r="H18" i="8"/>
  <c r="C40" i="9"/>
  <c r="C9" i="4"/>
  <c r="E71" i="4" a="1"/>
  <c r="D54" i="4"/>
  <c r="C22" i="2"/>
  <c r="F30" i="9"/>
  <c r="F38" i="9"/>
  <c r="E15" i="6" a="1"/>
  <c r="D71" i="7"/>
  <c r="C32" i="3"/>
  <c r="C36" i="11" a="1"/>
  <c r="C40" i="3"/>
  <c r="C157" i="7"/>
  <c r="F24" i="9"/>
  <c r="F21" i="9"/>
  <c r="N47" i="10"/>
  <c r="C95" i="2"/>
  <c r="D16" i="7"/>
  <c r="F97" i="7"/>
  <c r="E56" i="4" a="1"/>
  <c r="E72" i="4" a="1"/>
  <c r="C87" i="7"/>
  <c r="F25" i="9"/>
  <c r="C21" i="9"/>
  <c r="E161" i="7" a="1"/>
  <c r="C52" i="2"/>
  <c r="D64" i="4"/>
  <c r="E21" i="2"/>
  <c r="F38" i="3"/>
  <c r="E24" i="2"/>
  <c r="D30" i="9"/>
  <c r="C24" i="9"/>
  <c r="C12" i="2"/>
  <c r="D52" i="4"/>
  <c r="C20" i="4"/>
  <c r="F22" i="9"/>
  <c r="C95" i="7"/>
  <c r="C69" i="4"/>
  <c r="D14" i="9"/>
  <c r="C84" i="4"/>
  <c r="C82" i="4"/>
  <c r="C36" i="4"/>
  <c r="C29" i="11" a="1"/>
  <c r="F92" i="7"/>
  <c r="E29" i="3" a="1"/>
  <c r="D15" i="9"/>
  <c r="E17" i="7" a="1"/>
  <c r="C35" i="3"/>
  <c r="E75" i="4" a="1"/>
  <c r="E59" i="4" a="1"/>
  <c r="D74" i="4"/>
  <c r="I21" i="2"/>
  <c r="D68" i="7"/>
  <c r="C68" i="4"/>
  <c r="F11" i="9"/>
  <c r="F56" i="4"/>
  <c r="C26" i="4"/>
  <c r="C33" i="4"/>
  <c r="D25" i="8"/>
  <c r="F10" i="9"/>
  <c r="D14" i="6"/>
  <c r="E32" i="11" a="1"/>
  <c r="D17" i="6"/>
  <c r="D31" i="3"/>
  <c r="E22" i="9" a="1"/>
  <c r="D86" i="4"/>
  <c r="E30" i="11" a="1"/>
  <c r="C21" i="4"/>
  <c r="D73" i="4"/>
  <c r="H29" i="6"/>
  <c r="F36" i="3"/>
  <c r="E89" i="7" a="1"/>
  <c r="C96" i="3"/>
  <c r="F19" i="7"/>
  <c r="C36" i="9"/>
  <c r="E39" i="9" a="1"/>
  <c r="D26" i="9"/>
  <c r="D81" i="4"/>
  <c r="D33" i="3"/>
  <c r="E18" i="8"/>
  <c r="C40" i="4"/>
  <c r="C28" i="3"/>
  <c r="F158" i="7"/>
  <c r="C18" i="4"/>
  <c r="E71" i="7" a="1"/>
  <c r="C8" i="4"/>
  <c r="C30" i="11" a="1"/>
  <c r="D68" i="4"/>
  <c r="H25" i="6"/>
  <c r="C104" i="3"/>
  <c r="D75" i="4"/>
  <c r="F54" i="4"/>
  <c r="C101" i="3"/>
  <c r="G24" i="10" a="1"/>
  <c r="G26" i="6"/>
  <c r="D28" i="9"/>
  <c r="E18" i="7" a="1"/>
  <c r="E60" i="4" a="1"/>
  <c r="F28" i="9"/>
  <c r="E40" i="9" a="1"/>
  <c r="F12" i="9"/>
  <c r="C86" i="7"/>
  <c r="E87" i="7" a="1"/>
  <c r="C73" i="7"/>
  <c r="F66" i="4"/>
  <c r="C92" i="2"/>
  <c r="C87" i="3"/>
  <c r="D87" i="7"/>
  <c r="E37" i="3" a="1"/>
  <c r="D71" i="4"/>
  <c r="E63" i="7" a="1"/>
  <c r="I20" i="2"/>
  <c r="F29" i="9"/>
  <c r="C114" i="3"/>
  <c r="E31" i="11" a="1"/>
  <c r="C97" i="7"/>
  <c r="E15" i="10"/>
  <c r="C58" i="4"/>
  <c r="F34" i="3"/>
  <c r="C83" i="4"/>
  <c r="C25" i="4"/>
  <c r="G30" i="6"/>
  <c r="F90" i="7"/>
  <c r="F61" i="4"/>
  <c r="D11" i="8"/>
  <c r="C155" i="4"/>
  <c r="F25" i="8" a="1"/>
  <c r="D37" i="9"/>
  <c r="E68" i="7" a="1"/>
  <c r="D18" i="8"/>
  <c r="D38" i="9"/>
  <c r="C52" i="4"/>
  <c r="F87" i="7"/>
  <c r="C90" i="7"/>
  <c r="C29" i="3"/>
  <c r="E70" i="4" a="1"/>
  <c r="H24" i="6"/>
  <c r="E58" i="4" a="1"/>
  <c r="C33" i="11" a="1"/>
  <c r="F15" i="6"/>
  <c r="C160" i="7"/>
  <c r="E20" i="7" a="1"/>
  <c r="F68" i="4"/>
  <c r="D77" i="4"/>
  <c r="D91" i="7"/>
  <c r="D21" i="9"/>
  <c r="F37" i="3"/>
  <c r="C28" i="9"/>
  <c r="E34" i="11" a="1"/>
  <c r="F72" i="4"/>
  <c r="C85" i="3"/>
  <c r="C34" i="4"/>
  <c r="C66" i="7"/>
  <c r="E11" i="8"/>
  <c r="D32" i="3"/>
  <c r="E69" i="4" a="1"/>
  <c r="D36" i="9"/>
  <c r="D18" i="7"/>
  <c r="F72" i="7"/>
  <c r="C37" i="9"/>
  <c r="H23" i="6"/>
  <c r="C91" i="7"/>
  <c r="D69" i="4"/>
  <c r="D67" i="7"/>
  <c r="E36" i="11" a="1"/>
  <c r="D64" i="7"/>
  <c r="C100" i="2"/>
  <c r="D60" i="4"/>
  <c r="D13" i="7"/>
  <c r="C12" i="9"/>
  <c r="F76" i="4"/>
  <c r="C103" i="3"/>
  <c r="D97" i="7"/>
  <c r="F59" i="4"/>
  <c r="C38" i="3"/>
  <c r="F85" i="4"/>
  <c r="C93" i="2"/>
  <c r="F19" i="8" a="1"/>
  <c r="E28" i="3" a="1"/>
  <c r="D72" i="7"/>
  <c r="C25" i="11" a="1"/>
  <c r="C98" i="2"/>
  <c r="D66" i="4"/>
  <c r="C18" i="3"/>
  <c r="C67" i="3"/>
  <c r="F36" i="9"/>
  <c r="E95" i="7" a="1"/>
  <c r="G16" i="11" a="1"/>
  <c r="C32" i="4"/>
  <c r="E66" i="7" a="1"/>
  <c r="C38" i="11" a="1"/>
  <c r="G13" i="11" a="1"/>
  <c r="E23" i="2"/>
  <c r="F63" i="7"/>
  <c r="E52" i="4" a="1"/>
  <c r="C76" i="4"/>
  <c r="D40" i="9"/>
  <c r="G25" i="6"/>
  <c r="G23" i="6"/>
  <c r="E76" i="4" a="1"/>
  <c r="F62" i="4"/>
  <c r="E64" i="4" a="1"/>
  <c r="E28" i="11" a="1"/>
  <c r="D13" i="6"/>
  <c r="C90" i="3"/>
  <c r="D84" i="4"/>
  <c r="G19" i="8"/>
  <c r="C68" i="7"/>
  <c r="F28" i="3"/>
  <c r="C106" i="2"/>
  <c r="G24" i="6"/>
  <c r="C65" i="7"/>
  <c r="D11" i="9"/>
  <c r="E51" i="4" a="1"/>
  <c r="E13" i="7" a="1"/>
  <c r="E38" i="11" a="1"/>
  <c r="E16" i="7" a="1"/>
  <c r="G11" i="8"/>
  <c r="C96" i="7"/>
  <c r="D26" i="8"/>
  <c r="E62" i="7" a="1"/>
  <c r="C62" i="2"/>
  <c r="C11" i="9"/>
  <c r="D40" i="3"/>
  <c r="F55" i="4"/>
  <c r="E94" i="7" a="1"/>
  <c r="F23" i="6" a="1"/>
  <c r="C11" i="4"/>
  <c r="C28" i="4"/>
  <c r="E66" i="4" a="1"/>
  <c r="I24" i="2"/>
  <c r="C15" i="6"/>
  <c r="D19" i="7"/>
  <c r="G11" i="11" a="1"/>
  <c r="F86" i="7"/>
  <c r="I22" i="2"/>
  <c r="E10" i="9" a="1"/>
  <c r="C34" i="3"/>
  <c r="C39" i="4"/>
  <c r="G15" i="11" a="1"/>
  <c r="C13" i="6"/>
  <c r="C14" i="6"/>
  <c r="F94" i="7"/>
  <c r="C30" i="3"/>
  <c r="D82" i="4"/>
  <c r="E86" i="7" a="1"/>
  <c r="D35" i="3"/>
  <c r="E62" i="4" a="1"/>
  <c r="D63" i="7"/>
  <c r="F82" i="4"/>
  <c r="F31" i="3"/>
  <c r="C61" i="2"/>
  <c r="E38" i="3" a="1"/>
  <c r="E14" i="11" a="1"/>
  <c r="E91" i="7" a="1"/>
  <c r="E13" i="11" a="1"/>
  <c r="C13" i="9"/>
  <c r="E28" i="9" a="1"/>
  <c r="C28" i="11" a="1"/>
  <c r="C17" i="4"/>
  <c r="C34" i="11" a="1"/>
  <c r="E29" i="11" a="1"/>
  <c r="D73" i="7"/>
  <c r="E13" i="9" a="1"/>
  <c r="G21" i="2"/>
  <c r="G32" i="6"/>
  <c r="H34" i="6"/>
  <c r="D65" i="7"/>
  <c r="G20" i="2"/>
  <c r="C30" i="9"/>
  <c r="E27" i="9" a="1"/>
  <c r="G29" i="6"/>
  <c r="E65" i="7" a="1"/>
  <c r="C26" i="11" a="1"/>
  <c r="E65" i="4" a="1"/>
  <c r="C68" i="3"/>
  <c r="E22" i="2"/>
  <c r="E16" i="6" a="1"/>
  <c r="C71" i="7"/>
  <c r="C101" i="2"/>
  <c r="E82" i="4" a="1"/>
  <c r="E23" i="6"/>
  <c r="E53" i="4" a="1"/>
  <c r="H33" i="6"/>
  <c r="F11" i="8" a="1"/>
  <c r="H28" i="6"/>
  <c r="E159" i="7" a="1"/>
  <c r="E19" i="8"/>
  <c r="E14" i="9" a="1"/>
  <c r="C56" i="2"/>
  <c r="D34" i="3"/>
  <c r="E36" i="3" a="1"/>
  <c r="F32" i="3"/>
  <c r="C161" i="7"/>
  <c r="F60" i="4"/>
  <c r="E97" i="7" a="1"/>
  <c r="H27" i="6"/>
  <c r="E81" i="4" a="1"/>
  <c r="E14" i="6" a="1"/>
  <c r="G33" i="6"/>
  <c r="C16" i="6"/>
  <c r="C12" i="4"/>
  <c r="D59" i="4"/>
  <c r="E83" i="4" a="1"/>
  <c r="C14" i="9"/>
  <c r="D76" i="4"/>
  <c r="C24" i="4"/>
  <c r="G40" i="10" a="1"/>
  <c r="E25" i="8"/>
  <c r="C21" i="2"/>
  <c r="H32" i="6"/>
  <c r="C107" i="2"/>
  <c r="D39" i="3"/>
  <c r="D27" i="9"/>
  <c r="F64" i="7"/>
  <c r="G12" i="11" a="1"/>
  <c r="E20" i="2"/>
  <c r="D61" i="4"/>
  <c r="E57" i="4" a="1"/>
  <c r="E80" i="4" a="1"/>
  <c r="C85" i="4"/>
  <c r="F63" i="4"/>
  <c r="E63" i="4" a="1"/>
  <c r="D13" i="9"/>
  <c r="E36" i="9" a="1"/>
  <c r="C9" i="2"/>
  <c r="E25" i="11" a="1"/>
  <c r="N32" i="10" a="1"/>
  <c r="D93" i="7"/>
  <c r="F86" i="4"/>
  <c r="I23" i="2"/>
  <c r="G31" i="10"/>
  <c r="F30" i="3"/>
  <c r="E26" i="9" a="1"/>
  <c r="F35" i="3"/>
  <c r="C51" i="2"/>
  <c r="D23" i="9"/>
  <c r="N23" i="10"/>
  <c r="C55" i="2"/>
  <c r="E16" i="10" a="1"/>
  <c r="C15" i="9"/>
  <c r="E84" i="4" a="1"/>
  <c r="D89" i="7"/>
  <c r="D67" i="4"/>
  <c r="C93" i="7"/>
  <c r="E68" i="4" a="1"/>
  <c r="C25" i="9"/>
  <c r="F66" i="7"/>
  <c r="D36" i="3"/>
  <c r="E96" i="7" a="1"/>
  <c r="E70" i="7" a="1"/>
  <c r="C73" i="4"/>
  <c r="D20" i="7"/>
  <c r="G27" i="6"/>
  <c r="D96" i="7"/>
  <c r="E78" i="4" a="1"/>
  <c r="C54" i="2"/>
  <c r="D66" i="7"/>
  <c r="E12" i="11" a="1"/>
  <c r="C96" i="2"/>
  <c r="C88" i="2"/>
  <c r="C58" i="2"/>
  <c r="G48" i="10" a="1"/>
  <c r="N31" i="10"/>
  <c r="F84" i="4"/>
  <c r="G14" i="11" a="1"/>
  <c r="D39" i="9"/>
  <c r="F39" i="3"/>
  <c r="C17" i="6"/>
  <c r="D94" i="7"/>
  <c r="C65" i="3"/>
  <c r="H31" i="6"/>
  <c r="F67" i="7"/>
  <c r="C23" i="9"/>
  <c r="D22" i="9"/>
  <c r="E74" i="4" a="1"/>
  <c r="E67" i="7" a="1"/>
  <c r="C112" i="3"/>
  <c r="K115" i="7" l="1"/>
  <c r="E111" i="2"/>
  <c r="E101" i="2"/>
  <c r="E86" i="2"/>
  <c r="E106" i="2"/>
  <c r="E117" i="2"/>
  <c r="E89" i="2"/>
  <c r="E95" i="2"/>
  <c r="E94" i="2"/>
  <c r="E105" i="2"/>
  <c r="E97" i="2"/>
  <c r="E103" i="2"/>
  <c r="E92" i="2"/>
  <c r="E109" i="2"/>
  <c r="E110" i="2"/>
  <c r="E114" i="2"/>
  <c r="E93" i="2"/>
  <c r="E116" i="2"/>
  <c r="E118" i="2"/>
  <c r="E102" i="2"/>
  <c r="E113" i="2"/>
  <c r="E98" i="2"/>
  <c r="E88" i="2"/>
  <c r="C63" i="2"/>
  <c r="C122" i="2" s="1"/>
  <c r="D102" i="2" s="1"/>
  <c r="K107" i="7"/>
  <c r="K123" i="7"/>
  <c r="E13" i="6"/>
  <c r="G13" i="6" s="1"/>
  <c r="E15" i="6"/>
  <c r="G15" i="6" s="1"/>
  <c r="E17" i="6"/>
  <c r="G17" i="6" s="1"/>
  <c r="K119" i="7"/>
  <c r="K111" i="7"/>
  <c r="K54" i="6"/>
  <c r="D14" i="11"/>
  <c r="K128" i="7"/>
  <c r="K60" i="6"/>
  <c r="K44" i="6"/>
  <c r="K52" i="6"/>
  <c r="K57" i="6"/>
  <c r="D13" i="11"/>
  <c r="D12" i="11"/>
  <c r="D11" i="11"/>
  <c r="L126" i="7"/>
  <c r="K125" i="7"/>
  <c r="K117" i="7"/>
  <c r="K109" i="7"/>
  <c r="K62" i="6"/>
  <c r="K47" i="6"/>
  <c r="K53" i="6"/>
  <c r="K112" i="7"/>
  <c r="L44" i="6"/>
  <c r="K61" i="6"/>
  <c r="L48" i="6"/>
  <c r="K65" i="6"/>
  <c r="K120" i="7"/>
  <c r="L46" i="6"/>
  <c r="D16" i="11"/>
  <c r="L52" i="6"/>
  <c r="K66" i="6"/>
  <c r="L45" i="6"/>
  <c r="K45" i="6"/>
  <c r="K55" i="6"/>
  <c r="G13" i="11"/>
  <c r="J33" i="6"/>
  <c r="I30" i="9"/>
  <c r="H27" i="8"/>
  <c r="I25" i="8" s="1"/>
  <c r="I13" i="9"/>
  <c r="I19" i="7"/>
  <c r="G19" i="7"/>
  <c r="K34" i="3"/>
  <c r="I34" i="3"/>
  <c r="E70" i="4"/>
  <c r="C36" i="11"/>
  <c r="E23" i="9"/>
  <c r="G23" i="9" s="1"/>
  <c r="G16" i="11"/>
  <c r="E30" i="9"/>
  <c r="G30" i="9" s="1"/>
  <c r="C37" i="11"/>
  <c r="E15" i="11"/>
  <c r="F11" i="8"/>
  <c r="F13" i="8" s="1"/>
  <c r="G29" i="9"/>
  <c r="I29" i="9"/>
  <c r="F16" i="9"/>
  <c r="J19" i="8"/>
  <c r="G160" i="7"/>
  <c r="I160" i="7"/>
  <c r="E159" i="7"/>
  <c r="G159" i="7" s="1"/>
  <c r="N48" i="10"/>
  <c r="E17" i="7"/>
  <c r="G17" i="7" s="1"/>
  <c r="E13" i="7"/>
  <c r="G13" i="7" s="1"/>
  <c r="F21" i="7"/>
  <c r="J27" i="6"/>
  <c r="E65" i="4"/>
  <c r="K65" i="4" s="1"/>
  <c r="E54" i="4"/>
  <c r="K54" i="4" s="1"/>
  <c r="E88" i="3"/>
  <c r="I65" i="4"/>
  <c r="E107" i="3"/>
  <c r="G31" i="3"/>
  <c r="I69" i="4"/>
  <c r="E55" i="4"/>
  <c r="G32" i="3"/>
  <c r="E97" i="3"/>
  <c r="G40" i="3"/>
  <c r="G35" i="3"/>
  <c r="C34" i="11"/>
  <c r="E25" i="11"/>
  <c r="E26" i="11"/>
  <c r="E16" i="11"/>
  <c r="E20" i="8"/>
  <c r="E20" i="7"/>
  <c r="G20" i="7" s="1"/>
  <c r="E92" i="3"/>
  <c r="E66" i="4"/>
  <c r="K66" i="4" s="1"/>
  <c r="I66" i="4"/>
  <c r="C32" i="11"/>
  <c r="G15" i="11"/>
  <c r="I36" i="9"/>
  <c r="C41" i="9"/>
  <c r="E64" i="4"/>
  <c r="G64" i="4" s="1"/>
  <c r="J64" i="4" s="1"/>
  <c r="E52" i="4"/>
  <c r="K52" i="4" s="1"/>
  <c r="I64" i="4"/>
  <c r="E77" i="4"/>
  <c r="K77" i="4" s="1"/>
  <c r="E103" i="3"/>
  <c r="E30" i="3"/>
  <c r="G30" i="3" s="1"/>
  <c r="I68" i="4"/>
  <c r="E76" i="4"/>
  <c r="G76" i="4" s="1"/>
  <c r="J76" i="4" s="1"/>
  <c r="E105" i="3"/>
  <c r="E86" i="3"/>
  <c r="F25" i="8"/>
  <c r="F27" i="8" s="1"/>
  <c r="E12" i="11"/>
  <c r="E39" i="11"/>
  <c r="E28" i="11"/>
  <c r="E15" i="9"/>
  <c r="G15" i="9" s="1"/>
  <c r="F23" i="6"/>
  <c r="E27" i="11"/>
  <c r="H34" i="8"/>
  <c r="I15" i="9"/>
  <c r="E161" i="7"/>
  <c r="G161" i="7" s="1"/>
  <c r="H35" i="6"/>
  <c r="I25" i="6" s="1"/>
  <c r="E111" i="3"/>
  <c r="C33" i="11"/>
  <c r="D27" i="8"/>
  <c r="J25" i="8"/>
  <c r="E14" i="11"/>
  <c r="E27" i="9"/>
  <c r="G27" i="9" s="1"/>
  <c r="E40" i="11"/>
  <c r="E37" i="11"/>
  <c r="I12" i="9"/>
  <c r="E16" i="10"/>
  <c r="N32" i="10"/>
  <c r="E16" i="6"/>
  <c r="G16" i="6" s="1"/>
  <c r="G35" i="6"/>
  <c r="C28" i="11"/>
  <c r="E34" i="8"/>
  <c r="G14" i="11"/>
  <c r="I25" i="9"/>
  <c r="G25" i="9"/>
  <c r="C29" i="11"/>
  <c r="G13" i="8"/>
  <c r="E13" i="11"/>
  <c r="E36" i="11"/>
  <c r="E26" i="9"/>
  <c r="G26" i="9" s="1"/>
  <c r="E33" i="11"/>
  <c r="E12" i="9"/>
  <c r="G12" i="9" s="1"/>
  <c r="G20" i="8"/>
  <c r="E13" i="9"/>
  <c r="G13" i="9" s="1"/>
  <c r="I10" i="9"/>
  <c r="C16" i="9"/>
  <c r="D162" i="7"/>
  <c r="G32" i="10"/>
  <c r="D21" i="7"/>
  <c r="I20" i="7"/>
  <c r="I16" i="7"/>
  <c r="E14" i="6"/>
  <c r="G14" i="6" s="1"/>
  <c r="J24" i="6"/>
  <c r="E112" i="3"/>
  <c r="E28" i="3"/>
  <c r="K28" i="3" s="1"/>
  <c r="I81" i="4"/>
  <c r="E63" i="4"/>
  <c r="I76" i="4"/>
  <c r="E99" i="3"/>
  <c r="D41" i="3"/>
  <c r="I28" i="3"/>
  <c r="E83" i="4"/>
  <c r="E80" i="4"/>
  <c r="E37" i="3"/>
  <c r="G37" i="3" s="1"/>
  <c r="C24" i="11"/>
  <c r="C38" i="11"/>
  <c r="I22" i="9"/>
  <c r="E32" i="11"/>
  <c r="E29" i="11"/>
  <c r="D16" i="9"/>
  <c r="F19" i="8"/>
  <c r="F20" i="8" s="1"/>
  <c r="I157" i="7"/>
  <c r="G157" i="7"/>
  <c r="I13" i="7"/>
  <c r="C21" i="7"/>
  <c r="J31" i="6"/>
  <c r="J28" i="6"/>
  <c r="I61" i="4"/>
  <c r="E108" i="3"/>
  <c r="I57" i="4"/>
  <c r="E95" i="3"/>
  <c r="I82" i="4"/>
  <c r="E55" i="2"/>
  <c r="E25" i="2"/>
  <c r="F21" i="2" s="1"/>
  <c r="C25" i="11"/>
  <c r="E11" i="11"/>
  <c r="E104" i="3"/>
  <c r="G39" i="3"/>
  <c r="E80" i="3"/>
  <c r="E87" i="7"/>
  <c r="G87" i="7" s="1"/>
  <c r="E28" i="9"/>
  <c r="G28" i="9" s="1"/>
  <c r="E22" i="9"/>
  <c r="G22" i="9" s="1"/>
  <c r="I161" i="7"/>
  <c r="J30" i="6"/>
  <c r="E81" i="4"/>
  <c r="K81" i="4" s="1"/>
  <c r="E60" i="4"/>
  <c r="K60" i="4" s="1"/>
  <c r="E69" i="4"/>
  <c r="G69" i="4" s="1"/>
  <c r="J69" i="4" s="1"/>
  <c r="E91" i="3"/>
  <c r="E36" i="9"/>
  <c r="G36" i="9" s="1"/>
  <c r="E34" i="11"/>
  <c r="G11" i="11"/>
  <c r="F31" i="9"/>
  <c r="E35" i="11"/>
  <c r="I23" i="9"/>
  <c r="C30" i="11"/>
  <c r="E40" i="9"/>
  <c r="G40" i="9" s="1"/>
  <c r="E24" i="11"/>
  <c r="I39" i="9"/>
  <c r="C162" i="7"/>
  <c r="I156" i="7"/>
  <c r="G156" i="7"/>
  <c r="E10" i="9"/>
  <c r="G10" i="9" s="1"/>
  <c r="G24" i="10"/>
  <c r="E16" i="7"/>
  <c r="G16" i="7" s="1"/>
  <c r="J23" i="6"/>
  <c r="D35" i="6"/>
  <c r="I80" i="4"/>
  <c r="E100" i="3"/>
  <c r="E68" i="4"/>
  <c r="K68" i="4" s="1"/>
  <c r="E87" i="3"/>
  <c r="E38" i="3"/>
  <c r="G38" i="3" s="1"/>
  <c r="I73" i="4"/>
  <c r="E156" i="4"/>
  <c r="E351" i="5"/>
  <c r="E67" i="3"/>
  <c r="I69" i="7"/>
  <c r="E38" i="11"/>
  <c r="D31" i="9"/>
  <c r="H20" i="8"/>
  <c r="I19" i="8" s="1"/>
  <c r="N24" i="10"/>
  <c r="I26" i="9"/>
  <c r="E30" i="11"/>
  <c r="I38" i="9"/>
  <c r="G38" i="9"/>
  <c r="D34" i="8"/>
  <c r="E31" i="11"/>
  <c r="C26" i="11"/>
  <c r="E39" i="9"/>
  <c r="G39" i="9" s="1"/>
  <c r="G34" i="8"/>
  <c r="D20" i="8"/>
  <c r="J18" i="8"/>
  <c r="I14" i="9"/>
  <c r="E14" i="9"/>
  <c r="G14" i="9" s="1"/>
  <c r="G40" i="10"/>
  <c r="E18" i="7"/>
  <c r="G18" i="7" s="1"/>
  <c r="J26" i="6"/>
  <c r="I75" i="4"/>
  <c r="E57" i="4"/>
  <c r="K57" i="4" s="1"/>
  <c r="E96" i="3"/>
  <c r="E36" i="3"/>
  <c r="G36" i="3" s="1"/>
  <c r="E67" i="4"/>
  <c r="K67" i="4" s="1"/>
  <c r="I52" i="4"/>
  <c r="E83" i="3"/>
  <c r="I36" i="3"/>
  <c r="E71" i="4"/>
  <c r="K71" i="4" s="1"/>
  <c r="E110" i="3"/>
  <c r="G12" i="11"/>
  <c r="G21" i="9"/>
  <c r="C31" i="9"/>
  <c r="I21" i="9"/>
  <c r="G48" i="10"/>
  <c r="F162" i="7"/>
  <c r="E85" i="2"/>
  <c r="E79" i="3"/>
  <c r="E61" i="4"/>
  <c r="G61" i="4" s="1"/>
  <c r="J61" i="4" s="1"/>
  <c r="I74" i="4"/>
  <c r="E79" i="4"/>
  <c r="E84" i="4"/>
  <c r="G84" i="4" s="1"/>
  <c r="F41" i="3"/>
  <c r="I40" i="3"/>
  <c r="K40" i="3"/>
  <c r="G34" i="3"/>
  <c r="J29" i="6"/>
  <c r="I17" i="7"/>
  <c r="E69" i="7"/>
  <c r="G69" i="7" s="1"/>
  <c r="E92" i="7"/>
  <c r="G92" i="7" s="1"/>
  <c r="E91" i="7"/>
  <c r="G91" i="7" s="1"/>
  <c r="E89" i="7"/>
  <c r="G89" i="7" s="1"/>
  <c r="E72" i="7"/>
  <c r="G72" i="7" s="1"/>
  <c r="I94" i="7"/>
  <c r="D41" i="9"/>
  <c r="E86" i="4"/>
  <c r="K86" i="4" s="1"/>
  <c r="G25" i="2"/>
  <c r="H24" i="2" s="1"/>
  <c r="G33" i="3"/>
  <c r="I18" i="7"/>
  <c r="I86" i="7"/>
  <c r="E68" i="7"/>
  <c r="G68" i="7" s="1"/>
  <c r="E65" i="7"/>
  <c r="G65" i="7" s="1"/>
  <c r="I97" i="7"/>
  <c r="E86" i="7"/>
  <c r="G86" i="7" s="1"/>
  <c r="E73" i="7"/>
  <c r="G73" i="7" s="1"/>
  <c r="I65" i="7"/>
  <c r="I67" i="7"/>
  <c r="I95" i="7"/>
  <c r="I68" i="7"/>
  <c r="I96" i="7"/>
  <c r="I37" i="9"/>
  <c r="G37" i="9"/>
  <c r="E29" i="3"/>
  <c r="K29" i="3" s="1"/>
  <c r="I85" i="4"/>
  <c r="E82" i="3"/>
  <c r="E352" i="5"/>
  <c r="E157" i="4"/>
  <c r="E68" i="3"/>
  <c r="I71" i="4"/>
  <c r="E89" i="3"/>
  <c r="E59" i="4"/>
  <c r="K59" i="4" s="1"/>
  <c r="E56" i="4"/>
  <c r="E58" i="4"/>
  <c r="E75" i="4"/>
  <c r="K75" i="4" s="1"/>
  <c r="E62" i="4"/>
  <c r="E85" i="4"/>
  <c r="G85" i="4" s="1"/>
  <c r="J85" i="4" s="1"/>
  <c r="E73" i="4"/>
  <c r="K73" i="4" s="1"/>
  <c r="E51" i="4"/>
  <c r="E72" i="4"/>
  <c r="E53" i="4"/>
  <c r="I30" i="3"/>
  <c r="C25" i="2"/>
  <c r="D24" i="2" s="1"/>
  <c r="I25" i="2"/>
  <c r="J24" i="2" s="1"/>
  <c r="K39" i="3"/>
  <c r="I39" i="3"/>
  <c r="J32" i="6"/>
  <c r="E35" i="6"/>
  <c r="E90" i="7"/>
  <c r="G90" i="7" s="1"/>
  <c r="D56" i="7"/>
  <c r="E66" i="7"/>
  <c r="G66" i="7" s="1"/>
  <c r="I90" i="7"/>
  <c r="E67" i="7"/>
  <c r="G67" i="7" s="1"/>
  <c r="E13" i="8"/>
  <c r="I66" i="7"/>
  <c r="E97" i="7"/>
  <c r="G97" i="7" s="1"/>
  <c r="J11" i="8"/>
  <c r="D13" i="8"/>
  <c r="E74" i="4"/>
  <c r="K74" i="4" s="1"/>
  <c r="E59" i="2"/>
  <c r="I38" i="3"/>
  <c r="C121" i="2"/>
  <c r="I7" i="10"/>
  <c r="E349" i="5"/>
  <c r="E154" i="4"/>
  <c r="E65" i="3"/>
  <c r="C14" i="2"/>
  <c r="D13" i="2" s="1"/>
  <c r="E353" i="5"/>
  <c r="E158" i="4"/>
  <c r="E69" i="3"/>
  <c r="C41" i="3"/>
  <c r="C70" i="3"/>
  <c r="C116" i="3" s="1"/>
  <c r="I62" i="7"/>
  <c r="C98" i="7"/>
  <c r="E93" i="7"/>
  <c r="G93" i="7" s="1"/>
  <c r="E27" i="8"/>
  <c r="H12" i="8"/>
  <c r="J12" i="8"/>
  <c r="I71" i="7"/>
  <c r="J26" i="8"/>
  <c r="I72" i="7"/>
  <c r="D98" i="7"/>
  <c r="F56" i="7"/>
  <c r="I11" i="9"/>
  <c r="G11" i="9"/>
  <c r="E64" i="7"/>
  <c r="G64" i="7" s="1"/>
  <c r="E95" i="7"/>
  <c r="G95" i="7" s="1"/>
  <c r="E94" i="7"/>
  <c r="G94" i="7" s="1"/>
  <c r="I27" i="9"/>
  <c r="I28" i="9"/>
  <c r="E70" i="7"/>
  <c r="G70" i="7" s="1"/>
  <c r="G27" i="8"/>
  <c r="I40" i="9"/>
  <c r="E78" i="4"/>
  <c r="E51" i="2"/>
  <c r="C22" i="3"/>
  <c r="D18" i="3" s="1"/>
  <c r="I29" i="3"/>
  <c r="I32" i="3"/>
  <c r="K32" i="3"/>
  <c r="K33" i="3"/>
  <c r="I33" i="3"/>
  <c r="J25" i="6"/>
  <c r="E96" i="7"/>
  <c r="G96" i="7" s="1"/>
  <c r="I89" i="7"/>
  <c r="C56" i="7"/>
  <c r="I87" i="7"/>
  <c r="I88" i="7"/>
  <c r="F41" i="9"/>
  <c r="F98" i="7"/>
  <c r="I24" i="9"/>
  <c r="G24" i="9"/>
  <c r="E82" i="4"/>
  <c r="K82" i="4" s="1"/>
  <c r="K35" i="3"/>
  <c r="I35" i="3"/>
  <c r="I84" i="4"/>
  <c r="I37" i="3"/>
  <c r="K31" i="3"/>
  <c r="I31" i="3"/>
  <c r="J34" i="6"/>
  <c r="E62" i="7"/>
  <c r="I73" i="7"/>
  <c r="E63" i="7"/>
  <c r="G63" i="7" s="1"/>
  <c r="E88" i="7"/>
  <c r="G88" i="7" s="1"/>
  <c r="I70" i="7"/>
  <c r="E71" i="7"/>
  <c r="G71" i="7" s="1"/>
  <c r="I93" i="7"/>
  <c r="I63" i="7"/>
  <c r="I91" i="7"/>
  <c r="I64" i="7"/>
  <c r="I92" i="7"/>
  <c r="G4" i="5"/>
  <c r="G158" i="7"/>
  <c r="H130" i="7"/>
  <c r="L128" i="7"/>
  <c r="L56" i="6"/>
  <c r="K50" i="6"/>
  <c r="K63" i="6"/>
  <c r="K59" i="6"/>
  <c r="K51" i="6"/>
  <c r="E67" i="6"/>
  <c r="L42" i="6"/>
  <c r="J67" i="6"/>
  <c r="L124" i="7"/>
  <c r="L120" i="7"/>
  <c r="L116" i="7"/>
  <c r="L112" i="7"/>
  <c r="L108" i="7"/>
  <c r="K121" i="7"/>
  <c r="K113" i="7"/>
  <c r="D130" i="7"/>
  <c r="K105" i="7"/>
  <c r="K127" i="7"/>
  <c r="L129" i="7"/>
  <c r="F130" i="7"/>
  <c r="L50" i="6"/>
  <c r="K48" i="6"/>
  <c r="K64" i="6"/>
  <c r="L49" i="6"/>
  <c r="L55" i="6"/>
  <c r="L43" i="6"/>
  <c r="K129" i="7"/>
  <c r="G130" i="7"/>
  <c r="L60" i="6"/>
  <c r="K46" i="6"/>
  <c r="L59" i="6"/>
  <c r="L47" i="6"/>
  <c r="L51" i="6"/>
  <c r="L123" i="7"/>
  <c r="L119" i="7"/>
  <c r="L115" i="7"/>
  <c r="L111" i="7"/>
  <c r="L107" i="7"/>
  <c r="K124" i="7"/>
  <c r="K116" i="7"/>
  <c r="K108" i="7"/>
  <c r="K126" i="7"/>
  <c r="L54" i="6"/>
  <c r="L64" i="6"/>
  <c r="L61" i="6"/>
  <c r="F67" i="6"/>
  <c r="K49" i="6"/>
  <c r="K58" i="6"/>
  <c r="D67" i="6"/>
  <c r="K42" i="6"/>
  <c r="L122" i="7"/>
  <c r="L118" i="7"/>
  <c r="L114" i="7"/>
  <c r="L110" i="7"/>
  <c r="L106" i="7"/>
  <c r="L66" i="6"/>
  <c r="L58" i="6"/>
  <c r="L127" i="7"/>
  <c r="K56" i="6"/>
  <c r="I67" i="6"/>
  <c r="K43" i="6"/>
  <c r="I130" i="7"/>
  <c r="H67" i="6"/>
  <c r="G67" i="6"/>
  <c r="L57" i="6"/>
  <c r="L125" i="7"/>
  <c r="L121" i="7"/>
  <c r="L117" i="7"/>
  <c r="L113" i="7"/>
  <c r="L109" i="7"/>
  <c r="L105" i="7"/>
  <c r="E130" i="7"/>
  <c r="K122" i="7"/>
  <c r="K118" i="7"/>
  <c r="K114" i="7"/>
  <c r="K110" i="7"/>
  <c r="K106" i="7"/>
  <c r="L65" i="6"/>
  <c r="J130" i="7"/>
  <c r="L62" i="6"/>
  <c r="L63" i="6"/>
  <c r="L53" i="6"/>
  <c r="D182" i="5"/>
  <c r="C30" i="5"/>
  <c r="D188" i="5"/>
  <c r="F259" i="5"/>
  <c r="C239" i="5"/>
  <c r="C242" i="5"/>
  <c r="D274" i="5"/>
  <c r="C247" i="5"/>
  <c r="E208" i="5" a="1"/>
  <c r="F278" i="5"/>
  <c r="C132" i="5"/>
  <c r="E183" i="5" a="1"/>
  <c r="C111" i="3"/>
  <c r="F208" i="5"/>
  <c r="D227" i="5"/>
  <c r="D280" i="5"/>
  <c r="C98" i="3"/>
  <c r="D239" i="5"/>
  <c r="D222" i="5"/>
  <c r="E191" i="5" a="1"/>
  <c r="D190" i="5"/>
  <c r="F78" i="4"/>
  <c r="C70" i="5"/>
  <c r="D63" i="4"/>
  <c r="E223" i="5" a="1"/>
  <c r="E278" i="5" a="1"/>
  <c r="E188" i="5" a="1"/>
  <c r="E247" i="5" a="1"/>
  <c r="E175" i="5" a="1"/>
  <c r="F269" i="5"/>
  <c r="E235" i="5" a="1"/>
  <c r="C82" i="5"/>
  <c r="E198" i="5" a="1"/>
  <c r="D58" i="4"/>
  <c r="F158" i="5"/>
  <c r="C110" i="5"/>
  <c r="F260" i="5"/>
  <c r="C106" i="5"/>
  <c r="E245" i="5" a="1"/>
  <c r="E149" i="5" a="1"/>
  <c r="E192" i="5" a="1"/>
  <c r="D258" i="5"/>
  <c r="C278" i="5"/>
  <c r="D266" i="5"/>
  <c r="C67" i="4"/>
  <c r="E172" i="5" a="1"/>
  <c r="D70" i="4"/>
  <c r="D202" i="5"/>
  <c r="E281" i="5" a="1"/>
  <c r="C114" i="5"/>
  <c r="D243" i="5"/>
  <c r="C44" i="5"/>
  <c r="C215" i="5"/>
  <c r="C56" i="4"/>
  <c r="F52" i="4"/>
  <c r="F195" i="5"/>
  <c r="F71" i="4"/>
  <c r="E212" i="5" a="1"/>
  <c r="F253" i="5"/>
  <c r="E179" i="5" a="1"/>
  <c r="C52" i="5"/>
  <c r="F152" i="5"/>
  <c r="C206" i="5"/>
  <c r="E265" i="5" a="1"/>
  <c r="C27" i="4"/>
  <c r="E268" i="5" a="1"/>
  <c r="C10" i="4"/>
  <c r="C34" i="5"/>
  <c r="D178" i="5"/>
  <c r="E217" i="5" a="1"/>
  <c r="E219" i="5" a="1"/>
  <c r="E259" i="5" a="1"/>
  <c r="F169" i="5"/>
  <c r="C230" i="5"/>
  <c r="C155" i="5"/>
  <c r="E280" i="5" a="1"/>
  <c r="E210" i="5" a="1"/>
  <c r="E196" i="5" a="1"/>
  <c r="C196" i="5"/>
  <c r="F199" i="5"/>
  <c r="C51" i="4"/>
  <c r="E181" i="5" a="1"/>
  <c r="E166" i="5" a="1"/>
  <c r="F252" i="5"/>
  <c r="E254" i="5" a="1"/>
  <c r="E155" i="5" a="1"/>
  <c r="C210" i="5"/>
  <c r="C83" i="3"/>
  <c r="E165" i="5" a="1"/>
  <c r="D177" i="5"/>
  <c r="C63" i="4"/>
  <c r="C193" i="5"/>
  <c r="F65" i="4"/>
  <c r="D199" i="5"/>
  <c r="F171" i="5"/>
  <c r="F218" i="5"/>
  <c r="F266" i="5"/>
  <c r="E201" i="5" a="1"/>
  <c r="C227" i="5"/>
  <c r="D281" i="5"/>
  <c r="E275" i="5" a="1"/>
  <c r="D159" i="5"/>
  <c r="E194" i="5" a="1"/>
  <c r="E151" i="5" a="1"/>
  <c r="F250" i="5"/>
  <c r="C353" i="5"/>
  <c r="E207" i="5" a="1"/>
  <c r="C233" i="5"/>
  <c r="E232" i="5" a="1"/>
  <c r="E168" i="5" a="1"/>
  <c r="E161" i="5" a="1"/>
  <c r="C170" i="5"/>
  <c r="C84" i="5"/>
  <c r="C195" i="5"/>
  <c r="C163" i="5"/>
  <c r="E164" i="5" a="1"/>
  <c r="C86" i="4"/>
  <c r="E239" i="5" a="1"/>
  <c r="F248" i="5"/>
  <c r="E242" i="5" a="1"/>
  <c r="D231" i="5"/>
  <c r="E184" i="5" a="1"/>
  <c r="C23" i="4"/>
  <c r="C59" i="4"/>
  <c r="F73" i="4"/>
  <c r="E267" i="5" a="1"/>
  <c r="C349" i="5"/>
  <c r="E260" i="5" a="1"/>
  <c r="F232" i="5"/>
  <c r="C259" i="5"/>
  <c r="E234" i="5" a="1"/>
  <c r="C154" i="4"/>
  <c r="F203" i="5"/>
  <c r="E213" i="5" a="1"/>
  <c r="F251" i="5"/>
  <c r="D205" i="5"/>
  <c r="C151" i="5"/>
  <c r="F263" i="5"/>
  <c r="C68" i="5"/>
  <c r="D51" i="4"/>
  <c r="C177" i="5"/>
  <c r="E202" i="5" a="1"/>
  <c r="E170" i="5" a="1"/>
  <c r="E252" i="5" a="1"/>
  <c r="F79" i="4"/>
  <c r="F83" i="4"/>
  <c r="C63" i="5"/>
  <c r="F81" i="4"/>
  <c r="D167" i="5"/>
  <c r="E150" i="5" a="1"/>
  <c r="D163" i="5"/>
  <c r="D260" i="5"/>
  <c r="E273" i="5" a="1"/>
  <c r="D181" i="5"/>
  <c r="E153" i="5" a="1"/>
  <c r="C38" i="5"/>
  <c r="E241" i="5" a="1"/>
  <c r="C181" i="5"/>
  <c r="E274" i="5" a="1"/>
  <c r="E255" i="5" a="1"/>
  <c r="C54" i="5"/>
  <c r="F244" i="5"/>
  <c r="E157" i="5" a="1"/>
  <c r="C159" i="5"/>
  <c r="F57" i="4"/>
  <c r="C208" i="5"/>
  <c r="D262" i="5"/>
  <c r="C165" i="5"/>
  <c r="C97" i="3"/>
  <c r="F242" i="5"/>
  <c r="E216" i="5" a="1"/>
  <c r="E226" i="5" a="1"/>
  <c r="E158" i="5" a="1"/>
  <c r="D151" i="5"/>
  <c r="C92" i="3"/>
  <c r="C158" i="5"/>
  <c r="F220" i="5"/>
  <c r="F224" i="5"/>
  <c r="C110" i="3"/>
  <c r="E171" i="5" a="1"/>
  <c r="E269" i="5" a="1"/>
  <c r="F191" i="5"/>
  <c r="C201" i="5"/>
  <c r="F234" i="5"/>
  <c r="F262" i="5"/>
  <c r="D189" i="5"/>
  <c r="E185" i="5" a="1"/>
  <c r="E221" i="5" a="1"/>
  <c r="C62" i="4"/>
  <c r="D255" i="5"/>
  <c r="C180" i="5"/>
  <c r="C108" i="3"/>
  <c r="C187" i="5"/>
  <c r="F216" i="5"/>
  <c r="C216" i="5"/>
  <c r="E253" i="5" a="1"/>
  <c r="D217" i="5"/>
  <c r="C95" i="5"/>
  <c r="C174" i="5"/>
  <c r="E246" i="5" a="1"/>
  <c r="C42" i="5"/>
  <c r="C54" i="4"/>
  <c r="F279" i="5"/>
  <c r="E257" i="5" a="1"/>
  <c r="E276" i="5" a="1"/>
  <c r="E160" i="5" a="1"/>
  <c r="C36" i="5"/>
  <c r="E197" i="5" a="1"/>
  <c r="E162" i="5" a="1"/>
  <c r="F270" i="5"/>
  <c r="E261" i="5" a="1"/>
  <c r="C91" i="3"/>
  <c r="D79" i="4"/>
  <c r="E270" i="5" a="1"/>
  <c r="E243" i="5" a="1"/>
  <c r="C223" i="5"/>
  <c r="D55" i="4"/>
  <c r="C264" i="5"/>
  <c r="F213" i="5"/>
  <c r="C10" i="5"/>
  <c r="D78" i="4"/>
  <c r="D211" i="5"/>
  <c r="C232" i="5"/>
  <c r="F192" i="5"/>
  <c r="C39" i="5"/>
  <c r="F246" i="5"/>
  <c r="E236" i="5" a="1"/>
  <c r="C157" i="4"/>
  <c r="C46" i="5"/>
  <c r="C231" i="5"/>
  <c r="E203" i="5" a="1"/>
  <c r="D184" i="5"/>
  <c r="F67" i="4"/>
  <c r="E12" i="6" a="1"/>
  <c r="C263" i="5"/>
  <c r="E187" i="5" a="1"/>
  <c r="C207" i="5"/>
  <c r="D246" i="5"/>
  <c r="E211" i="5" a="1"/>
  <c r="F255" i="5"/>
  <c r="E238" i="5" a="1"/>
  <c r="C53" i="4"/>
  <c r="D213" i="5"/>
  <c r="D226" i="5"/>
  <c r="E240" i="5" a="1"/>
  <c r="C82" i="3"/>
  <c r="D185" i="5"/>
  <c r="C350" i="5"/>
  <c r="F75" i="4"/>
  <c r="D223" i="5"/>
  <c r="E189" i="5" a="1"/>
  <c r="C199" i="5"/>
  <c r="C200" i="5"/>
  <c r="D273" i="5"/>
  <c r="C78" i="4"/>
  <c r="D209" i="5"/>
  <c r="F222" i="5"/>
  <c r="F273" i="5"/>
  <c r="E237" i="5" a="1"/>
  <c r="E277" i="5" a="1"/>
  <c r="C22" i="5"/>
  <c r="D275" i="5"/>
  <c r="E258" i="5" a="1"/>
  <c r="E169" i="5" a="1"/>
  <c r="C255" i="5"/>
  <c r="F179" i="5"/>
  <c r="E152" i="5" a="1"/>
  <c r="F256" i="5"/>
  <c r="E190" i="5" a="1"/>
  <c r="E195" i="5" a="1"/>
  <c r="C237" i="5"/>
  <c r="D72" i="4"/>
  <c r="F190" i="5"/>
  <c r="C113" i="3"/>
  <c r="C42" i="4"/>
  <c r="C94" i="5"/>
  <c r="F237" i="5"/>
  <c r="C135" i="5"/>
  <c r="E251" i="5" a="1"/>
  <c r="D200" i="5"/>
  <c r="E180" i="5" a="1"/>
  <c r="D169" i="5"/>
  <c r="E225" i="5" a="1"/>
  <c r="C19" i="4"/>
  <c r="F238" i="5"/>
  <c r="D165" i="5"/>
  <c r="C102" i="5"/>
  <c r="C14" i="5"/>
  <c r="F212" i="5"/>
  <c r="C266" i="5"/>
  <c r="F164" i="5"/>
  <c r="C276" i="5"/>
  <c r="E228" i="5" a="1"/>
  <c r="C35" i="4"/>
  <c r="C103" i="5"/>
  <c r="C77" i="4"/>
  <c r="E177" i="5" a="1"/>
  <c r="C71" i="5"/>
  <c r="D53" i="4"/>
  <c r="C74" i="5"/>
  <c r="C98" i="5"/>
  <c r="E233" i="5" a="1"/>
  <c r="E193" i="5" a="1"/>
  <c r="C261" i="5"/>
  <c r="D56" i="4"/>
  <c r="E248" i="5" a="1"/>
  <c r="C80" i="3"/>
  <c r="F235" i="5"/>
  <c r="C213" i="5"/>
  <c r="C352" i="5"/>
  <c r="F202" i="5"/>
  <c r="E178" i="5" a="1"/>
  <c r="E156" i="5" a="1"/>
  <c r="C50" i="5"/>
  <c r="F281" i="5"/>
  <c r="F267" i="5"/>
  <c r="C89" i="3"/>
  <c r="E154" i="5" a="1"/>
  <c r="E271" i="5" a="1"/>
  <c r="C121" i="5"/>
  <c r="C126" i="5"/>
  <c r="F228" i="5"/>
  <c r="E279" i="5" a="1"/>
  <c r="C179" i="5"/>
  <c r="C158" i="4"/>
  <c r="E244" i="5" a="1"/>
  <c r="F53" i="4"/>
  <c r="D62" i="4"/>
  <c r="D156" i="5"/>
  <c r="E159" i="5" a="1"/>
  <c r="E174" i="5" a="1"/>
  <c r="E176" i="5" a="1"/>
  <c r="E215" i="5" a="1"/>
  <c r="C197" i="5"/>
  <c r="E262" i="5" a="1"/>
  <c r="E266" i="5" a="1"/>
  <c r="D206" i="5"/>
  <c r="F188" i="5"/>
  <c r="F223" i="5"/>
  <c r="F58" i="4"/>
  <c r="F80" i="4"/>
  <c r="E256" i="5" a="1"/>
  <c r="F265" i="5"/>
  <c r="C18" i="5"/>
  <c r="C274" i="5"/>
  <c r="F254" i="5"/>
  <c r="C270" i="5"/>
  <c r="D234" i="5"/>
  <c r="C100" i="5"/>
  <c r="C38" i="4"/>
  <c r="C252" i="5"/>
  <c r="C84" i="3"/>
  <c r="E199" i="5" a="1"/>
  <c r="E214" i="5" a="1"/>
  <c r="F275" i="5"/>
  <c r="C260" i="5"/>
  <c r="E173" i="5" a="1"/>
  <c r="E167" i="5" a="1"/>
  <c r="E231" i="5" a="1"/>
  <c r="E230" i="5" a="1"/>
  <c r="C30" i="4"/>
  <c r="C22" i="4"/>
  <c r="C43" i="4"/>
  <c r="F186" i="5"/>
  <c r="D83" i="4"/>
  <c r="C76" i="5"/>
  <c r="F180" i="5"/>
  <c r="E200" i="5" a="1"/>
  <c r="C100" i="3"/>
  <c r="C13" i="4"/>
  <c r="E186" i="5" a="1"/>
  <c r="C140" i="5"/>
  <c r="C116" i="5"/>
  <c r="E249" i="5" a="1"/>
  <c r="C220" i="5"/>
  <c r="C14" i="4"/>
  <c r="D270" i="5"/>
  <c r="C70" i="4"/>
  <c r="E272" i="5" a="1"/>
  <c r="E218" i="5" a="1"/>
  <c r="E227" i="5" a="1"/>
  <c r="E264" i="5" a="1"/>
  <c r="C214" i="5"/>
  <c r="D271" i="5"/>
  <c r="C209" i="5"/>
  <c r="C31" i="4"/>
  <c r="E205" i="5" a="1"/>
  <c r="F51" i="4"/>
  <c r="F226" i="5"/>
  <c r="E229" i="5" a="1"/>
  <c r="E263" i="5" a="1"/>
  <c r="E222" i="5" a="1"/>
  <c r="D158" i="5"/>
  <c r="D196" i="5"/>
  <c r="C176" i="5"/>
  <c r="E206" i="5" a="1"/>
  <c r="C107" i="3"/>
  <c r="D242" i="5"/>
  <c r="C138" i="5"/>
  <c r="F189" i="5"/>
  <c r="D235" i="5"/>
  <c r="C257" i="5"/>
  <c r="C256" i="5"/>
  <c r="E163" i="5" a="1"/>
  <c r="C79" i="4"/>
  <c r="E204" i="5" a="1"/>
  <c r="D236" i="5"/>
  <c r="F240" i="5"/>
  <c r="E209" i="5" a="1"/>
  <c r="C217" i="5"/>
  <c r="C94" i="3"/>
  <c r="C20" i="5"/>
  <c r="E250" i="5" a="1"/>
  <c r="E224" i="5" a="1"/>
  <c r="C249" i="5"/>
  <c r="E220" i="5" a="1"/>
  <c r="E182" i="5" a="1"/>
  <c r="F277" i="5"/>
  <c r="F243" i="5"/>
  <c r="F150" i="5"/>
  <c r="F74" i="4"/>
  <c r="C60" i="4"/>
  <c r="I32" i="8" l="1"/>
  <c r="I33" i="8"/>
  <c r="D69" i="3"/>
  <c r="D67" i="3"/>
  <c r="D68" i="3"/>
  <c r="D66" i="3"/>
  <c r="D65" i="3"/>
  <c r="J33" i="3"/>
  <c r="J34" i="3"/>
  <c r="J36" i="3"/>
  <c r="J38" i="3"/>
  <c r="J39" i="3"/>
  <c r="J37" i="3"/>
  <c r="J35" i="3"/>
  <c r="J40" i="3"/>
  <c r="J32" i="3"/>
  <c r="J31" i="3"/>
  <c r="D10" i="3"/>
  <c r="D14" i="3"/>
  <c r="D20" i="3"/>
  <c r="D17" i="3"/>
  <c r="D12" i="3"/>
  <c r="D13" i="3"/>
  <c r="D9" i="3"/>
  <c r="D21" i="3"/>
  <c r="D11" i="3"/>
  <c r="D15" i="3"/>
  <c r="D19" i="3"/>
  <c r="D16" i="3"/>
  <c r="E90" i="2"/>
  <c r="E91" i="2"/>
  <c r="E87" i="2"/>
  <c r="E100" i="2"/>
  <c r="E108" i="2"/>
  <c r="E96" i="2"/>
  <c r="E112" i="2"/>
  <c r="E99" i="2"/>
  <c r="E120" i="2"/>
  <c r="E115" i="2"/>
  <c r="E119" i="2"/>
  <c r="E107" i="2"/>
  <c r="E104" i="2"/>
  <c r="D100" i="2"/>
  <c r="D101" i="2"/>
  <c r="D103" i="2"/>
  <c r="D104" i="2"/>
  <c r="D105" i="2"/>
  <c r="D106" i="2"/>
  <c r="D107" i="2"/>
  <c r="D118" i="2"/>
  <c r="D117" i="2"/>
  <c r="D116" i="2"/>
  <c r="D115" i="2"/>
  <c r="D114" i="2"/>
  <c r="D113" i="2"/>
  <c r="D112" i="2"/>
  <c r="D111" i="2"/>
  <c r="D110" i="2"/>
  <c r="D109" i="2"/>
  <c r="D120" i="2"/>
  <c r="D119" i="2"/>
  <c r="J23" i="2"/>
  <c r="J20" i="2"/>
  <c r="J21" i="2"/>
  <c r="J22" i="2"/>
  <c r="H21" i="2"/>
  <c r="H20" i="2"/>
  <c r="H23" i="2"/>
  <c r="H22" i="2"/>
  <c r="D17" i="11"/>
  <c r="K38" i="3"/>
  <c r="K37" i="3"/>
  <c r="F23" i="2"/>
  <c r="D54" i="2"/>
  <c r="K64" i="4"/>
  <c r="K84" i="4"/>
  <c r="E162" i="7"/>
  <c r="E63" i="2"/>
  <c r="F52" i="2" s="1"/>
  <c r="K30" i="3"/>
  <c r="G68" i="4"/>
  <c r="J68" i="4" s="1"/>
  <c r="H48" i="10"/>
  <c r="F34" i="8"/>
  <c r="K76" i="4"/>
  <c r="D53" i="2"/>
  <c r="E98" i="7"/>
  <c r="G28" i="3"/>
  <c r="L16" i="10"/>
  <c r="M16" i="10" s="1"/>
  <c r="D22" i="2"/>
  <c r="I34" i="6"/>
  <c r="D51" i="2"/>
  <c r="D58" i="2"/>
  <c r="D55" i="2"/>
  <c r="D62" i="2"/>
  <c r="I27" i="6"/>
  <c r="G66" i="4"/>
  <c r="K61" i="4"/>
  <c r="I29" i="6"/>
  <c r="I30" i="6"/>
  <c r="I28" i="6"/>
  <c r="I23" i="6"/>
  <c r="F24" i="2"/>
  <c r="K36" i="3"/>
  <c r="I18" i="8"/>
  <c r="I20" i="8" s="1"/>
  <c r="I33" i="6"/>
  <c r="D59" i="2"/>
  <c r="D50" i="2"/>
  <c r="I32" i="6"/>
  <c r="O48" i="10"/>
  <c r="I26" i="8"/>
  <c r="I27" i="8" s="1"/>
  <c r="O40" i="10"/>
  <c r="F22" i="2"/>
  <c r="I31" i="6"/>
  <c r="I24" i="6"/>
  <c r="I26" i="6"/>
  <c r="I206" i="5"/>
  <c r="I63" i="4"/>
  <c r="K63" i="4"/>
  <c r="G60" i="4"/>
  <c r="J60" i="4" s="1"/>
  <c r="I60" i="4"/>
  <c r="G59" i="4"/>
  <c r="J59" i="4" s="1"/>
  <c r="C87" i="4"/>
  <c r="I59" i="4"/>
  <c r="G67" i="4"/>
  <c r="J67" i="4" s="1"/>
  <c r="I67" i="4"/>
  <c r="G78" i="4"/>
  <c r="J78" i="4" s="1"/>
  <c r="I242" i="5"/>
  <c r="G54" i="4"/>
  <c r="J54" i="4" s="1"/>
  <c r="I54" i="4"/>
  <c r="G79" i="4"/>
  <c r="J79" i="4" s="1"/>
  <c r="G62" i="4"/>
  <c r="J62" i="4" s="1"/>
  <c r="I51" i="4"/>
  <c r="K51" i="4"/>
  <c r="G71" i="4"/>
  <c r="J71" i="4" s="1"/>
  <c r="G70" i="4"/>
  <c r="J70" i="4" s="1"/>
  <c r="I255" i="5"/>
  <c r="I231" i="5"/>
  <c r="I177" i="5"/>
  <c r="I266" i="5"/>
  <c r="K55" i="4"/>
  <c r="D87" i="4"/>
  <c r="I55" i="4"/>
  <c r="G55" i="4"/>
  <c r="J55" i="4" s="1"/>
  <c r="E12" i="6"/>
  <c r="E18" i="6" s="1"/>
  <c r="K58" i="4"/>
  <c r="I58" i="4"/>
  <c r="G58" i="4"/>
  <c r="J58" i="4" s="1"/>
  <c r="G52" i="4"/>
  <c r="K56" i="4"/>
  <c r="I56" i="4"/>
  <c r="G51" i="4"/>
  <c r="J51" i="4" s="1"/>
  <c r="G56" i="4"/>
  <c r="J56" i="4" s="1"/>
  <c r="F87" i="4"/>
  <c r="I270" i="5"/>
  <c r="I165" i="5"/>
  <c r="I158" i="5"/>
  <c r="G86" i="4"/>
  <c r="I86" i="4"/>
  <c r="C115" i="3"/>
  <c r="K78" i="4"/>
  <c r="I78" i="4"/>
  <c r="E113" i="3"/>
  <c r="I213" i="5"/>
  <c r="I196" i="5"/>
  <c r="I217" i="5"/>
  <c r="I274" i="5"/>
  <c r="G63" i="4"/>
  <c r="E90" i="3"/>
  <c r="I260" i="5"/>
  <c r="I200" i="5"/>
  <c r="I227" i="5"/>
  <c r="E84" i="3"/>
  <c r="G77" i="4"/>
  <c r="J77" i="4" s="1"/>
  <c r="I77" i="4"/>
  <c r="I53" i="4"/>
  <c r="K53" i="4"/>
  <c r="E106" i="3"/>
  <c r="E109" i="3"/>
  <c r="E101" i="3"/>
  <c r="I62" i="4"/>
  <c r="K62" i="4"/>
  <c r="I70" i="4"/>
  <c r="K70" i="4"/>
  <c r="E85" i="3"/>
  <c r="E81" i="3"/>
  <c r="C44" i="4"/>
  <c r="I209" i="5"/>
  <c r="I223" i="5"/>
  <c r="I181" i="5"/>
  <c r="E94" i="3"/>
  <c r="E102" i="3"/>
  <c r="E93" i="3"/>
  <c r="E98" i="3"/>
  <c r="E114" i="3"/>
  <c r="I151" i="5"/>
  <c r="I199" i="5"/>
  <c r="E281" i="5"/>
  <c r="K281" i="5" s="1"/>
  <c r="E278" i="5"/>
  <c r="E252" i="5"/>
  <c r="E222" i="5"/>
  <c r="K222" i="5" s="1"/>
  <c r="E213" i="5"/>
  <c r="K213" i="5" s="1"/>
  <c r="E220" i="5"/>
  <c r="E274" i="5"/>
  <c r="K274" i="5" s="1"/>
  <c r="E238" i="5"/>
  <c r="E229" i="5"/>
  <c r="E236" i="5"/>
  <c r="K236" i="5" s="1"/>
  <c r="E277" i="5"/>
  <c r="E259" i="5"/>
  <c r="E265" i="5"/>
  <c r="E271" i="5"/>
  <c r="K271" i="5" s="1"/>
  <c r="E260" i="5"/>
  <c r="G260" i="5" s="1"/>
  <c r="J260" i="5" s="1"/>
  <c r="E245" i="5"/>
  <c r="E273" i="5"/>
  <c r="K273" i="5" s="1"/>
  <c r="E225" i="5"/>
  <c r="E177" i="5"/>
  <c r="K177" i="5" s="1"/>
  <c r="E276" i="5"/>
  <c r="E280" i="5"/>
  <c r="K280" i="5" s="1"/>
  <c r="E230" i="5"/>
  <c r="E221" i="5"/>
  <c r="E228" i="5"/>
  <c r="E192" i="5"/>
  <c r="E176" i="5"/>
  <c r="E199" i="5"/>
  <c r="K199" i="5" s="1"/>
  <c r="E189" i="5"/>
  <c r="K189" i="5" s="1"/>
  <c r="E224" i="5"/>
  <c r="E156" i="5"/>
  <c r="K156" i="5" s="1"/>
  <c r="E151" i="5"/>
  <c r="K151" i="5" s="1"/>
  <c r="E223" i="5"/>
  <c r="G223" i="5" s="1"/>
  <c r="J223" i="5" s="1"/>
  <c r="E272" i="5"/>
  <c r="E196" i="5"/>
  <c r="K196" i="5" s="1"/>
  <c r="E186" i="5"/>
  <c r="E195" i="5"/>
  <c r="E258" i="5"/>
  <c r="K258" i="5" s="1"/>
  <c r="E200" i="5"/>
  <c r="E154" i="5"/>
  <c r="E269" i="5"/>
  <c r="E235" i="5"/>
  <c r="K235" i="5" s="1"/>
  <c r="E203" i="5"/>
  <c r="E149" i="5"/>
  <c r="E171" i="5"/>
  <c r="E239" i="5"/>
  <c r="K239" i="5" s="1"/>
  <c r="E207" i="5"/>
  <c r="E256" i="5"/>
  <c r="E267" i="5"/>
  <c r="E201" i="5"/>
  <c r="E268" i="5"/>
  <c r="E240" i="5"/>
  <c r="E168" i="5"/>
  <c r="E152" i="5"/>
  <c r="E234" i="5"/>
  <c r="K234" i="5" s="1"/>
  <c r="E167" i="5"/>
  <c r="K167" i="5" s="1"/>
  <c r="E174" i="5"/>
  <c r="E185" i="5"/>
  <c r="K185" i="5" s="1"/>
  <c r="E187" i="5"/>
  <c r="E166" i="5"/>
  <c r="E279" i="5"/>
  <c r="E254" i="5"/>
  <c r="E275" i="5"/>
  <c r="K275" i="5" s="1"/>
  <c r="E216" i="5"/>
  <c r="E175" i="5"/>
  <c r="E261" i="5"/>
  <c r="E150" i="5"/>
  <c r="E255" i="5"/>
  <c r="G255" i="5" s="1"/>
  <c r="J255" i="5" s="1"/>
  <c r="E227" i="5"/>
  <c r="E161" i="5"/>
  <c r="E217" i="5"/>
  <c r="K217" i="5" s="1"/>
  <c r="E197" i="5"/>
  <c r="E181" i="5"/>
  <c r="K181" i="5" s="1"/>
  <c r="E165" i="5"/>
  <c r="E250" i="5"/>
  <c r="E188" i="5"/>
  <c r="K188" i="5" s="1"/>
  <c r="E253" i="5"/>
  <c r="E159" i="5"/>
  <c r="K159" i="5" s="1"/>
  <c r="E191" i="5"/>
  <c r="E215" i="5"/>
  <c r="E163" i="5"/>
  <c r="E247" i="5"/>
  <c r="E263" i="5"/>
  <c r="E266" i="5"/>
  <c r="G266" i="5" s="1"/>
  <c r="J266" i="5" s="1"/>
  <c r="E214" i="5"/>
  <c r="E205" i="5"/>
  <c r="K205" i="5" s="1"/>
  <c r="E212" i="5"/>
  <c r="E179" i="5"/>
  <c r="E249" i="5"/>
  <c r="E232" i="5"/>
  <c r="E184" i="5"/>
  <c r="K184" i="5" s="1"/>
  <c r="E162" i="5"/>
  <c r="E202" i="5"/>
  <c r="K202" i="5" s="1"/>
  <c r="E164" i="5"/>
  <c r="E172" i="5"/>
  <c r="E226" i="5"/>
  <c r="K226" i="5" s="1"/>
  <c r="E251" i="5"/>
  <c r="E219" i="5"/>
  <c r="E157" i="5"/>
  <c r="E190" i="5"/>
  <c r="K190" i="5" s="1"/>
  <c r="E262" i="5"/>
  <c r="K262" i="5" s="1"/>
  <c r="E206" i="5"/>
  <c r="K206" i="5" s="1"/>
  <c r="E204" i="5"/>
  <c r="E241" i="5"/>
  <c r="E194" i="5"/>
  <c r="E178" i="5"/>
  <c r="K178" i="5" s="1"/>
  <c r="E208" i="5"/>
  <c r="E183" i="5"/>
  <c r="E169" i="5"/>
  <c r="K169" i="5" s="1"/>
  <c r="E160" i="5"/>
  <c r="E270" i="5"/>
  <c r="K270" i="5" s="1"/>
  <c r="E155" i="5"/>
  <c r="E210" i="5"/>
  <c r="E198" i="5"/>
  <c r="E246" i="5"/>
  <c r="K246" i="5" s="1"/>
  <c r="E237" i="5"/>
  <c r="E244" i="5"/>
  <c r="E209" i="5"/>
  <c r="E248" i="5"/>
  <c r="E264" i="5"/>
  <c r="E182" i="5"/>
  <c r="K182" i="5" s="1"/>
  <c r="E173" i="5"/>
  <c r="E158" i="5"/>
  <c r="G158" i="5" s="1"/>
  <c r="J158" i="5" s="1"/>
  <c r="E242" i="5"/>
  <c r="K242" i="5" s="1"/>
  <c r="E243" i="5"/>
  <c r="K243" i="5" s="1"/>
  <c r="E211" i="5"/>
  <c r="E153" i="5"/>
  <c r="E218" i="5"/>
  <c r="E257" i="5"/>
  <c r="E193" i="5"/>
  <c r="E233" i="5"/>
  <c r="E180" i="5"/>
  <c r="E170" i="5"/>
  <c r="E231" i="5"/>
  <c r="K231" i="5" s="1"/>
  <c r="G53" i="4"/>
  <c r="J53" i="4" s="1"/>
  <c r="I83" i="4"/>
  <c r="K83" i="4"/>
  <c r="G83" i="4"/>
  <c r="C159" i="4"/>
  <c r="D154" i="4" s="1"/>
  <c r="G57" i="4"/>
  <c r="J57" i="4" s="1"/>
  <c r="K72" i="4"/>
  <c r="I72" i="4"/>
  <c r="G72" i="4"/>
  <c r="J72" i="4" s="1"/>
  <c r="I79" i="4"/>
  <c r="K79" i="4"/>
  <c r="I159" i="5"/>
  <c r="I239" i="5"/>
  <c r="I163" i="5"/>
  <c r="G81" i="4"/>
  <c r="J81" i="4" s="1"/>
  <c r="G41" i="9"/>
  <c r="H39" i="9" s="1"/>
  <c r="G74" i="4"/>
  <c r="G80" i="4"/>
  <c r="J80" i="4" s="1"/>
  <c r="K130" i="7"/>
  <c r="L130" i="7"/>
  <c r="E31" i="9"/>
  <c r="C283" i="5"/>
  <c r="C88" i="4"/>
  <c r="E70" i="3"/>
  <c r="F66" i="3" s="1"/>
  <c r="D56" i="2"/>
  <c r="F283" i="5"/>
  <c r="F88" i="4"/>
  <c r="I31" i="9"/>
  <c r="J28" i="9" s="1"/>
  <c r="J34" i="8"/>
  <c r="O24" i="10"/>
  <c r="K80" i="4"/>
  <c r="J35" i="6"/>
  <c r="K23" i="6" s="1"/>
  <c r="C41" i="11"/>
  <c r="D24" i="11" s="1"/>
  <c r="H32" i="10"/>
  <c r="O32" i="10"/>
  <c r="G65" i="4"/>
  <c r="J65" i="4" s="1"/>
  <c r="E159" i="4"/>
  <c r="F155" i="4" s="1"/>
  <c r="D12" i="2"/>
  <c r="G73" i="4"/>
  <c r="J73" i="4" s="1"/>
  <c r="G82" i="4"/>
  <c r="J82" i="4" s="1"/>
  <c r="D11" i="2"/>
  <c r="I41" i="3"/>
  <c r="J30" i="3" s="1"/>
  <c r="F16" i="10"/>
  <c r="J27" i="8"/>
  <c r="K26" i="8" s="1"/>
  <c r="G75" i="4"/>
  <c r="J75" i="4" s="1"/>
  <c r="I41" i="9"/>
  <c r="J37" i="9" s="1"/>
  <c r="K85" i="4"/>
  <c r="G62" i="7"/>
  <c r="E354" i="5"/>
  <c r="F350" i="5" s="1"/>
  <c r="I56" i="7"/>
  <c r="G31" i="9"/>
  <c r="H22" i="9" s="1"/>
  <c r="J20" i="8"/>
  <c r="K18" i="8" s="1"/>
  <c r="D283" i="5"/>
  <c r="D88" i="4"/>
  <c r="F35" i="6"/>
  <c r="G29" i="3"/>
  <c r="E87" i="4"/>
  <c r="I98" i="7"/>
  <c r="J73" i="7" s="1"/>
  <c r="H24" i="10"/>
  <c r="E41" i="11"/>
  <c r="F31" i="11" s="1"/>
  <c r="G17" i="11"/>
  <c r="H14" i="11" s="1"/>
  <c r="F20" i="2"/>
  <c r="G21" i="7"/>
  <c r="E41" i="3"/>
  <c r="G16" i="9"/>
  <c r="H15" i="9" s="1"/>
  <c r="K69" i="4"/>
  <c r="I6" i="10"/>
  <c r="C143" i="5"/>
  <c r="C45" i="4"/>
  <c r="D10" i="2"/>
  <c r="G56" i="7"/>
  <c r="H44" i="7" s="1"/>
  <c r="H11" i="8"/>
  <c r="D20" i="2"/>
  <c r="D23" i="2"/>
  <c r="D57" i="2"/>
  <c r="D52" i="2"/>
  <c r="E16" i="9"/>
  <c r="I21" i="7"/>
  <c r="D60" i="2"/>
  <c r="E21" i="7"/>
  <c r="L67" i="6"/>
  <c r="D21" i="2"/>
  <c r="H40" i="10"/>
  <c r="G162" i="7"/>
  <c r="H161" i="7" s="1"/>
  <c r="E41" i="9"/>
  <c r="I16" i="9"/>
  <c r="J13" i="9" s="1"/>
  <c r="K67" i="6"/>
  <c r="D114" i="3"/>
  <c r="D106" i="3"/>
  <c r="D98" i="3"/>
  <c r="D90" i="3"/>
  <c r="D82" i="3"/>
  <c r="D109" i="3"/>
  <c r="D101" i="3"/>
  <c r="D93" i="3"/>
  <c r="D85" i="3"/>
  <c r="D112" i="3"/>
  <c r="D104" i="3"/>
  <c r="D96" i="3"/>
  <c r="D88" i="3"/>
  <c r="D80" i="3"/>
  <c r="D107" i="3"/>
  <c r="D99" i="3"/>
  <c r="D91" i="3"/>
  <c r="D83" i="3"/>
  <c r="D113" i="3"/>
  <c r="D105" i="3"/>
  <c r="D97" i="3"/>
  <c r="D89" i="3"/>
  <c r="D81" i="3"/>
  <c r="D108" i="3"/>
  <c r="D100" i="3"/>
  <c r="D92" i="3"/>
  <c r="D84" i="3"/>
  <c r="D111" i="3"/>
  <c r="D103" i="3"/>
  <c r="D95" i="3"/>
  <c r="D87" i="3"/>
  <c r="D79" i="3"/>
  <c r="D102" i="3"/>
  <c r="D110" i="3"/>
  <c r="D94" i="3"/>
  <c r="D86" i="3"/>
  <c r="D9" i="2"/>
  <c r="J13" i="8"/>
  <c r="K12" i="8" s="1"/>
  <c r="D98" i="2"/>
  <c r="D90" i="2"/>
  <c r="D96" i="2"/>
  <c r="D88" i="2"/>
  <c r="D99" i="2"/>
  <c r="D97" i="2"/>
  <c r="D89" i="2"/>
  <c r="D108" i="2"/>
  <c r="D95" i="2"/>
  <c r="D92" i="2"/>
  <c r="D85" i="2"/>
  <c r="D94" i="2"/>
  <c r="D91" i="2"/>
  <c r="D86" i="2"/>
  <c r="D87" i="2"/>
  <c r="D93" i="2"/>
  <c r="I162" i="7"/>
  <c r="J156" i="7" s="1"/>
  <c r="D61" i="2"/>
  <c r="E17" i="11"/>
  <c r="F14" i="11" s="1"/>
  <c r="F217" i="5"/>
  <c r="D154" i="5"/>
  <c r="C250" i="5"/>
  <c r="D192" i="5"/>
  <c r="D207" i="5"/>
  <c r="D176" i="5"/>
  <c r="C55" i="5"/>
  <c r="C235" i="5"/>
  <c r="C77" i="5"/>
  <c r="C271" i="5"/>
  <c r="C251" i="5"/>
  <c r="F173" i="5"/>
  <c r="C32" i="5"/>
  <c r="F168" i="5"/>
  <c r="F170" i="5"/>
  <c r="C53" i="5"/>
  <c r="F225" i="5"/>
  <c r="C203" i="5"/>
  <c r="C194" i="5"/>
  <c r="C136" i="5"/>
  <c r="C33" i="5"/>
  <c r="D203" i="5"/>
  <c r="D175" i="5"/>
  <c r="D225" i="5"/>
  <c r="D201" i="5"/>
  <c r="D166" i="5"/>
  <c r="C129" i="5"/>
  <c r="C13" i="5"/>
  <c r="C246" i="5"/>
  <c r="C97" i="5"/>
  <c r="C150" i="5"/>
  <c r="C202" i="5"/>
  <c r="D161" i="5"/>
  <c r="F258" i="5"/>
  <c r="F151" i="5"/>
  <c r="F261" i="5"/>
  <c r="F178" i="5"/>
  <c r="D272" i="5"/>
  <c r="C86" i="5"/>
  <c r="C133" i="5"/>
  <c r="C149" i="5"/>
  <c r="F245" i="5"/>
  <c r="F201" i="5"/>
  <c r="C183" i="5"/>
  <c r="F198" i="5"/>
  <c r="C128" i="5"/>
  <c r="D229" i="5"/>
  <c r="C134" i="5"/>
  <c r="C188" i="5"/>
  <c r="D150" i="5"/>
  <c r="C226" i="5"/>
  <c r="D237" i="5"/>
  <c r="D153" i="5"/>
  <c r="F207" i="5"/>
  <c r="C184" i="5"/>
  <c r="C47" i="5"/>
  <c r="F221" i="5"/>
  <c r="C265" i="5"/>
  <c r="F154" i="5"/>
  <c r="C78" i="5"/>
  <c r="D149" i="5"/>
  <c r="F176" i="5"/>
  <c r="D210" i="5"/>
  <c r="C108" i="5"/>
  <c r="F161" i="5"/>
  <c r="D233" i="5"/>
  <c r="C211" i="5"/>
  <c r="D238" i="5"/>
  <c r="D155" i="5"/>
  <c r="F280" i="5"/>
  <c r="C212" i="5"/>
  <c r="C107" i="5"/>
  <c r="C48" i="5"/>
  <c r="F183" i="5"/>
  <c r="C75" i="5"/>
  <c r="D276" i="5"/>
  <c r="C124" i="5"/>
  <c r="F249" i="5"/>
  <c r="D204" i="5"/>
  <c r="D193" i="5"/>
  <c r="C169" i="5"/>
  <c r="C154" i="5"/>
  <c r="F155" i="5"/>
  <c r="C87" i="5"/>
  <c r="F175" i="5"/>
  <c r="C109" i="5"/>
  <c r="C228" i="5"/>
  <c r="C99" i="5"/>
  <c r="C72" i="5"/>
  <c r="C269" i="5"/>
  <c r="D257" i="5"/>
  <c r="C27" i="5"/>
  <c r="D264" i="5"/>
  <c r="F205" i="5"/>
  <c r="F172" i="5"/>
  <c r="D279" i="5"/>
  <c r="F206" i="5"/>
  <c r="D278" i="5"/>
  <c r="F194" i="5"/>
  <c r="D172" i="5"/>
  <c r="C162" i="5"/>
  <c r="D252" i="5"/>
  <c r="C11" i="5"/>
  <c r="C111" i="5"/>
  <c r="C15" i="5"/>
  <c r="D268" i="5"/>
  <c r="C141" i="5"/>
  <c r="C277" i="5"/>
  <c r="D232" i="5"/>
  <c r="C26" i="5"/>
  <c r="D241" i="5"/>
  <c r="C254" i="5"/>
  <c r="D265" i="5"/>
  <c r="F187" i="5"/>
  <c r="F181" i="5"/>
  <c r="C112" i="5"/>
  <c r="C156" i="5"/>
  <c r="C281" i="5"/>
  <c r="C122" i="5"/>
  <c r="D221" i="5"/>
  <c r="F247" i="5"/>
  <c r="F182" i="5"/>
  <c r="C238" i="5"/>
  <c r="C267" i="5"/>
  <c r="D186" i="5"/>
  <c r="C280" i="5"/>
  <c r="C28" i="5"/>
  <c r="C273" i="5"/>
  <c r="D247" i="5"/>
  <c r="C31" i="5"/>
  <c r="C64" i="5"/>
  <c r="F156" i="5"/>
  <c r="F229" i="5"/>
  <c r="C178" i="5"/>
  <c r="D173" i="5"/>
  <c r="D195" i="5"/>
  <c r="F239" i="5"/>
  <c r="C137" i="5"/>
  <c r="C243" i="5"/>
  <c r="C56" i="5"/>
  <c r="D251" i="5"/>
  <c r="C173" i="5"/>
  <c r="C164" i="5"/>
  <c r="D12" i="6"/>
  <c r="C168" i="5"/>
  <c r="D162" i="5"/>
  <c r="C69" i="5"/>
  <c r="D256" i="5"/>
  <c r="C192" i="5"/>
  <c r="C105" i="5"/>
  <c r="F160" i="5"/>
  <c r="F196" i="5"/>
  <c r="C171" i="5"/>
  <c r="C198" i="5"/>
  <c r="C204" i="5"/>
  <c r="F149" i="5"/>
  <c r="F274" i="5"/>
  <c r="D194" i="5"/>
  <c r="C43" i="5"/>
  <c r="C161" i="5"/>
  <c r="F197" i="5"/>
  <c r="D164" i="5"/>
  <c r="D198" i="5"/>
  <c r="C59" i="5"/>
  <c r="C49" i="5"/>
  <c r="F264" i="5"/>
  <c r="D174" i="5"/>
  <c r="C23" i="5"/>
  <c r="F210" i="5"/>
  <c r="D152" i="5"/>
  <c r="C351" i="5"/>
  <c r="C221" i="5"/>
  <c r="C131" i="5"/>
  <c r="C182" i="5"/>
  <c r="D254" i="5"/>
  <c r="F193" i="5"/>
  <c r="C89" i="5"/>
  <c r="F157" i="5"/>
  <c r="C12" i="6"/>
  <c r="C130" i="5"/>
  <c r="C92" i="5"/>
  <c r="F162" i="5"/>
  <c r="C234" i="5"/>
  <c r="C185" i="5"/>
  <c r="F185" i="5"/>
  <c r="C166" i="5"/>
  <c r="F257" i="5"/>
  <c r="D277" i="5"/>
  <c r="C24" i="5"/>
  <c r="D197" i="5"/>
  <c r="D219" i="5"/>
  <c r="C9" i="5"/>
  <c r="C191" i="5"/>
  <c r="C66" i="5"/>
  <c r="C245" i="5"/>
  <c r="F166" i="5"/>
  <c r="C139" i="5"/>
  <c r="D250" i="5"/>
  <c r="C167" i="5"/>
  <c r="C241" i="5"/>
  <c r="C19" i="5"/>
  <c r="D224" i="5"/>
  <c r="F236" i="5"/>
  <c r="C152" i="5"/>
  <c r="F177" i="5"/>
  <c r="C88" i="5"/>
  <c r="F167" i="5"/>
  <c r="D179" i="5"/>
  <c r="C157" i="5"/>
  <c r="F272" i="5"/>
  <c r="F200" i="5"/>
  <c r="D208" i="5"/>
  <c r="C244" i="5"/>
  <c r="F184" i="5"/>
  <c r="C113" i="5"/>
  <c r="C127" i="5"/>
  <c r="C25" i="5"/>
  <c r="C222" i="5"/>
  <c r="D160" i="5"/>
  <c r="F219" i="5"/>
  <c r="C73" i="5"/>
  <c r="F211" i="5"/>
  <c r="D171" i="5"/>
  <c r="C218" i="5"/>
  <c r="D267" i="5"/>
  <c r="F214" i="5"/>
  <c r="D263" i="5"/>
  <c r="F159" i="5"/>
  <c r="C118" i="5"/>
  <c r="D183" i="5"/>
  <c r="C91" i="5"/>
  <c r="C45" i="5"/>
  <c r="D187" i="5"/>
  <c r="C101" i="5"/>
  <c r="C225" i="5"/>
  <c r="D228" i="5"/>
  <c r="C115" i="5"/>
  <c r="C85" i="5"/>
  <c r="F209" i="5"/>
  <c r="C175" i="5"/>
  <c r="C57" i="5"/>
  <c r="C272" i="5"/>
  <c r="C279" i="5"/>
  <c r="C123" i="5"/>
  <c r="F276" i="5"/>
  <c r="D215" i="5"/>
  <c r="D230" i="5"/>
  <c r="C189" i="5"/>
  <c r="C79" i="5"/>
  <c r="C81" i="5"/>
  <c r="D245" i="5"/>
  <c r="D214" i="5"/>
  <c r="C17" i="5"/>
  <c r="C120" i="5"/>
  <c r="D212" i="5"/>
  <c r="F268" i="5"/>
  <c r="F241" i="5"/>
  <c r="D170" i="5"/>
  <c r="C41" i="5"/>
  <c r="C248" i="5"/>
  <c r="C236" i="5"/>
  <c r="D220" i="5"/>
  <c r="D253" i="5"/>
  <c r="F227" i="5"/>
  <c r="C190" i="5"/>
  <c r="C61" i="5"/>
  <c r="D180" i="5"/>
  <c r="C117" i="5"/>
  <c r="C224" i="5"/>
  <c r="D240" i="5"/>
  <c r="C90" i="5"/>
  <c r="C229" i="5"/>
  <c r="F231" i="5"/>
  <c r="D168" i="5"/>
  <c r="C67" i="5"/>
  <c r="C268" i="5"/>
  <c r="C58" i="5"/>
  <c r="C240" i="5"/>
  <c r="C119" i="5"/>
  <c r="C172" i="5"/>
  <c r="F174" i="5"/>
  <c r="C253" i="5"/>
  <c r="C65" i="5"/>
  <c r="C186" i="5"/>
  <c r="D157" i="5"/>
  <c r="C40" i="5"/>
  <c r="F230" i="5"/>
  <c r="C35" i="5"/>
  <c r="D244" i="5"/>
  <c r="C83" i="5"/>
  <c r="C104" i="5"/>
  <c r="C219" i="5"/>
  <c r="D248" i="5"/>
  <c r="C80" i="5"/>
  <c r="D216" i="5"/>
  <c r="C21" i="5"/>
  <c r="C160" i="5"/>
  <c r="D249" i="5"/>
  <c r="C125" i="5"/>
  <c r="F204" i="5"/>
  <c r="D261" i="5"/>
  <c r="F12" i="6"/>
  <c r="D259" i="5"/>
  <c r="D269" i="5"/>
  <c r="F153" i="5"/>
  <c r="C12" i="5"/>
  <c r="C258" i="5"/>
  <c r="F163" i="5"/>
  <c r="F271" i="5"/>
  <c r="D218" i="5"/>
  <c r="C153" i="5"/>
  <c r="C275" i="5"/>
  <c r="C205" i="5"/>
  <c r="C51" i="5"/>
  <c r="C96" i="5"/>
  <c r="C262" i="5"/>
  <c r="C37" i="5"/>
  <c r="F233" i="5"/>
  <c r="C60" i="5"/>
  <c r="F215" i="5"/>
  <c r="C29" i="5"/>
  <c r="F165" i="5"/>
  <c r="C16" i="5"/>
  <c r="D191" i="5"/>
  <c r="C93" i="5"/>
  <c r="C62" i="5"/>
  <c r="K32" i="8" l="1"/>
  <c r="K33" i="8"/>
  <c r="J45" i="7"/>
  <c r="J46" i="7"/>
  <c r="J50" i="7"/>
  <c r="J52" i="7"/>
  <c r="J47" i="7"/>
  <c r="J48" i="7"/>
  <c r="J49" i="7"/>
  <c r="J51" i="7"/>
  <c r="J53" i="7"/>
  <c r="J55" i="7"/>
  <c r="J54" i="7"/>
  <c r="H45" i="7"/>
  <c r="H54" i="7"/>
  <c r="H55" i="7"/>
  <c r="H50" i="7"/>
  <c r="H51" i="7"/>
  <c r="H47" i="7"/>
  <c r="H49" i="7"/>
  <c r="H46" i="7"/>
  <c r="H53" i="7"/>
  <c r="H52" i="7"/>
  <c r="H48" i="7"/>
  <c r="J44" i="7"/>
  <c r="J80" i="7"/>
  <c r="J81" i="7"/>
  <c r="J82" i="7"/>
  <c r="J84" i="7"/>
  <c r="J75" i="7"/>
  <c r="J76" i="7"/>
  <c r="J77" i="7"/>
  <c r="J78" i="7"/>
  <c r="J79" i="7"/>
  <c r="J83" i="7"/>
  <c r="J74" i="7"/>
  <c r="J93" i="7"/>
  <c r="J85" i="7"/>
  <c r="J14" i="7"/>
  <c r="J15" i="7"/>
  <c r="H14" i="7"/>
  <c r="H15" i="7"/>
  <c r="H18" i="7"/>
  <c r="H13" i="7"/>
  <c r="J91" i="7"/>
  <c r="J90" i="7"/>
  <c r="J86" i="7"/>
  <c r="J69" i="7"/>
  <c r="J88" i="7"/>
  <c r="J70" i="7"/>
  <c r="J72" i="7"/>
  <c r="J95" i="7"/>
  <c r="J71" i="7"/>
  <c r="J63" i="7"/>
  <c r="J64" i="7"/>
  <c r="J62" i="7"/>
  <c r="J66" i="7"/>
  <c r="J89" i="7"/>
  <c r="J65" i="7"/>
  <c r="J87" i="7"/>
  <c r="J68" i="7"/>
  <c r="J94" i="7"/>
  <c r="J92" i="7"/>
  <c r="J96" i="7"/>
  <c r="J97" i="7"/>
  <c r="J67" i="7"/>
  <c r="J16" i="7"/>
  <c r="J13" i="7"/>
  <c r="J17" i="7"/>
  <c r="J19" i="7"/>
  <c r="H20" i="7"/>
  <c r="J18" i="7"/>
  <c r="H17" i="7"/>
  <c r="H19" i="7"/>
  <c r="J20" i="7"/>
  <c r="H16" i="7"/>
  <c r="E121" i="2"/>
  <c r="J25" i="2"/>
  <c r="D70" i="3"/>
  <c r="F65" i="3"/>
  <c r="F67" i="3"/>
  <c r="F69" i="3"/>
  <c r="F68" i="3"/>
  <c r="J29" i="3"/>
  <c r="J28" i="3"/>
  <c r="D22" i="3"/>
  <c r="H25" i="2"/>
  <c r="I34" i="8"/>
  <c r="F51" i="2"/>
  <c r="F56" i="2"/>
  <c r="F60" i="2"/>
  <c r="F62" i="2"/>
  <c r="F50" i="2"/>
  <c r="K41" i="3"/>
  <c r="L30" i="3" s="1"/>
  <c r="F59" i="2"/>
  <c r="H38" i="9"/>
  <c r="J22" i="9"/>
  <c r="F61" i="2"/>
  <c r="H40" i="9"/>
  <c r="F55" i="2"/>
  <c r="F58" i="2"/>
  <c r="F54" i="2"/>
  <c r="F53" i="2"/>
  <c r="H37" i="9"/>
  <c r="F57" i="2"/>
  <c r="H16" i="11"/>
  <c r="K19" i="8"/>
  <c r="K20" i="8" s="1"/>
  <c r="E122" i="2"/>
  <c r="F100" i="2" s="1"/>
  <c r="H13" i="11"/>
  <c r="H36" i="9"/>
  <c r="H11" i="11"/>
  <c r="K11" i="8"/>
  <c r="K13" i="8" s="1"/>
  <c r="D63" i="2"/>
  <c r="J10" i="9"/>
  <c r="K25" i="6"/>
  <c r="J30" i="9"/>
  <c r="J27" i="9"/>
  <c r="G199" i="5"/>
  <c r="J199" i="5" s="1"/>
  <c r="F352" i="5"/>
  <c r="D30" i="11"/>
  <c r="I35" i="6"/>
  <c r="H29" i="9"/>
  <c r="H12" i="9"/>
  <c r="F25" i="2"/>
  <c r="F157" i="4"/>
  <c r="H24" i="9"/>
  <c r="J29" i="9"/>
  <c r="D33" i="11"/>
  <c r="F40" i="11"/>
  <c r="D28" i="11"/>
  <c r="D36" i="11"/>
  <c r="J24" i="9"/>
  <c r="D29" i="11"/>
  <c r="J26" i="9"/>
  <c r="H10" i="9"/>
  <c r="H23" i="9"/>
  <c r="K255" i="5"/>
  <c r="D26" i="11"/>
  <c r="F353" i="5"/>
  <c r="D38" i="11"/>
  <c r="D34" i="11"/>
  <c r="J36" i="9"/>
  <c r="J39" i="9"/>
  <c r="G213" i="5"/>
  <c r="J213" i="5" s="1"/>
  <c r="F351" i="5"/>
  <c r="H15" i="11"/>
  <c r="K260" i="5"/>
  <c r="K266" i="5"/>
  <c r="H28" i="9"/>
  <c r="G242" i="5"/>
  <c r="J242" i="5" s="1"/>
  <c r="J40" i="9"/>
  <c r="F349" i="5"/>
  <c r="J25" i="9"/>
  <c r="F11" i="11"/>
  <c r="J38" i="9"/>
  <c r="D14" i="2"/>
  <c r="F12" i="11"/>
  <c r="H12" i="11"/>
  <c r="H21" i="9"/>
  <c r="H11" i="9"/>
  <c r="D157" i="4"/>
  <c r="I252" i="5"/>
  <c r="K252" i="5"/>
  <c r="G252" i="5"/>
  <c r="J252" i="5" s="1"/>
  <c r="G269" i="5"/>
  <c r="J269" i="5" s="1"/>
  <c r="K278" i="5"/>
  <c r="I278" i="5"/>
  <c r="G278" i="5"/>
  <c r="J278" i="5" s="1"/>
  <c r="G226" i="5"/>
  <c r="J226" i="5" s="1"/>
  <c r="I226" i="5"/>
  <c r="K172" i="5"/>
  <c r="I172" i="5"/>
  <c r="K249" i="5"/>
  <c r="I249" i="5"/>
  <c r="G249" i="5"/>
  <c r="J249" i="5" s="1"/>
  <c r="K201" i="5"/>
  <c r="I201" i="5"/>
  <c r="G201" i="5"/>
  <c r="J201" i="5" s="1"/>
  <c r="G172" i="5"/>
  <c r="J172" i="5" s="1"/>
  <c r="K228" i="5"/>
  <c r="I228" i="5"/>
  <c r="G250" i="5"/>
  <c r="J250" i="5" s="1"/>
  <c r="G204" i="5"/>
  <c r="J204" i="5" s="1"/>
  <c r="G183" i="5"/>
  <c r="J183" i="5" s="1"/>
  <c r="G189" i="5"/>
  <c r="J189" i="5" s="1"/>
  <c r="I189" i="5"/>
  <c r="G262" i="5"/>
  <c r="J262" i="5" s="1"/>
  <c r="I262" i="5"/>
  <c r="G241" i="5"/>
  <c r="J241" i="5" s="1"/>
  <c r="G198" i="5"/>
  <c r="J198" i="5" s="1"/>
  <c r="G268" i="5"/>
  <c r="J268" i="5" s="1"/>
  <c r="K237" i="5"/>
  <c r="I237" i="5"/>
  <c r="G237" i="5"/>
  <c r="J237" i="5" s="1"/>
  <c r="I219" i="5"/>
  <c r="K219" i="5"/>
  <c r="G178" i="5"/>
  <c r="J178" i="5" s="1"/>
  <c r="I178" i="5"/>
  <c r="G271" i="5"/>
  <c r="J271" i="5" s="1"/>
  <c r="I271" i="5"/>
  <c r="G238" i="5"/>
  <c r="J238" i="5" s="1"/>
  <c r="G281" i="5"/>
  <c r="J281" i="5" s="1"/>
  <c r="I281" i="5"/>
  <c r="G253" i="5"/>
  <c r="J253" i="5" s="1"/>
  <c r="G277" i="5"/>
  <c r="J277" i="5" s="1"/>
  <c r="K212" i="5"/>
  <c r="I212" i="5"/>
  <c r="K276" i="5"/>
  <c r="I276" i="5"/>
  <c r="G276" i="5"/>
  <c r="J276" i="5" s="1"/>
  <c r="I256" i="5"/>
  <c r="K256" i="5"/>
  <c r="G256" i="5"/>
  <c r="J256" i="5" s="1"/>
  <c r="I152" i="5"/>
  <c r="K152" i="5"/>
  <c r="G235" i="5"/>
  <c r="J235" i="5" s="1"/>
  <c r="I235" i="5"/>
  <c r="G177" i="5"/>
  <c r="J177" i="5" s="1"/>
  <c r="I191" i="5"/>
  <c r="K191" i="5"/>
  <c r="G275" i="5"/>
  <c r="J275" i="5" s="1"/>
  <c r="I275" i="5"/>
  <c r="K216" i="5"/>
  <c r="I216" i="5"/>
  <c r="G216" i="5"/>
  <c r="J216" i="5" s="1"/>
  <c r="G254" i="5"/>
  <c r="J254" i="5" s="1"/>
  <c r="G212" i="5"/>
  <c r="J212" i="5" s="1"/>
  <c r="I230" i="5"/>
  <c r="K230" i="5"/>
  <c r="G230" i="5"/>
  <c r="J230" i="5" s="1"/>
  <c r="F18" i="6"/>
  <c r="G190" i="5"/>
  <c r="J190" i="5" s="1"/>
  <c r="I190" i="5"/>
  <c r="G186" i="5"/>
  <c r="J186" i="5" s="1"/>
  <c r="G224" i="5"/>
  <c r="J224" i="5" s="1"/>
  <c r="I210" i="5"/>
  <c r="K210" i="5"/>
  <c r="G210" i="5"/>
  <c r="J210" i="5" s="1"/>
  <c r="K225" i="5"/>
  <c r="I225" i="5"/>
  <c r="G149" i="5"/>
  <c r="J149" i="5" s="1"/>
  <c r="K244" i="5"/>
  <c r="I244" i="5"/>
  <c r="K207" i="5"/>
  <c r="I207" i="5"/>
  <c r="G207" i="5"/>
  <c r="J207" i="5" s="1"/>
  <c r="I218" i="5"/>
  <c r="K218" i="5"/>
  <c r="G205" i="5"/>
  <c r="J205" i="5" s="1"/>
  <c r="I205" i="5"/>
  <c r="G225" i="5"/>
  <c r="J225" i="5" s="1"/>
  <c r="K240" i="5"/>
  <c r="I240" i="5"/>
  <c r="K161" i="5"/>
  <c r="I161" i="5"/>
  <c r="K173" i="5"/>
  <c r="I173" i="5"/>
  <c r="K198" i="5"/>
  <c r="I198" i="5"/>
  <c r="G244" i="5"/>
  <c r="J244" i="5" s="1"/>
  <c r="K174" i="5"/>
  <c r="I174" i="5"/>
  <c r="G174" i="5"/>
  <c r="J174" i="5" s="1"/>
  <c r="K257" i="5"/>
  <c r="I257" i="5"/>
  <c r="G257" i="5"/>
  <c r="J257" i="5" s="1"/>
  <c r="G152" i="5"/>
  <c r="J152" i="5" s="1"/>
  <c r="G228" i="5"/>
  <c r="J228" i="5" s="1"/>
  <c r="I261" i="5"/>
  <c r="K261" i="5"/>
  <c r="G261" i="5"/>
  <c r="J261" i="5" s="1"/>
  <c r="G280" i="5"/>
  <c r="J280" i="5" s="1"/>
  <c r="I280" i="5"/>
  <c r="K155" i="5"/>
  <c r="I155" i="5"/>
  <c r="G155" i="5"/>
  <c r="J155" i="5" s="1"/>
  <c r="I253" i="5"/>
  <c r="K253" i="5"/>
  <c r="G221" i="5"/>
  <c r="J221" i="5" s="1"/>
  <c r="K157" i="5"/>
  <c r="I157" i="5"/>
  <c r="I186" i="5"/>
  <c r="K186" i="5"/>
  <c r="G245" i="5"/>
  <c r="J245" i="5" s="1"/>
  <c r="K166" i="5"/>
  <c r="I166" i="5"/>
  <c r="K164" i="5"/>
  <c r="I164" i="5"/>
  <c r="G240" i="5"/>
  <c r="J240" i="5" s="1"/>
  <c r="I183" i="5"/>
  <c r="K183" i="5"/>
  <c r="G12" i="6"/>
  <c r="G18" i="6" s="1"/>
  <c r="C18" i="6"/>
  <c r="G167" i="5"/>
  <c r="J167" i="5" s="1"/>
  <c r="I167" i="5"/>
  <c r="F282" i="5"/>
  <c r="I175" i="5"/>
  <c r="K175" i="5"/>
  <c r="I254" i="5"/>
  <c r="K254" i="5"/>
  <c r="G161" i="5"/>
  <c r="J161" i="5" s="1"/>
  <c r="K224" i="5"/>
  <c r="I224" i="5"/>
  <c r="G173" i="5"/>
  <c r="J173" i="5" s="1"/>
  <c r="G171" i="5"/>
  <c r="J171" i="5" s="1"/>
  <c r="G279" i="5"/>
  <c r="J279" i="5" s="1"/>
  <c r="G160" i="5"/>
  <c r="J160" i="5" s="1"/>
  <c r="G154" i="5"/>
  <c r="J154" i="5" s="1"/>
  <c r="G192" i="5"/>
  <c r="J192" i="5" s="1"/>
  <c r="G243" i="5"/>
  <c r="J243" i="5" s="1"/>
  <c r="I243" i="5"/>
  <c r="K267" i="5"/>
  <c r="I267" i="5"/>
  <c r="K272" i="5"/>
  <c r="I272" i="5"/>
  <c r="I259" i="5"/>
  <c r="K259" i="5"/>
  <c r="G259" i="5"/>
  <c r="J259" i="5" s="1"/>
  <c r="G274" i="5"/>
  <c r="J274" i="5" s="1"/>
  <c r="K171" i="5"/>
  <c r="I171" i="5"/>
  <c r="D18" i="6"/>
  <c r="K229" i="5"/>
  <c r="I229" i="5"/>
  <c r="G159" i="5"/>
  <c r="J159" i="5" s="1"/>
  <c r="G182" i="5"/>
  <c r="J182" i="5" s="1"/>
  <c r="I182" i="5"/>
  <c r="K197" i="5"/>
  <c r="I197" i="5"/>
  <c r="G197" i="5"/>
  <c r="J197" i="5" s="1"/>
  <c r="K269" i="5"/>
  <c r="I269" i="5"/>
  <c r="G153" i="5"/>
  <c r="J153" i="5" s="1"/>
  <c r="G202" i="5"/>
  <c r="J202" i="5" s="1"/>
  <c r="I202" i="5"/>
  <c r="K241" i="5"/>
  <c r="I241" i="5"/>
  <c r="G246" i="5"/>
  <c r="J246" i="5" s="1"/>
  <c r="I246" i="5"/>
  <c r="G194" i="5"/>
  <c r="J194" i="5" s="1"/>
  <c r="G234" i="5"/>
  <c r="J234" i="5" s="1"/>
  <c r="I234" i="5"/>
  <c r="G258" i="5"/>
  <c r="J258" i="5" s="1"/>
  <c r="I258" i="5"/>
  <c r="K176" i="5"/>
  <c r="I176" i="5"/>
  <c r="G176" i="5"/>
  <c r="J176" i="5" s="1"/>
  <c r="G150" i="5"/>
  <c r="J150" i="5" s="1"/>
  <c r="I160" i="5"/>
  <c r="K160" i="5"/>
  <c r="K170" i="5"/>
  <c r="I170" i="5"/>
  <c r="G170" i="5"/>
  <c r="J170" i="5" s="1"/>
  <c r="K193" i="5"/>
  <c r="I193" i="5"/>
  <c r="G193" i="5"/>
  <c r="J193" i="5" s="1"/>
  <c r="K208" i="5"/>
  <c r="I208" i="5"/>
  <c r="G208" i="5"/>
  <c r="J208" i="5" s="1"/>
  <c r="G157" i="5"/>
  <c r="J157" i="5" s="1"/>
  <c r="K187" i="5"/>
  <c r="I187" i="5"/>
  <c r="G187" i="5"/>
  <c r="J187" i="5" s="1"/>
  <c r="G272" i="5"/>
  <c r="J272" i="5" s="1"/>
  <c r="I192" i="5"/>
  <c r="K192" i="5"/>
  <c r="G162" i="5"/>
  <c r="J162" i="5" s="1"/>
  <c r="G166" i="5"/>
  <c r="J166" i="5" s="1"/>
  <c r="G222" i="5"/>
  <c r="J222" i="5" s="1"/>
  <c r="I222" i="5"/>
  <c r="K233" i="5"/>
  <c r="I233" i="5"/>
  <c r="D282" i="5"/>
  <c r="G233" i="5"/>
  <c r="J233" i="5" s="1"/>
  <c r="K195" i="5"/>
  <c r="I195" i="5"/>
  <c r="G195" i="5"/>
  <c r="J195" i="5" s="1"/>
  <c r="K215" i="5"/>
  <c r="I215" i="5"/>
  <c r="G215" i="5"/>
  <c r="J215" i="5" s="1"/>
  <c r="I154" i="5"/>
  <c r="K154" i="5"/>
  <c r="G156" i="5"/>
  <c r="J156" i="5" s="1"/>
  <c r="I156" i="5"/>
  <c r="G169" i="5"/>
  <c r="J169" i="5" s="1"/>
  <c r="I169" i="5"/>
  <c r="C282" i="5"/>
  <c r="G211" i="5"/>
  <c r="J211" i="5" s="1"/>
  <c r="I211" i="5"/>
  <c r="I150" i="5"/>
  <c r="K150" i="5"/>
  <c r="G175" i="5"/>
  <c r="J175" i="5" s="1"/>
  <c r="K221" i="5"/>
  <c r="I221" i="5"/>
  <c r="K168" i="5"/>
  <c r="I168" i="5"/>
  <c r="K149" i="5"/>
  <c r="I149" i="5"/>
  <c r="I238" i="5"/>
  <c r="K238" i="5"/>
  <c r="I268" i="5"/>
  <c r="K268" i="5"/>
  <c r="K248" i="5"/>
  <c r="I248" i="5"/>
  <c r="I251" i="5"/>
  <c r="K251" i="5"/>
  <c r="K179" i="5"/>
  <c r="I179" i="5"/>
  <c r="G179" i="5"/>
  <c r="J179" i="5" s="1"/>
  <c r="G191" i="5"/>
  <c r="J191" i="5" s="1"/>
  <c r="G184" i="5"/>
  <c r="J184" i="5" s="1"/>
  <c r="I184" i="5"/>
  <c r="G239" i="5"/>
  <c r="J239" i="5" s="1"/>
  <c r="K245" i="5"/>
  <c r="I245" i="5"/>
  <c r="I264" i="5"/>
  <c r="K264" i="5"/>
  <c r="G264" i="5"/>
  <c r="J264" i="5" s="1"/>
  <c r="I194" i="5"/>
  <c r="K194" i="5"/>
  <c r="K277" i="5"/>
  <c r="I277" i="5"/>
  <c r="G185" i="5"/>
  <c r="J185" i="5" s="1"/>
  <c r="I185" i="5"/>
  <c r="G168" i="5"/>
  <c r="J168" i="5" s="1"/>
  <c r="K204" i="5"/>
  <c r="I204" i="5"/>
  <c r="I203" i="5"/>
  <c r="K203" i="5"/>
  <c r="G229" i="5"/>
  <c r="J229" i="5" s="1"/>
  <c r="C354" i="5"/>
  <c r="G273" i="5"/>
  <c r="J273" i="5" s="1"/>
  <c r="I273" i="5"/>
  <c r="K247" i="5"/>
  <c r="I247" i="5"/>
  <c r="G247" i="5"/>
  <c r="J247" i="5" s="1"/>
  <c r="G219" i="5"/>
  <c r="J219" i="5" s="1"/>
  <c r="K263" i="5"/>
  <c r="I263" i="5"/>
  <c r="G263" i="5"/>
  <c r="J263" i="5" s="1"/>
  <c r="G164" i="5"/>
  <c r="J164" i="5" s="1"/>
  <c r="G248" i="5"/>
  <c r="J248" i="5" s="1"/>
  <c r="K180" i="5"/>
  <c r="I180" i="5"/>
  <c r="G180" i="5"/>
  <c r="J180" i="5" s="1"/>
  <c r="G188" i="5"/>
  <c r="J188" i="5" s="1"/>
  <c r="I188" i="5"/>
  <c r="K153" i="5"/>
  <c r="I153" i="5"/>
  <c r="G203" i="5"/>
  <c r="J203" i="5" s="1"/>
  <c r="C142" i="5"/>
  <c r="K232" i="5"/>
  <c r="I232" i="5"/>
  <c r="G232" i="5"/>
  <c r="J232" i="5" s="1"/>
  <c r="G265" i="5"/>
  <c r="J265" i="5" s="1"/>
  <c r="I214" i="5"/>
  <c r="K214" i="5"/>
  <c r="G214" i="5"/>
  <c r="J214" i="5" s="1"/>
  <c r="G196" i="5"/>
  <c r="J196" i="5" s="1"/>
  <c r="G218" i="5"/>
  <c r="J218" i="5" s="1"/>
  <c r="I162" i="5"/>
  <c r="K162" i="5"/>
  <c r="G236" i="5"/>
  <c r="J236" i="5" s="1"/>
  <c r="I236" i="5"/>
  <c r="G267" i="5"/>
  <c r="J267" i="5" s="1"/>
  <c r="K265" i="5"/>
  <c r="I265" i="5"/>
  <c r="G251" i="5"/>
  <c r="K220" i="5"/>
  <c r="I220" i="5"/>
  <c r="G220" i="5"/>
  <c r="J220" i="5" s="1"/>
  <c r="K279" i="5"/>
  <c r="I279" i="5"/>
  <c r="I250" i="5"/>
  <c r="K250" i="5"/>
  <c r="G231" i="5"/>
  <c r="J231" i="5" s="1"/>
  <c r="G209" i="5"/>
  <c r="J209" i="5" s="1"/>
  <c r="G206" i="5"/>
  <c r="J206" i="5" s="1"/>
  <c r="G200" i="5"/>
  <c r="J200" i="5" s="1"/>
  <c r="G227" i="5"/>
  <c r="J227" i="5" s="1"/>
  <c r="G151" i="5"/>
  <c r="J151" i="5" s="1"/>
  <c r="G165" i="5"/>
  <c r="J165" i="5" s="1"/>
  <c r="G163" i="5"/>
  <c r="J163" i="5" s="1"/>
  <c r="G87" i="4"/>
  <c r="H156" i="7"/>
  <c r="F36" i="11"/>
  <c r="F156" i="4"/>
  <c r="E116" i="3"/>
  <c r="H30" i="9"/>
  <c r="H14" i="9"/>
  <c r="K163" i="5"/>
  <c r="K223" i="5"/>
  <c r="K227" i="5"/>
  <c r="G270" i="5"/>
  <c r="J270" i="5" s="1"/>
  <c r="G181" i="5"/>
  <c r="J181" i="5" s="1"/>
  <c r="I87" i="4"/>
  <c r="F28" i="11"/>
  <c r="D25" i="2"/>
  <c r="E115" i="3"/>
  <c r="F109" i="3" s="1"/>
  <c r="F33" i="11"/>
  <c r="F35" i="11"/>
  <c r="D35" i="11"/>
  <c r="D39" i="11"/>
  <c r="D31" i="11"/>
  <c r="D40" i="11"/>
  <c r="D27" i="11"/>
  <c r="I88" i="4"/>
  <c r="J84" i="4" s="1"/>
  <c r="G217" i="5"/>
  <c r="J217" i="5" s="1"/>
  <c r="F30" i="11"/>
  <c r="J158" i="7"/>
  <c r="J159" i="7"/>
  <c r="K28" i="6"/>
  <c r="J15" i="9"/>
  <c r="D37" i="11"/>
  <c r="J12" i="9"/>
  <c r="K24" i="6"/>
  <c r="F154" i="4"/>
  <c r="J157" i="7"/>
  <c r="I283" i="5"/>
  <c r="H26" i="9"/>
  <c r="E282" i="5"/>
  <c r="K209" i="5"/>
  <c r="K87" i="4"/>
  <c r="K31" i="6"/>
  <c r="K33" i="6"/>
  <c r="H13" i="8"/>
  <c r="I12" i="8" s="1"/>
  <c r="H158" i="7"/>
  <c r="E88" i="4"/>
  <c r="K88" i="4" s="1"/>
  <c r="E283" i="5"/>
  <c r="K283" i="5" s="1"/>
  <c r="H160" i="7"/>
  <c r="H25" i="9"/>
  <c r="F27" i="11"/>
  <c r="H27" i="9"/>
  <c r="K200" i="5"/>
  <c r="F32" i="11"/>
  <c r="F25" i="11"/>
  <c r="K29" i="6"/>
  <c r="F16" i="11"/>
  <c r="D121" i="2"/>
  <c r="K32" i="6"/>
  <c r="F39" i="11"/>
  <c r="F13" i="11"/>
  <c r="F34" i="11"/>
  <c r="F158" i="4"/>
  <c r="D40" i="4"/>
  <c r="D36" i="4"/>
  <c r="D32" i="4"/>
  <c r="D28" i="4"/>
  <c r="D24" i="4"/>
  <c r="D20" i="4"/>
  <c r="D16" i="4"/>
  <c r="D12" i="4"/>
  <c r="D8" i="4"/>
  <c r="D43" i="4"/>
  <c r="D39" i="4"/>
  <c r="D35" i="4"/>
  <c r="D31" i="4"/>
  <c r="D27" i="4"/>
  <c r="D23" i="4"/>
  <c r="D19" i="4"/>
  <c r="D15" i="4"/>
  <c r="D11" i="4"/>
  <c r="D42" i="4"/>
  <c r="D38" i="4"/>
  <c r="D34" i="4"/>
  <c r="D30" i="4"/>
  <c r="D26" i="4"/>
  <c r="D22" i="4"/>
  <c r="D18" i="4"/>
  <c r="D14" i="4"/>
  <c r="D10" i="4"/>
  <c r="D41" i="4"/>
  <c r="D25" i="4"/>
  <c r="D9" i="4"/>
  <c r="D37" i="4"/>
  <c r="D21" i="4"/>
  <c r="D33" i="4"/>
  <c r="D17" i="4"/>
  <c r="D13" i="4"/>
  <c r="D29" i="4"/>
  <c r="D32" i="11"/>
  <c r="K27" i="6"/>
  <c r="J14" i="9"/>
  <c r="K34" i="6"/>
  <c r="H157" i="7"/>
  <c r="F15" i="11"/>
  <c r="J161" i="7"/>
  <c r="J11" i="9"/>
  <c r="H13" i="9"/>
  <c r="K211" i="5"/>
  <c r="K165" i="5"/>
  <c r="F26" i="11"/>
  <c r="D115" i="3"/>
  <c r="F37" i="11"/>
  <c r="K30" i="6"/>
  <c r="D141" i="5"/>
  <c r="D137" i="5"/>
  <c r="D133" i="5"/>
  <c r="D129" i="5"/>
  <c r="D125" i="5"/>
  <c r="D121" i="5"/>
  <c r="D117" i="5"/>
  <c r="D113" i="5"/>
  <c r="D109" i="5"/>
  <c r="D105" i="5"/>
  <c r="D101" i="5"/>
  <c r="D97" i="5"/>
  <c r="D93" i="5"/>
  <c r="D89" i="5"/>
  <c r="D85" i="5"/>
  <c r="D81" i="5"/>
  <c r="D77" i="5"/>
  <c r="D73" i="5"/>
  <c r="D69" i="5"/>
  <c r="D65" i="5"/>
  <c r="D61" i="5"/>
  <c r="D57" i="5"/>
  <c r="D53" i="5"/>
  <c r="D49" i="5"/>
  <c r="D45" i="5"/>
  <c r="D41" i="5"/>
  <c r="D37" i="5"/>
  <c r="D33" i="5"/>
  <c r="D29" i="5"/>
  <c r="D25" i="5"/>
  <c r="D21" i="5"/>
  <c r="D17" i="5"/>
  <c r="D13" i="5"/>
  <c r="D9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138" i="5"/>
  <c r="D130" i="5"/>
  <c r="D122" i="5"/>
  <c r="D114" i="5"/>
  <c r="D106" i="5"/>
  <c r="D98" i="5"/>
  <c r="D90" i="5"/>
  <c r="D82" i="5"/>
  <c r="D74" i="5"/>
  <c r="D66" i="5"/>
  <c r="D58" i="5"/>
  <c r="D50" i="5"/>
  <c r="D42" i="5"/>
  <c r="D34" i="5"/>
  <c r="D26" i="5"/>
  <c r="D18" i="5"/>
  <c r="D10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134" i="5"/>
  <c r="D126" i="5"/>
  <c r="D118" i="5"/>
  <c r="D110" i="5"/>
  <c r="D102" i="5"/>
  <c r="D94" i="5"/>
  <c r="D86" i="5"/>
  <c r="D78" i="5"/>
  <c r="D70" i="5"/>
  <c r="D62" i="5"/>
  <c r="D54" i="5"/>
  <c r="D46" i="5"/>
  <c r="D38" i="5"/>
  <c r="D30" i="5"/>
  <c r="D22" i="5"/>
  <c r="D14" i="5"/>
  <c r="D120" i="5"/>
  <c r="D88" i="5"/>
  <c r="D56" i="5"/>
  <c r="D24" i="5"/>
  <c r="D136" i="5"/>
  <c r="D40" i="5"/>
  <c r="D104" i="5"/>
  <c r="D112" i="5"/>
  <c r="D80" i="5"/>
  <c r="D48" i="5"/>
  <c r="D16" i="5"/>
  <c r="D72" i="5"/>
  <c r="D128" i="5"/>
  <c r="D96" i="5"/>
  <c r="D64" i="5"/>
  <c r="D32" i="5"/>
  <c r="K25" i="8"/>
  <c r="K27" i="8" s="1"/>
  <c r="K26" i="6"/>
  <c r="G41" i="3"/>
  <c r="H28" i="3" s="1"/>
  <c r="D25" i="11"/>
  <c r="H159" i="7"/>
  <c r="J23" i="9"/>
  <c r="J21" i="9"/>
  <c r="D155" i="4"/>
  <c r="D156" i="4"/>
  <c r="D158" i="4"/>
  <c r="F38" i="11"/>
  <c r="L15" i="10"/>
  <c r="M15" i="10" s="1"/>
  <c r="H31" i="10"/>
  <c r="F15" i="10"/>
  <c r="H39" i="10"/>
  <c r="O39" i="10"/>
  <c r="H23" i="10"/>
  <c r="H47" i="10"/>
  <c r="O23" i="10"/>
  <c r="O47" i="10"/>
  <c r="O31" i="10"/>
  <c r="F29" i="11"/>
  <c r="F24" i="11"/>
  <c r="G98" i="7"/>
  <c r="J160" i="7"/>
  <c r="K158" i="5"/>
  <c r="H56" i="7" l="1"/>
  <c r="J56" i="7"/>
  <c r="H84" i="7"/>
  <c r="H82" i="7"/>
  <c r="H81" i="7"/>
  <c r="H78" i="7"/>
  <c r="H75" i="7"/>
  <c r="H80" i="7"/>
  <c r="H79" i="7"/>
  <c r="H83" i="7"/>
  <c r="H74" i="7"/>
  <c r="H77" i="7"/>
  <c r="H76" i="7"/>
  <c r="H85" i="7"/>
  <c r="H62" i="7"/>
  <c r="J63" i="4"/>
  <c r="H21" i="7"/>
  <c r="J66" i="4"/>
  <c r="J21" i="7"/>
  <c r="J98" i="7"/>
  <c r="H88" i="7"/>
  <c r="H93" i="7"/>
  <c r="H69" i="7"/>
  <c r="H70" i="7"/>
  <c r="H72" i="7"/>
  <c r="H71" i="7"/>
  <c r="H66" i="7"/>
  <c r="H97" i="7"/>
  <c r="H91" i="7"/>
  <c r="H89" i="7"/>
  <c r="H95" i="7"/>
  <c r="H94" i="7"/>
  <c r="H63" i="7"/>
  <c r="H68" i="7"/>
  <c r="H67" i="7"/>
  <c r="H96" i="7"/>
  <c r="H65" i="7"/>
  <c r="H90" i="7"/>
  <c r="H92" i="7"/>
  <c r="H73" i="7"/>
  <c r="H86" i="7"/>
  <c r="H64" i="7"/>
  <c r="H87" i="7"/>
  <c r="J52" i="4"/>
  <c r="J251" i="5"/>
  <c r="F70" i="3"/>
  <c r="J83" i="4"/>
  <c r="J86" i="4"/>
  <c r="L38" i="3"/>
  <c r="L37" i="3"/>
  <c r="L40" i="3"/>
  <c r="L33" i="3"/>
  <c r="L29" i="3"/>
  <c r="L34" i="3"/>
  <c r="L35" i="3"/>
  <c r="L32" i="3"/>
  <c r="L31" i="3"/>
  <c r="L28" i="3"/>
  <c r="L39" i="3"/>
  <c r="J41" i="3"/>
  <c r="H33" i="3"/>
  <c r="H32" i="3"/>
  <c r="H39" i="3"/>
  <c r="H37" i="3"/>
  <c r="H31" i="3"/>
  <c r="H34" i="3"/>
  <c r="H36" i="3"/>
  <c r="H35" i="3"/>
  <c r="H40" i="3"/>
  <c r="H38" i="3"/>
  <c r="H30" i="3"/>
  <c r="H29" i="3"/>
  <c r="L36" i="3"/>
  <c r="H17" i="11"/>
  <c r="F63" i="2"/>
  <c r="F354" i="5"/>
  <c r="H41" i="9"/>
  <c r="K34" i="8"/>
  <c r="F87" i="2"/>
  <c r="F115" i="2"/>
  <c r="F91" i="2"/>
  <c r="F110" i="2"/>
  <c r="F95" i="2"/>
  <c r="F85" i="2"/>
  <c r="F89" i="2"/>
  <c r="F102" i="2"/>
  <c r="F114" i="2"/>
  <c r="F99" i="2"/>
  <c r="F118" i="2"/>
  <c r="F116" i="2"/>
  <c r="F94" i="2"/>
  <c r="F106" i="2"/>
  <c r="F117" i="2"/>
  <c r="F86" i="2"/>
  <c r="F98" i="2"/>
  <c r="F103" i="2"/>
  <c r="F113" i="2"/>
  <c r="F109" i="2"/>
  <c r="F93" i="2"/>
  <c r="F88" i="2"/>
  <c r="F92" i="2"/>
  <c r="F105" i="2"/>
  <c r="F97" i="2"/>
  <c r="F101" i="2"/>
  <c r="F111" i="2"/>
  <c r="F90" i="2"/>
  <c r="F104" i="2"/>
  <c r="F119" i="2"/>
  <c r="F112" i="2"/>
  <c r="F96" i="2"/>
  <c r="F120" i="2"/>
  <c r="F107" i="2"/>
  <c r="F108" i="2"/>
  <c r="J41" i="9"/>
  <c r="F93" i="3"/>
  <c r="F113" i="3"/>
  <c r="J74" i="4"/>
  <c r="H16" i="9"/>
  <c r="I11" i="8"/>
  <c r="I13" i="8" s="1"/>
  <c r="J16" i="9"/>
  <c r="D41" i="11"/>
  <c r="F84" i="3"/>
  <c r="F101" i="3"/>
  <c r="F102" i="3"/>
  <c r="F81" i="3"/>
  <c r="F106" i="3"/>
  <c r="F98" i="3"/>
  <c r="K35" i="6"/>
  <c r="F94" i="3"/>
  <c r="D159" i="4"/>
  <c r="F17" i="11"/>
  <c r="H31" i="9"/>
  <c r="F90" i="3"/>
  <c r="J162" i="7"/>
  <c r="L85" i="4"/>
  <c r="L83" i="4"/>
  <c r="L81" i="4"/>
  <c r="L79" i="4"/>
  <c r="L77" i="4"/>
  <c r="L75" i="4"/>
  <c r="L73" i="4"/>
  <c r="L71" i="4"/>
  <c r="L69" i="4"/>
  <c r="L67" i="4"/>
  <c r="L65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4" i="4"/>
  <c r="L61" i="4"/>
  <c r="L52" i="4"/>
  <c r="L57" i="4"/>
  <c r="L63" i="4"/>
  <c r="L59" i="4"/>
  <c r="L53" i="4"/>
  <c r="L51" i="4"/>
  <c r="L55" i="4"/>
  <c r="F41" i="11"/>
  <c r="G283" i="5"/>
  <c r="H270" i="5" s="1"/>
  <c r="G88" i="4"/>
  <c r="K282" i="5"/>
  <c r="F107" i="3"/>
  <c r="F88" i="3"/>
  <c r="F95" i="3"/>
  <c r="F87" i="3"/>
  <c r="F108" i="3"/>
  <c r="F104" i="3"/>
  <c r="F100" i="3"/>
  <c r="F97" i="3"/>
  <c r="F82" i="3"/>
  <c r="F111" i="3"/>
  <c r="F99" i="3"/>
  <c r="F92" i="3"/>
  <c r="F86" i="3"/>
  <c r="F110" i="3"/>
  <c r="F89" i="3"/>
  <c r="F83" i="3"/>
  <c r="F103" i="3"/>
  <c r="F80" i="3"/>
  <c r="F91" i="3"/>
  <c r="F79" i="3"/>
  <c r="F105" i="3"/>
  <c r="F96" i="3"/>
  <c r="F112" i="3"/>
  <c r="F85" i="3"/>
  <c r="D142" i="5"/>
  <c r="D353" i="5"/>
  <c r="D352" i="5"/>
  <c r="D350" i="5"/>
  <c r="D349" i="5"/>
  <c r="D44" i="4"/>
  <c r="F114" i="3"/>
  <c r="D351" i="5"/>
  <c r="H162" i="7"/>
  <c r="J31" i="9"/>
  <c r="L275" i="5"/>
  <c r="L273" i="5"/>
  <c r="L271" i="5"/>
  <c r="L269" i="5"/>
  <c r="L267" i="5"/>
  <c r="L265" i="5"/>
  <c r="L281" i="5"/>
  <c r="L278" i="5"/>
  <c r="L280" i="5"/>
  <c r="L274" i="5"/>
  <c r="L272" i="5"/>
  <c r="L270" i="5"/>
  <c r="L268" i="5"/>
  <c r="L266" i="5"/>
  <c r="L264" i="5"/>
  <c r="L262" i="5"/>
  <c r="L260" i="5"/>
  <c r="L258" i="5"/>
  <c r="L256" i="5"/>
  <c r="L257" i="5"/>
  <c r="L263" i="5"/>
  <c r="L254" i="5"/>
  <c r="L252" i="5"/>
  <c r="L250" i="5"/>
  <c r="L248" i="5"/>
  <c r="L246" i="5"/>
  <c r="L244" i="5"/>
  <c r="L242" i="5"/>
  <c r="L240" i="5"/>
  <c r="L238" i="5"/>
  <c r="L236" i="5"/>
  <c r="L234" i="5"/>
  <c r="L232" i="5"/>
  <c r="L230" i="5"/>
  <c r="L228" i="5"/>
  <c r="L226" i="5"/>
  <c r="L224" i="5"/>
  <c r="L222" i="5"/>
  <c r="L220" i="5"/>
  <c r="L218" i="5"/>
  <c r="L216" i="5"/>
  <c r="L214" i="5"/>
  <c r="L212" i="5"/>
  <c r="L210" i="5"/>
  <c r="L208" i="5"/>
  <c r="L206" i="5"/>
  <c r="L204" i="5"/>
  <c r="L202" i="5"/>
  <c r="L200" i="5"/>
  <c r="L198" i="5"/>
  <c r="L196" i="5"/>
  <c r="L194" i="5"/>
  <c r="L192" i="5"/>
  <c r="L190" i="5"/>
  <c r="L188" i="5"/>
  <c r="L186" i="5"/>
  <c r="L184" i="5"/>
  <c r="L182" i="5"/>
  <c r="L180" i="5"/>
  <c r="L178" i="5"/>
  <c r="L176" i="5"/>
  <c r="L276" i="5"/>
  <c r="L277" i="5"/>
  <c r="L249" i="5"/>
  <c r="L241" i="5"/>
  <c r="L233" i="5"/>
  <c r="L225" i="5"/>
  <c r="L217" i="5"/>
  <c r="L209" i="5"/>
  <c r="L201" i="5"/>
  <c r="L279" i="5"/>
  <c r="L193" i="5"/>
  <c r="L259" i="5"/>
  <c r="L247" i="5"/>
  <c r="L239" i="5"/>
  <c r="L231" i="5"/>
  <c r="L223" i="5"/>
  <c r="L215" i="5"/>
  <c r="L207" i="5"/>
  <c r="L199" i="5"/>
  <c r="L183" i="5"/>
  <c r="L185" i="5"/>
  <c r="L173" i="5"/>
  <c r="L171" i="5"/>
  <c r="L169" i="5"/>
  <c r="L167" i="5"/>
  <c r="L165" i="5"/>
  <c r="L163" i="5"/>
  <c r="L243" i="5"/>
  <c r="L235" i="5"/>
  <c r="L227" i="5"/>
  <c r="L219" i="5"/>
  <c r="L211" i="5"/>
  <c r="L203" i="5"/>
  <c r="L191" i="5"/>
  <c r="L261" i="5"/>
  <c r="L187" i="5"/>
  <c r="L170" i="5"/>
  <c r="L255" i="5"/>
  <c r="L253" i="5"/>
  <c r="L251" i="5"/>
  <c r="L245" i="5"/>
  <c r="L237" i="5"/>
  <c r="L229" i="5"/>
  <c r="L221" i="5"/>
  <c r="L213" i="5"/>
  <c r="L205" i="5"/>
  <c r="L197" i="5"/>
  <c r="L172" i="5"/>
  <c r="L164" i="5"/>
  <c r="L157" i="5"/>
  <c r="L149" i="5"/>
  <c r="L195" i="5"/>
  <c r="L181" i="5"/>
  <c r="L168" i="5"/>
  <c r="L158" i="5"/>
  <c r="L150" i="5"/>
  <c r="L189" i="5"/>
  <c r="L179" i="5"/>
  <c r="L159" i="5"/>
  <c r="L151" i="5"/>
  <c r="L174" i="5"/>
  <c r="L160" i="5"/>
  <c r="L152" i="5"/>
  <c r="L166" i="5"/>
  <c r="L162" i="5"/>
  <c r="L154" i="5"/>
  <c r="L175" i="5"/>
  <c r="L155" i="5"/>
  <c r="L156" i="5"/>
  <c r="L177" i="5"/>
  <c r="L161" i="5"/>
  <c r="L153" i="5"/>
  <c r="I282" i="5"/>
  <c r="G282" i="5"/>
  <c r="F159" i="4"/>
  <c r="H98" i="7" l="1"/>
  <c r="L41" i="3"/>
  <c r="H41" i="3"/>
  <c r="H201" i="5"/>
  <c r="H165" i="5"/>
  <c r="H163" i="5"/>
  <c r="H214" i="5"/>
  <c r="H152" i="5"/>
  <c r="H269" i="5"/>
  <c r="H259" i="5"/>
  <c r="F121" i="2"/>
  <c r="H241" i="5"/>
  <c r="H177" i="5"/>
  <c r="H244" i="5"/>
  <c r="H193" i="5"/>
  <c r="H271" i="5"/>
  <c r="H246" i="5"/>
  <c r="H171" i="5"/>
  <c r="H230" i="5"/>
  <c r="H267" i="5"/>
  <c r="H172" i="5"/>
  <c r="H275" i="5"/>
  <c r="H247" i="5"/>
  <c r="H159" i="5"/>
  <c r="H253" i="5"/>
  <c r="H277" i="5"/>
  <c r="H236" i="5"/>
  <c r="H245" i="5"/>
  <c r="H210" i="5"/>
  <c r="H238" i="5"/>
  <c r="H186" i="5"/>
  <c r="H264" i="5"/>
  <c r="H281" i="5"/>
  <c r="H224" i="5"/>
  <c r="H194" i="5"/>
  <c r="H217" i="5"/>
  <c r="H250" i="5"/>
  <c r="H167" i="5"/>
  <c r="H274" i="5"/>
  <c r="H166" i="5"/>
  <c r="H169" i="5"/>
  <c r="H279" i="5"/>
  <c r="H196" i="5"/>
  <c r="H226" i="5"/>
  <c r="H202" i="5"/>
  <c r="H185" i="5"/>
  <c r="H197" i="5"/>
  <c r="H164" i="5"/>
  <c r="H212" i="5"/>
  <c r="H176" i="5"/>
  <c r="H215" i="5"/>
  <c r="H192" i="5"/>
  <c r="H239" i="5"/>
  <c r="H181" i="5"/>
  <c r="H207" i="5"/>
  <c r="H182" i="5"/>
  <c r="H263" i="5"/>
  <c r="H216" i="5"/>
  <c r="H187" i="5"/>
  <c r="H256" i="5"/>
  <c r="J87" i="4"/>
  <c r="H258" i="5"/>
  <c r="H183" i="5"/>
  <c r="H179" i="5"/>
  <c r="H265" i="5"/>
  <c r="H206" i="5"/>
  <c r="H276" i="5"/>
  <c r="H200" i="5"/>
  <c r="H225" i="5"/>
  <c r="H227" i="5"/>
  <c r="H257" i="5"/>
  <c r="H191" i="5"/>
  <c r="H184" i="5"/>
  <c r="H155" i="5"/>
  <c r="H153" i="5"/>
  <c r="H218" i="5"/>
  <c r="H229" i="5"/>
  <c r="H249" i="5"/>
  <c r="H174" i="5"/>
  <c r="H208" i="5"/>
  <c r="H235" i="5"/>
  <c r="H220" i="5"/>
  <c r="H149" i="5"/>
  <c r="H170" i="5"/>
  <c r="H261" i="5"/>
  <c r="H273" i="5"/>
  <c r="H219" i="5"/>
  <c r="H231" i="5"/>
  <c r="H209" i="5"/>
  <c r="H190" i="5"/>
  <c r="H237" i="5"/>
  <c r="H254" i="5"/>
  <c r="H203" i="5"/>
  <c r="H154" i="5"/>
  <c r="H272" i="5"/>
  <c r="H204" i="5"/>
  <c r="H156" i="5"/>
  <c r="H175" i="5"/>
  <c r="H240" i="5"/>
  <c r="H195" i="5"/>
  <c r="H262" i="5"/>
  <c r="H228" i="5"/>
  <c r="H161" i="5"/>
  <c r="H234" i="5"/>
  <c r="H198" i="5"/>
  <c r="H180" i="5"/>
  <c r="H221" i="5"/>
  <c r="H162" i="5"/>
  <c r="H188" i="5"/>
  <c r="H173" i="5"/>
  <c r="H278" i="5"/>
  <c r="H280" i="5"/>
  <c r="H205" i="5"/>
  <c r="H151" i="5"/>
  <c r="L282" i="5"/>
  <c r="D354" i="5"/>
  <c r="H160" i="5"/>
  <c r="H248" i="5"/>
  <c r="H252" i="5"/>
  <c r="H150" i="5"/>
  <c r="H211" i="5"/>
  <c r="H178" i="5"/>
  <c r="H251" i="5"/>
  <c r="H243" i="5"/>
  <c r="H233" i="5"/>
  <c r="H268" i="5"/>
  <c r="H232" i="5"/>
  <c r="H157" i="5"/>
  <c r="H189" i="5"/>
  <c r="H222" i="5"/>
  <c r="H168" i="5"/>
  <c r="J282" i="5"/>
  <c r="L87" i="4"/>
  <c r="F115" i="3"/>
  <c r="H61" i="4"/>
  <c r="H68" i="4"/>
  <c r="H64" i="4"/>
  <c r="H66" i="4"/>
  <c r="H69" i="4"/>
  <c r="H85" i="4"/>
  <c r="H84" i="4"/>
  <c r="H76" i="4"/>
  <c r="H62" i="4"/>
  <c r="H63" i="4"/>
  <c r="H74" i="4"/>
  <c r="H83" i="4"/>
  <c r="H67" i="4"/>
  <c r="H58" i="4"/>
  <c r="H70" i="4"/>
  <c r="H53" i="4"/>
  <c r="H56" i="4"/>
  <c r="H78" i="4"/>
  <c r="H59" i="4"/>
  <c r="H57" i="4"/>
  <c r="H71" i="4"/>
  <c r="H77" i="4"/>
  <c r="H86" i="4"/>
  <c r="H72" i="4"/>
  <c r="H54" i="4"/>
  <c r="H52" i="4"/>
  <c r="H60" i="4"/>
  <c r="H81" i="4"/>
  <c r="H65" i="4"/>
  <c r="H51" i="4"/>
  <c r="H55" i="4"/>
  <c r="H79" i="4"/>
  <c r="H80" i="4"/>
  <c r="H73" i="4"/>
  <c r="H75" i="4"/>
  <c r="H82" i="4"/>
  <c r="H242" i="5"/>
  <c r="H199" i="5"/>
  <c r="H260" i="5"/>
  <c r="H223" i="5"/>
  <c r="H266" i="5"/>
  <c r="H158" i="5"/>
  <c r="H255" i="5"/>
  <c r="H213" i="5"/>
  <c r="H87" i="4" l="1"/>
  <c r="H28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<sst xmlns="http://schemas.openxmlformats.org/spreadsheetml/2006/main" count="1378" uniqueCount="467">
  <si>
    <t>CONTENTS OF THIS WORKBOOK</t>
  </si>
  <si>
    <t>Blue tabs indicate locations where the user must supply the data to be analyzed.</t>
  </si>
  <si>
    <t>Orange tabs provide a static display of crash data.</t>
  </si>
  <si>
    <t>Yellow tabs provide a static display of party data</t>
  </si>
  <si>
    <t>Green cells within each tab are cells that are inputs/cells that you could edit accordingly to your needs</t>
  </si>
  <si>
    <t>TAB</t>
  </si>
  <si>
    <t>DESCRIPTION</t>
  </si>
  <si>
    <t>INSTRUCTIONS</t>
  </si>
  <si>
    <t>Severity</t>
  </si>
  <si>
    <t>Tables and charts regarding crash severities</t>
  </si>
  <si>
    <t>Crash Severity, Crash Severity by Road User, Crash Type by Severity (Dynamic Input), PCF by Severity (Dynamic Input)</t>
  </si>
  <si>
    <t>Type</t>
  </si>
  <si>
    <t>Tables and charts regarding crash types</t>
  </si>
  <si>
    <t>Crash Type, Severity by Crash Type (Dynamic Input), PCF by Crash Type (Dynamic Input)</t>
  </si>
  <si>
    <t>PCF</t>
  </si>
  <si>
    <t>Tables and charts regarding PCFs</t>
  </si>
  <si>
    <t>PCF, PCF and Crash Severity, PCF and Crash Type, Severity by PCF (Dynamic Input)</t>
  </si>
  <si>
    <t>Temporal</t>
  </si>
  <si>
    <t>Tables and charts regarding temporal trends</t>
  </si>
  <si>
    <t>Year-over-year, Month, Time of day by day of week (Dynamic Input)</t>
  </si>
  <si>
    <t>Rdwy Cond</t>
  </si>
  <si>
    <t>Tables and charts regarding roadway conditions at the time of the crash</t>
  </si>
  <si>
    <t>Lighting, Weather, Road surface</t>
  </si>
  <si>
    <t>Drvr Cond</t>
  </si>
  <si>
    <t>Tables and charts regarding the state of the driver at the time of the crash</t>
  </si>
  <si>
    <t>Impaired Driving, Lack of Occupant Protection, Distracted Driving</t>
  </si>
  <si>
    <t>Road User</t>
  </si>
  <si>
    <t>Tables and charts regarding the road user</t>
  </si>
  <si>
    <t>Pedestrian Action, Bicyclist Crash Type and Severity, Bicyclist PCF and Severity, Lighting Dynamic Input), Time of day by day of week (Dynamic Input)</t>
  </si>
  <si>
    <t>Location</t>
  </si>
  <si>
    <t>Tables and charts regarding intersections</t>
  </si>
  <si>
    <t>Intersection vs Segment broken down by Road User</t>
  </si>
  <si>
    <t>Age + Race</t>
  </si>
  <si>
    <t>Tables and charts regarding age and race of party</t>
  </si>
  <si>
    <t>Party age and party type, Party race and party type</t>
  </si>
  <si>
    <t>Collision</t>
  </si>
  <si>
    <t>Filtered Single-Line dataset</t>
  </si>
  <si>
    <t>Copy data from Collision level csv</t>
  </si>
  <si>
    <t>Party</t>
  </si>
  <si>
    <t>Filtered Party dataset</t>
  </si>
  <si>
    <t>Copy data from Party level csv and keep only "Record type 3".</t>
  </si>
  <si>
    <t>SET UP</t>
  </si>
  <si>
    <t>Input Crash Severity Column</t>
  </si>
  <si>
    <t xml:space="preserve">CRASH SEVERITY </t>
  </si>
  <si>
    <t>All Crashes</t>
  </si>
  <si>
    <t>Crash Severity</t>
  </si>
  <si>
    <t>Crash Count</t>
  </si>
  <si>
    <t>Crash Share</t>
  </si>
  <si>
    <t>Fatal</t>
  </si>
  <si>
    <t>Severe Injury</t>
  </si>
  <si>
    <t>Moderate Injury</t>
  </si>
  <si>
    <t>Minor Injury</t>
  </si>
  <si>
    <t>PDO</t>
  </si>
  <si>
    <t>Total</t>
  </si>
  <si>
    <t>CRASH SEVERITY BY ROAD USER</t>
  </si>
  <si>
    <t>Pedestrian-Involved</t>
  </si>
  <si>
    <t>Pedalcyclist-Involved</t>
  </si>
  <si>
    <t>Motorcycle-Involved</t>
  </si>
  <si>
    <t>Motor Vehicle Only or Vehicle-Fixed Object</t>
  </si>
  <si>
    <t>Crash Count2</t>
  </si>
  <si>
    <t>Crash Share2</t>
  </si>
  <si>
    <t>Crash Count4</t>
  </si>
  <si>
    <t>Crash Share4</t>
  </si>
  <si>
    <t>Crash Count3</t>
  </si>
  <si>
    <t>Crash Share3</t>
  </si>
  <si>
    <t>*Note that this total could be higher than the total crashes because of crashes that involve both bicycles and pedestrians get counted twice</t>
  </si>
  <si>
    <t>DYNAMIC SEVERITY CHARTS</t>
  </si>
  <si>
    <t xml:space="preserve">Choose a severity:  </t>
  </si>
  <si>
    <t>Filter for the crash types you don't wish to chart</t>
  </si>
  <si>
    <t>CRASH TYPE</t>
  </si>
  <si>
    <t>Crash Type</t>
  </si>
  <si>
    <t>Label</t>
  </si>
  <si>
    <t>Pedestrian</t>
  </si>
  <si>
    <t>Head-On</t>
  </si>
  <si>
    <t>Turning Movement</t>
  </si>
  <si>
    <t>Rear-End</t>
  </si>
  <si>
    <t>Angle</t>
  </si>
  <si>
    <t>Sideswipe-overtaking</t>
  </si>
  <si>
    <t>Fixed-Object or Other-Object</t>
  </si>
  <si>
    <t>Non-collision</t>
  </si>
  <si>
    <t>Sideswipe-meeting</t>
  </si>
  <si>
    <t>Backing</t>
  </si>
  <si>
    <t>Pedalcyclist</t>
  </si>
  <si>
    <t>Parking Maneuver</t>
  </si>
  <si>
    <t>Miscellaneous</t>
  </si>
  <si>
    <t>Other Visible Injury</t>
  </si>
  <si>
    <t>Complaint of Pain</t>
  </si>
  <si>
    <t>Injury (All)</t>
  </si>
  <si>
    <t>Fatal/Severe Injury</t>
  </si>
  <si>
    <t>Filter for the causes you don't wish to chart</t>
  </si>
  <si>
    <t>CRASH CAUSE</t>
  </si>
  <si>
    <t>Crash Cause</t>
  </si>
  <si>
    <t>No cause associated at this level</t>
  </si>
  <si>
    <t>Speed too fast for conditions (Not exceeding limit)</t>
  </si>
  <si>
    <t>Did not yield right-of-way</t>
  </si>
  <si>
    <t>Passed stop sign or red flasher</t>
  </si>
  <si>
    <t>Disregarded traffic signal</t>
  </si>
  <si>
    <t>*Drove left of center on two-way road; straddling the center line</t>
  </si>
  <si>
    <t>Improper overtaking</t>
  </si>
  <si>
    <t>Followed too closely</t>
  </si>
  <si>
    <t>Made improper turn</t>
  </si>
  <si>
    <t>*Other improper driving</t>
  </si>
  <si>
    <t>Mechanical defect - other than represented by codes 21, 22, or 25</t>
  </si>
  <si>
    <t>*Other (Not improper driving)</t>
  </si>
  <si>
    <t>Improper change of traffic lanes</t>
  </si>
  <si>
    <t>Disregarded other traffic control device</t>
  </si>
  <si>
    <t>Wrong way on one-way roadway</t>
  </si>
  <si>
    <t>Driver drowsy / fatigued / sleepy</t>
  </si>
  <si>
    <t>Physical Illness</t>
  </si>
  <si>
    <t>Non-Motorist illegally in roadway</t>
  </si>
  <si>
    <t>Not visible: dark / non-reflective clothing</t>
  </si>
  <si>
    <t>Vehicle improperly parked</t>
  </si>
  <si>
    <t>Defective steering mechanism</t>
  </si>
  <si>
    <t>Inadequate or no brakes</t>
  </si>
  <si>
    <t>Vehicle lost load or load shifted</t>
  </si>
  <si>
    <t>Tire failure</t>
  </si>
  <si>
    <t>Phantom / non-contact vehicle</t>
  </si>
  <si>
    <t>Inattention</t>
  </si>
  <si>
    <t>Non-Motorist Inattention</t>
  </si>
  <si>
    <t>Failed to avoid vehicle ahead</t>
  </si>
  <si>
    <t>Driving in excess of posted speed</t>
  </si>
  <si>
    <t>Speed Racing (Per PAR or self-reported)</t>
  </si>
  <si>
    <t>Careless Driving (Per PAR or self-reported)</t>
  </si>
  <si>
    <t>Reckless Driving (Per PAR or self-reported)</t>
  </si>
  <si>
    <t>*Aggressive Driving (Per PAR)</t>
  </si>
  <si>
    <t>*Road Rage (Per PAR)</t>
  </si>
  <si>
    <t>View Obscured</t>
  </si>
  <si>
    <t>Improper use of median or shoulder</t>
  </si>
  <si>
    <t>Total Reported Crashes</t>
  </si>
  <si>
    <t>Input Crash Type Column</t>
  </si>
  <si>
    <t>Turning
Movement</t>
  </si>
  <si>
    <t>Sideswipe-
overtaking</t>
  </si>
  <si>
    <t>Fixed-Object or
Other-Object</t>
  </si>
  <si>
    <t>Sideswipe-
meeting</t>
  </si>
  <si>
    <t>CRASH TYPE AND SEVERITY</t>
  </si>
  <si>
    <t>Other Injury</t>
  </si>
  <si>
    <t>DYNAMIC TYPE CHARTS</t>
  </si>
  <si>
    <t xml:space="preserve">Choose a crash type:  </t>
  </si>
  <si>
    <t>CRASH SEVERITY</t>
  </si>
  <si>
    <t>Input  the first Crash Cause Column</t>
  </si>
  <si>
    <t>Speed too fast for conditions
(Not exceeding limit)</t>
  </si>
  <si>
    <t>*Drove left of center on two-way road; 
straddling the center line</t>
  </si>
  <si>
    <t>Mechanical defect - other than
represented by codes 21, 22, or 25</t>
  </si>
  <si>
    <t>CRASH CAUSE AND CRASH SEVERITY</t>
  </si>
  <si>
    <t>Filter for the  causes you don't wish to chart</t>
  </si>
  <si>
    <t>DYNAMIC CRASH CAUSE CHARTS</t>
  </si>
  <si>
    <t xml:space="preserve">Choose a crash cause:  </t>
  </si>
  <si>
    <t>Input  the first Crash Event Column</t>
  </si>
  <si>
    <t>CRASH EVENT</t>
  </si>
  <si>
    <t>Crash Event</t>
  </si>
  <si>
    <t xml:space="preserve">None applicable at this level </t>
  </si>
  <si>
    <t>Occupant fell, jumped, or was ejected from moving vehicle</t>
  </si>
  <si>
    <t>Passenger interfered with driver</t>
  </si>
  <si>
    <t>Animal or insect in vehicle interfered with driver</t>
  </si>
  <si>
    <t>Pedestrian indirectly involved (Not struck)</t>
  </si>
  <si>
    <t>"Sub-Ped": pedestrian struck subsequent to collision, etc.</t>
  </si>
  <si>
    <t>Pedal-cyclist indirectly involved (Not struck)</t>
  </si>
  <si>
    <t>Hitchhiker (Soliciting a ride)</t>
  </si>
  <si>
    <t>Passenger or non-motorist being towed or pushed on conveyance</t>
  </si>
  <si>
    <t>Actively getting on or off stopped or parked vehicle (must have physical contact with vehicle)</t>
  </si>
  <si>
    <t>Overturned after first harmful event</t>
  </si>
  <si>
    <t>Vehicle being pushed</t>
  </si>
  <si>
    <t>Vehicle towed or had been towing another vehicle</t>
  </si>
  <si>
    <t>Vehicle forced by impact into another vehicle, cyclist or pedestrian</t>
  </si>
  <si>
    <t>Vehicle set in motion by non-driver (Child released brakes, etc.)</t>
  </si>
  <si>
    <t>At or on railroad right-of-way (Not light-rail)</t>
  </si>
  <si>
    <t>At or on light-rail right-of-way</t>
  </si>
  <si>
    <t>Train struck vehicle</t>
  </si>
  <si>
    <t>Vehicle struck train</t>
  </si>
  <si>
    <t>Vehicle struck railroad car on roadway</t>
  </si>
  <si>
    <t>Jackknife: trailer or towed vehicle struck towing vehicle</t>
  </si>
  <si>
    <t>Trailer or towed vehicle overturned</t>
  </si>
  <si>
    <t>Trailer connection broke</t>
  </si>
  <si>
    <t>Detached trailing object struck other vehicle, non-motorist, or object</t>
  </si>
  <si>
    <t>Vehicle door opened into adjacent traffic lane</t>
  </si>
  <si>
    <t>Wheel came off</t>
  </si>
  <si>
    <t>Hood flew up</t>
  </si>
  <si>
    <t>Lost load, load moved or shifted</t>
  </si>
  <si>
    <t>Pet: cat, dog and similar</t>
  </si>
  <si>
    <t>Stock: cow, calf, bull, steer, sheep, etc.</t>
  </si>
  <si>
    <t>Horse, mule, or donkey</t>
  </si>
  <si>
    <t>Horse and rider</t>
  </si>
  <si>
    <t>Wild animal, game (Includes birds; not deer or elk)</t>
  </si>
  <si>
    <t>Deer or elk, wapiti</t>
  </si>
  <si>
    <t>Animal-drawn vehicle</t>
  </si>
  <si>
    <t>Culvert, open low or high manhole</t>
  </si>
  <si>
    <t>*Impact attenuator</t>
  </si>
  <si>
    <t>Parking meter</t>
  </si>
  <si>
    <t>Curb (Also narrow sidewalks or bridges)</t>
  </si>
  <si>
    <t>Jiggle bars or traffic snake for channelization</t>
  </si>
  <si>
    <t>Leading edge of guardrail</t>
  </si>
  <si>
    <t>Guard rail (Not metal median barrier)</t>
  </si>
  <si>
    <t>Median barrier (Raised or metal)</t>
  </si>
  <si>
    <t>Retaining wall or tunnel wall</t>
  </si>
  <si>
    <t>*Bridge railing or parapet (On bridge or approach)</t>
  </si>
  <si>
    <t>*Bridge abutment (Approach ends)</t>
  </si>
  <si>
    <t>*Bridge pillar or column -- even if struck protective guardrail first</t>
  </si>
  <si>
    <t>*Bridge girder (horizontal bridge structure overhead)</t>
  </si>
  <si>
    <t>Traffic raised island</t>
  </si>
  <si>
    <t>*Gore</t>
  </si>
  <si>
    <t>Pole - type unknown</t>
  </si>
  <si>
    <t>Pole - power or telephone</t>
  </si>
  <si>
    <t>Pole - street light only</t>
  </si>
  <si>
    <t>Pole - traffic signal and/or ped signal only</t>
  </si>
  <si>
    <t>Pole - sign bridge</t>
  </si>
  <si>
    <t>Stop or yield sign</t>
  </si>
  <si>
    <t>Other sign, including street signs</t>
  </si>
  <si>
    <t>Hydrant</t>
  </si>
  <si>
    <t>Delineator or marker (Reflector posts)</t>
  </si>
  <si>
    <t>Mailbox</t>
  </si>
  <si>
    <t>Tree, stump or shrubs</t>
  </si>
  <si>
    <t>Tree branch or other vegetation overhead, etc.</t>
  </si>
  <si>
    <t>Wire or cable across or over the road</t>
  </si>
  <si>
    <t>Temporary sign or barricade in road, etc.</t>
  </si>
  <si>
    <t>Permanent sign or barricade in/off road</t>
  </si>
  <si>
    <t>Slides, rocks off or on road, falling rocks</t>
  </si>
  <si>
    <t>Foreign obstruction / debris in road (Not gravel)</t>
  </si>
  <si>
    <t>Equipment working in/off road</t>
  </si>
  <si>
    <t>Other equipment in or off road (Including parked trailer, boat)</t>
  </si>
  <si>
    <t>Wrecker, street sweeper, snow plow or sanding equipment</t>
  </si>
  <si>
    <t>Rock, brick or other solid wall</t>
  </si>
  <si>
    <t>Other bump (not speed bump) pothole or pavement irregularity (Per PAR)</t>
  </si>
  <si>
    <t>Other overhead object (highway sign, signal head, etc.); not Bridge</t>
  </si>
  <si>
    <t>Bridge or road cave in</t>
  </si>
  <si>
    <t>High water</t>
  </si>
  <si>
    <t>Snow bank</t>
  </si>
  <si>
    <t>Low or high shoulder at pavement edge</t>
  </si>
  <si>
    <t>Cut slope or ditch embankment</t>
  </si>
  <si>
    <t>Struck by rock or other object set in motion by other vehicle, including lost loads  (Do not use
with code 081)</t>
  </si>
  <si>
    <t>Struck by rock or other moving, falling or flying object  (Do not use with code 080)</t>
  </si>
  <si>
    <t>Vehicle obscured view</t>
  </si>
  <si>
    <t>Vegetation obscured view</t>
  </si>
  <si>
    <t>View obscured by fence, sign, phone booth, etc.</t>
  </si>
  <si>
    <t>Wind gust</t>
  </si>
  <si>
    <t>Vehicle immersed in body of water</t>
  </si>
  <si>
    <t>Fire or explosion</t>
  </si>
  <si>
    <t>Fence or building, etc.</t>
  </si>
  <si>
    <t>Crash related to another separate crash</t>
  </si>
  <si>
    <t>Two-way traffic on divided roadway all routed to one side</t>
  </si>
  <si>
    <t>Building, other structure</t>
  </si>
  <si>
    <t>Other (phantom) non-contact vehicle (On PAR or witness statement)</t>
  </si>
  <si>
    <t>Cell phone (on PAR or report submitted by driver using phone)</t>
  </si>
  <si>
    <t>Police report indicates teenage driver of an involved vehicle was in violation of graduated license program</t>
  </si>
  <si>
    <t>*Guy wire</t>
  </si>
  <si>
    <t>Berm (Earthen or gravel mound)</t>
  </si>
  <si>
    <t>Gravel in roadway</t>
  </si>
  <si>
    <t>Abrupt edge</t>
  </si>
  <si>
    <t>Cell phone use witnessed by other participant</t>
  </si>
  <si>
    <t>Fixed object, unknown type</t>
  </si>
  <si>
    <t>Non-Fixed object, other or unknown type</t>
  </si>
  <si>
    <t xml:space="preserve">Texting </t>
  </si>
  <si>
    <t>Work Zone Worker</t>
  </si>
  <si>
    <t>Passenger riding on vehicle exterior</t>
  </si>
  <si>
    <t>Passenger riding on pedalcycle</t>
  </si>
  <si>
    <t>Pedestrian in non-motorized wheelchair</t>
  </si>
  <si>
    <t>Pedestrian in motorized wheelchair</t>
  </si>
  <si>
    <t>Law Enforcement / Police Officer</t>
  </si>
  <si>
    <t>"Sub-Bike": pedal-cyclist injured subsequent to collision, etc.</t>
  </si>
  <si>
    <t>Non-motorist struck vehicle</t>
  </si>
  <si>
    <t>Street car or trolley (on rails or overhead wire system) struck vehicle</t>
  </si>
  <si>
    <t>Vehicle struck street car / trolley (On rails or overhead wire system)</t>
  </si>
  <si>
    <t>At or on street car or trolley right-of-way</t>
  </si>
  <si>
    <t>Vehicle struck railroad equipment on tracks (Not train)</t>
  </si>
  <si>
    <t>Distracted by navigation system or GPS device</t>
  </si>
  <si>
    <t>Distracted by other electronic device</t>
  </si>
  <si>
    <t>Rail crossing drop arm gate</t>
  </si>
  <si>
    <t>*Expansion joint</t>
  </si>
  <si>
    <t>Jersey barrier</t>
  </si>
  <si>
    <t>Wire or cable median barrier</t>
  </si>
  <si>
    <t>Fence</t>
  </si>
  <si>
    <t>Loose object in vehicle struck occupant</t>
  </si>
  <si>
    <t>Sliding or swerving due to wet, icy, slippery or loose surface</t>
  </si>
  <si>
    <t>Shoulder gave way</t>
  </si>
  <si>
    <t>Rocks / boulder (Not gravel; not rock slide)</t>
  </si>
  <si>
    <t>Rock slide or land slide</t>
  </si>
  <si>
    <t>Curve present at crash location (Do not use with code 130)</t>
  </si>
  <si>
    <t>Vertical grade, hill present at crash location (Do not use with code 131)</t>
  </si>
  <si>
    <t>View obscured by curve (Do not use with code 128)</t>
  </si>
  <si>
    <t>View obscured by vertical grade, hill (Do not use with code 129)</t>
  </si>
  <si>
    <t>View obscured by vehicle window conditions</t>
  </si>
  <si>
    <t>View obscured by water spray</t>
  </si>
  <si>
    <t>Torrential rain (Exceptionally heavy rain)</t>
  </si>
  <si>
    <t>CRASH EVENT AND CRASH SEVERITY</t>
  </si>
  <si>
    <t>Filter for the  events you don't wish to chart</t>
  </si>
  <si>
    <t>DYNAMIC CRASH EVENT CHARTS</t>
  </si>
  <si>
    <t xml:space="preserve">Choose a crash event:  </t>
  </si>
  <si>
    <t>Input Year Column</t>
  </si>
  <si>
    <t>Input Month Column</t>
  </si>
  <si>
    <t>Input Day of Week Column</t>
  </si>
  <si>
    <t>Input Hour Column</t>
  </si>
  <si>
    <t>YEAR-OVER-YEAR</t>
  </si>
  <si>
    <t>If there is a #SPILL error, add as many rows to the bototm as needed to remove this error and edit Crash Share formula accordingly</t>
  </si>
  <si>
    <t>Year</t>
  </si>
  <si>
    <t>MONTH</t>
  </si>
  <si>
    <t>Month (Short)</t>
  </si>
  <si>
    <t>Month (Long)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</si>
  <si>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</si>
  <si>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</si>
  <si>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</si>
  <si>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</si>
  <si>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</si>
  <si>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</si>
  <si>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</si>
  <si>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</si>
  <si>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</si>
  <si>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</si>
  <si>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</si>
  <si>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</si>
  <si>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DYNAMIC TEMPORAL CHARTS</t>
  </si>
  <si>
    <t>TIME OF DAY BY DAY OF WEEK</t>
  </si>
  <si>
    <t>Hour of Day (Short)</t>
  </si>
  <si>
    <t>Hour of Day (Long)</t>
  </si>
  <si>
    <t>Sunday</t>
  </si>
  <si>
    <t>Monday</t>
  </si>
  <si>
    <t>Tuesday</t>
  </si>
  <si>
    <t>Wednesday</t>
  </si>
  <si>
    <t>Thursday</t>
  </si>
  <si>
    <t>Friday</t>
  </si>
  <si>
    <t>Saturday</t>
  </si>
  <si>
    <t>Average Weekend</t>
  </si>
  <si>
    <t>Average Weekday</t>
  </si>
  <si>
    <t>Beginning of Hour</t>
  </si>
  <si>
    <t>12:00 AM - 12:59 AM</t>
  </si>
  <si>
    <t>1:00 AM - 1:59 AM</t>
  </si>
  <si>
    <t>2:00 AM - 2:59 AM</t>
  </si>
  <si>
    <t>3:00 AM - 3:59 AM</t>
  </si>
  <si>
    <t>4:00 AM - 4:59 AM</t>
  </si>
  <si>
    <t>5:00 AM - 5:59 AM</t>
  </si>
  <si>
    <t>6:00 AM - 6:59 AM</t>
  </si>
  <si>
    <t>7:00 AM - 7:59 AM</t>
  </si>
  <si>
    <t>8:00 AM - 8:59 AM</t>
  </si>
  <si>
    <t>9:00 AM - 9:59 AM</t>
  </si>
  <si>
    <t>10:00 AM - 10:59 AM</t>
  </si>
  <si>
    <t>11:00 AM - 11:59 AM</t>
  </si>
  <si>
    <t>12:00 PM - 12:59 PM</t>
  </si>
  <si>
    <t>1:00 PM - 1:59 PM</t>
  </si>
  <si>
    <t>2:00 PM - 2:59 PM</t>
  </si>
  <si>
    <t>3:00 PM - 3:59 PM</t>
  </si>
  <si>
    <t>4:00 PM - 4:59 PM</t>
  </si>
  <si>
    <t>5:00 PM - 5:59 PM</t>
  </si>
  <si>
    <t>6:00 PM - 6:59 PM</t>
  </si>
  <si>
    <t>7:00 PM - 7:59 PM</t>
  </si>
  <si>
    <t>8:00 PM - 8:59 PM</t>
  </si>
  <si>
    <t>9:00 PM - 9:59 PM</t>
  </si>
  <si>
    <t>10:00 PM - 10:59 PM</t>
  </si>
  <si>
    <t>11:00 PM - 11:59 PM</t>
  </si>
  <si>
    <t>Unknown</t>
  </si>
  <si>
    <t>Average^</t>
  </si>
  <si>
    <t>** THIS SHEET IS MAINLY USED FOR ROWS 3 THROUGH 5. DO NOT DELETE **</t>
  </si>
  <si>
    <t>Input Pedestrian Flag Column</t>
  </si>
  <si>
    <t>Input Pedalcyclist Flag Column</t>
  </si>
  <si>
    <t>Input Motorcyclist Flag Column</t>
  </si>
  <si>
    <t>Input Pedestrian Action Column</t>
  </si>
  <si>
    <t>PEDESTRIAN ACTION</t>
  </si>
  <si>
    <t>Filter for the Pedestrian Action you don't wish to chart</t>
  </si>
  <si>
    <t>Pedestrian Action</t>
  </si>
  <si>
    <t>PEDALCYCLIST CRASH TYPE AND SEVERITY</t>
  </si>
  <si>
    <t>PEDALCYCLIST PCF AND SEVERITY</t>
  </si>
  <si>
    <t>Filter for the PCFs you don't wish to chart</t>
  </si>
  <si>
    <t>DYNAMIC ROAD USER CHARTS</t>
  </si>
  <si>
    <t xml:space="preserve">Choose a road user:  </t>
  </si>
  <si>
    <t>Pedestrian-Involved Crashes</t>
  </si>
  <si>
    <t>TEMPORAL</t>
  </si>
  <si>
    <t>Total/Average</t>
  </si>
  <si>
    <t>Pedestrian-Involved Fatal/Severe Injury Crashes</t>
  </si>
  <si>
    <t>Pedalcyclist-Involved Crashes</t>
  </si>
  <si>
    <t>Pedalcyclist-Involved Fatal/Severe Injury Crashes</t>
  </si>
  <si>
    <t>LIGHTING</t>
  </si>
  <si>
    <t>Lighting</t>
  </si>
  <si>
    <t>Darkness - no street lights</t>
  </si>
  <si>
    <t>Daylight</t>
  </si>
  <si>
    <t>Darkness - with street lights</t>
  </si>
  <si>
    <t>Dusk (Twilight)</t>
  </si>
  <si>
    <t>Dawn (Twilight)</t>
  </si>
  <si>
    <t>Input Impairment Column</t>
  </si>
  <si>
    <t>Input Occupant Protection Flag Column</t>
  </si>
  <si>
    <t>Input Distracted Driving Flag Column</t>
  </si>
  <si>
    <t>Input Local Driver Flag Column</t>
  </si>
  <si>
    <t>IMPAIRED DRIVING</t>
  </si>
  <si>
    <t>Impairment Flag</t>
  </si>
  <si>
    <t>Impaired</t>
  </si>
  <si>
    <t>Not Impaired</t>
  </si>
  <si>
    <t>LACK OF OCCUPANT PROTECTION</t>
  </si>
  <si>
    <t>Equipment Flag</t>
  </si>
  <si>
    <t>Equipment Used</t>
  </si>
  <si>
    <t>Equipment Not Used</t>
  </si>
  <si>
    <t>DISTRACTED DRIVING</t>
  </si>
  <si>
    <t>Distracted Flag</t>
  </si>
  <si>
    <t>Distracted Driving</t>
  </si>
  <si>
    <t>Distracted</t>
  </si>
  <si>
    <t>Not Distracted</t>
  </si>
  <si>
    <t>LOCAL DRIVER</t>
  </si>
  <si>
    <t>Local Driving Flag</t>
  </si>
  <si>
    <t>Local Driver</t>
  </si>
  <si>
    <t>Not Local Driver</t>
  </si>
  <si>
    <t>Input Lighting Column</t>
  </si>
  <si>
    <t>Input Weather Column</t>
  </si>
  <si>
    <t>Input Road Surface Column</t>
  </si>
  <si>
    <t>WEATHER</t>
  </si>
  <si>
    <t>Weather Condition</t>
  </si>
  <si>
    <t xml:space="preserve">Clear </t>
  </si>
  <si>
    <t>Cloudy</t>
  </si>
  <si>
    <t xml:space="preserve">Rain  </t>
  </si>
  <si>
    <t>Sleet or Freezing Rain or Hail</t>
  </si>
  <si>
    <t>Sleet or Freezing
Rain or Hail</t>
  </si>
  <si>
    <t xml:space="preserve">Fog   </t>
  </si>
  <si>
    <t>Snow</t>
  </si>
  <si>
    <t>Dust</t>
  </si>
  <si>
    <t>Smoke</t>
  </si>
  <si>
    <t>Ash</t>
  </si>
  <si>
    <t>ROAD SURFACE</t>
  </si>
  <si>
    <t>Road Surface</t>
  </si>
  <si>
    <t>Dry</t>
  </si>
  <si>
    <t>Wet</t>
  </si>
  <si>
    <t>Ice</t>
  </si>
  <si>
    <t>Input Intersection Flag Column</t>
  </si>
  <si>
    <t>TOTAL COLLISIONS</t>
  </si>
  <si>
    <t>FATAL/SEVERE INJURY COLLISIONS</t>
  </si>
  <si>
    <t>INTERSECTION</t>
  </si>
  <si>
    <t>SEGMENT</t>
  </si>
  <si>
    <t>PEDESTRIAN</t>
  </si>
  <si>
    <t>PEDALCYCLIST</t>
  </si>
  <si>
    <t>MOTOR-CYCLE</t>
  </si>
  <si>
    <t>MOTOR VEHICLE</t>
  </si>
  <si>
    <t>Input Party Type Column</t>
  </si>
  <si>
    <t>from party-level data</t>
  </si>
  <si>
    <t>Input Age Column</t>
  </si>
  <si>
    <t>Input  Party Action Column</t>
  </si>
  <si>
    <t>PARTY AGE AND PARTY TYPE</t>
  </si>
  <si>
    <t>Driver</t>
  </si>
  <si>
    <t>Age Range</t>
  </si>
  <si>
    <t>Party Count</t>
  </si>
  <si>
    <t>Party Share</t>
  </si>
  <si>
    <t>Party Count2</t>
  </si>
  <si>
    <t>Party Share2</t>
  </si>
  <si>
    <t>Party Count3</t>
  </si>
  <si>
    <t>Party Share3</t>
  </si>
  <si>
    <t>Under 18</t>
  </si>
  <si>
    <t>18 to 24</t>
  </si>
  <si>
    <t>25 to 44</t>
  </si>
  <si>
    <t>45 to 64</t>
  </si>
  <si>
    <t>65 and over</t>
  </si>
  <si>
    <t>Unreported</t>
  </si>
  <si>
    <t>PARTICIPANT ACTION AND PARTY TYPE</t>
  </si>
  <si>
    <t>Filter for the participant action you don't wish to chart</t>
  </si>
  <si>
    <t>Participant Action</t>
  </si>
  <si>
    <t>No action or non-warranted</t>
  </si>
  <si>
    <t>No action or
non-warranted</t>
  </si>
  <si>
    <t>Struck, or was struck by, vehicle or pedestrian in prior collision before crash stabilized</t>
  </si>
  <si>
    <t>Physically ill</t>
  </si>
  <si>
    <t>Pursuing or attempting to stop another vehicle</t>
  </si>
  <si>
    <t>Crossing at intersection - no traffic signal present</t>
  </si>
  <si>
    <t>Crossing at intersection - traffic signal present</t>
  </si>
  <si>
    <t xml:space="preserve">Crossing at intersection - diagonally </t>
  </si>
  <si>
    <t>Crossing between intersections</t>
  </si>
  <si>
    <t>Playing</t>
  </si>
  <si>
    <t>Pushing or working on vehicle</t>
  </si>
  <si>
    <t>Working (in or off roadway, not on a vehicle)</t>
  </si>
  <si>
    <t>Non-Motorist walking, running, riding, etc., with traffic</t>
  </si>
  <si>
    <t>Non-Motorist walking, running, riding, etc., facing traffic</t>
  </si>
  <si>
    <t>Standing or lying down</t>
  </si>
  <si>
    <t>Merging</t>
  </si>
  <si>
    <t xml:space="preserve">Blinded by water spray           </t>
  </si>
  <si>
    <t>Other action</t>
  </si>
  <si>
    <t>Make sure to have one empty tab for each of the following, If it does not exists create them.</t>
  </si>
  <si>
    <t>COI</t>
  </si>
  <si>
    <t>*Copy the formula in B12 and paste it again to populate the Crash Years and save file to update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</si>
</sst>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8"/>
      <color rgb="FF808080"/>
      <name val="Tahoma"/>
      <family val="2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b/>
      <sz val="14"/>
      <color theme="1"/>
      <name val="Bahnschrift SemiBold"/>
      <family val="2"/>
    </font>
    <font>
      <b/>
      <sz val="11"/>
      <color theme="1"/>
      <name val="Bahnschrift Light Condensed"/>
      <family val="2"/>
    </font>
    <font>
      <b/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2"/>
      <name val="Arial"/>
      <family val="2"/>
    </font>
    <font>
      <b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2">
    <xf numFmtId="0" fontId="0" fillId="0" borderId="0"/>
    <xf numFmtId="9" fontId="1" fillId="0" borderId="0"/>
    <xf numFmtId="43" fontId="1" fillId="0" borderId="0"/>
    <xf numFmtId="0" fontId="7" fillId="0" borderId="0"/>
    <xf numFmtId="0" fontId="8" fillId="12" borderId="0">
      <alignment horizontal="left" vertical="top" wrapText="1"/>
    </xf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11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0" xfId="0" applyFont="1"/>
    <xf numFmtId="0" fontId="14" fillId="0" borderId="0" xfId="0" applyFont="1" applyAlignment="1">
      <alignment horizontal="right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14" borderId="5" xfId="0" applyFill="1" applyBorder="1"/>
    <xf numFmtId="0" fontId="0" fillId="14" borderId="6" xfId="0" applyFill="1" applyBorder="1"/>
    <xf numFmtId="0" fontId="0" fillId="14" borderId="13" xfId="0" applyFill="1" applyBorder="1"/>
    <xf numFmtId="0" fontId="0" fillId="14" borderId="7" xfId="0" applyFill="1" applyBorder="1"/>
    <xf numFmtId="0" fontId="0" fillId="14" borderId="0" xfId="0" applyFill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4" xfId="0" applyFill="1" applyBorder="1"/>
    <xf numFmtId="0" fontId="16" fillId="14" borderId="0" xfId="0" applyFont="1" applyFill="1" applyAlignment="1">
      <alignment horizontal="center"/>
    </xf>
    <xf numFmtId="0" fontId="0" fillId="14" borderId="7" xfId="0" applyFill="1" applyBorder="1" applyAlignment="1">
      <alignment horizontal="right"/>
    </xf>
    <xf numFmtId="0" fontId="17" fillId="1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13" xfId="0" applyBorder="1"/>
    <xf numFmtId="9" fontId="17" fillId="14" borderId="8" xfId="1" applyFont="1" applyFill="1" applyBorder="1" applyAlignment="1">
      <alignment horizontal="left"/>
    </xf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3" fillId="13" borderId="0" xfId="0" applyFont="1" applyFill="1"/>
    <xf numFmtId="0" fontId="13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18" fillId="0" borderId="0" xfId="0" applyFont="1"/>
    <xf numFmtId="9" fontId="0" fillId="0" borderId="0" xfId="1" quotePrefix="1" applyFont="1" applyAlignment="1">
      <alignment wrapText="1"/>
    </xf>
    <xf numFmtId="9" fontId="0" fillId="0" borderId="0" xfId="0" applyNumberFormat="1" applyAlignment="1">
      <alignment wrapText="1"/>
    </xf>
    <xf numFmtId="0" fontId="5" fillId="10" borderId="0" xfId="0" applyFont="1" applyFill="1"/>
    <xf numFmtId="0" fontId="10" fillId="0" borderId="0" xfId="0" applyFont="1"/>
    <xf numFmtId="0" fontId="2" fillId="9" borderId="19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0" fillId="0" borderId="18" xfId="0" applyBorder="1"/>
    <xf numFmtId="18" fontId="0" fillId="0" borderId="0" xfId="0" applyNumberFormat="1"/>
    <xf numFmtId="1" fontId="0" fillId="0" borderId="0" xfId="0" applyNumberFormat="1"/>
    <xf numFmtId="0" fontId="1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6" fillId="0" borderId="0" xfId="1" applyNumberFormat="1" applyFont="1"/>
    <xf numFmtId="0" fontId="19" fillId="0" borderId="0" xfId="0" applyFont="1"/>
    <xf numFmtId="0" fontId="0" fillId="0" borderId="0" xfId="1" applyNumberFormat="1" applyFont="1" applyAlignment="1">
      <alignment wrapText="1"/>
    </xf>
    <xf numFmtId="164" fontId="0" fillId="0" borderId="0" xfId="2" applyNumberFormat="1" applyFont="1"/>
    <xf numFmtId="164" fontId="0" fillId="0" borderId="0" xfId="0" applyNumberFormat="1"/>
    <xf numFmtId="0" fontId="5" fillId="10" borderId="0" xfId="0" applyFont="1" applyFill="1" applyAlignment="1">
      <alignment wrapText="1"/>
    </xf>
    <xf numFmtId="0" fontId="5" fillId="16" borderId="0" xfId="0" applyFont="1" applyFill="1" applyAlignment="1">
      <alignment wrapText="1"/>
    </xf>
    <xf numFmtId="0" fontId="0" fillId="11" borderId="0" xfId="0" applyFill="1"/>
    <xf numFmtId="0" fontId="5" fillId="16" borderId="4" xfId="0" applyFont="1" applyFill="1" applyBorder="1"/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5" fillId="16" borderId="0" xfId="0" applyFont="1" applyFill="1" applyAlignment="1">
      <alignment vertical="top"/>
    </xf>
    <xf numFmtId="0" fontId="5" fillId="16" borderId="0" xfId="0" applyFont="1" applyFill="1" applyAlignment="1">
      <alignment vertical="top" wrapText="1"/>
    </xf>
    <xf numFmtId="0" fontId="5" fillId="10" borderId="0" xfId="0" applyFont="1" applyFill="1" applyAlignment="1">
      <alignment vertical="top"/>
    </xf>
    <xf numFmtId="0" fontId="5" fillId="10" borderId="0" xfId="0" applyFont="1" applyFill="1" applyAlignment="1">
      <alignment vertical="top" wrapText="1"/>
    </xf>
    <xf numFmtId="9" fontId="0" fillId="0" borderId="0" xfId="1" applyFont="1"/>
    <xf numFmtId="0" fontId="20" fillId="0" borderId="0" xfId="0" applyFont="1"/>
    <xf numFmtId="0" fontId="0" fillId="0" borderId="0" xfId="1" applyNumberFormat="1" applyFont="1"/>
    <xf numFmtId="0" fontId="4" fillId="0" borderId="22" xfId="0" applyFont="1" applyBorder="1"/>
    <xf numFmtId="164" fontId="5" fillId="0" borderId="0" xfId="2" applyNumberFormat="1" applyFont="1"/>
    <xf numFmtId="9" fontId="5" fillId="0" borderId="0" xfId="1" applyFont="1"/>
    <xf numFmtId="0" fontId="5" fillId="0" borderId="0" xfId="0" applyFont="1"/>
    <xf numFmtId="0" fontId="21" fillId="13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4" fillId="0" borderId="0" xfId="0" applyFont="1"/>
    <xf numFmtId="9" fontId="4" fillId="0" borderId="0" xfId="0" applyNumberFormat="1" applyFont="1"/>
    <xf numFmtId="9" fontId="0" fillId="0" borderId="0" xfId="0" applyNumberFormat="1"/>
    <xf numFmtId="0" fontId="4" fillId="0" borderId="0" xfId="0" applyFont="1" applyAlignment="1">
      <alignment wrapText="1"/>
    </xf>
    <xf numFmtId="0" fontId="0" fillId="0" borderId="21" xfId="0" applyBorder="1"/>
    <xf numFmtId="0" fontId="25" fillId="0" borderId="0" xfId="0" applyFon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9" fontId="6" fillId="0" borderId="0" xfId="1" applyFont="1"/>
    <xf numFmtId="0" fontId="3" fillId="0" borderId="0" xfId="0" applyFont="1"/>
    <xf numFmtId="0" fontId="5" fillId="0" borderId="0" xfId="0" applyFont="1" applyAlignment="1">
      <alignment wrapText="1"/>
    </xf>
    <xf numFmtId="0" fontId="14" fillId="0" borderId="0" xfId="0" applyFont="1"/>
    <xf numFmtId="0" fontId="13" fillId="13" borderId="0" xfId="0" applyFont="1" applyFill="1" applyAlignment="1">
      <alignment horizontal="center"/>
    </xf>
    <xf numFmtId="0" fontId="26" fillId="0" borderId="0" xfId="0" applyFont="1"/>
    <xf numFmtId="0" fontId="0" fillId="11" borderId="4" xfId="0" applyFill="1" applyBorder="1" applyAlignment="1">
      <alignment vertical="top"/>
    </xf>
    <xf numFmtId="2" fontId="0" fillId="0" borderId="0" xfId="0" applyNumberFormat="1"/>
    <xf numFmtId="0" fontId="0" fillId="17" borderId="0" xfId="1" applyNumberFormat="1" applyFont="1" applyFill="1"/>
    <xf numFmtId="9" fontId="0" fillId="17" borderId="0" xfId="1" applyFont="1" applyFill="1"/>
    <xf numFmtId="0" fontId="0" fillId="17" borderId="0" xfId="0" applyFill="1"/>
    <xf numFmtId="0" fontId="27" fillId="0" borderId="0" xfId="0" applyFont="1"/>
    <xf numFmtId="0" fontId="2" fillId="15" borderId="0" xfId="0" applyFont="1" applyFill="1" applyAlignment="1">
      <alignment horizontal="center" vertical="center" wrapText="1"/>
    </xf>
    <xf numFmtId="0" fontId="0" fillId="0" borderId="0" xfId="0"/>
    <xf numFmtId="0" fontId="14" fillId="0" borderId="0" xfId="0" applyFont="1"/>
    <xf numFmtId="0" fontId="2" fillId="15" borderId="12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center"/>
    </xf>
    <xf numFmtId="0" fontId="2" fillId="15" borderId="23" xfId="0" applyFont="1" applyFill="1" applyBorder="1" applyAlignment="1">
      <alignment horizontal="center" vertical="center" wrapText="1"/>
    </xf>
    <xf numFmtId="0" fontId="0" fillId="0" borderId="23" xfId="0" applyBorder="1"/>
    <xf numFmtId="0" fontId="15" fillId="0" borderId="0" xfId="0" applyFont="1" applyAlignment="1">
      <alignment horizontal="right"/>
    </xf>
    <xf numFmtId="0" fontId="15" fillId="14" borderId="0" xfId="0" applyFont="1" applyFill="1" applyAlignment="1">
      <alignment horizontal="right"/>
    </xf>
    <xf numFmtId="0" fontId="15" fillId="14" borderId="7" xfId="0" applyFont="1" applyFill="1" applyBorder="1" applyAlignment="1">
      <alignment horizontal="right"/>
    </xf>
  </cellXfs>
  <cellStyles count="12">
    <cellStyle name="60% - Accent1 2" xfId="6" xr:uid="{00000000-0005-0000-0000-000006000000}"/>
    <cellStyle name="60% - Accent2 2" xfId="7" xr:uid="{00000000-0005-0000-0000-000007000000}"/>
    <cellStyle name="60% - Accent3 2" xfId="8" xr:uid="{00000000-0005-0000-0000-000008000000}"/>
    <cellStyle name="60% - Accent4 2" xfId="9" xr:uid="{00000000-0005-0000-0000-000009000000}"/>
    <cellStyle name="60% - Accent5 2" xfId="10" xr:uid="{00000000-0005-0000-0000-00000A000000}"/>
    <cellStyle name="60% - Accent6 2" xfId="11" xr:uid="{00000000-0005-0000-0000-00000B000000}"/>
    <cellStyle name="Comma" xfId="2" builtinId="3"/>
    <cellStyle name="Neutral 2" xfId="5" xr:uid="{00000000-0005-0000-0000-000005000000}"/>
    <cellStyle name="Normal" xfId="0" builtinId="0"/>
    <cellStyle name="Normal 2" xfId="4" xr:uid="{00000000-0005-0000-0000-000004000000}"/>
    <cellStyle name="Percent" xfId="1" builtinId="5"/>
    <cellStyle name="Title 2" xfId="3" xr:uid="{00000000-0005-0000-0000-000003000000}"/>
  </cellStyles>
  <dxfs count="390">
    <dxf>
      <numFmt numFmtId="13" formatCode="0%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(* #,##0_);_(* \(#,##0\);_(* &quot;-&quot;??_);_(@_)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164" formatCode="_(* #,##0_);_(* \(#,##0\);_(* &quot;-&quot;??_);_(@_)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164" formatCode="_(* #,##0_);_(* \(#,##0\);_(* &quot;-&quot;??_);_(@_)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/>
        <right/>
        <top style="thin">
          <color theme="6" tint="0.39997558519241921"/>
        </top>
        <bottom/>
      </border>
    </dxf>
    <dxf>
      <border outline="0">
        <left/>
        <right/>
        <top/>
        <bottom style="thin">
          <color theme="6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wrapText="1"/>
    </dxf>
    <dxf>
      <alignment horizontal="center" vertical="center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13" formatCode="0%"/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rgb="FF000000"/>
          <bgColor auto="1"/>
        </patternFill>
      </fill>
    </dxf>
    <dxf>
      <fill>
        <patternFill>
          <fgColor rgb="FF000000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rgb="FF000000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</font>
      <fill>
        <patternFill>
          <fgColor rgb="FF000000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13" formatCode="0%"/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13" formatCode="0%"/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left" vertical="bottom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0" formatCode="General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numFmt numFmtId="13" formatCode="0%"/>
    </dxf>
    <dxf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numFmt numFmtId="13" formatCode="0%"/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 wrapText="1"/>
    </dxf>
    <dxf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</dxf>
    <dxf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strike val="0"/>
        <outline val="0"/>
        <shadow val="0"/>
        <vertAlign val="baseline"/>
        <name val="Calibri"/>
        <family val="2"/>
        <scheme val="minor"/>
      </font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theme="6" tint="0.59999389629810485"/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bottom" wrapText="1"/>
    </dxf>
    <dxf>
      <alignment horizontal="general" vertical="top" wrapText="1"/>
    </dxf>
    <dxf>
      <alignment horizontal="general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Severity!$C$8</c:f>
              <c:strCache>
                <c:ptCount val="1"/>
                <c:pt idx="0">
                  <c:v>Crash Count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Severity!$B$9:$B$13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C-4EE3-A709-0A2B6E1E9A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776864"/>
        <c:axId val="857783424"/>
      </c:barChart>
      <c:catAx>
        <c:axId val="8577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83424"/>
        <c:crosses val="autoZero"/>
        <c:auto val="1"/>
        <c:lblAlgn val="ctr"/>
        <c:lblOffset val="100"/>
        <c:noMultiLvlLbl val="0"/>
      </c:catAx>
      <c:valAx>
        <c:axId val="857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7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Severity!$C$18</c:f>
              <c:strCache>
                <c:ptCount val="1"/>
                <c:pt idx="0">
                  <c:v>Pedestrian-Involved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Severity!$B$20:$B$24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Severity!$D$20:$D$24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9-4868-B307-17360E92BBB4}"/>
            </c:ext>
          </c:extLst>
        </c:ser>
        <c:ser>
          <c:idx val="1"/>
          <c:order val="1"/>
          <c:tx>
            <c:strRef>
              <c:f>Severity!$E$18</c:f>
              <c:strCache>
                <c:ptCount val="1"/>
                <c:pt idx="0">
                  <c:v>Pedalcyclist-Involved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Severity!$B$20:$B$24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Severity!$F$20:$F$24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9-4868-B307-17360E92BBB4}"/>
            </c:ext>
          </c:extLst>
        </c:ser>
        <c:ser>
          <c:idx val="2"/>
          <c:order val="2"/>
          <c:tx>
            <c:strRef>
              <c:f>Severity!$G$18</c:f>
              <c:strCache>
                <c:ptCount val="1"/>
                <c:pt idx="0">
                  <c:v>Motorcycle-Involved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Severity!$B$20:$B$24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Severity!$H$20:$H$24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99-4868-B307-17360E92BBB4}"/>
            </c:ext>
          </c:extLst>
        </c:ser>
        <c:ser>
          <c:idx val="3"/>
          <c:order val="3"/>
          <c:tx>
            <c:strRef>
              <c:f>Severity!$I$18</c:f>
              <c:strCache>
                <c:ptCount val="1"/>
                <c:pt idx="0">
                  <c:v>Motor Vehicle Only or Vehicle-Fixed Object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Severity!$J$20:$J$24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99-4868-B307-17360E92BB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9128744"/>
        <c:axId val="1069124152"/>
      </c:barChart>
      <c:catAx>
        <c:axId val="106912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124152"/>
        <c:crosses val="autoZero"/>
        <c:auto val="1"/>
        <c:lblAlgn val="ctr"/>
        <c:lblOffset val="100"/>
        <c:noMultiLvlLbl val="0"/>
      </c:catAx>
      <c:valAx>
        <c:axId val="106912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12874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2657663246639618"/>
          <c:y val="2.777777777777778E-2"/>
          <c:w val="0.67342336753360377"/>
          <c:h val="7.2885448566452446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Severity!$C$48</c:f>
              <c:strCache>
                <c:ptCount val="1"/>
                <c:pt idx="0">
                  <c:v>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Severity!$G$50:$G$62</c:f>
              <c:strCache>
                <c:ptCount val="13"/>
                <c:pt idx="0">
                  <c:v>Pedestrian</c:v>
                </c:pt>
                <c:pt idx="1">
                  <c:v>Head-On</c:v>
                </c:pt>
                <c:pt idx="2">
                  <c:v>Turning
Movement</c:v>
                </c:pt>
                <c:pt idx="3">
                  <c:v>Rear-End</c:v>
                </c:pt>
                <c:pt idx="4">
                  <c:v>Angle</c:v>
                </c:pt>
                <c:pt idx="5">
                  <c:v>Sideswipe-
overtaking</c:v>
                </c:pt>
                <c:pt idx="6">
                  <c:v>Fixed-Object or
Other-Object</c:v>
                </c:pt>
                <c:pt idx="7">
                  <c:v>Non-collision</c:v>
                </c:pt>
                <c:pt idx="8">
                  <c:v>Sideswipe-
meeting</c:v>
                </c:pt>
                <c:pt idx="9">
                  <c:v>Backing</c:v>
                </c:pt>
                <c:pt idx="10">
                  <c:v>Pedalcyclist</c:v>
                </c:pt>
                <c:pt idx="11">
                  <c:v>Parking Maneuver</c:v>
                </c:pt>
                <c:pt idx="12">
                  <c:v>Miscellaneous</c:v>
                </c:pt>
              </c:strCache>
            </c:strRef>
          </c:cat>
          <c:val>
            <c:numRef>
              <c:f>Severity!$D$50:$D$62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5-447C-8422-E7AAF87313AF}"/>
            </c:ext>
          </c:extLst>
        </c:ser>
        <c:ser>
          <c:idx val="2"/>
          <c:order val="1"/>
          <c:tx>
            <c:strRef>
              <c:f>Severity!$E$48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Severity!$G$50:$G$62</c:f>
              <c:strCache>
                <c:ptCount val="13"/>
                <c:pt idx="0">
                  <c:v>Pedestrian</c:v>
                </c:pt>
                <c:pt idx="1">
                  <c:v>Head-On</c:v>
                </c:pt>
                <c:pt idx="2">
                  <c:v>Turning
Movement</c:v>
                </c:pt>
                <c:pt idx="3">
                  <c:v>Rear-End</c:v>
                </c:pt>
                <c:pt idx="4">
                  <c:v>Angle</c:v>
                </c:pt>
                <c:pt idx="5">
                  <c:v>Sideswipe-
overtaking</c:v>
                </c:pt>
                <c:pt idx="6">
                  <c:v>Fixed-Object or
Other-Object</c:v>
                </c:pt>
                <c:pt idx="7">
                  <c:v>Non-collision</c:v>
                </c:pt>
                <c:pt idx="8">
                  <c:v>Sideswipe-
meeting</c:v>
                </c:pt>
                <c:pt idx="9">
                  <c:v>Backing</c:v>
                </c:pt>
                <c:pt idx="10">
                  <c:v>Pedalcyclist</c:v>
                </c:pt>
                <c:pt idx="11">
                  <c:v>Parking Maneuver</c:v>
                </c:pt>
                <c:pt idx="12">
                  <c:v>Miscellaneous</c:v>
                </c:pt>
              </c:strCache>
            </c:strRef>
          </c:cat>
          <c:val>
            <c:numRef>
              <c:f>Severity!$F$50:$F$62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5-447C-8422-E7AAF8731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047096643763525"/>
          <c:y val="2.1909567889293699E-2"/>
          <c:w val="0.186892809126685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3256385138218E-2"/>
          <c:y val="8.1669170332161034E-2"/>
          <c:w val="0.90369862501884868"/>
          <c:h val="0.6016245007164827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Severity!$C$83</c:f>
              <c:strCache>
                <c:ptCount val="1"/>
                <c:pt idx="0">
                  <c:v>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Severity!$B$85:$B$120</c:f>
              <c:strCache>
                <c:ptCount val="36"/>
                <c:pt idx="0">
                  <c:v>No cause associated at this level</c:v>
                </c:pt>
                <c:pt idx="1">
                  <c:v>Speed too fast for conditions 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 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Severity!$D$85:$D$120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5-4B26-ABE4-B5595E7E070C}"/>
            </c:ext>
          </c:extLst>
        </c:ser>
        <c:ser>
          <c:idx val="2"/>
          <c:order val="1"/>
          <c:tx>
            <c:strRef>
              <c:f>Severity!$E$83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Severity!$B$85:$B$120</c:f>
              <c:strCache>
                <c:ptCount val="36"/>
                <c:pt idx="0">
                  <c:v>No cause associated at this level</c:v>
                </c:pt>
                <c:pt idx="1">
                  <c:v>Speed too fast for conditions 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 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Severity!$F$85:$F$120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5-4B26-ABE4-B5595E7E07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3478086038168209"/>
          <c:y val="2.1909567889293699E-2"/>
          <c:w val="0.15682167886538551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Type!$C$8</c:f>
              <c:strCache>
                <c:ptCount val="1"/>
                <c:pt idx="0">
                  <c:v>Crash Count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Type!$E$9:$E$21</c:f>
              <c:strCache>
                <c:ptCount val="13"/>
                <c:pt idx="0">
                  <c:v>Pedestrian</c:v>
                </c:pt>
                <c:pt idx="1">
                  <c:v>Head-On</c:v>
                </c:pt>
                <c:pt idx="2">
                  <c:v>Turning
Movement</c:v>
                </c:pt>
                <c:pt idx="3">
                  <c:v>Rear-End</c:v>
                </c:pt>
                <c:pt idx="4">
                  <c:v>Angle</c:v>
                </c:pt>
                <c:pt idx="5">
                  <c:v>Sideswipe-
overtaking</c:v>
                </c:pt>
                <c:pt idx="6">
                  <c:v>Fixed-Object or
Other-Object</c:v>
                </c:pt>
                <c:pt idx="7">
                  <c:v>Non-collision</c:v>
                </c:pt>
                <c:pt idx="8">
                  <c:v>Sideswipe-
meeting</c:v>
                </c:pt>
                <c:pt idx="9">
                  <c:v>Backing</c:v>
                </c:pt>
                <c:pt idx="10">
                  <c:v>Pedalcyclist</c:v>
                </c:pt>
                <c:pt idx="11">
                  <c:v>Parking Maneuver</c:v>
                </c:pt>
                <c:pt idx="12">
                  <c:v>Miscellaneous</c:v>
                </c:pt>
              </c:strCache>
            </c:strRef>
          </c:cat>
          <c:val>
            <c:numRef>
              <c:f>Type!$C$9:$C$21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F-4C5D-BABE-20A964BDB6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776864"/>
        <c:axId val="857783424"/>
      </c:barChart>
      <c:catAx>
        <c:axId val="8577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83424"/>
        <c:crosses val="autoZero"/>
        <c:auto val="1"/>
        <c:lblAlgn val="ctr"/>
        <c:lblOffset val="100"/>
        <c:noMultiLvlLbl val="0"/>
      </c:catAx>
      <c:valAx>
        <c:axId val="857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7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4053083216923"/>
          <c:y val="0.16409582560141769"/>
          <c:w val="0.79351646561051925"/>
          <c:h val="0.813589782168948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Type!$I$26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Type!$B$28:$B$40</c:f>
              <c:strCache>
                <c:ptCount val="13"/>
                <c:pt idx="0">
                  <c:v>Pedalcyclist</c:v>
                </c:pt>
                <c:pt idx="1">
                  <c:v>Parking Maneuver</c:v>
                </c:pt>
                <c:pt idx="2">
                  <c:v>Pedestrian</c:v>
                </c:pt>
                <c:pt idx="3">
                  <c:v>Backing</c:v>
                </c:pt>
                <c:pt idx="4">
                  <c:v>Miscellaneous</c:v>
                </c:pt>
                <c:pt idx="5">
                  <c:v>Head-On</c:v>
                </c:pt>
                <c:pt idx="6">
                  <c:v>Sideswipe-meeting</c:v>
                </c:pt>
                <c:pt idx="7">
                  <c:v>Non-collision</c:v>
                </c:pt>
                <c:pt idx="8">
                  <c:v>Sideswipe-overtaking</c:v>
                </c:pt>
                <c:pt idx="9">
                  <c:v>Angle</c:v>
                </c:pt>
                <c:pt idx="10">
                  <c:v>Turning Movement</c:v>
                </c:pt>
                <c:pt idx="11">
                  <c:v>Fixed-Object or Other-Object</c:v>
                </c:pt>
                <c:pt idx="12">
                  <c:v>Rear-End</c:v>
                </c:pt>
              </c:strCache>
            </c:strRef>
          </c:cat>
          <c:val>
            <c:numRef>
              <c:f>Type!$I$28:$I$40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0-4DE5-8DB0-23BED1258AFC}"/>
            </c:ext>
          </c:extLst>
        </c:ser>
        <c:ser>
          <c:idx val="1"/>
          <c:order val="1"/>
          <c:tx>
            <c:strRef>
              <c:f>Type!$E$27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Type!$B$28:$B$40</c:f>
              <c:strCache>
                <c:ptCount val="13"/>
                <c:pt idx="0">
                  <c:v>Pedalcyclist</c:v>
                </c:pt>
                <c:pt idx="1">
                  <c:v>Parking Maneuver</c:v>
                </c:pt>
                <c:pt idx="2">
                  <c:v>Pedestrian</c:v>
                </c:pt>
                <c:pt idx="3">
                  <c:v>Backing</c:v>
                </c:pt>
                <c:pt idx="4">
                  <c:v>Miscellaneous</c:v>
                </c:pt>
                <c:pt idx="5">
                  <c:v>Head-On</c:v>
                </c:pt>
                <c:pt idx="6">
                  <c:v>Sideswipe-meeting</c:v>
                </c:pt>
                <c:pt idx="7">
                  <c:v>Non-collision</c:v>
                </c:pt>
                <c:pt idx="8">
                  <c:v>Sideswipe-overtaking</c:v>
                </c:pt>
                <c:pt idx="9">
                  <c:v>Angle</c:v>
                </c:pt>
                <c:pt idx="10">
                  <c:v>Turning Movement</c:v>
                </c:pt>
                <c:pt idx="11">
                  <c:v>Fixed-Object or Other-Object</c:v>
                </c:pt>
                <c:pt idx="12">
                  <c:v>Rear-End</c:v>
                </c:pt>
              </c:strCache>
            </c:strRef>
          </c:cat>
          <c:val>
            <c:numRef>
              <c:f>Type!$E$28:$E$40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0-4DE5-8DB0-23BED1258AFC}"/>
            </c:ext>
          </c:extLst>
        </c:ser>
        <c:ser>
          <c:idx val="2"/>
          <c:order val="2"/>
          <c:tx>
            <c:strRef>
              <c:f>Type!$F$27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Type!$B$28:$B$40</c:f>
              <c:strCache>
                <c:ptCount val="13"/>
                <c:pt idx="0">
                  <c:v>Pedalcyclist</c:v>
                </c:pt>
                <c:pt idx="1">
                  <c:v>Parking Maneuver</c:v>
                </c:pt>
                <c:pt idx="2">
                  <c:v>Pedestrian</c:v>
                </c:pt>
                <c:pt idx="3">
                  <c:v>Backing</c:v>
                </c:pt>
                <c:pt idx="4">
                  <c:v>Miscellaneous</c:v>
                </c:pt>
                <c:pt idx="5">
                  <c:v>Head-On</c:v>
                </c:pt>
                <c:pt idx="6">
                  <c:v>Sideswipe-meeting</c:v>
                </c:pt>
                <c:pt idx="7">
                  <c:v>Non-collision</c:v>
                </c:pt>
                <c:pt idx="8">
                  <c:v>Sideswipe-overtaking</c:v>
                </c:pt>
                <c:pt idx="9">
                  <c:v>Angle</c:v>
                </c:pt>
                <c:pt idx="10">
                  <c:v>Turning Movement</c:v>
                </c:pt>
                <c:pt idx="11">
                  <c:v>Fixed-Object or Other-Object</c:v>
                </c:pt>
                <c:pt idx="12">
                  <c:v>Rear-End</c:v>
                </c:pt>
              </c:strCache>
            </c:strRef>
          </c:cat>
          <c:val>
            <c:numRef>
              <c:f>Type!$F$28:$F$40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0-4DE5-8DB0-23BED1258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sz="900"/>
                  <a:t>Crash</a:t>
                </a:r>
                <a:r>
                  <a:rPr lang="en-US" sz="900" baseline="0"/>
                  <a:t> Count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0.52225294712241099"/>
              <c:y val="2.651787953257435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614586237225921"/>
          <c:y val="0.18138237525040682"/>
          <c:w val="0.1210155382958653"/>
          <c:h val="0.2023814686101664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32513811902E-2"/>
          <c:y val="8.8105173913522197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Type!$C$63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Type!$B$65:$B$69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Type!$D$65:$D$69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E-4A47-A188-51572ABAB21D}"/>
            </c:ext>
          </c:extLst>
        </c:ser>
        <c:ser>
          <c:idx val="2"/>
          <c:order val="1"/>
          <c:tx>
            <c:strRef>
              <c:f>Type!$E$63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Type!$B$65:$B$69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Type!$F$65:$F$69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E-4A47-A188-51572ABAB2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6671504313297689"/>
          <c:y val="2.1909567889293699E-2"/>
          <c:w val="0.22488746860364511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030272362913147E-2"/>
          <c:y val="6.2884447330078808E-2"/>
          <c:w val="0.90557082548751344"/>
          <c:h val="0.6086005258412837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Type!$C$77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Type!$G$79:$G$114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Type!$D$79:$D$114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4-4D18-A6F0-2FF8AE40A4CF}"/>
            </c:ext>
          </c:extLst>
        </c:ser>
        <c:ser>
          <c:idx val="2"/>
          <c:order val="1"/>
          <c:tx>
            <c:strRef>
              <c:f>Type!$E$77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Type!$G$79:$G$114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Type!$F$79:$F$114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4-4D18-A6F0-2FF8AE40A4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5502599277044655"/>
          <c:y val="1.6833799651046071E-2"/>
          <c:w val="0.13657653058287089"/>
          <c:h val="3.246858225626631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79595334417001"/>
          <c:y val="7.9298209929422006E-2"/>
          <c:w val="0.81812573484570383"/>
          <c:h val="0.8983873848853841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Cause!$I$49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Cause!$M$51:$M$87</c:f>
              <c:strCache>
                <c:ptCount val="36"/>
                <c:pt idx="0">
                  <c:v>No cause associated at this level</c:v>
                </c:pt>
                <c:pt idx="1">
                  <c:v>Non-Motorist Inattention</c:v>
                </c:pt>
                <c:pt idx="2">
                  <c:v>*Aggressive Driving (Per PAR)</c:v>
                </c:pt>
                <c:pt idx="3">
                  <c:v>*Road Rage (Per PAR)</c:v>
                </c:pt>
                <c:pt idx="4">
                  <c:v>Speed Racing (Per PAR or self-reported)</c:v>
                </c:pt>
                <c:pt idx="5">
                  <c:v>Vehicle improperly parked</c:v>
                </c:pt>
                <c:pt idx="6">
                  <c:v>Vehicle lost load or load shifted</c:v>
                </c:pt>
                <c:pt idx="7">
                  <c:v>Wrong way on one-way roadway</c:v>
                </c:pt>
                <c:pt idx="8">
                  <c:v>Disregarded other traffic control device</c:v>
                </c:pt>
                <c:pt idx="9">
                  <c:v>Tire failure</c:v>
                </c:pt>
                <c:pt idx="10">
                  <c:v>Improper use of median or shoulder</c:v>
                </c:pt>
                <c:pt idx="11">
                  <c:v>Defective steering mechanism</c:v>
                </c:pt>
                <c:pt idx="12">
                  <c:v>Non-Motorist illegally in roadway</c:v>
                </c:pt>
                <c:pt idx="13">
                  <c:v>Mechanical defect - other than
represented by codes 21, 22, or 25</c:v>
                </c:pt>
                <c:pt idx="14">
                  <c:v>Inadequate or no brakes</c:v>
                </c:pt>
                <c:pt idx="15">
                  <c:v>Not visible: dark / non-reflective clothing</c:v>
                </c:pt>
                <c:pt idx="16">
                  <c:v>Phantom / non-contact vehicle</c:v>
                </c:pt>
                <c:pt idx="17">
                  <c:v>Physical Illness</c:v>
                </c:pt>
                <c:pt idx="18">
                  <c:v>Improper overtaking</c:v>
                </c:pt>
                <c:pt idx="19">
                  <c:v>Reckless Driving (Per PAR or self-reported)</c:v>
                </c:pt>
                <c:pt idx="20">
                  <c:v>Disregarded traffic signal</c:v>
                </c:pt>
                <c:pt idx="21">
                  <c:v>View Obscured</c:v>
                </c:pt>
                <c:pt idx="22">
                  <c:v>*Other (Not improper driving)</c:v>
                </c:pt>
                <c:pt idx="23">
                  <c:v>Improper change of traffic lanes</c:v>
                </c:pt>
                <c:pt idx="24">
                  <c:v>Passed stop sign or red flasher</c:v>
                </c:pt>
                <c:pt idx="25">
                  <c:v>Driver drowsy / fatigued / sleepy</c:v>
                </c:pt>
                <c:pt idx="26">
                  <c:v>Driving in excess of posted speed</c:v>
                </c:pt>
                <c:pt idx="27">
                  <c:v>*Drove left of center on two-way road; 
straddling the center line</c:v>
                </c:pt>
                <c:pt idx="28">
                  <c:v>*Other improper driving</c:v>
                </c:pt>
                <c:pt idx="29">
                  <c:v>Careless Driving (Per PAR or self-reported)</c:v>
                </c:pt>
                <c:pt idx="30">
                  <c:v>Made improper turn</c:v>
                </c:pt>
                <c:pt idx="31">
                  <c:v>Followed too closely</c:v>
                </c:pt>
                <c:pt idx="32">
                  <c:v>Inattention</c:v>
                </c:pt>
                <c:pt idx="33">
                  <c:v>Speed too fast for conditions
(Not exceeding limit)</c:v>
                </c:pt>
                <c:pt idx="34">
                  <c:v>Failed to avoid vehicle ahead</c:v>
                </c:pt>
                <c:pt idx="35">
                  <c:v>Did not yield right-of-way</c:v>
                </c:pt>
              </c:strCache>
            </c:strRef>
          </c:cat>
          <c:val>
            <c:numRef>
              <c:f>Cause!$I$51:$I$87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E-44ED-8817-F0C947952B8C}"/>
            </c:ext>
          </c:extLst>
        </c:ser>
        <c:ser>
          <c:idx val="1"/>
          <c:order val="1"/>
          <c:tx>
            <c:strRef>
              <c:f>Cause!$E$50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Cause!$M$51:$M$87</c:f>
              <c:strCache>
                <c:ptCount val="36"/>
                <c:pt idx="0">
                  <c:v>No cause associated at this level</c:v>
                </c:pt>
                <c:pt idx="1">
                  <c:v>Non-Motorist Inattention</c:v>
                </c:pt>
                <c:pt idx="2">
                  <c:v>*Aggressive Driving (Per PAR)</c:v>
                </c:pt>
                <c:pt idx="3">
                  <c:v>*Road Rage (Per PAR)</c:v>
                </c:pt>
                <c:pt idx="4">
                  <c:v>Speed Racing (Per PAR or self-reported)</c:v>
                </c:pt>
                <c:pt idx="5">
                  <c:v>Vehicle improperly parked</c:v>
                </c:pt>
                <c:pt idx="6">
                  <c:v>Vehicle lost load or load shifted</c:v>
                </c:pt>
                <c:pt idx="7">
                  <c:v>Wrong way on one-way roadway</c:v>
                </c:pt>
                <c:pt idx="8">
                  <c:v>Disregarded other traffic control device</c:v>
                </c:pt>
                <c:pt idx="9">
                  <c:v>Tire failure</c:v>
                </c:pt>
                <c:pt idx="10">
                  <c:v>Improper use of median or shoulder</c:v>
                </c:pt>
                <c:pt idx="11">
                  <c:v>Defective steering mechanism</c:v>
                </c:pt>
                <c:pt idx="12">
                  <c:v>Non-Motorist illegally in roadway</c:v>
                </c:pt>
                <c:pt idx="13">
                  <c:v>Mechanical defect - other than
represented by codes 21, 22, or 25</c:v>
                </c:pt>
                <c:pt idx="14">
                  <c:v>Inadequate or no brakes</c:v>
                </c:pt>
                <c:pt idx="15">
                  <c:v>Not visible: dark / non-reflective clothing</c:v>
                </c:pt>
                <c:pt idx="16">
                  <c:v>Phantom / non-contact vehicle</c:v>
                </c:pt>
                <c:pt idx="17">
                  <c:v>Physical Illness</c:v>
                </c:pt>
                <c:pt idx="18">
                  <c:v>Improper overtaking</c:v>
                </c:pt>
                <c:pt idx="19">
                  <c:v>Reckless Driving (Per PAR or self-reported)</c:v>
                </c:pt>
                <c:pt idx="20">
                  <c:v>Disregarded traffic signal</c:v>
                </c:pt>
                <c:pt idx="21">
                  <c:v>View Obscured</c:v>
                </c:pt>
                <c:pt idx="22">
                  <c:v>*Other (Not improper driving)</c:v>
                </c:pt>
                <c:pt idx="23">
                  <c:v>Improper change of traffic lanes</c:v>
                </c:pt>
                <c:pt idx="24">
                  <c:v>Passed stop sign or red flasher</c:v>
                </c:pt>
                <c:pt idx="25">
                  <c:v>Driver drowsy / fatigued / sleepy</c:v>
                </c:pt>
                <c:pt idx="26">
                  <c:v>Driving in excess of posted speed</c:v>
                </c:pt>
                <c:pt idx="27">
                  <c:v>*Drove left of center on two-way road; 
straddling the center line</c:v>
                </c:pt>
                <c:pt idx="28">
                  <c:v>*Other improper driving</c:v>
                </c:pt>
                <c:pt idx="29">
                  <c:v>Careless Driving (Per PAR or self-reported)</c:v>
                </c:pt>
                <c:pt idx="30">
                  <c:v>Made improper turn</c:v>
                </c:pt>
                <c:pt idx="31">
                  <c:v>Followed too closely</c:v>
                </c:pt>
                <c:pt idx="32">
                  <c:v>Inattention</c:v>
                </c:pt>
                <c:pt idx="33">
                  <c:v>Speed too fast for conditions
(Not exceeding limit)</c:v>
                </c:pt>
                <c:pt idx="34">
                  <c:v>Failed to avoid vehicle ahead</c:v>
                </c:pt>
                <c:pt idx="35">
                  <c:v>Did not yield right-of-way</c:v>
                </c:pt>
              </c:strCache>
            </c:strRef>
          </c:cat>
          <c:val>
            <c:numRef>
              <c:f>Cause!$E$51:$E$87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E-44ED-8817-F0C947952B8C}"/>
            </c:ext>
          </c:extLst>
        </c:ser>
        <c:ser>
          <c:idx val="2"/>
          <c:order val="2"/>
          <c:tx>
            <c:strRef>
              <c:f>Cause!$F$50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Cause!$M$51:$M$87</c:f>
              <c:strCache>
                <c:ptCount val="36"/>
                <c:pt idx="0">
                  <c:v>No cause associated at this level</c:v>
                </c:pt>
                <c:pt idx="1">
                  <c:v>Non-Motorist Inattention</c:v>
                </c:pt>
                <c:pt idx="2">
                  <c:v>*Aggressive Driving (Per PAR)</c:v>
                </c:pt>
                <c:pt idx="3">
                  <c:v>*Road Rage (Per PAR)</c:v>
                </c:pt>
                <c:pt idx="4">
                  <c:v>Speed Racing (Per PAR or self-reported)</c:v>
                </c:pt>
                <c:pt idx="5">
                  <c:v>Vehicle improperly parked</c:v>
                </c:pt>
                <c:pt idx="6">
                  <c:v>Vehicle lost load or load shifted</c:v>
                </c:pt>
                <c:pt idx="7">
                  <c:v>Wrong way on one-way roadway</c:v>
                </c:pt>
                <c:pt idx="8">
                  <c:v>Disregarded other traffic control device</c:v>
                </c:pt>
                <c:pt idx="9">
                  <c:v>Tire failure</c:v>
                </c:pt>
                <c:pt idx="10">
                  <c:v>Improper use of median or shoulder</c:v>
                </c:pt>
                <c:pt idx="11">
                  <c:v>Defective steering mechanism</c:v>
                </c:pt>
                <c:pt idx="12">
                  <c:v>Non-Motorist illegally in roadway</c:v>
                </c:pt>
                <c:pt idx="13">
                  <c:v>Mechanical defect - other than
represented by codes 21, 22, or 25</c:v>
                </c:pt>
                <c:pt idx="14">
                  <c:v>Inadequate or no brakes</c:v>
                </c:pt>
                <c:pt idx="15">
                  <c:v>Not visible: dark / non-reflective clothing</c:v>
                </c:pt>
                <c:pt idx="16">
                  <c:v>Phantom / non-contact vehicle</c:v>
                </c:pt>
                <c:pt idx="17">
                  <c:v>Physical Illness</c:v>
                </c:pt>
                <c:pt idx="18">
                  <c:v>Improper overtaking</c:v>
                </c:pt>
                <c:pt idx="19">
                  <c:v>Reckless Driving (Per PAR or self-reported)</c:v>
                </c:pt>
                <c:pt idx="20">
                  <c:v>Disregarded traffic signal</c:v>
                </c:pt>
                <c:pt idx="21">
                  <c:v>View Obscured</c:v>
                </c:pt>
                <c:pt idx="22">
                  <c:v>*Other (Not improper driving)</c:v>
                </c:pt>
                <c:pt idx="23">
                  <c:v>Improper change of traffic lanes</c:v>
                </c:pt>
                <c:pt idx="24">
                  <c:v>Passed stop sign or red flasher</c:v>
                </c:pt>
                <c:pt idx="25">
                  <c:v>Driver drowsy / fatigued / sleepy</c:v>
                </c:pt>
                <c:pt idx="26">
                  <c:v>Driving in excess of posted speed</c:v>
                </c:pt>
                <c:pt idx="27">
                  <c:v>*Drove left of center on two-way road; 
straddling the center line</c:v>
                </c:pt>
                <c:pt idx="28">
                  <c:v>*Other improper driving</c:v>
                </c:pt>
                <c:pt idx="29">
                  <c:v>Careless Driving (Per PAR or self-reported)</c:v>
                </c:pt>
                <c:pt idx="30">
                  <c:v>Made improper turn</c:v>
                </c:pt>
                <c:pt idx="31">
                  <c:v>Followed too closely</c:v>
                </c:pt>
                <c:pt idx="32">
                  <c:v>Inattention</c:v>
                </c:pt>
                <c:pt idx="33">
                  <c:v>Speed too fast for conditions
(Not exceeding limit)</c:v>
                </c:pt>
                <c:pt idx="34">
                  <c:v>Failed to avoid vehicle ahead</c:v>
                </c:pt>
                <c:pt idx="35">
                  <c:v>Did not yield right-of-way</c:v>
                </c:pt>
              </c:strCache>
            </c:strRef>
          </c:cat>
          <c:val>
            <c:numRef>
              <c:f>Cause!$F$51:$F$87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E-44ED-8817-F0C947952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2186010375"/>
              <c:y val="2.155021233374144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787261244710558"/>
          <c:y val="0.90198374499691958"/>
          <c:w val="9.8241910171554495E-2"/>
          <c:h val="7.9470480591689568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0.10758753908360209"/>
          <c:w val="0.91506394036270078"/>
          <c:h val="0.757985241449808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Cause!$C$152</c:f>
              <c:strCache>
                <c:ptCount val="1"/>
                <c:pt idx="0">
                  <c:v>Non-Motorist illegally in roadway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Cause!$B$154:$B$158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Cause!$D$154:$D$158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F-4D24-9753-2F64882B3940}"/>
            </c:ext>
          </c:extLst>
        </c:ser>
        <c:ser>
          <c:idx val="2"/>
          <c:order val="1"/>
          <c:tx>
            <c:strRef>
              <c:f>Cause!$E$152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Cause!$B$154:$B$158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Cause!$F$154:$F$158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F-4D24-9753-2F64882B39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</a:t>
                </a:r>
                <a:r>
                  <a:rPr lang="en-US" baseline="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4581875701646573"/>
          <c:y val="2.1909567889293699E-2"/>
          <c:w val="0.5457837629882726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79595334417001"/>
          <c:y val="5.8761425493349888E-2"/>
          <c:w val="0.83073461363094259"/>
          <c:h val="0.9189241853204600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Event!$I$147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Event!$M$149:$M$282</c:f>
              <c:strCache>
                <c:ptCount val="133"/>
                <c:pt idx="0">
                  <c:v>None applicable at this level </c:v>
                </c:pt>
                <c:pt idx="1">
                  <c:v>Pedal-cyclist indirectly involved (Not struck)</c:v>
                </c:pt>
                <c:pt idx="2">
                  <c:v>Hitchhiker (Soliciting a ride)</c:v>
                </c:pt>
                <c:pt idx="3">
                  <c:v>Passenger or non-motorist being towed or pushed on conveyance</c:v>
                </c:pt>
                <c:pt idx="4">
                  <c:v>Actively getting on or off stopped or parked vehicle (must have physical contact with vehicle)</c:v>
                </c:pt>
                <c:pt idx="5">
                  <c:v>Vehicle being pushed</c:v>
                </c:pt>
                <c:pt idx="6">
                  <c:v>Vehicle towed or had been towing another vehicle</c:v>
                </c:pt>
                <c:pt idx="7">
                  <c:v>Vehicle set in motion by non-driver (Child released brakes, etc.)</c:v>
                </c:pt>
                <c:pt idx="8">
                  <c:v>At or on light-rail right-of-way</c:v>
                </c:pt>
                <c:pt idx="9">
                  <c:v>Train struck vehicle</c:v>
                </c:pt>
                <c:pt idx="10">
                  <c:v>Vehicle struck train</c:v>
                </c:pt>
                <c:pt idx="11">
                  <c:v>Vehicle struck railroad car on roadway</c:v>
                </c:pt>
                <c:pt idx="12">
                  <c:v>Hood flew up</c:v>
                </c:pt>
                <c:pt idx="13">
                  <c:v>Horse and rider</c:v>
                </c:pt>
                <c:pt idx="14">
                  <c:v>Animal-drawn vehicle</c:v>
                </c:pt>
                <c:pt idx="15">
                  <c:v>*Impact attenuator</c:v>
                </c:pt>
                <c:pt idx="16">
                  <c:v>Parking meter</c:v>
                </c:pt>
                <c:pt idx="17">
                  <c:v>Jiggle bars or traffic snake for channelization</c:v>
                </c:pt>
                <c:pt idx="18">
                  <c:v>Retaining wall or tunnel wall</c:v>
                </c:pt>
                <c:pt idx="19">
                  <c:v>*Bridge abutment (Approach ends)</c:v>
                </c:pt>
                <c:pt idx="20">
                  <c:v>*Bridge girder (horizontal bridge structure overhead)</c:v>
                </c:pt>
                <c:pt idx="21">
                  <c:v>Traffic raised island</c:v>
                </c:pt>
                <c:pt idx="22">
                  <c:v>*Gore</c:v>
                </c:pt>
                <c:pt idx="23">
                  <c:v>Pole - type unknown</c:v>
                </c:pt>
                <c:pt idx="24">
                  <c:v>Pole - sign bridge</c:v>
                </c:pt>
                <c:pt idx="25">
                  <c:v>Tree branch or other vegetation overhead, etc.</c:v>
                </c:pt>
                <c:pt idx="26">
                  <c:v>Permanent sign or barricade in/off road</c:v>
                </c:pt>
                <c:pt idx="27">
                  <c:v>Slides, rocks off or on road, falling rocks</c:v>
                </c:pt>
                <c:pt idx="28">
                  <c:v>Equipment working in/off road</c:v>
                </c:pt>
                <c:pt idx="29">
                  <c:v>Wrecker, street sweeper, snow plow or sanding equipment</c:v>
                </c:pt>
                <c:pt idx="30">
                  <c:v>Bridge or road cave in</c:v>
                </c:pt>
                <c:pt idx="31">
                  <c:v>High water</c:v>
                </c:pt>
                <c:pt idx="32">
                  <c:v>Snow bank</c:v>
                </c:pt>
                <c:pt idx="33">
                  <c:v>Struck by rock or other moving, falling or flying object  (Do not use with code 080)</c:v>
                </c:pt>
                <c:pt idx="34">
                  <c:v>Wind gust</c:v>
                </c:pt>
                <c:pt idx="35">
                  <c:v>Vehicle immersed in body of water</c:v>
                </c:pt>
                <c:pt idx="36">
                  <c:v>Fence or building, etc.</c:v>
                </c:pt>
                <c:pt idx="37">
                  <c:v>Two-way traffic on divided roadway all routed to one side</c:v>
                </c:pt>
                <c:pt idx="38">
                  <c:v>Gravel in roadway</c:v>
                </c:pt>
                <c:pt idx="39">
                  <c:v>Abrupt edge</c:v>
                </c:pt>
                <c:pt idx="40">
                  <c:v>Cell phone use witnessed by other participant</c:v>
                </c:pt>
                <c:pt idx="41">
                  <c:v>Texting </c:v>
                </c:pt>
                <c:pt idx="42">
                  <c:v>Passenger riding on vehicle exterior</c:v>
                </c:pt>
                <c:pt idx="43">
                  <c:v>Passenger riding on pedalcycle</c:v>
                </c:pt>
                <c:pt idx="44">
                  <c:v>Pedestrian in non-motorized wheelchair</c:v>
                </c:pt>
                <c:pt idx="45">
                  <c:v>Law Enforcement / Police Officer</c:v>
                </c:pt>
                <c:pt idx="46">
                  <c:v>"Sub-Bike": pedal-cyclist injured subsequent to collision, etc.</c:v>
                </c:pt>
                <c:pt idx="47">
                  <c:v>Street car or trolley (on rails or overhead wire system) struck vehicle</c:v>
                </c:pt>
                <c:pt idx="48">
                  <c:v>Vehicle struck street car / trolley (On rails or overhead wire system)</c:v>
                </c:pt>
                <c:pt idx="49">
                  <c:v>At or on street car or trolley right-of-way</c:v>
                </c:pt>
                <c:pt idx="50">
                  <c:v>Vehicle struck railroad equipment on tracks (Not train)</c:v>
                </c:pt>
                <c:pt idx="51">
                  <c:v>Rail crossing drop arm gate</c:v>
                </c:pt>
                <c:pt idx="52">
                  <c:v>*Expansion joint</c:v>
                </c:pt>
                <c:pt idx="53">
                  <c:v>Wire or cable median barrier</c:v>
                </c:pt>
                <c:pt idx="54">
                  <c:v>Loose object in vehicle struck occupant</c:v>
                </c:pt>
                <c:pt idx="55">
                  <c:v>Rock slide or land slide</c:v>
                </c:pt>
                <c:pt idx="56">
                  <c:v>View obscured by water spray</c:v>
                </c:pt>
                <c:pt idx="57">
                  <c:v>Torrential rain (Exceptionally heavy rain)</c:v>
                </c:pt>
                <c:pt idx="58">
                  <c:v>"Sub-Ped": pedestrian struck subsequent to collision, etc.</c:v>
                </c:pt>
                <c:pt idx="59">
                  <c:v>At or on railroad right-of-way (Not light-rail)</c:v>
                </c:pt>
                <c:pt idx="60">
                  <c:v>Stock: cow, calf, bull, steer, sheep, etc.</c:v>
                </c:pt>
                <c:pt idx="61">
                  <c:v>Horse, mule, or donkey</c:v>
                </c:pt>
                <c:pt idx="62">
                  <c:v>Leading edge of guardrail</c:v>
                </c:pt>
                <c:pt idx="63">
                  <c:v>*Bridge pillar or column -- even if struck protective guardrail first</c:v>
                </c:pt>
                <c:pt idx="64">
                  <c:v>Pole - traffic signal and/or ped signal only</c:v>
                </c:pt>
                <c:pt idx="65">
                  <c:v>Delineator or marker (Reflector posts)</c:v>
                </c:pt>
                <c:pt idx="66">
                  <c:v>Wire or cable across or over the road</c:v>
                </c:pt>
                <c:pt idx="67">
                  <c:v>Rock, brick or other solid wall</c:v>
                </c:pt>
                <c:pt idx="68">
                  <c:v>Other overhead object (highway sign, signal head, etc.); not Bridge</c:v>
                </c:pt>
                <c:pt idx="69">
                  <c:v>Vegetation obscured view</c:v>
                </c:pt>
                <c:pt idx="70">
                  <c:v>View obscured by fence, sign, phone booth, etc.</c:v>
                </c:pt>
                <c:pt idx="71">
                  <c:v>Police report indicates teenage driver of an involved vehicle was in violation of graduated license program</c:v>
                </c:pt>
                <c:pt idx="72">
                  <c:v>Berm (Earthen or gravel mound)</c:v>
                </c:pt>
                <c:pt idx="73">
                  <c:v>Non-Fixed object, other or unknown type</c:v>
                </c:pt>
                <c:pt idx="74">
                  <c:v>Work Zone Worker</c:v>
                </c:pt>
                <c:pt idx="75">
                  <c:v>Distracted by navigation system or GPS device</c:v>
                </c:pt>
                <c:pt idx="76">
                  <c:v>Jackknife: trailer or towed vehicle struck towing vehicle</c:v>
                </c:pt>
                <c:pt idx="77">
                  <c:v>Trailer connection broke</c:v>
                </c:pt>
                <c:pt idx="78">
                  <c:v>Vehicle door opened into adjacent traffic lane</c:v>
                </c:pt>
                <c:pt idx="79">
                  <c:v>Median barrier (Raised or metal)</c:v>
                </c:pt>
                <c:pt idx="80">
                  <c:v>Low or high shoulder at pavement edge</c:v>
                </c:pt>
                <c:pt idx="81">
                  <c:v>Building, other structure</c:v>
                </c:pt>
                <c:pt idx="82">
                  <c:v>*Guy wire</c:v>
                </c:pt>
                <c:pt idx="83">
                  <c:v>Pedestrian in motorized wheelchair</c:v>
                </c:pt>
                <c:pt idx="84">
                  <c:v>Wheel came off</c:v>
                </c:pt>
                <c:pt idx="85">
                  <c:v>Lost load, load moved or shifted</c:v>
                </c:pt>
                <c:pt idx="86">
                  <c:v>Hydrant</c:v>
                </c:pt>
                <c:pt idx="87">
                  <c:v>Mailbox</c:v>
                </c:pt>
                <c:pt idx="88">
                  <c:v>Temporary sign or barricade in road, etc.</c:v>
                </c:pt>
                <c:pt idx="89">
                  <c:v>Foreign obstruction / debris in road (Not gravel)</c:v>
                </c:pt>
                <c:pt idx="90">
                  <c:v>Other equipment in or off road (Including parked trailer, boat)</c:v>
                </c:pt>
                <c:pt idx="91">
                  <c:v>Other bump (not speed bump) pothole or pavement irregularity (Per PAR)</c:v>
                </c:pt>
                <c:pt idx="92">
                  <c:v>Detached trailing object struck other vehicle, non-motorist, or object</c:v>
                </c:pt>
                <c:pt idx="93">
                  <c:v>Wild animal, game (Includes birds; not deer or elk)</c:v>
                </c:pt>
                <c:pt idx="94">
                  <c:v>Fire or explosion</c:v>
                </c:pt>
                <c:pt idx="95">
                  <c:v>Shoulder gave way</c:v>
                </c:pt>
                <c:pt idx="96">
                  <c:v>Rocks / boulder (Not gravel; not rock slide)</c:v>
                </c:pt>
                <c:pt idx="97">
                  <c:v>View obscured by curve (Do not use with code 128)</c:v>
                </c:pt>
                <c:pt idx="98">
                  <c:v>View obscured by vehicle window conditions</c:v>
                </c:pt>
                <c:pt idx="99">
                  <c:v>Pole - street light only</c:v>
                </c:pt>
                <c:pt idx="100">
                  <c:v>Stop or yield sign</c:v>
                </c:pt>
                <c:pt idx="101">
                  <c:v>Fixed object, unknown type</c:v>
                </c:pt>
                <c:pt idx="102">
                  <c:v>Non-motorist struck vehicle</c:v>
                </c:pt>
                <c:pt idx="103">
                  <c:v>Tire failure</c:v>
                </c:pt>
                <c:pt idx="104">
                  <c:v>Culvert, open low or high manhole</c:v>
                </c:pt>
                <c:pt idx="105">
                  <c:v>*Bridge railing or parapet (On bridge or approach)</c:v>
                </c:pt>
                <c:pt idx="106">
                  <c:v>Jersey barrier</c:v>
                </c:pt>
                <c:pt idx="107">
                  <c:v>View obscured by vertical grade, hill (Do not use with code 129)</c:v>
                </c:pt>
                <c:pt idx="108">
                  <c:v>Animal or insect in vehicle interfered with driver</c:v>
                </c:pt>
                <c:pt idx="109">
                  <c:v>Struck by rock or other object set in motion by other vehicle, including lost loads  (Do not use
with code 081)</c:v>
                </c:pt>
                <c:pt idx="110">
                  <c:v>Crash related to another separate crash</c:v>
                </c:pt>
                <c:pt idx="111">
                  <c:v>Distracted by other electronic device</c:v>
                </c:pt>
                <c:pt idx="112">
                  <c:v>Trailer or towed vehicle overturned</c:v>
                </c:pt>
                <c:pt idx="113">
                  <c:v>Pet: cat, dog and similar</c:v>
                </c:pt>
                <c:pt idx="114">
                  <c:v>Passenger interfered with driver</c:v>
                </c:pt>
                <c:pt idx="115">
                  <c:v>Occupant fell, jumped, or was ejected from moving vehicle</c:v>
                </c:pt>
                <c:pt idx="116">
                  <c:v>Curb (Also narrow sidewalks or bridges)</c:v>
                </c:pt>
                <c:pt idx="117">
                  <c:v>Guard rail (Not metal median barrier)</c:v>
                </c:pt>
                <c:pt idx="118">
                  <c:v>Other sign, including street signs</c:v>
                </c:pt>
                <c:pt idx="119">
                  <c:v>Vehicle obscured view</c:v>
                </c:pt>
                <c:pt idx="120">
                  <c:v>Cell phone (on PAR or report submitted by driver using phone)</c:v>
                </c:pt>
                <c:pt idx="121">
                  <c:v>Pedestrian indirectly involved (Not struck)</c:v>
                </c:pt>
                <c:pt idx="122">
                  <c:v>Fence</c:v>
                </c:pt>
                <c:pt idx="123">
                  <c:v>Deer or elk, wapiti</c:v>
                </c:pt>
                <c:pt idx="124">
                  <c:v>Curve present at crash location (Do not use with code 130)</c:v>
                </c:pt>
                <c:pt idx="125">
                  <c:v>Pole - power or telephone</c:v>
                </c:pt>
                <c:pt idx="126">
                  <c:v>Other (phantom) non-contact vehicle (On PAR or witness statement)</c:v>
                </c:pt>
                <c:pt idx="127">
                  <c:v>Tree, stump or shrubs</c:v>
                </c:pt>
                <c:pt idx="128">
                  <c:v>Overturned after first harmful event</c:v>
                </c:pt>
                <c:pt idx="129">
                  <c:v>Vehicle forced by impact into another vehicle, cyclist or pedestrian</c:v>
                </c:pt>
                <c:pt idx="130">
                  <c:v>Vertical grade, hill present at crash location (Do not use with code 131)</c:v>
                </c:pt>
                <c:pt idx="131">
                  <c:v>Sliding or swerving due to wet, icy, slippery or loose surface</c:v>
                </c:pt>
                <c:pt idx="132">
                  <c:v>Cut slope or ditch embankment</c:v>
                </c:pt>
              </c:strCache>
            </c:strRef>
          </c:cat>
          <c:val>
            <c:numRef>
              <c:f>Event!$I$149:$I$282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8-4983-B466-2E6D141B7AF9}"/>
            </c:ext>
          </c:extLst>
        </c:ser>
        <c:ser>
          <c:idx val="1"/>
          <c:order val="1"/>
          <c:tx>
            <c:strRef>
              <c:f>Event!$E$148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Event!$M$149:$M$282</c:f>
              <c:strCache>
                <c:ptCount val="133"/>
                <c:pt idx="0">
                  <c:v>None applicable at this level </c:v>
                </c:pt>
                <c:pt idx="1">
                  <c:v>Pedal-cyclist indirectly involved (Not struck)</c:v>
                </c:pt>
                <c:pt idx="2">
                  <c:v>Hitchhiker (Soliciting a ride)</c:v>
                </c:pt>
                <c:pt idx="3">
                  <c:v>Passenger or non-motorist being towed or pushed on conveyance</c:v>
                </c:pt>
                <c:pt idx="4">
                  <c:v>Actively getting on or off stopped or parked vehicle (must have physical contact with vehicle)</c:v>
                </c:pt>
                <c:pt idx="5">
                  <c:v>Vehicle being pushed</c:v>
                </c:pt>
                <c:pt idx="6">
                  <c:v>Vehicle towed or had been towing another vehicle</c:v>
                </c:pt>
                <c:pt idx="7">
                  <c:v>Vehicle set in motion by non-driver (Child released brakes, etc.)</c:v>
                </c:pt>
                <c:pt idx="8">
                  <c:v>At or on light-rail right-of-way</c:v>
                </c:pt>
                <c:pt idx="9">
                  <c:v>Train struck vehicle</c:v>
                </c:pt>
                <c:pt idx="10">
                  <c:v>Vehicle struck train</c:v>
                </c:pt>
                <c:pt idx="11">
                  <c:v>Vehicle struck railroad car on roadway</c:v>
                </c:pt>
                <c:pt idx="12">
                  <c:v>Hood flew up</c:v>
                </c:pt>
                <c:pt idx="13">
                  <c:v>Horse and rider</c:v>
                </c:pt>
                <c:pt idx="14">
                  <c:v>Animal-drawn vehicle</c:v>
                </c:pt>
                <c:pt idx="15">
                  <c:v>*Impact attenuator</c:v>
                </c:pt>
                <c:pt idx="16">
                  <c:v>Parking meter</c:v>
                </c:pt>
                <c:pt idx="17">
                  <c:v>Jiggle bars or traffic snake for channelization</c:v>
                </c:pt>
                <c:pt idx="18">
                  <c:v>Retaining wall or tunnel wall</c:v>
                </c:pt>
                <c:pt idx="19">
                  <c:v>*Bridge abutment (Approach ends)</c:v>
                </c:pt>
                <c:pt idx="20">
                  <c:v>*Bridge girder (horizontal bridge structure overhead)</c:v>
                </c:pt>
                <c:pt idx="21">
                  <c:v>Traffic raised island</c:v>
                </c:pt>
                <c:pt idx="22">
                  <c:v>*Gore</c:v>
                </c:pt>
                <c:pt idx="23">
                  <c:v>Pole - type unknown</c:v>
                </c:pt>
                <c:pt idx="24">
                  <c:v>Pole - sign bridge</c:v>
                </c:pt>
                <c:pt idx="25">
                  <c:v>Tree branch or other vegetation overhead, etc.</c:v>
                </c:pt>
                <c:pt idx="26">
                  <c:v>Permanent sign or barricade in/off road</c:v>
                </c:pt>
                <c:pt idx="27">
                  <c:v>Slides, rocks off or on road, falling rocks</c:v>
                </c:pt>
                <c:pt idx="28">
                  <c:v>Equipment working in/off road</c:v>
                </c:pt>
                <c:pt idx="29">
                  <c:v>Wrecker, street sweeper, snow plow or sanding equipment</c:v>
                </c:pt>
                <c:pt idx="30">
                  <c:v>Bridge or road cave in</c:v>
                </c:pt>
                <c:pt idx="31">
                  <c:v>High water</c:v>
                </c:pt>
                <c:pt idx="32">
                  <c:v>Snow bank</c:v>
                </c:pt>
                <c:pt idx="33">
                  <c:v>Struck by rock or other moving, falling or flying object  (Do not use with code 080)</c:v>
                </c:pt>
                <c:pt idx="34">
                  <c:v>Wind gust</c:v>
                </c:pt>
                <c:pt idx="35">
                  <c:v>Vehicle immersed in body of water</c:v>
                </c:pt>
                <c:pt idx="36">
                  <c:v>Fence or building, etc.</c:v>
                </c:pt>
                <c:pt idx="37">
                  <c:v>Two-way traffic on divided roadway all routed to one side</c:v>
                </c:pt>
                <c:pt idx="38">
                  <c:v>Gravel in roadway</c:v>
                </c:pt>
                <c:pt idx="39">
                  <c:v>Abrupt edge</c:v>
                </c:pt>
                <c:pt idx="40">
                  <c:v>Cell phone use witnessed by other participant</c:v>
                </c:pt>
                <c:pt idx="41">
                  <c:v>Texting </c:v>
                </c:pt>
                <c:pt idx="42">
                  <c:v>Passenger riding on vehicle exterior</c:v>
                </c:pt>
                <c:pt idx="43">
                  <c:v>Passenger riding on pedalcycle</c:v>
                </c:pt>
                <c:pt idx="44">
                  <c:v>Pedestrian in non-motorized wheelchair</c:v>
                </c:pt>
                <c:pt idx="45">
                  <c:v>Law Enforcement / Police Officer</c:v>
                </c:pt>
                <c:pt idx="46">
                  <c:v>"Sub-Bike": pedal-cyclist injured subsequent to collision, etc.</c:v>
                </c:pt>
                <c:pt idx="47">
                  <c:v>Street car or trolley (on rails or overhead wire system) struck vehicle</c:v>
                </c:pt>
                <c:pt idx="48">
                  <c:v>Vehicle struck street car / trolley (On rails or overhead wire system)</c:v>
                </c:pt>
                <c:pt idx="49">
                  <c:v>At or on street car or trolley right-of-way</c:v>
                </c:pt>
                <c:pt idx="50">
                  <c:v>Vehicle struck railroad equipment on tracks (Not train)</c:v>
                </c:pt>
                <c:pt idx="51">
                  <c:v>Rail crossing drop arm gate</c:v>
                </c:pt>
                <c:pt idx="52">
                  <c:v>*Expansion joint</c:v>
                </c:pt>
                <c:pt idx="53">
                  <c:v>Wire or cable median barrier</c:v>
                </c:pt>
                <c:pt idx="54">
                  <c:v>Loose object in vehicle struck occupant</c:v>
                </c:pt>
                <c:pt idx="55">
                  <c:v>Rock slide or land slide</c:v>
                </c:pt>
                <c:pt idx="56">
                  <c:v>View obscured by water spray</c:v>
                </c:pt>
                <c:pt idx="57">
                  <c:v>Torrential rain (Exceptionally heavy rain)</c:v>
                </c:pt>
                <c:pt idx="58">
                  <c:v>"Sub-Ped": pedestrian struck subsequent to collision, etc.</c:v>
                </c:pt>
                <c:pt idx="59">
                  <c:v>At or on railroad right-of-way (Not light-rail)</c:v>
                </c:pt>
                <c:pt idx="60">
                  <c:v>Stock: cow, calf, bull, steer, sheep, etc.</c:v>
                </c:pt>
                <c:pt idx="61">
                  <c:v>Horse, mule, or donkey</c:v>
                </c:pt>
                <c:pt idx="62">
                  <c:v>Leading edge of guardrail</c:v>
                </c:pt>
                <c:pt idx="63">
                  <c:v>*Bridge pillar or column -- even if struck protective guardrail first</c:v>
                </c:pt>
                <c:pt idx="64">
                  <c:v>Pole - traffic signal and/or ped signal only</c:v>
                </c:pt>
                <c:pt idx="65">
                  <c:v>Delineator or marker (Reflector posts)</c:v>
                </c:pt>
                <c:pt idx="66">
                  <c:v>Wire or cable across or over the road</c:v>
                </c:pt>
                <c:pt idx="67">
                  <c:v>Rock, brick or other solid wall</c:v>
                </c:pt>
                <c:pt idx="68">
                  <c:v>Other overhead object (highway sign, signal head, etc.); not Bridge</c:v>
                </c:pt>
                <c:pt idx="69">
                  <c:v>Vegetation obscured view</c:v>
                </c:pt>
                <c:pt idx="70">
                  <c:v>View obscured by fence, sign, phone booth, etc.</c:v>
                </c:pt>
                <c:pt idx="71">
                  <c:v>Police report indicates teenage driver of an involved vehicle was in violation of graduated license program</c:v>
                </c:pt>
                <c:pt idx="72">
                  <c:v>Berm (Earthen or gravel mound)</c:v>
                </c:pt>
                <c:pt idx="73">
                  <c:v>Non-Fixed object, other or unknown type</c:v>
                </c:pt>
                <c:pt idx="74">
                  <c:v>Work Zone Worker</c:v>
                </c:pt>
                <c:pt idx="75">
                  <c:v>Distracted by navigation system or GPS device</c:v>
                </c:pt>
                <c:pt idx="76">
                  <c:v>Jackknife: trailer or towed vehicle struck towing vehicle</c:v>
                </c:pt>
                <c:pt idx="77">
                  <c:v>Trailer connection broke</c:v>
                </c:pt>
                <c:pt idx="78">
                  <c:v>Vehicle door opened into adjacent traffic lane</c:v>
                </c:pt>
                <c:pt idx="79">
                  <c:v>Median barrier (Raised or metal)</c:v>
                </c:pt>
                <c:pt idx="80">
                  <c:v>Low or high shoulder at pavement edge</c:v>
                </c:pt>
                <c:pt idx="81">
                  <c:v>Building, other structure</c:v>
                </c:pt>
                <c:pt idx="82">
                  <c:v>*Guy wire</c:v>
                </c:pt>
                <c:pt idx="83">
                  <c:v>Pedestrian in motorized wheelchair</c:v>
                </c:pt>
                <c:pt idx="84">
                  <c:v>Wheel came off</c:v>
                </c:pt>
                <c:pt idx="85">
                  <c:v>Lost load, load moved or shifted</c:v>
                </c:pt>
                <c:pt idx="86">
                  <c:v>Hydrant</c:v>
                </c:pt>
                <c:pt idx="87">
                  <c:v>Mailbox</c:v>
                </c:pt>
                <c:pt idx="88">
                  <c:v>Temporary sign or barricade in road, etc.</c:v>
                </c:pt>
                <c:pt idx="89">
                  <c:v>Foreign obstruction / debris in road (Not gravel)</c:v>
                </c:pt>
                <c:pt idx="90">
                  <c:v>Other equipment in or off road (Including parked trailer, boat)</c:v>
                </c:pt>
                <c:pt idx="91">
                  <c:v>Other bump (not speed bump) pothole or pavement irregularity (Per PAR)</c:v>
                </c:pt>
                <c:pt idx="92">
                  <c:v>Detached trailing object struck other vehicle, non-motorist, or object</c:v>
                </c:pt>
                <c:pt idx="93">
                  <c:v>Wild animal, game (Includes birds; not deer or elk)</c:v>
                </c:pt>
                <c:pt idx="94">
                  <c:v>Fire or explosion</c:v>
                </c:pt>
                <c:pt idx="95">
                  <c:v>Shoulder gave way</c:v>
                </c:pt>
                <c:pt idx="96">
                  <c:v>Rocks / boulder (Not gravel; not rock slide)</c:v>
                </c:pt>
                <c:pt idx="97">
                  <c:v>View obscured by curve (Do not use with code 128)</c:v>
                </c:pt>
                <c:pt idx="98">
                  <c:v>View obscured by vehicle window conditions</c:v>
                </c:pt>
                <c:pt idx="99">
                  <c:v>Pole - street light only</c:v>
                </c:pt>
                <c:pt idx="100">
                  <c:v>Stop or yield sign</c:v>
                </c:pt>
                <c:pt idx="101">
                  <c:v>Fixed object, unknown type</c:v>
                </c:pt>
                <c:pt idx="102">
                  <c:v>Non-motorist struck vehicle</c:v>
                </c:pt>
                <c:pt idx="103">
                  <c:v>Tire failure</c:v>
                </c:pt>
                <c:pt idx="104">
                  <c:v>Culvert, open low or high manhole</c:v>
                </c:pt>
                <c:pt idx="105">
                  <c:v>*Bridge railing or parapet (On bridge or approach)</c:v>
                </c:pt>
                <c:pt idx="106">
                  <c:v>Jersey barrier</c:v>
                </c:pt>
                <c:pt idx="107">
                  <c:v>View obscured by vertical grade, hill (Do not use with code 129)</c:v>
                </c:pt>
                <c:pt idx="108">
                  <c:v>Animal or insect in vehicle interfered with driver</c:v>
                </c:pt>
                <c:pt idx="109">
                  <c:v>Struck by rock or other object set in motion by other vehicle, including lost loads  (Do not use
with code 081)</c:v>
                </c:pt>
                <c:pt idx="110">
                  <c:v>Crash related to another separate crash</c:v>
                </c:pt>
                <c:pt idx="111">
                  <c:v>Distracted by other electronic device</c:v>
                </c:pt>
                <c:pt idx="112">
                  <c:v>Trailer or towed vehicle overturned</c:v>
                </c:pt>
                <c:pt idx="113">
                  <c:v>Pet: cat, dog and similar</c:v>
                </c:pt>
                <c:pt idx="114">
                  <c:v>Passenger interfered with driver</c:v>
                </c:pt>
                <c:pt idx="115">
                  <c:v>Occupant fell, jumped, or was ejected from moving vehicle</c:v>
                </c:pt>
                <c:pt idx="116">
                  <c:v>Curb (Also narrow sidewalks or bridges)</c:v>
                </c:pt>
                <c:pt idx="117">
                  <c:v>Guard rail (Not metal median barrier)</c:v>
                </c:pt>
                <c:pt idx="118">
                  <c:v>Other sign, including street signs</c:v>
                </c:pt>
                <c:pt idx="119">
                  <c:v>Vehicle obscured view</c:v>
                </c:pt>
                <c:pt idx="120">
                  <c:v>Cell phone (on PAR or report submitted by driver using phone)</c:v>
                </c:pt>
                <c:pt idx="121">
                  <c:v>Pedestrian indirectly involved (Not struck)</c:v>
                </c:pt>
                <c:pt idx="122">
                  <c:v>Fence</c:v>
                </c:pt>
                <c:pt idx="123">
                  <c:v>Deer or elk, wapiti</c:v>
                </c:pt>
                <c:pt idx="124">
                  <c:v>Curve present at crash location (Do not use with code 130)</c:v>
                </c:pt>
                <c:pt idx="125">
                  <c:v>Pole - power or telephone</c:v>
                </c:pt>
                <c:pt idx="126">
                  <c:v>Other (phantom) non-contact vehicle (On PAR or witness statement)</c:v>
                </c:pt>
                <c:pt idx="127">
                  <c:v>Tree, stump or shrubs</c:v>
                </c:pt>
                <c:pt idx="128">
                  <c:v>Overturned after first harmful event</c:v>
                </c:pt>
                <c:pt idx="129">
                  <c:v>Vehicle forced by impact into another vehicle, cyclist or pedestrian</c:v>
                </c:pt>
                <c:pt idx="130">
                  <c:v>Vertical grade, hill present at crash location (Do not use with code 131)</c:v>
                </c:pt>
                <c:pt idx="131">
                  <c:v>Sliding or swerving due to wet, icy, slippery or loose surface</c:v>
                </c:pt>
                <c:pt idx="132">
                  <c:v>Cut slope or ditch embankment</c:v>
                </c:pt>
              </c:strCache>
            </c:strRef>
          </c:cat>
          <c:val>
            <c:numRef>
              <c:f>Event!$E$149:$E$282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8-4983-B466-2E6D141B7AF9}"/>
            </c:ext>
          </c:extLst>
        </c:ser>
        <c:ser>
          <c:idx val="2"/>
          <c:order val="2"/>
          <c:tx>
            <c:strRef>
              <c:f>Event!$F$148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Event!$M$149:$M$282</c:f>
              <c:strCache>
                <c:ptCount val="133"/>
                <c:pt idx="0">
                  <c:v>None applicable at this level </c:v>
                </c:pt>
                <c:pt idx="1">
                  <c:v>Pedal-cyclist indirectly involved (Not struck)</c:v>
                </c:pt>
                <c:pt idx="2">
                  <c:v>Hitchhiker (Soliciting a ride)</c:v>
                </c:pt>
                <c:pt idx="3">
                  <c:v>Passenger or non-motorist being towed or pushed on conveyance</c:v>
                </c:pt>
                <c:pt idx="4">
                  <c:v>Actively getting on or off stopped or parked vehicle (must have physical contact with vehicle)</c:v>
                </c:pt>
                <c:pt idx="5">
                  <c:v>Vehicle being pushed</c:v>
                </c:pt>
                <c:pt idx="6">
                  <c:v>Vehicle towed or had been towing another vehicle</c:v>
                </c:pt>
                <c:pt idx="7">
                  <c:v>Vehicle set in motion by non-driver (Child released brakes, etc.)</c:v>
                </c:pt>
                <c:pt idx="8">
                  <c:v>At or on light-rail right-of-way</c:v>
                </c:pt>
                <c:pt idx="9">
                  <c:v>Train struck vehicle</c:v>
                </c:pt>
                <c:pt idx="10">
                  <c:v>Vehicle struck train</c:v>
                </c:pt>
                <c:pt idx="11">
                  <c:v>Vehicle struck railroad car on roadway</c:v>
                </c:pt>
                <c:pt idx="12">
                  <c:v>Hood flew up</c:v>
                </c:pt>
                <c:pt idx="13">
                  <c:v>Horse and rider</c:v>
                </c:pt>
                <c:pt idx="14">
                  <c:v>Animal-drawn vehicle</c:v>
                </c:pt>
                <c:pt idx="15">
                  <c:v>*Impact attenuator</c:v>
                </c:pt>
                <c:pt idx="16">
                  <c:v>Parking meter</c:v>
                </c:pt>
                <c:pt idx="17">
                  <c:v>Jiggle bars or traffic snake for channelization</c:v>
                </c:pt>
                <c:pt idx="18">
                  <c:v>Retaining wall or tunnel wall</c:v>
                </c:pt>
                <c:pt idx="19">
                  <c:v>*Bridge abutment (Approach ends)</c:v>
                </c:pt>
                <c:pt idx="20">
                  <c:v>*Bridge girder (horizontal bridge structure overhead)</c:v>
                </c:pt>
                <c:pt idx="21">
                  <c:v>Traffic raised island</c:v>
                </c:pt>
                <c:pt idx="22">
                  <c:v>*Gore</c:v>
                </c:pt>
                <c:pt idx="23">
                  <c:v>Pole - type unknown</c:v>
                </c:pt>
                <c:pt idx="24">
                  <c:v>Pole - sign bridge</c:v>
                </c:pt>
                <c:pt idx="25">
                  <c:v>Tree branch or other vegetation overhead, etc.</c:v>
                </c:pt>
                <c:pt idx="26">
                  <c:v>Permanent sign or barricade in/off road</c:v>
                </c:pt>
                <c:pt idx="27">
                  <c:v>Slides, rocks off or on road, falling rocks</c:v>
                </c:pt>
                <c:pt idx="28">
                  <c:v>Equipment working in/off road</c:v>
                </c:pt>
                <c:pt idx="29">
                  <c:v>Wrecker, street sweeper, snow plow or sanding equipment</c:v>
                </c:pt>
                <c:pt idx="30">
                  <c:v>Bridge or road cave in</c:v>
                </c:pt>
                <c:pt idx="31">
                  <c:v>High water</c:v>
                </c:pt>
                <c:pt idx="32">
                  <c:v>Snow bank</c:v>
                </c:pt>
                <c:pt idx="33">
                  <c:v>Struck by rock or other moving, falling or flying object  (Do not use with code 080)</c:v>
                </c:pt>
                <c:pt idx="34">
                  <c:v>Wind gust</c:v>
                </c:pt>
                <c:pt idx="35">
                  <c:v>Vehicle immersed in body of water</c:v>
                </c:pt>
                <c:pt idx="36">
                  <c:v>Fence or building, etc.</c:v>
                </c:pt>
                <c:pt idx="37">
                  <c:v>Two-way traffic on divided roadway all routed to one side</c:v>
                </c:pt>
                <c:pt idx="38">
                  <c:v>Gravel in roadway</c:v>
                </c:pt>
                <c:pt idx="39">
                  <c:v>Abrupt edge</c:v>
                </c:pt>
                <c:pt idx="40">
                  <c:v>Cell phone use witnessed by other participant</c:v>
                </c:pt>
                <c:pt idx="41">
                  <c:v>Texting </c:v>
                </c:pt>
                <c:pt idx="42">
                  <c:v>Passenger riding on vehicle exterior</c:v>
                </c:pt>
                <c:pt idx="43">
                  <c:v>Passenger riding on pedalcycle</c:v>
                </c:pt>
                <c:pt idx="44">
                  <c:v>Pedestrian in non-motorized wheelchair</c:v>
                </c:pt>
                <c:pt idx="45">
                  <c:v>Law Enforcement / Police Officer</c:v>
                </c:pt>
                <c:pt idx="46">
                  <c:v>"Sub-Bike": pedal-cyclist injured subsequent to collision, etc.</c:v>
                </c:pt>
                <c:pt idx="47">
                  <c:v>Street car or trolley (on rails or overhead wire system) struck vehicle</c:v>
                </c:pt>
                <c:pt idx="48">
                  <c:v>Vehicle struck street car / trolley (On rails or overhead wire system)</c:v>
                </c:pt>
                <c:pt idx="49">
                  <c:v>At or on street car or trolley right-of-way</c:v>
                </c:pt>
                <c:pt idx="50">
                  <c:v>Vehicle struck railroad equipment on tracks (Not train)</c:v>
                </c:pt>
                <c:pt idx="51">
                  <c:v>Rail crossing drop arm gate</c:v>
                </c:pt>
                <c:pt idx="52">
                  <c:v>*Expansion joint</c:v>
                </c:pt>
                <c:pt idx="53">
                  <c:v>Wire or cable median barrier</c:v>
                </c:pt>
                <c:pt idx="54">
                  <c:v>Loose object in vehicle struck occupant</c:v>
                </c:pt>
                <c:pt idx="55">
                  <c:v>Rock slide or land slide</c:v>
                </c:pt>
                <c:pt idx="56">
                  <c:v>View obscured by water spray</c:v>
                </c:pt>
                <c:pt idx="57">
                  <c:v>Torrential rain (Exceptionally heavy rain)</c:v>
                </c:pt>
                <c:pt idx="58">
                  <c:v>"Sub-Ped": pedestrian struck subsequent to collision, etc.</c:v>
                </c:pt>
                <c:pt idx="59">
                  <c:v>At or on railroad right-of-way (Not light-rail)</c:v>
                </c:pt>
                <c:pt idx="60">
                  <c:v>Stock: cow, calf, bull, steer, sheep, etc.</c:v>
                </c:pt>
                <c:pt idx="61">
                  <c:v>Horse, mule, or donkey</c:v>
                </c:pt>
                <c:pt idx="62">
                  <c:v>Leading edge of guardrail</c:v>
                </c:pt>
                <c:pt idx="63">
                  <c:v>*Bridge pillar or column -- even if struck protective guardrail first</c:v>
                </c:pt>
                <c:pt idx="64">
                  <c:v>Pole - traffic signal and/or ped signal only</c:v>
                </c:pt>
                <c:pt idx="65">
                  <c:v>Delineator or marker (Reflector posts)</c:v>
                </c:pt>
                <c:pt idx="66">
                  <c:v>Wire or cable across or over the road</c:v>
                </c:pt>
                <c:pt idx="67">
                  <c:v>Rock, brick or other solid wall</c:v>
                </c:pt>
                <c:pt idx="68">
                  <c:v>Other overhead object (highway sign, signal head, etc.); not Bridge</c:v>
                </c:pt>
                <c:pt idx="69">
                  <c:v>Vegetation obscured view</c:v>
                </c:pt>
                <c:pt idx="70">
                  <c:v>View obscured by fence, sign, phone booth, etc.</c:v>
                </c:pt>
                <c:pt idx="71">
                  <c:v>Police report indicates teenage driver of an involved vehicle was in violation of graduated license program</c:v>
                </c:pt>
                <c:pt idx="72">
                  <c:v>Berm (Earthen or gravel mound)</c:v>
                </c:pt>
                <c:pt idx="73">
                  <c:v>Non-Fixed object, other or unknown type</c:v>
                </c:pt>
                <c:pt idx="74">
                  <c:v>Work Zone Worker</c:v>
                </c:pt>
                <c:pt idx="75">
                  <c:v>Distracted by navigation system or GPS device</c:v>
                </c:pt>
                <c:pt idx="76">
                  <c:v>Jackknife: trailer or towed vehicle struck towing vehicle</c:v>
                </c:pt>
                <c:pt idx="77">
                  <c:v>Trailer connection broke</c:v>
                </c:pt>
                <c:pt idx="78">
                  <c:v>Vehicle door opened into adjacent traffic lane</c:v>
                </c:pt>
                <c:pt idx="79">
                  <c:v>Median barrier (Raised or metal)</c:v>
                </c:pt>
                <c:pt idx="80">
                  <c:v>Low or high shoulder at pavement edge</c:v>
                </c:pt>
                <c:pt idx="81">
                  <c:v>Building, other structure</c:v>
                </c:pt>
                <c:pt idx="82">
                  <c:v>*Guy wire</c:v>
                </c:pt>
                <c:pt idx="83">
                  <c:v>Pedestrian in motorized wheelchair</c:v>
                </c:pt>
                <c:pt idx="84">
                  <c:v>Wheel came off</c:v>
                </c:pt>
                <c:pt idx="85">
                  <c:v>Lost load, load moved or shifted</c:v>
                </c:pt>
                <c:pt idx="86">
                  <c:v>Hydrant</c:v>
                </c:pt>
                <c:pt idx="87">
                  <c:v>Mailbox</c:v>
                </c:pt>
                <c:pt idx="88">
                  <c:v>Temporary sign or barricade in road, etc.</c:v>
                </c:pt>
                <c:pt idx="89">
                  <c:v>Foreign obstruction / debris in road (Not gravel)</c:v>
                </c:pt>
                <c:pt idx="90">
                  <c:v>Other equipment in or off road (Including parked trailer, boat)</c:v>
                </c:pt>
                <c:pt idx="91">
                  <c:v>Other bump (not speed bump) pothole or pavement irregularity (Per PAR)</c:v>
                </c:pt>
                <c:pt idx="92">
                  <c:v>Detached trailing object struck other vehicle, non-motorist, or object</c:v>
                </c:pt>
                <c:pt idx="93">
                  <c:v>Wild animal, game (Includes birds; not deer or elk)</c:v>
                </c:pt>
                <c:pt idx="94">
                  <c:v>Fire or explosion</c:v>
                </c:pt>
                <c:pt idx="95">
                  <c:v>Shoulder gave way</c:v>
                </c:pt>
                <c:pt idx="96">
                  <c:v>Rocks / boulder (Not gravel; not rock slide)</c:v>
                </c:pt>
                <c:pt idx="97">
                  <c:v>View obscured by curve (Do not use with code 128)</c:v>
                </c:pt>
                <c:pt idx="98">
                  <c:v>View obscured by vehicle window conditions</c:v>
                </c:pt>
                <c:pt idx="99">
                  <c:v>Pole - street light only</c:v>
                </c:pt>
                <c:pt idx="100">
                  <c:v>Stop or yield sign</c:v>
                </c:pt>
                <c:pt idx="101">
                  <c:v>Fixed object, unknown type</c:v>
                </c:pt>
                <c:pt idx="102">
                  <c:v>Non-motorist struck vehicle</c:v>
                </c:pt>
                <c:pt idx="103">
                  <c:v>Tire failure</c:v>
                </c:pt>
                <c:pt idx="104">
                  <c:v>Culvert, open low or high manhole</c:v>
                </c:pt>
                <c:pt idx="105">
                  <c:v>*Bridge railing or parapet (On bridge or approach)</c:v>
                </c:pt>
                <c:pt idx="106">
                  <c:v>Jersey barrier</c:v>
                </c:pt>
                <c:pt idx="107">
                  <c:v>View obscured by vertical grade, hill (Do not use with code 129)</c:v>
                </c:pt>
                <c:pt idx="108">
                  <c:v>Animal or insect in vehicle interfered with driver</c:v>
                </c:pt>
                <c:pt idx="109">
                  <c:v>Struck by rock or other object set in motion by other vehicle, including lost loads  (Do not use
with code 081)</c:v>
                </c:pt>
                <c:pt idx="110">
                  <c:v>Crash related to another separate crash</c:v>
                </c:pt>
                <c:pt idx="111">
                  <c:v>Distracted by other electronic device</c:v>
                </c:pt>
                <c:pt idx="112">
                  <c:v>Trailer or towed vehicle overturned</c:v>
                </c:pt>
                <c:pt idx="113">
                  <c:v>Pet: cat, dog and similar</c:v>
                </c:pt>
                <c:pt idx="114">
                  <c:v>Passenger interfered with driver</c:v>
                </c:pt>
                <c:pt idx="115">
                  <c:v>Occupant fell, jumped, or was ejected from moving vehicle</c:v>
                </c:pt>
                <c:pt idx="116">
                  <c:v>Curb (Also narrow sidewalks or bridges)</c:v>
                </c:pt>
                <c:pt idx="117">
                  <c:v>Guard rail (Not metal median barrier)</c:v>
                </c:pt>
                <c:pt idx="118">
                  <c:v>Other sign, including street signs</c:v>
                </c:pt>
                <c:pt idx="119">
                  <c:v>Vehicle obscured view</c:v>
                </c:pt>
                <c:pt idx="120">
                  <c:v>Cell phone (on PAR or report submitted by driver using phone)</c:v>
                </c:pt>
                <c:pt idx="121">
                  <c:v>Pedestrian indirectly involved (Not struck)</c:v>
                </c:pt>
                <c:pt idx="122">
                  <c:v>Fence</c:v>
                </c:pt>
                <c:pt idx="123">
                  <c:v>Deer or elk, wapiti</c:v>
                </c:pt>
                <c:pt idx="124">
                  <c:v>Curve present at crash location (Do not use with code 130)</c:v>
                </c:pt>
                <c:pt idx="125">
                  <c:v>Pole - power or telephone</c:v>
                </c:pt>
                <c:pt idx="126">
                  <c:v>Other (phantom) non-contact vehicle (On PAR or witness statement)</c:v>
                </c:pt>
                <c:pt idx="127">
                  <c:v>Tree, stump or shrubs</c:v>
                </c:pt>
                <c:pt idx="128">
                  <c:v>Overturned after first harmful event</c:v>
                </c:pt>
                <c:pt idx="129">
                  <c:v>Vehicle forced by impact into another vehicle, cyclist or pedestrian</c:v>
                </c:pt>
                <c:pt idx="130">
                  <c:v>Vertical grade, hill present at crash location (Do not use with code 131)</c:v>
                </c:pt>
                <c:pt idx="131">
                  <c:v>Sliding or swerving due to wet, icy, slippery or loose surface</c:v>
                </c:pt>
                <c:pt idx="132">
                  <c:v>Cut slope or ditch embankment</c:v>
                </c:pt>
              </c:strCache>
            </c:strRef>
          </c:cat>
          <c:val>
            <c:numRef>
              <c:f>Event!$F$149:$F$282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8-4983-B466-2E6D141B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336120193"/>
              <c:y val="1.356370822031816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787261244710558"/>
          <c:y val="0.90198374499691958"/>
          <c:w val="9.8241910171554495E-2"/>
          <c:h val="7.9470480591689568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0.10758753908360209"/>
          <c:w val="0.91506394036270078"/>
          <c:h val="0.757985241449808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Event!$C$347</c:f>
              <c:strCache>
                <c:ptCount val="1"/>
                <c:pt idx="0">
                  <c:v>Animal or insect in vehicle interfered with driver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Event!$B$349:$B$353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Event!$D$349:$D$353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9-4CAB-8176-32F58FEB1398}"/>
            </c:ext>
          </c:extLst>
        </c:ser>
        <c:ser>
          <c:idx val="2"/>
          <c:order val="1"/>
          <c:tx>
            <c:strRef>
              <c:f>Event!$E$347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Event!$B$349:$B$353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Event!$F$349:$F$353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9-4CAB-8176-32F58FEB13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</a:t>
                </a:r>
                <a:r>
                  <a:rPr lang="en-US" baseline="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4581875701646573"/>
          <c:y val="2.1909567889293699E-2"/>
          <c:w val="0.5457837629882726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17204467088671"/>
          <c:y val="7.60331572016371E-2"/>
          <c:w val="0.82806978539447273"/>
          <c:h val="0.817343598878731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Temporal!$C$11</c:f>
              <c:strCache>
                <c:ptCount val="1"/>
                <c:pt idx="0">
                  <c:v>Fatal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0-436A-A5F0-9FBF1EE2E243}"/>
            </c:ext>
          </c:extLst>
        </c:ser>
        <c:ser>
          <c:idx val="1"/>
          <c:order val="1"/>
          <c:tx>
            <c:strRef>
              <c:f>Temporal!$D$11</c:f>
              <c:strCache>
                <c:ptCount val="1"/>
                <c:pt idx="0">
                  <c:v>Severe Injury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Temporal!$D$12:$D$17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0-436A-A5F0-9FBF1EE2E243}"/>
            </c:ext>
          </c:extLst>
        </c:ser>
        <c:ser>
          <c:idx val="2"/>
          <c:order val="2"/>
          <c:tx>
            <c:strRef>
              <c:f>Temporal!$E$11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Temporal!$E$12:$E$17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0-436A-A5F0-9FBF1EE2E243}"/>
            </c:ext>
          </c:extLst>
        </c:ser>
        <c:ser>
          <c:idx val="3"/>
          <c:order val="3"/>
          <c:tx>
            <c:strRef>
              <c:f>Temporal!$F$11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Temporal!$F$12:$F$17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E0-436A-A5F0-9FBF1EE2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426799"/>
        <c:axId val="146425159"/>
      </c:barChart>
      <c:catAx>
        <c:axId val="1464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6425159"/>
        <c:crosses val="autoZero"/>
        <c:auto val="1"/>
        <c:lblAlgn val="ctr"/>
        <c:lblOffset val="100"/>
        <c:noMultiLvlLbl val="0"/>
      </c:catAx>
      <c:valAx>
        <c:axId val="146425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2.3529411764705879E-2"/>
              <c:y val="0.3809227698029766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6426799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7267320154556249"/>
          <c:y val="2.7758446870197191E-2"/>
          <c:w val="0.61522617079441666"/>
          <c:h val="7.2175717581699786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314710427794297E-2"/>
          <c:y val="5.2903952530943453E-2"/>
          <c:w val="0.92597468135850602"/>
          <c:h val="0.77080651938284594"/>
        </c:manualLayout>
      </c:layout>
      <c:lineChart>
        <c:grouping val="standard"/>
        <c:varyColors val="0"/>
        <c:ser>
          <c:idx val="7"/>
          <c:order val="0"/>
          <c:tx>
            <c:strRef>
              <c:f>Temporal!$K$41</c:f>
              <c:strCache>
                <c:ptCount val="1"/>
                <c:pt idx="0">
                  <c:v>Average Weekend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Temporal!$M$42:$M$65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Temporal!$K$42:$K$65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9-47FD-809D-27AC94978F79}"/>
            </c:ext>
          </c:extLst>
        </c:ser>
        <c:ser>
          <c:idx val="8"/>
          <c:order val="1"/>
          <c:tx>
            <c:strRef>
              <c:f>Temporal!$L$41</c:f>
              <c:strCache>
                <c:ptCount val="1"/>
                <c:pt idx="0">
                  <c:v>Average Weekday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Temporal!$M$42:$M$65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Temporal!$L$42:$L$65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9-47FD-809D-27AC94978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2984"/>
        <c:axId val="2128051016"/>
      </c:lineChart>
      <c:catAx>
        <c:axId val="212805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983263654237501"/>
              <c:y val="0.93062935835339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1016"/>
        <c:crosses val="autoZero"/>
        <c:auto val="1"/>
        <c:lblAlgn val="ctr"/>
        <c:lblOffset val="100"/>
        <c:noMultiLvlLbl val="0"/>
      </c:catAx>
      <c:valAx>
        <c:axId val="212805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Daily Average Crashes</a:t>
                </a:r>
                <a:r>
                  <a:rPr lang="en-US" baseline="0"/>
                  <a:t> per Hour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5438389828265378E-3"/>
              <c:y val="0.224386000605201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29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3912294684149038"/>
          <c:y val="2.7797152117385249E-2"/>
          <c:w val="0.26087705315850962"/>
          <c:h val="5.3102525891067467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Temporal!$J$21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Temporal!$C$23:$C$34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Temporal!$K$23:$K$34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2-49C4-BC9C-1BCC0CEDD582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Temporal!$C$23:$C$34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Temporal!$I$23:$I$34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2-49C4-BC9C-1BCC0CEDD5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2529099158803967"/>
          <c:y val="2.1909567889293699E-2"/>
          <c:w val="0.2663113444001757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62026583279139"/>
          <c:y val="0.16409582560141769"/>
          <c:w val="0.76430144170908387"/>
          <c:h val="0.813589782168948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'Road User'!$I$11:$J$11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'Road User'!$K$13:$K$20</c:f>
              <c:strCache>
                <c:ptCount val="8"/>
                <c:pt idx="0">
                  <c:v>Struck, or was struck by, vehicle or pedestrian in prior collision before crash stabilized</c:v>
                </c:pt>
                <c:pt idx="1">
                  <c:v>Non-Motorist walking, running, riding, etc., with traffic</c:v>
                </c:pt>
                <c:pt idx="2">
                  <c:v>Non-Motorist walking, running, riding, etc., facing traffic</c:v>
                </c:pt>
                <c:pt idx="3">
                  <c:v>Crossing between intersections</c:v>
                </c:pt>
                <c:pt idx="4">
                  <c:v>Crossing at intersection - traffic signal present</c:v>
                </c:pt>
                <c:pt idx="5">
                  <c:v>Crossing at intersection - no traffic signal present</c:v>
                </c:pt>
                <c:pt idx="6">
                  <c:v>No action or non-warranted</c:v>
                </c:pt>
                <c:pt idx="7">
                  <c:v>Other action</c:v>
                </c:pt>
              </c:strCache>
            </c:strRef>
          </c:cat>
          <c:val>
            <c:numRef>
              <c:f>'Road User'!$I$13:$I$20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B-488C-8F20-9BC92290CEA4}"/>
            </c:ext>
          </c:extLst>
        </c:ser>
        <c:ser>
          <c:idx val="1"/>
          <c:order val="1"/>
          <c:tx>
            <c:strRef>
              <c:f>'Road User'!$E$12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'Road User'!$K$13:$K$20</c:f>
              <c:strCache>
                <c:ptCount val="8"/>
                <c:pt idx="0">
                  <c:v>Struck, or was struck by, vehicle or pedestrian in prior collision before crash stabilized</c:v>
                </c:pt>
                <c:pt idx="1">
                  <c:v>Non-Motorist walking, running, riding, etc., with traffic</c:v>
                </c:pt>
                <c:pt idx="2">
                  <c:v>Non-Motorist walking, running, riding, etc., facing traffic</c:v>
                </c:pt>
                <c:pt idx="3">
                  <c:v>Crossing between intersections</c:v>
                </c:pt>
                <c:pt idx="4">
                  <c:v>Crossing at intersection - traffic signal present</c:v>
                </c:pt>
                <c:pt idx="5">
                  <c:v>Crossing at intersection - no traffic signal present</c:v>
                </c:pt>
                <c:pt idx="6">
                  <c:v>No action or non-warranted</c:v>
                </c:pt>
                <c:pt idx="7">
                  <c:v>Other action</c:v>
                </c:pt>
              </c:strCache>
            </c:strRef>
          </c:cat>
          <c:val>
            <c:numRef>
              <c:f>'Road User'!$E$13:$E$20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B-488C-8F20-9BC92290CEA4}"/>
            </c:ext>
          </c:extLst>
        </c:ser>
        <c:ser>
          <c:idx val="2"/>
          <c:order val="2"/>
          <c:tx>
            <c:strRef>
              <c:f>'Road User'!$F$12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'Road User'!$K$13:$K$20</c:f>
              <c:strCache>
                <c:ptCount val="8"/>
                <c:pt idx="0">
                  <c:v>Struck, or was struck by, vehicle or pedestrian in prior collision before crash stabilized</c:v>
                </c:pt>
                <c:pt idx="1">
                  <c:v>Non-Motorist walking, running, riding, etc., with traffic</c:v>
                </c:pt>
                <c:pt idx="2">
                  <c:v>Non-Motorist walking, running, riding, etc., facing traffic</c:v>
                </c:pt>
                <c:pt idx="3">
                  <c:v>Crossing between intersections</c:v>
                </c:pt>
                <c:pt idx="4">
                  <c:v>Crossing at intersection - traffic signal present</c:v>
                </c:pt>
                <c:pt idx="5">
                  <c:v>Crossing at intersection - no traffic signal present</c:v>
                </c:pt>
                <c:pt idx="6">
                  <c:v>No action or non-warranted</c:v>
                </c:pt>
                <c:pt idx="7">
                  <c:v>Other action</c:v>
                </c:pt>
              </c:strCache>
            </c:strRef>
          </c:cat>
          <c:val>
            <c:numRef>
              <c:f>'Road User'!$F$13:$F$20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B-488C-8F20-9BC92290C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4712241099"/>
              <c:y val="2.651787953257435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1989457243264"/>
          <c:y val="0.74819802054969808"/>
          <c:w val="0.16362443869582191"/>
          <c:h val="0.231076418752893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314710427794297E-2"/>
          <c:y val="5.2903952530943453E-2"/>
          <c:w val="0.92597468135850602"/>
          <c:h val="0.77080651938284594"/>
        </c:manualLayout>
      </c:layout>
      <c:lineChart>
        <c:grouping val="standard"/>
        <c:varyColors val="0"/>
        <c:ser>
          <c:idx val="7"/>
          <c:order val="0"/>
          <c:tx>
            <c:strRef>
              <c:f>'Road User'!$K$104</c:f>
              <c:strCache>
                <c:ptCount val="1"/>
                <c:pt idx="0">
                  <c:v>Average Weekend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'Road User'!$M$105:$M$128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'Road User'!$K$105:$K$128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8-44F5-86E1-44AAF0D16DB9}"/>
            </c:ext>
          </c:extLst>
        </c:ser>
        <c:ser>
          <c:idx val="8"/>
          <c:order val="1"/>
          <c:tx>
            <c:strRef>
              <c:f>'Road User'!$L$104</c:f>
              <c:strCache>
                <c:ptCount val="1"/>
                <c:pt idx="0">
                  <c:v>Average Weekday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'Road User'!$M$105:$M$128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'Road User'!$L$105:$L$128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8-44F5-86E1-44AAF0D16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2984"/>
        <c:axId val="2128051016"/>
      </c:lineChart>
      <c:catAx>
        <c:axId val="212805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983263654237501"/>
              <c:y val="0.93062935835339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1016"/>
        <c:crosses val="autoZero"/>
        <c:auto val="1"/>
        <c:lblAlgn val="ctr"/>
        <c:lblOffset val="100"/>
        <c:noMultiLvlLbl val="0"/>
      </c:catAx>
      <c:valAx>
        <c:axId val="212805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Daily Average Crashes</a:t>
                </a:r>
                <a:r>
                  <a:rPr lang="en-US" baseline="0"/>
                  <a:t> per Hour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5438389828265378E-3"/>
              <c:y val="0.224386000605201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29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7835817889561478"/>
          <c:y val="2.7797152117385249E-2"/>
          <c:w val="0.32164182110438522"/>
          <c:h val="5.3102525891067467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'Road User'!$I$154:$J$154</c:f>
              <c:strCache>
                <c:ptCount val="1"/>
                <c:pt idx="0">
                  <c:v>Pedalcyclist-Involved Crashes: 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'Road User'!$J$156:$J$161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0-45BF-997E-CC8D1D976C13}"/>
            </c:ext>
          </c:extLst>
        </c:ser>
        <c:ser>
          <c:idx val="2"/>
          <c:order val="1"/>
          <c:tx>
            <c:strRef>
              <c:f>'Road User'!$G$154:$H$154</c:f>
              <c:strCache>
                <c:ptCount val="1"/>
                <c:pt idx="0">
                  <c:v>Pedalcyclist-Involved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'Road User'!$H$156:$H$161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60-45BF-997E-CC8D1D976C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5716612050932722"/>
          <c:y val="2.1909567889293699E-2"/>
          <c:w val="0.63443641001182594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76386547525109"/>
          <c:y val="0.16409582560141769"/>
          <c:w val="0.78315802117393973"/>
          <c:h val="0.813589782168948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'Road User'!$I$42:$J$42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'Road User'!$B$44:$B$55</c:f>
              <c:strCache>
                <c:ptCount val="12"/>
                <c:pt idx="0">
                  <c:v>Head-On</c:v>
                </c:pt>
                <c:pt idx="1">
                  <c:v>Turning Movement</c:v>
                </c:pt>
                <c:pt idx="2">
                  <c:v>Rear-End</c:v>
                </c:pt>
                <c:pt idx="3">
                  <c:v>Angle</c:v>
                </c:pt>
                <c:pt idx="4">
                  <c:v>Sideswipe-overtaking</c:v>
                </c:pt>
                <c:pt idx="5">
                  <c:v>Fixed-Object or Other-Object</c:v>
                </c:pt>
                <c:pt idx="6">
                  <c:v>Non-collision</c:v>
                </c:pt>
                <c:pt idx="7">
                  <c:v>Sideswipe-meeting</c:v>
                </c:pt>
                <c:pt idx="8">
                  <c:v>Backing</c:v>
                </c:pt>
                <c:pt idx="9">
                  <c:v>Parking Maneuver</c:v>
                </c:pt>
                <c:pt idx="10">
                  <c:v>Pedestrian</c:v>
                </c:pt>
                <c:pt idx="11">
                  <c:v>Miscellaneous</c:v>
                </c:pt>
              </c:strCache>
            </c:strRef>
          </c:cat>
          <c:val>
            <c:numRef>
              <c:f>'Road User'!$I$44:$I$55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8-45FF-BA66-D7319EF577B8}"/>
            </c:ext>
          </c:extLst>
        </c:ser>
        <c:ser>
          <c:idx val="1"/>
          <c:order val="1"/>
          <c:tx>
            <c:strRef>
              <c:f>'Road User'!$E$43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'Road User'!$B$44:$B$55</c:f>
              <c:strCache>
                <c:ptCount val="12"/>
                <c:pt idx="0">
                  <c:v>Head-On</c:v>
                </c:pt>
                <c:pt idx="1">
                  <c:v>Turning Movement</c:v>
                </c:pt>
                <c:pt idx="2">
                  <c:v>Rear-End</c:v>
                </c:pt>
                <c:pt idx="3">
                  <c:v>Angle</c:v>
                </c:pt>
                <c:pt idx="4">
                  <c:v>Sideswipe-overtaking</c:v>
                </c:pt>
                <c:pt idx="5">
                  <c:v>Fixed-Object or Other-Object</c:v>
                </c:pt>
                <c:pt idx="6">
                  <c:v>Non-collision</c:v>
                </c:pt>
                <c:pt idx="7">
                  <c:v>Sideswipe-meeting</c:v>
                </c:pt>
                <c:pt idx="8">
                  <c:v>Backing</c:v>
                </c:pt>
                <c:pt idx="9">
                  <c:v>Parking Maneuver</c:v>
                </c:pt>
                <c:pt idx="10">
                  <c:v>Pedestrian</c:v>
                </c:pt>
                <c:pt idx="11">
                  <c:v>Miscellaneous</c:v>
                </c:pt>
              </c:strCache>
            </c:strRef>
          </c:cat>
          <c:val>
            <c:numRef>
              <c:f>'Road User'!$E$44:$E$55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8-45FF-BA66-D7319EF577B8}"/>
            </c:ext>
          </c:extLst>
        </c:ser>
        <c:ser>
          <c:idx val="2"/>
          <c:order val="2"/>
          <c:tx>
            <c:strRef>
              <c:f>'Road User'!$F$43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'Road User'!$B$44:$B$55</c:f>
              <c:strCache>
                <c:ptCount val="12"/>
                <c:pt idx="0">
                  <c:v>Head-On</c:v>
                </c:pt>
                <c:pt idx="1">
                  <c:v>Turning Movement</c:v>
                </c:pt>
                <c:pt idx="2">
                  <c:v>Rear-End</c:v>
                </c:pt>
                <c:pt idx="3">
                  <c:v>Angle</c:v>
                </c:pt>
                <c:pt idx="4">
                  <c:v>Sideswipe-overtaking</c:v>
                </c:pt>
                <c:pt idx="5">
                  <c:v>Fixed-Object or Other-Object</c:v>
                </c:pt>
                <c:pt idx="6">
                  <c:v>Non-collision</c:v>
                </c:pt>
                <c:pt idx="7">
                  <c:v>Sideswipe-meeting</c:v>
                </c:pt>
                <c:pt idx="8">
                  <c:v>Backing</c:v>
                </c:pt>
                <c:pt idx="9">
                  <c:v>Parking Maneuver</c:v>
                </c:pt>
                <c:pt idx="10">
                  <c:v>Pedestrian</c:v>
                </c:pt>
                <c:pt idx="11">
                  <c:v>Miscellaneous</c:v>
                </c:pt>
              </c:strCache>
            </c:strRef>
          </c:cat>
          <c:val>
            <c:numRef>
              <c:f>'Road User'!$F$44:$F$55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8-45FF-BA66-D7319EF57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4712241099"/>
              <c:y val="2.651787953257435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058006241305952"/>
          <c:y val="0.71711620442349167"/>
          <c:w val="0.2412432502385877"/>
          <c:h val="0.26215824932711429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907852065763589"/>
          <c:y val="7.5610761470614338E-2"/>
          <c:w val="0.72800208367090258"/>
          <c:h val="0.9020747724789043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'Road User'!$I$60:$J$60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'Road User'!$K$62:$K$97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'Road User'!$I$62:$I$97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8-4314-AA46-8D6484F65788}"/>
            </c:ext>
          </c:extLst>
        </c:ser>
        <c:ser>
          <c:idx val="1"/>
          <c:order val="1"/>
          <c:tx>
            <c:strRef>
              <c:f>'Road User'!$E$61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'Road User'!$K$62:$K$97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'Road User'!$E$62:$E$97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8-4314-AA46-8D6484F65788}"/>
            </c:ext>
          </c:extLst>
        </c:ser>
        <c:ser>
          <c:idx val="2"/>
          <c:order val="2"/>
          <c:tx>
            <c:strRef>
              <c:f>'Road User'!$F$61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'Road User'!$K$62:$K$97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'Road User'!$F$62:$F$97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8-4314-AA46-8D6484F65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52225299253945912"/>
              <c:y val="1.4768997844623939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395683026608256"/>
          <c:y val="0.87992246514017214"/>
          <c:w val="0.177866582315889"/>
          <c:h val="9.9352012730582209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9011464066E-2"/>
          <c:y val="0.10423401153577989"/>
          <c:w val="0.91506394036270078"/>
          <c:h val="0.78501429855075711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'Drvr Cond'!$I$9:$J$9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Cond'!$C$11:$C$12</c:f>
              <c:strCache>
                <c:ptCount val="2"/>
                <c:pt idx="0">
                  <c:v>Impaired</c:v>
                </c:pt>
                <c:pt idx="1">
                  <c:v>Not Impaired</c:v>
                </c:pt>
              </c:strCache>
            </c:strRef>
          </c:cat>
          <c:val>
            <c:numRef>
              <c:f>'Drvr Cond'!$K$11:$K$12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0-4589-A01E-493FDE601233}"/>
            </c:ext>
          </c:extLst>
        </c:ser>
        <c:ser>
          <c:idx val="6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Cond'!$C$11:$C$12</c:f>
              <c:strCache>
                <c:ptCount val="2"/>
                <c:pt idx="0">
                  <c:v>Impaired</c:v>
                </c:pt>
                <c:pt idx="1">
                  <c:v>Not Impaired</c:v>
                </c:pt>
              </c:strCache>
            </c:strRef>
          </c:cat>
          <c:val>
            <c:numRef>
              <c:f>'Drvr Cond'!$I$11:$I$12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0-4589-A01E-493FDE601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6834426207022313"/>
          <c:y val="2.1909567889293699E-2"/>
          <c:w val="0.32325824012238252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20852097856E-2"/>
          <c:y val="0.1378673838040308"/>
          <c:w val="0.91506394036270078"/>
          <c:h val="0.75794432082667029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'Drvr Cond'!$J$16:$K$16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Cond'!$C$18:$C$19</c:f>
              <c:strCache>
                <c:ptCount val="2"/>
                <c:pt idx="0">
                  <c:v>Equipment Not Used</c:v>
                </c:pt>
                <c:pt idx="1">
                  <c:v>Equipment Used</c:v>
                </c:pt>
              </c:strCache>
            </c:strRef>
          </c:cat>
          <c:val>
            <c:numRef>
              <c:f>'Drvr Cond'!$K$18:$K$19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5-42CA-B266-76FA24142CA3}"/>
            </c:ext>
          </c:extLst>
        </c:ser>
        <c:ser>
          <c:idx val="6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Cond'!$C$18:$C$19</c:f>
              <c:strCache>
                <c:ptCount val="2"/>
                <c:pt idx="0">
                  <c:v>Equipment Not Used</c:v>
                </c:pt>
                <c:pt idx="1">
                  <c:v>Equipment Used</c:v>
                </c:pt>
              </c:strCache>
            </c:strRef>
          </c:cat>
          <c:val>
            <c:numRef>
              <c:f>'Drvr Cond'!$I$18:$I$19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5-42CA-B266-76FA24142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6834426207022313"/>
          <c:y val="2.1909567889293699E-2"/>
          <c:w val="0.32325824012238252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213230628591E-2"/>
          <c:y val="0.11361346028565759"/>
          <c:w val="0.91506394036270078"/>
          <c:h val="0.78509077926008086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'Drvr Cond'!$J$23:$K$23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Cond'!$C$25:$C$26</c:f>
              <c:strCache>
                <c:ptCount val="2"/>
                <c:pt idx="0">
                  <c:v>Distracted</c:v>
                </c:pt>
                <c:pt idx="1">
                  <c:v>Not Distracted</c:v>
                </c:pt>
              </c:strCache>
            </c:strRef>
          </c:cat>
          <c:val>
            <c:numRef>
              <c:f>'Drvr Cond'!$K$25:$K$26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B-4758-838A-DE1F8DABF5E5}"/>
            </c:ext>
          </c:extLst>
        </c:ser>
        <c:ser>
          <c:idx val="6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Cond'!$C$25:$C$26</c:f>
              <c:strCache>
                <c:ptCount val="2"/>
                <c:pt idx="0">
                  <c:v>Distracted</c:v>
                </c:pt>
                <c:pt idx="1">
                  <c:v>Not Distracted</c:v>
                </c:pt>
              </c:strCache>
            </c:strRef>
          </c:cat>
          <c:val>
            <c:numRef>
              <c:f>'Drvr Cond'!$I$25:$I$26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B-4758-838A-DE1F8DABF5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6834426207022313"/>
          <c:y val="2.1909567889293699E-2"/>
          <c:w val="0.32325824012238252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30653638010241E-2"/>
          <c:y val="5.2147608727231322E-2"/>
          <c:w val="0.89987117303173003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'Rdwy Cond'!$I$8:$J$8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'Rdwy Cond'!$J$10:$J$15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F-49A0-A3D7-4836DE0302B8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'Rdwy Cond'!$H$10:$H$15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F-49A0-A3D7-4836DE0302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8210398783109716"/>
          <c:y val="2.1909567889293699E-2"/>
          <c:w val="0.30949844874437898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'Rdwy Cond'!$I$19:$J$19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Cond'!$K$21:$K$30</c:f>
              <c:strCache>
                <c:ptCount val="10"/>
                <c:pt idx="0">
                  <c:v>Unknown</c:v>
                </c:pt>
                <c:pt idx="1">
                  <c:v>Clear </c:v>
                </c:pt>
                <c:pt idx="2">
                  <c:v>Cloudy</c:v>
                </c:pt>
                <c:pt idx="3">
                  <c:v>Rain  </c:v>
                </c:pt>
                <c:pt idx="4">
                  <c:v>Sleet or Freezing
Rain or Hail</c:v>
                </c:pt>
                <c:pt idx="5">
                  <c:v>Fog   </c:v>
                </c:pt>
                <c:pt idx="6">
                  <c:v>Snow</c:v>
                </c:pt>
                <c:pt idx="7">
                  <c:v>Dust</c:v>
                </c:pt>
                <c:pt idx="8">
                  <c:v>Smoke</c:v>
                </c:pt>
                <c:pt idx="9">
                  <c:v>Ash</c:v>
                </c:pt>
              </c:strCache>
            </c:strRef>
          </c:cat>
          <c:val>
            <c:numRef>
              <c:f>'Rdwy Cond'!$J$21:$J$30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4-43D0-BA30-EE5A43BBF8E4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Cond'!$K$21:$K$30</c:f>
              <c:strCache>
                <c:ptCount val="10"/>
                <c:pt idx="0">
                  <c:v>Unknown</c:v>
                </c:pt>
                <c:pt idx="1">
                  <c:v>Clear </c:v>
                </c:pt>
                <c:pt idx="2">
                  <c:v>Cloudy</c:v>
                </c:pt>
                <c:pt idx="3">
                  <c:v>Rain  </c:v>
                </c:pt>
                <c:pt idx="4">
                  <c:v>Sleet or Freezing
Rain or Hail</c:v>
                </c:pt>
                <c:pt idx="5">
                  <c:v>Fog   </c:v>
                </c:pt>
                <c:pt idx="6">
                  <c:v>Snow</c:v>
                </c:pt>
                <c:pt idx="7">
                  <c:v>Dust</c:v>
                </c:pt>
                <c:pt idx="8">
                  <c:v>Smoke</c:v>
                </c:pt>
                <c:pt idx="9">
                  <c:v>Ash</c:v>
                </c:pt>
              </c:strCache>
            </c:strRef>
          </c:cat>
          <c:val>
            <c:numRef>
              <c:f>'Rdwy Cond'!$H$21:$H$30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4-43D0-BA30-EE5A43BBF8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8210398783109716"/>
          <c:y val="2.1909567889293699E-2"/>
          <c:w val="0.30949844874437898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'Rdwy Cond'!$I$34:$J$34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Cond'!$B$36:$B$40</c:f>
              <c:strCache>
                <c:ptCount val="5"/>
                <c:pt idx="0">
                  <c:v>Unknown</c:v>
                </c:pt>
                <c:pt idx="1">
                  <c:v>Dry</c:v>
                </c:pt>
                <c:pt idx="2">
                  <c:v>Wet</c:v>
                </c:pt>
                <c:pt idx="3">
                  <c:v>Snow</c:v>
                </c:pt>
                <c:pt idx="4">
                  <c:v>Ice</c:v>
                </c:pt>
              </c:strCache>
            </c:strRef>
          </c:cat>
          <c:val>
            <c:numRef>
              <c:f>'Rdwy Cond'!$J$36:$J$40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2-4D55-B7FF-4C5C8B8191C6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Cond'!$B$36:$B$40</c:f>
              <c:strCache>
                <c:ptCount val="5"/>
                <c:pt idx="0">
                  <c:v>Unknown</c:v>
                </c:pt>
                <c:pt idx="1">
                  <c:v>Dry</c:v>
                </c:pt>
                <c:pt idx="2">
                  <c:v>Wet</c:v>
                </c:pt>
                <c:pt idx="3">
                  <c:v>Snow</c:v>
                </c:pt>
                <c:pt idx="4">
                  <c:v>Ice</c:v>
                </c:pt>
              </c:strCache>
            </c:strRef>
          </c:cat>
          <c:val>
            <c:numRef>
              <c:f>'Rdwy Cond'!$H$36:$H$40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2-4D55-B7FF-4C5C8B8191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8210398783109716"/>
          <c:y val="2.1909567889293699E-2"/>
          <c:w val="0.30949844874437898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8.3504284115968122E-2"/>
          <c:w val="0.91506394036270078"/>
          <c:h val="0.782068438629139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'Age + Action'!$C$9</c:f>
              <c:strCache>
                <c:ptCount val="1"/>
                <c:pt idx="0">
                  <c:v>Driver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Action'!$B$11:$B$16</c:f>
              <c:strCache>
                <c:ptCount val="6"/>
                <c:pt idx="0">
                  <c:v>Under 18</c:v>
                </c:pt>
                <c:pt idx="1">
                  <c:v>18 to 24</c:v>
                </c:pt>
                <c:pt idx="2">
                  <c:v>25 to 44</c:v>
                </c:pt>
                <c:pt idx="3">
                  <c:v>45 to 64</c:v>
                </c:pt>
                <c:pt idx="4">
                  <c:v>65 and over</c:v>
                </c:pt>
                <c:pt idx="5">
                  <c:v>Unreported</c:v>
                </c:pt>
              </c:strCache>
            </c:strRef>
          </c:cat>
          <c:val>
            <c:numRef>
              <c:f>'Age + Action'!$D$11:$D$16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A-46AE-9019-C8FED7EF9D74}"/>
            </c:ext>
          </c:extLst>
        </c:ser>
        <c:ser>
          <c:idx val="1"/>
          <c:order val="1"/>
          <c:tx>
            <c:strRef>
              <c:f>'Age + Action'!$E$9</c:f>
              <c:strCache>
                <c:ptCount val="1"/>
                <c:pt idx="0">
                  <c:v>Pedestrian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Action'!$B$11:$B$16</c:f>
              <c:strCache>
                <c:ptCount val="6"/>
                <c:pt idx="0">
                  <c:v>Under 18</c:v>
                </c:pt>
                <c:pt idx="1">
                  <c:v>18 to 24</c:v>
                </c:pt>
                <c:pt idx="2">
                  <c:v>25 to 44</c:v>
                </c:pt>
                <c:pt idx="3">
                  <c:v>45 to 64</c:v>
                </c:pt>
                <c:pt idx="4">
                  <c:v>65 and over</c:v>
                </c:pt>
                <c:pt idx="5">
                  <c:v>Unreported</c:v>
                </c:pt>
              </c:strCache>
            </c:strRef>
          </c:cat>
          <c:val>
            <c:numRef>
              <c:f>'Age + Action'!$F$11:$F$16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CA-46AE-9019-C8FED7EF9D74}"/>
            </c:ext>
          </c:extLst>
        </c:ser>
        <c:ser>
          <c:idx val="2"/>
          <c:order val="2"/>
          <c:tx>
            <c:strRef>
              <c:f>'Age + Action'!$G$9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Action'!$B$11:$B$16</c:f>
              <c:strCache>
                <c:ptCount val="6"/>
                <c:pt idx="0">
                  <c:v>Under 18</c:v>
                </c:pt>
                <c:pt idx="1">
                  <c:v>18 to 24</c:v>
                </c:pt>
                <c:pt idx="2">
                  <c:v>25 to 44</c:v>
                </c:pt>
                <c:pt idx="3">
                  <c:v>45 to 64</c:v>
                </c:pt>
                <c:pt idx="4">
                  <c:v>65 and over</c:v>
                </c:pt>
                <c:pt idx="5">
                  <c:v>Unreported</c:v>
                </c:pt>
              </c:strCache>
            </c:strRef>
          </c:cat>
          <c:val>
            <c:numRef>
              <c:f>'Age + Action'!$H$11:$H$16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CA-46AE-9019-C8FED7EF9D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9640679717631293"/>
          <c:y val="2.1909567889293699E-2"/>
          <c:w val="0.29519581415221963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516074547812343E-2"/>
          <c:y val="8.3504284115968122E-2"/>
          <c:w val="0.95708502150369001"/>
          <c:h val="0.710237557520811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'Age + Action'!$C$22:$D$22</c:f>
              <c:strCache>
                <c:ptCount val="1"/>
                <c:pt idx="0">
                  <c:v>Pedestrian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Action'!$G$24:$G$40</c:f>
              <c:strCache>
                <c:ptCount val="17"/>
                <c:pt idx="0">
                  <c:v>No action or
non-warranted</c:v>
                </c:pt>
                <c:pt idx="1">
                  <c:v>Struck, or was struck by, vehicle or pedestrian in prior collision before crash stabilized</c:v>
                </c:pt>
                <c:pt idx="2">
                  <c:v>Physically ill</c:v>
                </c:pt>
                <c:pt idx="3">
                  <c:v>Pursuing or attempting to stop another vehicle</c:v>
                </c:pt>
                <c:pt idx="4">
                  <c:v>Crossing at intersection - no traffic signal present</c:v>
                </c:pt>
                <c:pt idx="5">
                  <c:v>Crossing at intersection - traffic signal present</c:v>
                </c:pt>
                <c:pt idx="6">
                  <c:v>Crossing at intersection - diagonally </c:v>
                </c:pt>
                <c:pt idx="7">
                  <c:v>Crossing between intersections</c:v>
                </c:pt>
                <c:pt idx="8">
                  <c:v>Playing</c:v>
                </c:pt>
                <c:pt idx="9">
                  <c:v>Pushing or working on vehicle</c:v>
                </c:pt>
                <c:pt idx="10">
                  <c:v>Working (in or off roadway, not on a vehicle)</c:v>
                </c:pt>
                <c:pt idx="11">
                  <c:v>Non-Motorist walking, running, riding, etc., with traffic</c:v>
                </c:pt>
                <c:pt idx="12">
                  <c:v>Non-Motorist walking, running, riding, etc., facing traffic</c:v>
                </c:pt>
                <c:pt idx="13">
                  <c:v>Standing or lying down</c:v>
                </c:pt>
                <c:pt idx="14">
                  <c:v>Merging</c:v>
                </c:pt>
                <c:pt idx="15">
                  <c:v>Blinded by water spray           </c:v>
                </c:pt>
                <c:pt idx="16">
                  <c:v>Other action</c:v>
                </c:pt>
              </c:strCache>
            </c:strRef>
          </c:cat>
          <c:val>
            <c:numRef>
              <c:f>'Age + Action'!$D$24:$D$40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F-49BE-8424-060A1226F450}"/>
            </c:ext>
          </c:extLst>
        </c:ser>
        <c:ser>
          <c:idx val="1"/>
          <c:order val="1"/>
          <c:tx>
            <c:strRef>
              <c:f>'Age + Action'!$E$22:$F$22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Action'!$G$24:$G$40</c:f>
              <c:strCache>
                <c:ptCount val="17"/>
                <c:pt idx="0">
                  <c:v>No action or
non-warranted</c:v>
                </c:pt>
                <c:pt idx="1">
                  <c:v>Struck, or was struck by, vehicle or pedestrian in prior collision before crash stabilized</c:v>
                </c:pt>
                <c:pt idx="2">
                  <c:v>Physically ill</c:v>
                </c:pt>
                <c:pt idx="3">
                  <c:v>Pursuing or attempting to stop another vehicle</c:v>
                </c:pt>
                <c:pt idx="4">
                  <c:v>Crossing at intersection - no traffic signal present</c:v>
                </c:pt>
                <c:pt idx="5">
                  <c:v>Crossing at intersection - traffic signal present</c:v>
                </c:pt>
                <c:pt idx="6">
                  <c:v>Crossing at intersection - diagonally </c:v>
                </c:pt>
                <c:pt idx="7">
                  <c:v>Crossing between intersections</c:v>
                </c:pt>
                <c:pt idx="8">
                  <c:v>Playing</c:v>
                </c:pt>
                <c:pt idx="9">
                  <c:v>Pushing or working on vehicle</c:v>
                </c:pt>
                <c:pt idx="10">
                  <c:v>Working (in or off roadway, not on a vehicle)</c:v>
                </c:pt>
                <c:pt idx="11">
                  <c:v>Non-Motorist walking, running, riding, etc., with traffic</c:v>
                </c:pt>
                <c:pt idx="12">
                  <c:v>Non-Motorist walking, running, riding, etc., facing traffic</c:v>
                </c:pt>
                <c:pt idx="13">
                  <c:v>Standing or lying down</c:v>
                </c:pt>
                <c:pt idx="14">
                  <c:v>Merging</c:v>
                </c:pt>
                <c:pt idx="15">
                  <c:v>Blinded by water spray           </c:v>
                </c:pt>
                <c:pt idx="16">
                  <c:v>Other action</c:v>
                </c:pt>
              </c:strCache>
            </c:strRef>
          </c:cat>
          <c:val>
            <c:numRef>
              <c:f>'Age + Action'!$F$24:$F$40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F-49BE-8424-060A1226F4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6309352703737796"/>
          <c:y val="2.1909567889293699E-2"/>
          <c:w val="0.12850903899613561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590691</xdr:colOff>
      <xdr:row>2</xdr:row>
      <xdr:rowOff>163407</xdr:rowOff>
    </xdr:from>
    <xdr:to>
      <xdr:col>10</xdr:col>
      <xdr:colOff>212231</xdr:colOff>
      <xdr:row>15</xdr:row>
      <xdr:rowOff>71402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26</xdr:row>
      <xdr:rowOff>110490</xdr:rowOff>
    </xdr:from>
    <xdr:to>
      <xdr:col>7</xdr:col>
      <xdr:colOff>777240</xdr:colOff>
      <xdr:row>41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39444</xdr:colOff>
      <xdr:row>63</xdr:row>
      <xdr:rowOff>84381</xdr:rowOff>
    </xdr:from>
    <xdr:to>
      <xdr:col>11</xdr:col>
      <xdr:colOff>518583</xdr:colOff>
      <xdr:row>79</xdr:row>
      <xdr:rowOff>145341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39218</xdr:colOff>
      <xdr:row>122</xdr:row>
      <xdr:rowOff>60736</xdr:rowOff>
    </xdr:from>
    <xdr:to>
      <xdr:col>15</xdr:col>
      <xdr:colOff>78440</xdr:colOff>
      <xdr:row>154</xdr:row>
      <xdr:rowOff>93233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215974</xdr:colOff>
      <xdr:row>1</xdr:row>
      <xdr:rowOff>12998</xdr:rowOff>
    </xdr:from>
    <xdr:to>
      <xdr:col>18</xdr:col>
      <xdr:colOff>261471</xdr:colOff>
      <xdr:row>23</xdr:row>
      <xdr:rowOff>57224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64883</xdr:colOff>
      <xdr:row>41</xdr:row>
      <xdr:rowOff>14567</xdr:rowOff>
    </xdr:from>
    <xdr:to>
      <xdr:col>9</xdr:col>
      <xdr:colOff>623497</xdr:colOff>
      <xdr:row>57</xdr:row>
      <xdr:rowOff>51547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90693</xdr:colOff>
      <xdr:row>59</xdr:row>
      <xdr:rowOff>29882</xdr:rowOff>
    </xdr:from>
    <xdr:to>
      <xdr:col>11</xdr:col>
      <xdr:colOff>760096</xdr:colOff>
      <xdr:row>76</xdr:row>
      <xdr:rowOff>34887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98723</xdr:colOff>
      <xdr:row>116</xdr:row>
      <xdr:rowOff>143209</xdr:rowOff>
    </xdr:from>
    <xdr:to>
      <xdr:col>14</xdr:col>
      <xdr:colOff>537882</xdr:colOff>
      <xdr:row>147</xdr:row>
      <xdr:rowOff>123264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43255</xdr:colOff>
      <xdr:row>91</xdr:row>
      <xdr:rowOff>138544</xdr:rowOff>
    </xdr:from>
    <xdr:to>
      <xdr:col>9</xdr:col>
      <xdr:colOff>415636</xdr:colOff>
      <xdr:row>146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219635</xdr:colOff>
      <xdr:row>148</xdr:row>
      <xdr:rowOff>134471</xdr:rowOff>
    </xdr:from>
    <xdr:to>
      <xdr:col>12</xdr:col>
      <xdr:colOff>1389529</xdr:colOff>
      <xdr:row>164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43255</xdr:colOff>
      <xdr:row>283</xdr:row>
      <xdr:rowOff>97046</xdr:rowOff>
    </xdr:from>
    <xdr:to>
      <xdr:col>13</xdr:col>
      <xdr:colOff>145677</xdr:colOff>
      <xdr:row>341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219635</xdr:colOff>
      <xdr:row>343</xdr:row>
      <xdr:rowOff>134471</xdr:rowOff>
    </xdr:from>
    <xdr:to>
      <xdr:col>12</xdr:col>
      <xdr:colOff>1389529</xdr:colOff>
      <xdr:row>359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168873</xdr:colOff>
      <xdr:row>3</xdr:row>
      <xdr:rowOff>124552</xdr:rowOff>
    </xdr:from>
    <xdr:to>
      <xdr:col>15</xdr:col>
      <xdr:colOff>163158</xdr:colOff>
      <xdr:row>18</xdr:row>
      <xdr:rowOff>130491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60361</xdr:colOff>
      <xdr:row>68</xdr:row>
      <xdr:rowOff>60324</xdr:rowOff>
    </xdr:from>
    <xdr:to>
      <xdr:col>12</xdr:col>
      <xdr:colOff>874059</xdr:colOff>
      <xdr:row>88</xdr:row>
      <xdr:rowOff>173243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137011</xdr:colOff>
      <xdr:row>20</xdr:row>
      <xdr:rowOff>34737</xdr:rowOff>
    </xdr:from>
    <xdr:to>
      <xdr:col>24</xdr:col>
      <xdr:colOff>298824</xdr:colOff>
      <xdr:row>35</xdr:row>
      <xdr:rowOff>123899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48519</xdr:colOff>
      <xdr:row>21</xdr:row>
      <xdr:rowOff>54125</xdr:rowOff>
    </xdr:from>
    <xdr:to>
      <xdr:col>10</xdr:col>
      <xdr:colOff>909203</xdr:colOff>
      <xdr:row>38</xdr:row>
      <xdr:rowOff>10824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94465</xdr:colOff>
      <xdr:row>130</xdr:row>
      <xdr:rowOff>117812</xdr:rowOff>
    </xdr:from>
    <xdr:to>
      <xdr:col>7</xdr:col>
      <xdr:colOff>1289872</xdr:colOff>
      <xdr:row>152</xdr:row>
      <xdr:rowOff>41015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213843</xdr:colOff>
      <xdr:row>130</xdr:row>
      <xdr:rowOff>6909</xdr:rowOff>
    </xdr:from>
    <xdr:to>
      <xdr:col>16</xdr:col>
      <xdr:colOff>362322</xdr:colOff>
      <xdr:row>151</xdr:row>
      <xdr:rowOff>166968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1302732</xdr:colOff>
      <xdr:row>36</xdr:row>
      <xdr:rowOff>36512</xdr:rowOff>
    </xdr:from>
    <xdr:to>
      <xdr:col>20</xdr:col>
      <xdr:colOff>223383</xdr:colOff>
      <xdr:row>54</xdr:row>
      <xdr:rowOff>94111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114074</xdr:colOff>
      <xdr:row>55</xdr:row>
      <xdr:rowOff>173016</xdr:rowOff>
    </xdr:from>
    <xdr:to>
      <xdr:col>26</xdr:col>
      <xdr:colOff>373603</xdr:colOff>
      <xdr:row>107</xdr:row>
      <xdr:rowOff>22410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634962</xdr:colOff>
      <xdr:row>35</xdr:row>
      <xdr:rowOff>83300</xdr:rowOff>
    </xdr:from>
    <xdr:to>
      <xdr:col>20</xdr:col>
      <xdr:colOff>569036</xdr:colOff>
      <xdr:row>49</xdr:row>
      <xdr:rowOff>149414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47363</xdr:colOff>
      <xdr:row>35</xdr:row>
      <xdr:rowOff>67238</xdr:rowOff>
    </xdr:from>
    <xdr:to>
      <xdr:col>5</xdr:col>
      <xdr:colOff>393365</xdr:colOff>
      <xdr:row>49</xdr:row>
      <xdr:rowOff>51810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524996</xdr:colOff>
      <xdr:row>35</xdr:row>
      <xdr:rowOff>69141</xdr:rowOff>
    </xdr:from>
    <xdr:to>
      <xdr:col>10</xdr:col>
      <xdr:colOff>580912</xdr:colOff>
      <xdr:row>49</xdr:row>
      <xdr:rowOff>136377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37091</xdr:colOff>
      <xdr:row>0</xdr:row>
      <xdr:rowOff>163794</xdr:rowOff>
    </xdr:from>
    <xdr:to>
      <xdr:col>23</xdr:col>
      <xdr:colOff>191696</xdr:colOff>
      <xdr:row>16</xdr:row>
      <xdr:rowOff>16920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57297</xdr:colOff>
      <xdr:row>16</xdr:row>
      <xdr:rowOff>85763</xdr:rowOff>
    </xdr:from>
    <xdr:to>
      <xdr:col>25</xdr:col>
      <xdr:colOff>0</xdr:colOff>
      <xdr:row>31</xdr:row>
      <xdr:rowOff>131596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235323</xdr:colOff>
      <xdr:row>32</xdr:row>
      <xdr:rowOff>70823</xdr:rowOff>
    </xdr:from>
    <xdr:to>
      <xdr:col>21</xdr:col>
      <xdr:colOff>287655</xdr:colOff>
      <xdr:row>45</xdr:row>
      <xdr:rowOff>141756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107577</xdr:colOff>
      <xdr:row>18</xdr:row>
      <xdr:rowOff>75546</xdr:rowOff>
    </xdr:from>
    <xdr:to>
      <xdr:col>5</xdr:col>
      <xdr:colOff>557792</xdr:colOff>
      <xdr:row>20</xdr:row>
      <xdr:rowOff>176698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1130" y="3392487"/>
          <a:ext cx="457200" cy="4572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98613</xdr:colOff>
      <xdr:row>18</xdr:row>
      <xdr:rowOff>75546</xdr:rowOff>
    </xdr:from>
    <xdr:to>
      <xdr:col>12</xdr:col>
      <xdr:colOff>558353</xdr:colOff>
      <xdr:row>20</xdr:row>
      <xdr:rowOff>176698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9366" y="3392487"/>
          <a:ext cx="457200" cy="4572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600636</xdr:colOff>
      <xdr:row>26</xdr:row>
      <xdr:rowOff>8965</xdr:rowOff>
    </xdr:from>
    <xdr:to>
      <xdr:col>5</xdr:col>
      <xdr:colOff>585681</xdr:colOff>
      <xdr:row>29</xdr:row>
      <xdr:rowOff>52394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44589" y="4805083"/>
          <a:ext cx="591471" cy="59147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17930</xdr:colOff>
      <xdr:row>26</xdr:row>
      <xdr:rowOff>8965</xdr:rowOff>
    </xdr:from>
    <xdr:to>
      <xdr:col>13</xdr:col>
      <xdr:colOff>13174</xdr:colOff>
      <xdr:row>29</xdr:row>
      <xdr:rowOff>52394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38683" y="4805083"/>
          <a:ext cx="591471" cy="59147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555812</xdr:colOff>
      <xdr:row>41</xdr:row>
      <xdr:rowOff>161366</xdr:rowOff>
    </xdr:from>
    <xdr:to>
      <xdr:col>6</xdr:col>
      <xdr:colOff>99980</xdr:colOff>
      <xdr:row>45</xdr:row>
      <xdr:rowOff>204383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99765" y="7736542"/>
          <a:ext cx="770354" cy="77035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555812</xdr:colOff>
      <xdr:row>41</xdr:row>
      <xdr:rowOff>161366</xdr:rowOff>
    </xdr:from>
    <xdr:to>
      <xdr:col>13</xdr:col>
      <xdr:colOff>99982</xdr:colOff>
      <xdr:row>45</xdr:row>
      <xdr:rowOff>204383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66965" y="7736542"/>
          <a:ext cx="770354" cy="77035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519953</xdr:colOff>
      <xdr:row>33</xdr:row>
      <xdr:rowOff>161364</xdr:rowOff>
    </xdr:from>
    <xdr:to>
      <xdr:col>6</xdr:col>
      <xdr:colOff>63336</xdr:colOff>
      <xdr:row>37</xdr:row>
      <xdr:rowOff>203597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63906" y="6257364"/>
          <a:ext cx="752424" cy="7524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582706</xdr:colOff>
      <xdr:row>33</xdr:row>
      <xdr:rowOff>161364</xdr:rowOff>
    </xdr:from>
    <xdr:to>
      <xdr:col>13</xdr:col>
      <xdr:colOff>115931</xdr:colOff>
      <xdr:row>37</xdr:row>
      <xdr:rowOff>203597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93859" y="6257364"/>
          <a:ext cx="752424" cy="7524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71718</xdr:colOff>
      <xdr:row>10</xdr:row>
      <xdr:rowOff>44823</xdr:rowOff>
    </xdr:from>
    <xdr:to>
      <xdr:col>3</xdr:col>
      <xdr:colOff>557742</xdr:colOff>
      <xdr:row>12</xdr:row>
      <xdr:rowOff>167179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06071" y="1882588"/>
          <a:ext cx="483484" cy="48348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609599</xdr:colOff>
      <xdr:row>9</xdr:row>
      <xdr:rowOff>153053</xdr:rowOff>
    </xdr:from>
    <xdr:to>
      <xdr:col>11</xdr:col>
      <xdr:colOff>22933</xdr:colOff>
      <xdr:row>13</xdr:row>
      <xdr:rowOff>51901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701552" y="1811524"/>
          <a:ext cx="618564" cy="61856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80532</xdr:colOff>
      <xdr:row>5</xdr:row>
      <xdr:rowOff>0</xdr:rowOff>
    </xdr:from>
    <xdr:to>
      <xdr:col>18</xdr:col>
      <xdr:colOff>604370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89646</xdr:colOff>
      <xdr:row>41</xdr:row>
      <xdr:rowOff>168087</xdr:rowOff>
    </xdr:from>
    <xdr:to>
      <xdr:col>23</xdr:col>
      <xdr:colOff>515470</xdr:colOff>
      <xdr:row>66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7:C18" totalsRowShown="0">
  <tableColumns count="3">
    <tableColumn id="1" xr3:uid="{00000000-0010-0000-0000-000001000000}" name="TAB" dataDxfId="389"/>
    <tableColumn id="2" xr3:uid="{00000000-0010-0000-0000-000002000000}" name="DESCRIPTION" dataDxfId="388"/>
    <tableColumn id="3" xr3:uid="{00000000-0010-0000-0000-000003000000}" name="INSTRUCTIONS" dataDxfId="38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everity_User" displayName="Severity_User" ref="B19:J25" totalsRowCount="1" headerRowDxfId="386" dataDxfId="385" totalsRowDxfId="384">
  <autoFilter ref="B19:J2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Crash Severity" totalsRowLabel="Total" dataDxfId="383"/>
    <tableColumn id="2" xr3:uid="{00000000-0010-0000-0100-000002000000}" name="Crash Count" totalsRowFunction="sum" dataDxfId="382"/>
    <tableColumn id="3" xr3:uid="{00000000-0010-0000-0100-000003000000}" name="Crash Share" totalsRowFunction="sum" dataDxfId="381" totalsRowDxfId="380">
      <calculatedColumnFormula>C20/Severity_User[[#Totals],[Crash Count]]</calculatedColumnFormula>
    </tableColumn>
    <tableColumn id="4" xr3:uid="{00000000-0010-0000-0100-000004000000}" name="Crash Count2" totalsRowFunction="sum" dataDxfId="379">
      <calculatedColumnFormula>SUMIFS(#REF!,#REF!,Severity_User[[#This Row],[Crash Severity]])</calculatedColumnFormula>
    </tableColumn>
    <tableColumn id="5" xr3:uid="{00000000-0010-0000-0100-000005000000}" name="Crash Share2" totalsRowFunction="sum" dataDxfId="378" totalsRowDxfId="377">
      <calculatedColumnFormula>E20/Severity_User[[#Totals],[Crash Count2]]</calculatedColumnFormula>
    </tableColumn>
    <tableColumn id="8" xr3:uid="{00000000-0010-0000-0100-000008000000}" name="Crash Count4" totalsRowFunction="sum" dataDxfId="376">
      <calculatedColumnFormula>SUMIFS(INDIRECT("Collision!"&amp;'Road User'!$C$5&amp;":"&amp;'Road User'!$C$5),INDIRECT("Collision!"&amp;Severity!$C$3&amp;":"&amp;Severity!$C$3),Severity_User[[#This Row],[Crash Severity]])</calculatedColumnFormula>
    </tableColumn>
    <tableColumn id="9" xr3:uid="{00000000-0010-0000-0100-000009000000}" name="Crash Share4" totalsRowFunction="custom" dataDxfId="375" totalsRowDxfId="374">
      <calculatedColumnFormula>IFERROR(G20/Severity_User[[#Totals],[Crash Count4]], 0)</calculatedColumnFormula>
      <totalsRowFormula>IFERROR(SUBTOTAL(109,Severity_User[Crash Share4]), 0)</totalsRowFormula>
    </tableColumn>
    <tableColumn id="6" xr3:uid="{00000000-0010-0000-0100-000006000000}" name="Crash Count3" totalsRowFunction="sum" dataDxfId="373">
      <calculatedColumnFormula>SUM(COUNTIFS(INDIRECT("Collision!"&amp;Severity!$C$3&amp;":"&amp;Severity!$C$3),B20,INDIRECT("Collision!"&amp;'Road User'!$C$3&amp;":"&amp;'Road User'!$C$3),0,INDIRECT("Collision!"&amp;'Road User'!$C$4&amp;":"&amp;'Road User'!$C$4),0))</calculatedColumnFormula>
    </tableColumn>
    <tableColumn id="7" xr3:uid="{00000000-0010-0000-0100-000007000000}" name="Crash Share3" totalsRowFunction="custom" dataDxfId="372" totalsRowDxfId="371">
      <calculatedColumnFormula>IFERROR(I20/Severity_User[[#Totals],[Crash Count3]],0)</calculatedColumnFormula>
      <totalsRowFormula>IFERROR(SUBTOTAL(109,Severity_User[Crash Share3]), 0)</totalsRow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everity" displayName="Severity" ref="B8:D14" totalsRowCount="1" headerRowDxfId="370" dataDxfId="369" totalsRowDxfId="368">
  <autoFilter ref="B8:D13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200-000001000000}" name="Crash Severity" totalsRowLabel="Total" dataDxfId="367" totalsRowDxfId="366"/>
    <tableColumn id="2" xr3:uid="{00000000-0010-0000-0200-000002000000}" name="Crash Count" totalsRowFunction="sum" dataDxfId="365" totalsRowDxfId="364">
      <calculatedColumnFormula>COUNTIFS(INDIRECT("Collision!"&amp;$C$3&amp;":"&amp;$C$3),Severity[[#This Row],[Crash Severity]])</calculatedColumnFormula>
    </tableColumn>
    <tableColumn id="3" xr3:uid="{00000000-0010-0000-0200-000003000000}" name="Crash Share" totalsRowFunction="sum" dataDxfId="363" totalsRowDxfId="362" totalsRowCellStyle="Percent">
      <calculatedColumnFormula>C9/Severity[[#Totals],[Crash Count]]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ynamic_Severity" displayName="Dynamic_Severity" ref="B49:G63" totalsRowCount="1" headerRowDxfId="361" dataDxfId="360" totalsRowDxfId="359">
  <autoFilter ref="B49:G62" xr:uid="{00000000-0009-0000-0100-000004000000}"/>
  <tableColumns count="6">
    <tableColumn id="1" xr3:uid="{00000000-0010-0000-0300-000001000000}" name="Crash Type" totalsRowLabel="Total" dataDxfId="358"/>
    <tableColumn id="2" xr3:uid="{00000000-0010-0000-0300-000002000000}" name="Crash Count" totalsRowFunction="sum" dataDxfId="357">
      <calculatedColumnFormula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calculatedColumnFormula>
    </tableColumn>
    <tableColumn id="3" xr3:uid="{00000000-0010-0000-0300-000003000000}" name="Crash Share" totalsRowFunction="sum" dataDxfId="356" totalsRowDxfId="355">
      <calculatedColumnFormula>C50/Dynamic_Severity[[#Totals],[Crash Count]]</calculatedColumnFormula>
    </tableColumn>
    <tableColumn id="4" xr3:uid="{00000000-0010-0000-0300-000004000000}" name="Crash Count2" totalsRowFunction="sum" dataDxfId="354">
      <calculatedColumnFormula>VLOOKUP(Dynamic_Severity[[#This Row],[Crash Type]],Type[[#Headers],[#Data]],2,FALSE)</calculatedColumnFormula>
    </tableColumn>
    <tableColumn id="5" xr3:uid="{00000000-0010-0000-0300-000005000000}" name="Crash Share2" totalsRowFunction="sum" dataDxfId="353" totalsRowDxfId="352" dataCellStyle="Percent">
      <calculatedColumnFormula>E50/Dynamic_Severity[[#Totals],[Crash Count2]]</calculatedColumnFormula>
    </tableColumn>
    <tableColumn id="6" xr3:uid="{00000000-0010-0000-0300-000006000000}" name="Label" dataDxfId="351">
      <calculatedColumnFormula>VLOOKUP(Dynamic_Severity[[#This Row],[Crash Type]],Type[[#Headers],[#Data]],4,FALSE)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ynamic_Severity2" displayName="Dynamic_Severity2" ref="B84:G121" totalsRowCount="1" headerRowDxfId="350" dataDxfId="349" totalsRowDxfId="348">
  <autoFilter ref="B84:G120" xr:uid="{00000000-0009-0000-0100-000005000000}"/>
  <sortState xmlns:xlrd2="http://schemas.microsoft.com/office/spreadsheetml/2017/richdata2" ref="B85:G108">
    <sortCondition ref="F8:F32"/>
  </sortState>
  <tableColumns count="6">
    <tableColumn id="1" xr3:uid="{00000000-0010-0000-0400-000001000000}" name="Crash Cause" totalsRowLabel="Total" dataDxfId="347" totalsRowDxfId="346"/>
    <tableColumn id="6" xr3:uid="{00000000-0010-0000-0400-000006000000}" name="Crash Count" totalsRowFunction="sum" dataDxfId="345" totalsRowDxfId="344">
      <calculatedColumnFormula>IF($C$48=$C$70,VLOOKUP(Dynamic_Severity2[[#This Row],[Crash Cause]],PCF_Severity[[#Headers],[#Data]],10,FALSE),IF($C$48=$C$71,VLOOKUP(Dynamic_Severity2[[#This Row],[Crash Cause]],PCF_Severity[[#Headers],[#Data]],8,FALSE),SUM(COUNTIFS(#REF!,$C$48,#REF!,Dynamic_Severity2[[#This Row],[Crash Cause]]))))</calculatedColumnFormula>
    </tableColumn>
    <tableColumn id="5" xr3:uid="{00000000-0010-0000-0400-000005000000}" name="Crash Share" totalsRowFunction="sum" dataDxfId="343" totalsRowDxfId="342" dataCellStyle="Percent">
      <calculatedColumnFormula>Dynamic_Severity2[[#This Row],[Crash Count]]/$C$122</calculatedColumnFormula>
    </tableColumn>
    <tableColumn id="2" xr3:uid="{00000000-0010-0000-0400-000002000000}" name="Crash Count2" totalsRowFunction="sum" dataDxfId="341">
      <calculatedColumnFormula>VLOOKUP(Dynamic_Severity2[[#This Row],[Crash Cause]],PCF[[#Headers],[#Data]],2,FALSE)</calculatedColumnFormula>
    </tableColumn>
    <tableColumn id="3" xr3:uid="{00000000-0010-0000-0400-000003000000}" name="Crash Share2" totalsRowFunction="sum" dataDxfId="340" totalsRowDxfId="339" dataCellStyle="Percent">
      <calculatedColumnFormula>Dynamic_Severity2[[#This Row],[Crash Count2]]/$E$122</calculatedColumnFormula>
    </tableColumn>
    <tableColumn id="4" xr3:uid="{00000000-0010-0000-0400-000004000000}" name="Label" dataDxfId="338" totalsRowDxfId="337">
      <calculatedColumnFormula>VLOOKUP(Dynamic_Severity2[[#This Row],[Crash Cause]],PCF[[#Headers],[#Data]],4,FALSE)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ype" displayName="Type" ref="B8:E22" totalsRowCount="1" headerRowDxfId="336" dataDxfId="335">
  <autoFilter ref="B8:E21" xr:uid="{00000000-0009-0000-0100-000006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9:D17">
    <sortCondition descending="1" ref="D10:D22"/>
  </sortState>
  <tableColumns count="4">
    <tableColumn id="1" xr3:uid="{00000000-0010-0000-0500-000001000000}" name="Crash Type" totalsRowLabel="Total" dataDxfId="334" totalsRowDxfId="333"/>
    <tableColumn id="2" xr3:uid="{00000000-0010-0000-0500-000002000000}" name="Crash Count" totalsRowFunction="sum" dataDxfId="332">
      <calculatedColumnFormula>COUNTIF(#REF!,B9)</calculatedColumnFormula>
    </tableColumn>
    <tableColumn id="3" xr3:uid="{00000000-0010-0000-0500-000003000000}" name="Crash Share" totalsRowFunction="custom" dataDxfId="331" totalsRowDxfId="330" dataCellStyle="Percent">
      <calculatedColumnFormula>IFERROR(C9/Type[[#Totals],[Crash Count]],0)</calculatedColumnFormula>
      <totalsRowFormula>IFERROR(SUBTOTAL(109,Type[Crash Share]), 0)</totalsRowFormula>
    </tableColumn>
    <tableColumn id="4" xr3:uid="{00000000-0010-0000-0500-000004000000}" name="Label" dataDxfId="329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ype_Severity" displayName="Type_Severity" ref="B27:L41" totalsRowCount="1" headerRowDxfId="328" dataDxfId="327" totalsRowDxfId="326">
  <autoFilter ref="B27:L40" xr:uid="{00000000-0009-0000-0100-000007000000}"/>
  <sortState xmlns:xlrd2="http://schemas.microsoft.com/office/spreadsheetml/2017/richdata2" ref="B28:L40">
    <sortCondition ref="H27:H40"/>
  </sortState>
  <tableColumns count="11">
    <tableColumn id="1" xr3:uid="{00000000-0010-0000-0600-000001000000}" name="Crash Type" totalsRowLabel="Total" dataDxfId="325"/>
    <tableColumn id="2" xr3:uid="{00000000-0010-0000-0600-000002000000}" name="Fatal" totalsRowFunction="sum" dataDxfId="324" dataCellStyle="Percent">
      <calculatedColumnFormula>SUM(COUNTIFS(INDIRECT("Collision!"&amp;Type!$C$3&amp;":"&amp;Type!$C$3),$B28,INDIRECT("Collision!"&amp;Severity!$C$3&amp;":"&amp;Severity!$C$3),C$27))</calculatedColumnFormula>
    </tableColumn>
    <tableColumn id="3" xr3:uid="{00000000-0010-0000-0600-000003000000}" name="Severe Injury" totalsRowFunction="sum" dataDxfId="323">
      <calculatedColumnFormula>SUM(COUNTIFS(INDIRECT("Collision!"&amp;Type!$C$3&amp;":"&amp;Type!$C$3),$B28,INDIRECT("Collision!"&amp;Severity!$C$3&amp;":"&amp;Severity!$C$3),D$27))</calculatedColumnFormula>
    </tableColumn>
    <tableColumn id="4" xr3:uid="{00000000-0010-0000-0600-000004000000}" name="Other Injury" totalsRowFunction="sum" dataDxfId="322" dataCellStyle="Percent">
      <calculatedColumnFormula array="1">SUM(COUNTIFS(INDIRECT("Collision!"&amp;Type!$C$3&amp;":"&amp;Type!$C$3),$B28,INDIRECT("Collision!"&amp;Severity!$C$3&amp;":"&amp;Severity!$C$3),{"Moderate Injury","Minor Injury"}))</calculatedColumnFormula>
    </tableColumn>
    <tableColumn id="5" xr3:uid="{00000000-0010-0000-0600-000005000000}" name="PDO" totalsRowFunction="sum" dataDxfId="321" dataCellStyle="Percent">
      <calculatedColumnFormula>SUM(COUNTIFS(INDIRECT("Collision!"&amp;Type!$C$3&amp;":"&amp;Type!$C$3),$B28,INDIRECT("Collision!"&amp;Severity!$C$3&amp;":"&amp;Severity!$C$3),F$27))</calculatedColumnFormula>
    </tableColumn>
    <tableColumn id="6" xr3:uid="{00000000-0010-0000-0600-000006000000}" name="Total" totalsRowFunction="sum" dataDxfId="320" dataCellStyle="Percent">
      <calculatedColumnFormula>SUM(C28:F28)</calculatedColumnFormula>
    </tableColumn>
    <tableColumn id="7" xr3:uid="{00000000-0010-0000-0600-000007000000}" name="Crash Share" totalsRowFunction="custom" dataDxfId="319" totalsRowDxfId="318" dataCellStyle="Percent">
      <calculatedColumnFormula>IFERROR(G28/Type_Severity[[#Totals],[Total]],0)</calculatedColumnFormula>
      <totalsRowFormula>IFERROR(SUBTOTAL(109,Type_Severity[Crash Share]),0)</totalsRowFormula>
    </tableColumn>
    <tableColumn id="9" xr3:uid="{00000000-0010-0000-0600-000009000000}" name="Crash Count" totalsRowFunction="sum" dataDxfId="317" dataCellStyle="Percent">
      <calculatedColumnFormula>SUM(D28,C28)</calculatedColumnFormula>
    </tableColumn>
    <tableColumn id="10" xr3:uid="{00000000-0010-0000-0600-00000A000000}" name="Crash Share2" totalsRowFunction="custom" dataDxfId="316" totalsRowDxfId="315">
      <calculatedColumnFormula>IF(G28=0,0,Type_Severity[[#This Row],[Crash Count]]/Type_Severity[[#Totals],[Crash Count]])</calculatedColumnFormula>
      <totalsRowFormula>IFERROR(SUBTOTAL(109,Type_Severity[Crash Share2]),0)</totalsRowFormula>
    </tableColumn>
    <tableColumn id="8" xr3:uid="{00000000-0010-0000-0600-000008000000}" name="Crash Count2" totalsRowFunction="sum" dataDxfId="314">
      <calculatedColumnFormula>SUM(Type_Severity[[#This Row],[Severe Injury]:[Other Injury]])</calculatedColumnFormula>
    </tableColumn>
    <tableColumn id="11" xr3:uid="{00000000-0010-0000-0600-00000B000000}" name="Crash Share3" totalsRowFunction="custom" dataDxfId="313" totalsRowDxfId="312" dataCellStyle="Percent">
      <calculatedColumnFormula>IFERROR(Type_Severity[[#This Row],[Crash Count2]]/Type_Severity[[#Totals],[Crash Count2]],0)</calculatedColumnFormula>
      <totalsRowFormula>IFERROR(SUBTOTAL(109,Type_Severity[Crash Share3]),0)</totalsRow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ynamic_Type" displayName="Dynamic_Type" ref="B64:F70" totalsRowCount="1" headerRowDxfId="311">
  <autoFilter ref="B64:F69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700-000001000000}" name="Crash Severity" totalsRowLabel="Total" dataDxfId="310"/>
    <tableColumn id="2" xr3:uid="{00000000-0010-0000-0700-000002000000}" name="Crash Count" totalsRowFunction="sum" dataDxfId="309">
      <calculatedColumnFormula>SUM(COUNTIFS(#REF!,Dynamic_Type[[#This Row],[Crash Severity]],#REF!,$C$63))</calculatedColumnFormula>
    </tableColumn>
    <tableColumn id="3" xr3:uid="{00000000-0010-0000-0700-000003000000}" name="Crash Share" totalsRowFunction="custom" dataDxfId="308" totalsRowDxfId="307" dataCellStyle="Percent">
      <calculatedColumnFormula>IFERROR(C65/Dynamic_Type[[#Totals],[Crash Count]],0)</calculatedColumnFormula>
      <totalsRowFormula>IFERROR(SUBTOTAL(109,Dynamic_Type[Crash Share]),0)</totalsRowFormula>
    </tableColumn>
    <tableColumn id="4" xr3:uid="{00000000-0010-0000-0700-000004000000}" name="Crash Count2" totalsRowFunction="sum" dataDxfId="306">
      <calculatedColumnFormula>VLOOKUP(Dynamic_Type[[#This Row],[Crash Severity]],Severity[[#Headers],[#Data]],2,FALSE)</calculatedColumnFormula>
    </tableColumn>
    <tableColumn id="5" xr3:uid="{00000000-0010-0000-0700-000005000000}" name="Crash Share2" totalsRowFunction="custom" dataDxfId="305" totalsRowDxfId="304" dataCellStyle="Percent">
      <calculatedColumnFormula>IFERROR(E65/Dynamic_Type[[#Totals],[Crash Count2]],0)</calculatedColumnFormula>
      <totalsRowFormula>IFERROR(SUBTOTAL(109,Dynamic_Type[Crash Share2]),0)</totalsRowFormula>
    </tableColumn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ynamic_Type2" displayName="Dynamic_Type2" ref="B78:G115" totalsRowCount="1" headerRowDxfId="303" dataDxfId="302" totalsRowDxfId="301">
  <autoFilter ref="B78:G114" xr:uid="{00000000-0009-0000-0100-000009000000}"/>
  <sortState xmlns:xlrd2="http://schemas.microsoft.com/office/spreadsheetml/2017/richdata2" ref="B79:G102">
    <sortCondition ref="F8:F36"/>
  </sortState>
  <tableColumns count="6">
    <tableColumn id="1" xr3:uid="{00000000-0010-0000-0800-000001000000}" name="Crash Cause" totalsRowLabel="Total" dataDxfId="300" totalsRowDxfId="299"/>
    <tableColumn id="6" xr3:uid="{00000000-0010-0000-0800-000006000000}" name="Crash Count" totalsRowFunction="sum" dataDxfId="298" totalsRowDxfId="297">
      <calculatedColumnFormula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calculatedColumnFormula>
    </tableColumn>
    <tableColumn id="5" xr3:uid="{00000000-0010-0000-0800-000005000000}" name="Crash Share" totalsRowFunction="sum" dataDxfId="296" totalsRowDxfId="295" dataCellStyle="Percent">
      <calculatedColumnFormula>Dynamic_Type2[[#This Row],[Crash Count]]/$C$116</calculatedColumnFormula>
    </tableColumn>
    <tableColumn id="2" xr3:uid="{00000000-0010-0000-0800-000002000000}" name="Crash Count2" totalsRowFunction="sum" dataDxfId="294" totalsRowDxfId="293">
      <calculatedColumnFormula>VLOOKUP(Dynamic_Type2[[#This Row],[Crash Cause]],PCF[[#Headers],[#Data]],2,FALSE)</calculatedColumnFormula>
    </tableColumn>
    <tableColumn id="3" xr3:uid="{00000000-0010-0000-0800-000003000000}" name="Crash Share2" totalsRowFunction="sum" dataDxfId="292" totalsRowDxfId="291" dataCellStyle="Percent">
      <calculatedColumnFormula>Dynamic_Type2[[#This Row],[Crash Count2]]/Dynamic_Type2[[#Totals],[Crash Count2]]</calculatedColumnFormula>
    </tableColumn>
    <tableColumn id="4" xr3:uid="{00000000-0010-0000-0800-000004000000}" name="Label" dataDxfId="290" totalsRowDxfId="289">
      <calculatedColumnFormula>VLOOKUP(Dynamic_Type2[[#This Row],[Crash Cause]],PCF[[#Headers],[#Data]],4,FALSE)</calculatedColumnFormula>
    </tableColumn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CF_Severity" displayName="PCF_Severity" ref="B50:M87" totalsRowCount="1" headerRowDxfId="288" dataDxfId="287" totalsRowDxfId="286">
  <autoFilter ref="B50:M86" xr:uid="{00000000-0009-0000-0100-00000A000000}"/>
  <sortState xmlns:xlrd2="http://schemas.microsoft.com/office/spreadsheetml/2017/richdata2" ref="B51:M86">
    <sortCondition ref="H50:H86"/>
  </sortState>
  <tableColumns count="12">
    <tableColumn id="1" xr3:uid="{00000000-0010-0000-0900-000001000000}" name="Crash Cause" totalsRowLabel="Total" dataDxfId="285"/>
    <tableColumn id="2" xr3:uid="{00000000-0010-0000-0900-000002000000}" name="Fatal" totalsRowFunction="sum" dataDxfId="284" dataCellStyle="Percent">
      <calculatedColumnFormula>SUM(COUNTIFS(INDIRECT("Collision!"&amp;Cause!$C$3&amp;":"&amp;Cause!$C$3),$B51,INDIRECT("Collision!"&amp;Severity!$C$3&amp;":"&amp;Severity!$C$3),C$50), COUNTIFS(INDIRECT("Collision!"&amp;Cause!$G$3&amp;":"&amp;Cause!$G$3),$B51,INDIRECT("Collision!"&amp;Severity!$C$3&amp;":"&amp;Severity!$C$3),C$50), COUNTIFS(INDIRECT("Collision!"&amp;Cause!$G$4&amp;":"&amp;Cause!$G$4),$B51,INDIRECT("Collision!"&amp;Severity!$C$3&amp;":"&amp;Severity!$C$3),C$50))</calculatedColumnFormula>
    </tableColumn>
    <tableColumn id="3" xr3:uid="{00000000-0010-0000-0900-000003000000}" name="Severe Injury" totalsRowFunction="sum" dataDxfId="283">
      <calculatedColumnFormula>SUM(COUNTIFS(INDIRECT("Collision!"&amp;Cause!$C$3&amp;":"&amp;Cause!$C$3),$B51,INDIRECT("Collision!"&amp;Severity!$C$3&amp;":"&amp;Severity!$C$3),D$50), COUNTIFS(INDIRECT("Collision!"&amp;Cause!$G$3&amp;":"&amp;Cause!$G$3),$B51,INDIRECT("Collision!"&amp;Severity!$C$3&amp;":"&amp;Severity!$C$3),D$50), COUNTIFS(INDIRECT("Collision!"&amp;Cause!$G$4&amp;":"&amp;Cause!$G$4),$B51,INDIRECT("Collision!"&amp;Severity!$C$3&amp;":"&amp;Severity!$C$3),D$50))</calculatedColumnFormula>
    </tableColumn>
    <tableColumn id="4" xr3:uid="{00000000-0010-0000-0900-000004000000}" name="Other Injury" totalsRowFunction="sum" dataDxfId="282" dataCellStyle="Percent">
      <calculatedColumnFormula array="1">SUM(COUNTIFS(INDIRECT("Collision!"&amp;Cause!$C$3&amp;":"&amp;Cause!$C$3),$B51,INDIRECT("Collision!"&amp;Severity!$C$3&amp;":"&amp;Severity!$C$3),{"Moderate Injury","Minor Injury"}), COUNTIFS(INDIRECT("Collision!"&amp;Cause!$G$3&amp;":"&amp;Cause!$G$3),$B51,INDIRECT("Collision!"&amp;Severity!$C$3&amp;":"&amp;Severity!$C$3),{"Moderate Injury","Minor Injury"}), COUNTIFS(INDIRECT("Collision!"&amp;Cause!$G$4&amp;":"&amp;Cause!$G$4),$B51,INDIRECT("Collision!"&amp;Severity!$C$3&amp;":"&amp;Severity!$C$3),{"Moderate Injury","Minor Injury"}))</calculatedColumnFormula>
    </tableColumn>
    <tableColumn id="5" xr3:uid="{00000000-0010-0000-0900-000005000000}" name="PDO" totalsRowFunction="sum" dataDxfId="281" dataCellStyle="Percent">
      <calculatedColumnFormula>SUM(COUNTIFS(INDIRECT("Collision!"&amp;Cause!$C$3&amp;":"&amp;Cause!$C$3),$B51,INDIRECT("Collision!"&amp;Severity!$C$3&amp;":"&amp;Severity!$C$3),F$50), COUNTIFS(INDIRECT("Collision!"&amp;Cause!$G$3&amp;":"&amp;Cause!$G$3),$B51,INDIRECT("Collision!"&amp;Severity!$C$3&amp;":"&amp;Severity!$C$3),F$50), COUNTIFS(INDIRECT("Collision!"&amp;Cause!$G$4&amp;":"&amp;Cause!$G$4),$B51,INDIRECT("Collision!"&amp;Severity!$C$3&amp;":"&amp;Severity!$C$3),F$50))</calculatedColumnFormula>
    </tableColumn>
    <tableColumn id="6" xr3:uid="{00000000-0010-0000-0900-000006000000}" name="Total" totalsRowFunction="sum" dataDxfId="280" dataCellStyle="Percent">
      <calculatedColumnFormula>SUM(C51:F51)</calculatedColumnFormula>
    </tableColumn>
    <tableColumn id="7" xr3:uid="{00000000-0010-0000-0900-000007000000}" name="Crash Share" totalsRowFunction="sum" dataDxfId="279" totalsRowDxfId="278" dataCellStyle="Percent">
      <calculatedColumnFormula>G51/$G$88</calculatedColumnFormula>
    </tableColumn>
    <tableColumn id="9" xr3:uid="{00000000-0010-0000-0900-000009000000}" name="Crash Count" totalsRowFunction="sum" dataDxfId="277" dataCellStyle="Percent">
      <calculatedColumnFormula>SUM(D51,C51)</calculatedColumnFormula>
    </tableColumn>
    <tableColumn id="10" xr3:uid="{00000000-0010-0000-0900-00000A000000}" name="Crash Share2" totalsRowFunction="sum" dataDxfId="276" totalsRowDxfId="275">
      <calculatedColumnFormula>IF(G51=0,"-",PCF_Severity[[#This Row],[Crash Count]]/$I$88)</calculatedColumnFormula>
    </tableColumn>
    <tableColumn id="8" xr3:uid="{00000000-0010-0000-0900-000008000000}" name="Crash Count2" totalsRowFunction="sum" dataDxfId="274">
      <calculatedColumnFormula>SUM(PCF_Severity[[#This Row],[Severe Injury]:[Other Injury]])</calculatedColumnFormula>
    </tableColumn>
    <tableColumn id="11" xr3:uid="{00000000-0010-0000-0900-00000B000000}" name="Crash Share3" totalsRowFunction="sum" dataDxfId="273" totalsRowDxfId="272" dataCellStyle="Percent">
      <calculatedColumnFormula>PCF_Severity[[#This Row],[Crash Count2]]/$K$88</calculatedColumnFormula>
    </tableColumn>
    <tableColumn id="12" xr3:uid="{00000000-0010-0000-0900-00000C000000}" name="Label" dataDxfId="271">
      <calculatedColumnFormula>VLOOKUP(PCF_Severity[[#This Row],[Crash Cause]],PCF[[#Headers],[#Data]],4,FALSE)</calculatedColumnFormula>
    </tableColumn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PCF" displayName="PCF" ref="B7:E44" totalsRowCount="1" headerRowDxfId="270" dataDxfId="269" totalsRowDxfId="268">
  <autoFilter ref="B7:E43" xr:uid="{00000000-0009-0000-0100-00000B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8:E31">
    <sortCondition ref="D7:D31"/>
  </sortState>
  <tableColumns count="4">
    <tableColumn id="1" xr3:uid="{00000000-0010-0000-0A00-000001000000}" name="Crash Cause" totalsRowLabel="Total" dataDxfId="267" totalsRowDxfId="266"/>
    <tableColumn id="2" xr3:uid="{00000000-0010-0000-0A00-000002000000}" name="Crash Count" totalsRowFunction="sum" dataDxfId="265" totalsRowDxfId="264">
      <calculatedColumnFormula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calculatedColumnFormula>
    </tableColumn>
    <tableColumn id="3" xr3:uid="{00000000-0010-0000-0A00-000003000000}" name="Crash Share" totalsRowFunction="sum" dataDxfId="263" totalsRowDxfId="262" dataCellStyle="Percent">
      <calculatedColumnFormula>PCF[[#This Row],[Crash Count]]/$C$45</calculatedColumnFormula>
    </tableColumn>
    <tableColumn id="4" xr3:uid="{00000000-0010-0000-0A00-000004000000}" name="Label" dataDxfId="261" totalsRowDxfId="260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Dynamic_Type20" displayName="Dynamic_Type20" ref="B153:F159" totalsRowCount="1" headerRowDxfId="259">
  <autoFilter ref="B153:F158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Crash Severity" totalsRowLabel="Total" dataDxfId="258"/>
    <tableColumn id="2" xr3:uid="{00000000-0010-0000-0B00-000002000000}" name="Crash Count" totalsRowFunction="sum" dataDxfId="257" totalsRowDxfId="256">
      <calculatedColumnFormula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calculatedColumnFormula>
    </tableColumn>
    <tableColumn id="3" xr3:uid="{00000000-0010-0000-0B00-000003000000}" name="Crash Share" totalsRowFunction="sum" dataDxfId="255" totalsRowDxfId="254" dataCellStyle="Percent">
      <calculatedColumnFormula>C154/Dynamic_Type20[[#Totals],[Crash Count]]</calculatedColumnFormula>
    </tableColumn>
    <tableColumn id="4" xr3:uid="{00000000-0010-0000-0B00-000004000000}" name="Crash Count2" totalsRowFunction="sum" dataDxfId="253" totalsRowDxfId="252">
      <calculatedColumnFormula>VLOOKUP(Dynamic_Type20[[#This Row],[Crash Severity]],Severity[[#Headers],[#Data]],2,FALSE)</calculatedColumnFormula>
    </tableColumn>
    <tableColumn id="5" xr3:uid="{00000000-0010-0000-0B00-000005000000}" name="Crash Share2" totalsRowFunction="sum" dataDxfId="251" totalsRowDxfId="250" dataCellStyle="Percent">
      <calculatedColumnFormula>E154/Dynamic_Type20[[#Totals],[Crash Count2]]</calculatedColumnFormula>
    </tableColumn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CF_Severity2" displayName="PCF_Severity2" ref="B148:M282" totalsRowCount="1" headerRowDxfId="249" dataDxfId="248" totalsRowDxfId="247">
  <autoFilter ref="B148:M281" xr:uid="{00000000-0009-0000-0100-00000D000000}"/>
  <sortState xmlns:xlrd2="http://schemas.microsoft.com/office/spreadsheetml/2017/richdata2" ref="B149:M281">
    <sortCondition ref="H148:H281"/>
  </sortState>
  <tableColumns count="12">
    <tableColumn id="1" xr3:uid="{00000000-0010-0000-0C00-000001000000}" name="Crash Event" totalsRowLabel="Total" dataDxfId="246" totalsRowDxfId="245"/>
    <tableColumn id="2" xr3:uid="{00000000-0010-0000-0C00-000002000000}" name="Fatal" totalsRowFunction="sum" dataDxfId="244" totalsRowDxfId="243" dataCellStyle="Percent">
      <calculatedColumnFormula>SUM(COUNTIFS(INDIRECT("Collision!"&amp;Event!$C$3&amp;":"&amp;Event!$C$3),$B149,INDIRECT("Collision!"&amp;Severity!$C$3&amp;":"&amp;Severity!$C$3),C$148), COUNTIFS(INDIRECT("Collision!"&amp;Event!$G$3&amp;":"&amp;Event!$G$3),$B149,INDIRECT("Collision!"&amp;Severity!$C$3&amp;":"&amp;Severity!$C$3),C$148), COUNTIFS(INDIRECT("Collision!"&amp;Event!$G$4&amp;":"&amp;Event!$G$4),$B149,INDIRECT("Collision!"&amp;Severity!$C$3&amp;":"&amp;Severity!$C$3),C$148))</calculatedColumnFormula>
    </tableColumn>
    <tableColumn id="3" xr3:uid="{00000000-0010-0000-0C00-000003000000}" name="Severe Injury" totalsRowFunction="sum" dataDxfId="242" totalsRowDxfId="241">
      <calculatedColumnFormula>SUM(COUNTIFS(INDIRECT("Collision!"&amp;Event!$C$3&amp;":"&amp;Event!$C$3),$B149,INDIRECT("Collision!"&amp;Severity!$C$3&amp;":"&amp;Severity!$C$3),D$148), COUNTIFS(INDIRECT("Collision!"&amp;Event!$G$3&amp;":"&amp;Event!$G$3),$B149,INDIRECT("Collision!"&amp;Severity!$C$3&amp;":"&amp;Severity!$C$3),D$148), COUNTIFS(INDIRECT("Collision!"&amp;Event!$G$4&amp;":"&amp;Event!$G$4),$B149,INDIRECT("Collision!"&amp;Severity!$C$3&amp;":"&amp;Severity!$C$3),D$148))</calculatedColumnFormula>
    </tableColumn>
    <tableColumn id="4" xr3:uid="{00000000-0010-0000-0C00-000004000000}" name="Other Injury" totalsRowFunction="sum" dataDxfId="240" totalsRowDxfId="239" dataCellStyle="Percent">
      <calculatedColumnFormula array="1">SUM(COUNTIFS(INDIRECT("Collision!"&amp;Event!$C$3&amp;":"&amp;Event!$C$3),$B149,INDIRECT("Collision!"&amp;Severity!$C$3&amp;":"&amp;Severity!$C$3),{"Moderate Injury","Minor Injury"}), COUNTIFS(INDIRECT("Collision!"&amp;Event!$G$3&amp;":"&amp;Event!$G$3),$B149,INDIRECT("Collision!"&amp;Severity!$C$3&amp;":"&amp;Severity!$C$3),{"Moderate Injury","Minor Injury"}), COUNTIFS(INDIRECT("Collision!"&amp;Event!$G$4&amp;":"&amp;Event!$G$4),$B149,INDIRECT("Collision!"&amp;Severity!$C$3&amp;":"&amp;Severity!$C$3),{"Moderate Injury","Minor Injury"}))</calculatedColumnFormula>
    </tableColumn>
    <tableColumn id="5" xr3:uid="{00000000-0010-0000-0C00-000005000000}" name="PDO" totalsRowFunction="sum" dataDxfId="238" totalsRowDxfId="237" dataCellStyle="Percent">
      <calculatedColumnFormula>SUM(COUNTIFS(INDIRECT("Collision!"&amp;Event!$C$3&amp;":"&amp;Event!$C$3),$B149,INDIRECT("Collision!"&amp;Severity!$C$3&amp;":"&amp;Severity!$C$3),F$148), COUNTIFS(INDIRECT("Collision!"&amp;Event!$G$3&amp;":"&amp;Event!$G$3),$B149,INDIRECT("Collision!"&amp;Severity!$C$3&amp;":"&amp;Severity!$C$3),F$148), COUNTIFS(INDIRECT("Collision!"&amp;Event!$G$4&amp;":"&amp;Event!$G$4),$B149,INDIRECT("Collision!"&amp;Severity!$C$3&amp;":"&amp;Severity!$C$3),F$148))</calculatedColumnFormula>
    </tableColumn>
    <tableColumn id="6" xr3:uid="{00000000-0010-0000-0C00-000006000000}" name="Total" totalsRowFunction="sum" dataDxfId="236" totalsRowDxfId="235" dataCellStyle="Percent">
      <calculatedColumnFormula>SUM(C149:F149)</calculatedColumnFormula>
    </tableColumn>
    <tableColumn id="7" xr3:uid="{00000000-0010-0000-0C00-000007000000}" name="Crash Share" totalsRowFunction="sum" dataDxfId="234" totalsRowDxfId="233" dataCellStyle="Percent">
      <calculatedColumnFormula>G149/$G$283</calculatedColumnFormula>
    </tableColumn>
    <tableColumn id="9" xr3:uid="{00000000-0010-0000-0C00-000009000000}" name="Crash Count" totalsRowFunction="sum" dataDxfId="232" totalsRowDxfId="231" dataCellStyle="Percent">
      <calculatedColumnFormula>SUM(D149,C149)</calculatedColumnFormula>
    </tableColumn>
    <tableColumn id="10" xr3:uid="{00000000-0010-0000-0C00-00000A000000}" name="Crash Share2" totalsRowFunction="sum" dataDxfId="230" totalsRowDxfId="229">
      <calculatedColumnFormula>IF(G149=0,"-",PCF_Severity2[[#This Row],[Crash Count]]/$I$283)</calculatedColumnFormula>
    </tableColumn>
    <tableColumn id="8" xr3:uid="{00000000-0010-0000-0C00-000008000000}" name="Crash Count2" totalsRowFunction="sum" dataDxfId="228" totalsRowDxfId="227">
      <calculatedColumnFormula>SUM(PCF_Severity2[[#This Row],[Severe Injury]:[Other Injury]])</calculatedColumnFormula>
    </tableColumn>
    <tableColumn id="11" xr3:uid="{00000000-0010-0000-0C00-00000B000000}" name="Crash Share3" totalsRowFunction="sum" dataDxfId="226" totalsRowDxfId="225" dataCellStyle="Percent">
      <calculatedColumnFormula>PCF_Severity2[[#This Row],[Crash Count2]]/$K$283</calculatedColumnFormula>
    </tableColumn>
    <tableColumn id="12" xr3:uid="{00000000-0010-0000-0C00-00000C000000}" name="Label" dataDxfId="224" totalsRowDxfId="223">
      <calculatedColumnFormula>VLOOKUP(PCF_Severity2[[#This Row],[Crash Event]],PCF_3[[#Headers],[#Data]],4,FALSE)</calculatedColumnFormula>
    </tableColumn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CF_3" displayName="PCF_3" ref="B8:E142" totalsRowCount="1" headerRowDxfId="222" dataDxfId="221" totalsRowDxfId="220">
  <autoFilter ref="B8:E141" xr:uid="{00000000-0009-0000-0100-00000E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9:E134">
    <sortCondition ref="D8:D134"/>
  </sortState>
  <tableColumns count="4">
    <tableColumn id="1" xr3:uid="{00000000-0010-0000-0D00-000001000000}" name="Crash Event" totalsRowLabel="Total" dataDxfId="219" totalsRowDxfId="218"/>
    <tableColumn id="2" xr3:uid="{00000000-0010-0000-0D00-000002000000}" name="Crash Count" totalsRowFunction="sum" dataDxfId="217" totalsRowDxfId="216">
      <calculatedColumnFormula>SUM(COUNTIF(INDIRECT("Collision!"&amp;Cause!$C$3&amp;":"&amp;Cause!$C$3),PCF_3[[#This Row],[Crash Event]]), COUNTIF(INDIRECT("Collision!"&amp;Cause!$G$3&amp;":"&amp;Cause!$G$3),PCF_3[[#This Row],[Crash Event]]), COUNTIF(INDIRECT("Collision!"&amp;Cause!$G$4&amp;":"&amp;Cause!$G$4),PCF_3[[#This Row],[Crash Event]]))</calculatedColumnFormula>
    </tableColumn>
    <tableColumn id="3" xr3:uid="{00000000-0010-0000-0D00-000003000000}" name="Crash Share" totalsRowFunction="sum" dataDxfId="215" totalsRowDxfId="214" dataCellStyle="Percent">
      <calculatedColumnFormula>PCF_3[[#This Row],[Crash Count]]/$C$143</calculatedColumnFormula>
    </tableColumn>
    <tableColumn id="4" xr3:uid="{00000000-0010-0000-0D00-000004000000}" name="Label" dataDxfId="213" totalsRowDxfId="212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Dynamic_Type204" displayName="Dynamic_Type204" ref="B348:F354" totalsRowCount="1" headerRowDxfId="211">
  <autoFilter ref="B348:F353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E00-000001000000}" name="Crash Severity" totalsRowLabel="Total" dataDxfId="210"/>
    <tableColumn id="2" xr3:uid="{00000000-0010-0000-0E00-000002000000}" name="Crash Count" totalsRowFunction="sum" dataDxfId="209" totalsRowDxfId="208">
      <calculatedColumnFormula>SUM(COUNTIFS(INDIRECT("Collision!"&amp;Severity!$C$3&amp;":"&amp;Severity!$C$3),Dynamic_Type204[[#This Row],[Crash Severity]],INDIRECT("Collision!"&amp;Cause!$C$3&amp;":"&amp;Cause!$C$3),$C$345), COUNTIFS(INDIRECT("Collision!"&amp;Severity!$C$3&amp;":"&amp;Severity!$C$3),Dynamic_Type204[[#This Row],[Crash Severity]],INDIRECT("Collision!"&amp;Cause!$G$3&amp;":"&amp;Cause!$G$3),$C$345), COUNTIFS(INDIRECT("Collision!"&amp;Severity!$C$3&amp;":"&amp;Severity!$C$3),Dynamic_Type204[[#This Row],[Crash Severity]],INDIRECT("Collision!"&amp;Cause!$G$4&amp;":"&amp;Cause!$G$4),$C$345))</calculatedColumnFormula>
    </tableColumn>
    <tableColumn id="3" xr3:uid="{00000000-0010-0000-0E00-000003000000}" name="Crash Share" totalsRowFunction="sum" dataDxfId="207" totalsRowDxfId="206" dataCellStyle="Percent">
      <calculatedColumnFormula>C349/Dynamic_Type204[[#Totals],[Crash Count]]</calculatedColumnFormula>
    </tableColumn>
    <tableColumn id="4" xr3:uid="{00000000-0010-0000-0E00-000004000000}" name="Crash Count2" totalsRowFunction="sum" dataDxfId="205" totalsRowDxfId="204">
      <calculatedColumnFormula>VLOOKUP(Dynamic_Type204[[#This Row],[Crash Severity]],Severity[[#Headers],[#Data]],2,FALSE)</calculatedColumnFormula>
    </tableColumn>
    <tableColumn id="5" xr3:uid="{00000000-0010-0000-0E00-000005000000}" name="Crash Share2" totalsRowFunction="sum" dataDxfId="203" totalsRowDxfId="202" dataCellStyle="Percent">
      <calculatedColumnFormula>E349/Dynamic_Type204[[#Totals],[Crash Count2]]</calculatedColumnFormula>
    </tableColumn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28" displayName="Table28" ref="B22:K35" totalsRowCount="1" headerRowDxfId="201">
  <autoFilter ref="B22:K34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F00-000001000000}" name="Month (Short)" totalsRowLabel="Total"/>
    <tableColumn id="2" xr3:uid="{00000000-0010-0000-0F00-000002000000}" name="Month (Long)"/>
    <tableColumn id="3" xr3:uid="{00000000-0010-0000-0F00-000003000000}" name="Fatal" totalsRowFunction="sum" dataDxfId="200">
      <calculatedColumnFormula>SUM((COUNTIFS(INDIRECT("Collision!"&amp;Temporal!$C$4&amp;":"&amp;Temporal!$C$4),$C23,INDIRECT("Collision!"&amp;Severity!$C$3&amp;":"&amp;Severity!$C$3),D$22)))</calculatedColumnFormula>
    </tableColumn>
    <tableColumn id="4" xr3:uid="{00000000-0010-0000-0F00-000004000000}" name="Severe Injury" totalsRowFunction="sum" dataDxfId="199" dataCellStyle="Percent">
      <calculatedColumnFormula>SUM((COUNTIFS(INDIRECT("Collision!"&amp;Temporal!$C$4&amp;":"&amp;Temporal!$C$4),$C23,INDIRECT("Collision!"&amp;Severity!$C$3&amp;":"&amp;Severity!$C$3),E$22)))</calculatedColumnFormula>
    </tableColumn>
    <tableColumn id="5" xr3:uid="{00000000-0010-0000-0F00-000005000000}" name="Other Injury" totalsRowFunction="sum" dataDxfId="198">
      <calculatedColumnFormula array="1">SUM((COUNTIFS(INDIRECT("Collision!"&amp;Temporal!$C$4&amp;":"&amp;Temporal!$C$4),$C23,INDIRECT("Collision!"&amp;Severity!$C$3&amp;":"&amp;Severity!$C$3),{"Moderate Injury","Minor Injury"})))</calculatedColumnFormula>
    </tableColumn>
    <tableColumn id="6" xr3:uid="{00000000-0010-0000-0F00-000006000000}" name="PDO" totalsRowFunction="sum" dataDxfId="197">
      <calculatedColumnFormula>SUM((COUNTIFS(INDIRECT("Collision!"&amp;Temporal!$C$4&amp;":"&amp;Temporal!$C$4),$C23,INDIRECT("Collision!"&amp;Severity!$C$3&amp;":"&amp;Severity!$C$3),G$22)))</calculatedColumnFormula>
    </tableColumn>
    <tableColumn id="7" xr3:uid="{00000000-0010-0000-0F00-000007000000}" name="Total" totalsRowFunction="sum">
      <calculatedColumnFormula>SUM((COUNTIFS(INDIRECT("Collision!"&amp;Temporal!$C$4&amp;":"&amp;Temporal!$C$4),$C23)))</calculatedColumnFormula>
    </tableColumn>
    <tableColumn id="8" xr3:uid="{00000000-0010-0000-0F00-000008000000}" name="Crash Share" totalsRowFunction="sum" dataDxfId="196" totalsRowDxfId="195" dataCellStyle="Percent">
      <calculatedColumnFormula>Table28[[#This Row],[Total]]/Table28[[#Totals],[Total]]</calculatedColumnFormula>
    </tableColumn>
    <tableColumn id="9" xr3:uid="{00000000-0010-0000-0F00-000009000000}" name="Crash Count2" totalsRowFunction="sum" dataDxfId="194">
      <calculatedColumnFormula>SUM(Table28[[#This Row],[Fatal]:[Severe Injury]])</calculatedColumnFormula>
    </tableColumn>
    <tableColumn id="10" xr3:uid="{00000000-0010-0000-0F00-00000A000000}" name="Crash Share2" totalsRowFunction="sum" dataDxfId="193" totalsRowDxfId="192" dataCellStyle="Percent">
      <calculatedColumnFormula>Table28[[#This Row],[Crash Count2]]/Table28[[#Totals],[Crash Count2]]</calculatedColumnFormula>
    </tableColumn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9" displayName="Table29" ref="B41:M67" totalsRowCount="1" headerRowDxfId="191">
  <autoFilter ref="B41:M66" xr:uid="{00000000-0009-0000-0100-00001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000-000001000000}" name="Hour of Day (Short)" totalsRowLabel="Total"/>
    <tableColumn id="2" xr3:uid="{00000000-0010-0000-1000-000002000000}" name="Hour of Day (Long)"/>
    <tableColumn id="3" xr3:uid="{00000000-0010-0000-1000-000003000000}" name="Sunday" totalsRowFunction="sum" dataDxfId="190">
      <calculatedColumnFormula array="1">IF($C$38=$C$70,SUM(COUNTIFS(#REF!,Table29[[#This Row],[Hour of Day (Short)]],#REF!,Table29[[#Headers],[Sunday]],#REF!,{"Fatal","Severe Injury"})),SUM(COUNTIFS(#REF!,Table29[[#This Row],[Hour of Day (Short)]],#REF!,Table29[[#Headers],[Sunday]])))</calculatedColumnFormula>
    </tableColumn>
    <tableColumn id="4" xr3:uid="{00000000-0010-0000-1000-000004000000}" name="Monday" totalsRowFunction="sum" dataDxfId="189">
      <calculatedColumnFormula array="1">IF($C$38=$C$70,SUM(COUNTIFS(#REF!,Table29[[#This Row],[Hour of Day (Short)]],#REF!,Table29[[#Headers],[Monday]],#REF!,{"Fatal","Severe Injury"})),SUM(COUNTIFS(#REF!,Table29[[#This Row],[Hour of Day (Short)]],#REF!,Table29[[#Headers],[Monday]])))</calculatedColumnFormula>
    </tableColumn>
    <tableColumn id="5" xr3:uid="{00000000-0010-0000-1000-000005000000}" name="Tuesday" totalsRowFunction="sum" dataDxfId="188">
      <calculatedColumnFormula array="1">IF($C$38=$C$70,SUM(COUNTIFS(#REF!,Table29[[#This Row],[Hour of Day (Short)]],#REF!,Table29[[#Headers],[Tuesday]],#REF!,{"Fatal","Severe Injury"})),SUM(COUNTIFS(#REF!,Table29[[#This Row],[Hour of Day (Short)]],#REF!,Table29[[#Headers],[Tuesday]])))</calculatedColumnFormula>
    </tableColumn>
    <tableColumn id="6" xr3:uid="{00000000-0010-0000-1000-000006000000}" name="Wednesday" totalsRowFunction="sum" dataDxfId="187">
      <calculatedColumnFormula array="1">IF($C$38=$C$70,SUM(COUNTIFS(#REF!,Table29[[#This Row],[Hour of Day (Short)]],#REF!,Table29[[#Headers],[Wednesday]],#REF!,{"Fatal","Severe Injury"})),SUM(COUNTIFS(#REF!,Table29[[#This Row],[Hour of Day (Short)]],#REF!,Table29[[#Headers],[Wednesday]])))</calculatedColumnFormula>
    </tableColumn>
    <tableColumn id="7" xr3:uid="{00000000-0010-0000-1000-000007000000}" name="Thursday" totalsRowFunction="sum" dataDxfId="186">
      <calculatedColumnFormula array="1">IF($C$38=$C$70,SUM(COUNTIFS(#REF!,Table29[[#This Row],[Hour of Day (Short)]],#REF!,Table29[[#Headers],[Thursday]],#REF!,{"Fatal","Severe Injury"})),SUM(COUNTIFS(#REF!,Table29[[#This Row],[Hour of Day (Short)]],#REF!,Table29[[#Headers],[Thursday]])))</calculatedColumnFormula>
    </tableColumn>
    <tableColumn id="8" xr3:uid="{00000000-0010-0000-1000-000008000000}" name="Friday" totalsRowFunction="sum" dataDxfId="185">
      <calculatedColumnFormula array="1">IF($C$38=$C$70,SUM(COUNTIFS(#REF!,Table29[[#This Row],[Hour of Day (Short)]],#REF!,Table29[[#Headers],[Friday]],#REF!,{"Fatal","Severe Injury"})),SUM(COUNTIFS(#REF!,Table29[[#This Row],[Hour of Day (Short)]],#REF!,Table29[[#Headers],[Friday]])))</calculatedColumnFormula>
    </tableColumn>
    <tableColumn id="9" xr3:uid="{00000000-0010-0000-1000-000009000000}" name="Saturday" totalsRowFunction="sum" dataDxfId="184">
      <calculatedColumnFormula array="1">IF($C$38=$C$70,SUM(COUNTIFS(#REF!,Table29[[#This Row],[Hour of Day (Short)]],#REF!,Table29[[#Headers],[Saturday]],#REF!,{"Fatal","Severe Injury"})),SUM(COUNTIFS(#REF!,Table29[[#This Row],[Hour of Day (Short)]],#REF!,Table29[[#Headers],[Saturday]])))</calculatedColumnFormula>
    </tableColumn>
    <tableColumn id="10" xr3:uid="{00000000-0010-0000-1000-00000A000000}" name="Average Weekend" totalsRowFunction="average" dataDxfId="183" totalsRowDxfId="182">
      <calculatedColumnFormula>AVERAGE(D42,J42)</calculatedColumnFormula>
    </tableColumn>
    <tableColumn id="11" xr3:uid="{00000000-0010-0000-1000-00000B000000}" name="Average Weekday" totalsRowFunction="average" dataDxfId="181" totalsRowDxfId="180">
      <calculatedColumnFormula>AVERAGE(Table29[[#This Row],[Monday]:[Friday]])</calculatedColumnFormula>
    </tableColumn>
    <tableColumn id="13" xr3:uid="{00000000-0010-0000-1000-00000D000000}" name="Beginning of Hour" dataDxfId="179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Ped_Action" displayName="Ped_Action" ref="B12:K21" totalsRowCount="1" headerRowDxfId="178">
  <autoFilter ref="B12:K20" xr:uid="{00000000-0009-0000-0100-000012000000}"/>
  <sortState xmlns:xlrd2="http://schemas.microsoft.com/office/spreadsheetml/2017/richdata2" ref="B13:K20">
    <sortCondition ref="H12:H20"/>
  </sortState>
  <tableColumns count="10">
    <tableColumn id="1" xr3:uid="{00000000-0010-0000-1100-000001000000}" name="Pedestrian Action" totalsRowLabel="Total" dataDxfId="177" totalsRowDxfId="176"/>
    <tableColumn id="2" xr3:uid="{00000000-0010-0000-1100-000002000000}" name="Fatal" totalsRowFunction="sum" dataDxfId="175">
      <calculatedColumnFormula>SUM(COUNTIFS(#REF!,$B13,#REF!,Ped_Action[[#Headers],[Fatal]]))</calculatedColumnFormula>
    </tableColumn>
    <tableColumn id="3" xr3:uid="{00000000-0010-0000-1100-000003000000}" name="Severe Injury" totalsRowFunction="sum">
      <calculatedColumnFormula>SUM(COUNTIFS(#REF!,$B13,#REF!,Ped_Action[[#Headers],[Severe Injury]]))</calculatedColumnFormula>
    </tableColumn>
    <tableColumn id="4" xr3:uid="{00000000-0010-0000-1100-000004000000}" name="Other Injury" totalsRowFunction="sum" dataDxfId="174">
      <calculatedColumnFormula array="1">SUM(COUNTIFS(#REF!,$B13,#REF!,{"Other Visible Injury","Complaint of Pain"}))</calculatedColumnFormula>
    </tableColumn>
    <tableColumn id="5" xr3:uid="{00000000-0010-0000-1100-000005000000}" name="PDO" totalsRowFunction="sum">
      <calculatedColumnFormula>SUM(COUNTIFS(#REF!,$B13,#REF!,Ped_Action[[#Headers],[PDO]]))</calculatedColumnFormula>
    </tableColumn>
    <tableColumn id="6" xr3:uid="{00000000-0010-0000-1100-000006000000}" name="Total" totalsRowFunction="sum" dataDxfId="173">
      <calculatedColumnFormula>SUM(Ped_Action[[#This Row],[Fatal]:[PDO]])</calculatedColumnFormula>
    </tableColumn>
    <tableColumn id="7" xr3:uid="{00000000-0010-0000-1100-000007000000}" name="Crash Share" totalsRowFunction="custom" dataDxfId="172" totalsRowDxfId="171" dataCellStyle="Percent">
      <calculatedColumnFormula>IFERROR(Ped_Action[[#This Row],[Total]]/Ped_Action[[#Totals],[Total]],0)</calculatedColumnFormula>
      <totalsRowFormula>IFERROR(SUBTOTAL(109,Ped_Action[Crash Share]),0)</totalsRowFormula>
    </tableColumn>
    <tableColumn id="8" xr3:uid="{00000000-0010-0000-1100-000008000000}" name="Crash Count" totalsRowFunction="sum" dataDxfId="170">
      <calculatedColumnFormula>SUM(Ped_Action[[#This Row],[Fatal]:[Severe Injury]])</calculatedColumnFormula>
    </tableColumn>
    <tableColumn id="9" xr3:uid="{00000000-0010-0000-1100-000009000000}" name="Crash Share2" totalsRowFunction="custom" dataDxfId="169" totalsRowDxfId="168" dataCellStyle="Percent">
      <calculatedColumnFormula>IFERROR(Ped_Action[[#This Row],[Crash Count]]/Ped_Action[[#Totals],[Crash Count]],0)</calculatedColumnFormula>
      <totalsRowFormula>IFERROR(SUBTOTAL(109,Ped_Action[Crash Share2]),0)</totalsRowFormula>
    </tableColumn>
    <tableColumn id="10" xr3:uid="{00000000-0010-0000-1100-00000A000000}" name="Label" dataDxfId="167">
      <calculatedColumnFormula>Ped_Action[[#This Row],[Pedestrian Action]]</calculatedColumnFormula>
    </tableColumn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935" displayName="Table2935" ref="B104:M130" totalsRowCount="1" headerRowDxfId="166">
  <autoFilter ref="B104:M129" xr:uid="{00000000-0009-0000-0100-00001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200-000001000000}" name="Hour of Day (Short)" totalsRowLabel="Total/Average"/>
    <tableColumn id="2" xr3:uid="{00000000-0010-0000-1200-000002000000}" name="Hour of Day (Long)"/>
    <tableColumn id="3" xr3:uid="{00000000-0010-0000-1200-000003000000}" name="Sunday" totalsRowFunction="sum" dataDxfId="165">
      <calculatedColumnFormula array="1">IF($C$101=$C$132,SUM(COUNTIFS(#REF!,Table2935[[#This Row],[Hour of Day (Short)]],#REF!,D$104,#REF!,1)),IF($C$101=$C$133, SUM(COUNTIFS(#REF!,Table2935[[#This Row],[Hour of Day (Short)]],#REF!,D$104,#REF!,{"Fatal","Severe Injury"},#REF!,1)),IF($C$101=$C$134,SUM(COUNTIFS(#REF!,Table2935[[#This Row],[Hour of Day (Short)]],#REF!,D$104,#REF!,1)), IF($C$101=$C$135, SUM(COUNTIFS(#REF!,Table2935[[#This Row],[Hour of Day (Short)]],#REF!,D$104,#REF!,{"Fatal","Severe Injury"},#REF!,1))))))</calculatedColumnFormula>
    </tableColumn>
    <tableColumn id="4" xr3:uid="{00000000-0010-0000-1200-000004000000}" name="Monday" totalsRowFunction="sum" dataDxfId="164">
      <calculatedColumnFormula array="1">IF($C$101=$C$132,SUM(COUNTIFS(#REF!,Table2935[[#This Row],[Hour of Day (Short)]],#REF!,E$104,#REF!,1)),IF($C$101=$C$133, SUM(COUNTIFS(#REF!,Table2935[[#This Row],[Hour of Day (Short)]],#REF!,E$104,#REF!,{"Fatal","Severe Injury"},#REF!,1)),IF($C$101=$C$134,SUM(COUNTIFS(#REF!,Table2935[[#This Row],[Hour of Day (Short)]],#REF!,E$104,#REF!,1)), IF($C$101=$C$135, SUM(COUNTIFS(#REF!,Table2935[[#This Row],[Hour of Day (Short)]],#REF!,E$104,#REF!,{"Fatal","Severe Injury"},#REF!,1))))))</calculatedColumnFormula>
    </tableColumn>
    <tableColumn id="5" xr3:uid="{00000000-0010-0000-1200-000005000000}" name="Tuesday" totalsRowFunction="sum" dataDxfId="163">
      <calculatedColumnFormula array="1">IF($C$101=$C$132,SUM(COUNTIFS(#REF!,Table2935[[#This Row],[Hour of Day (Short)]],#REF!,F$104,#REF!,1)),IF($C$101=$C$133, SUM(COUNTIFS(#REF!,Table2935[[#This Row],[Hour of Day (Short)]],#REF!,F$104,#REF!,{"Fatal","Severe Injury"},#REF!,1)),IF($C$101=$C$134,SUM(COUNTIFS(#REF!,Table2935[[#This Row],[Hour of Day (Short)]],#REF!,F$104,#REF!,1)), IF($C$101=$C$135, SUM(COUNTIFS(#REF!,Table2935[[#This Row],[Hour of Day (Short)]],#REF!,F$104,#REF!,{"Fatal","Severe Injury"},#REF!,1))))))</calculatedColumnFormula>
    </tableColumn>
    <tableColumn id="6" xr3:uid="{00000000-0010-0000-1200-000006000000}" name="Wednesday" totalsRowFunction="sum" dataDxfId="162">
      <calculatedColumnFormula array="1">IF($C$101=$C$132,SUM(COUNTIFS(#REF!,Table2935[[#This Row],[Hour of Day (Short)]],#REF!,G$104,#REF!,1)),IF($C$101=$C$133, SUM(COUNTIFS(#REF!,Table2935[[#This Row],[Hour of Day (Short)]],#REF!,G$104,#REF!,{"Fatal","Severe Injury"},#REF!,1)),IF($C$101=$C$134,SUM(COUNTIFS(#REF!,Table2935[[#This Row],[Hour of Day (Short)]],#REF!,G$104,#REF!,1)), IF($C$101=$C$135, SUM(COUNTIFS(#REF!,Table2935[[#This Row],[Hour of Day (Short)]],#REF!,G$104,#REF!,{"Fatal","Severe Injury"},#REF!,1))))))</calculatedColumnFormula>
    </tableColumn>
    <tableColumn id="7" xr3:uid="{00000000-0010-0000-1200-000007000000}" name="Thursday" totalsRowFunction="sum" dataDxfId="161">
      <calculatedColumnFormula array="1">IF($C$101=$C$132,SUM(COUNTIFS(#REF!,Table2935[[#This Row],[Hour of Day (Short)]],#REF!,H$104,#REF!,1)),IF($C$101=$C$133, SUM(COUNTIFS(#REF!,Table2935[[#This Row],[Hour of Day (Short)]],#REF!,H$104,#REF!,{"Fatal","Severe Injury"},#REF!,1)),IF($C$101=$C$134,SUM(COUNTIFS(#REF!,Table2935[[#This Row],[Hour of Day (Short)]],#REF!,H$104,#REF!,1)), IF($C$101=$C$135, SUM(COUNTIFS(#REF!,Table2935[[#This Row],[Hour of Day (Short)]],#REF!,H$104,#REF!,{"Fatal","Severe Injury"},#REF!,1))))))</calculatedColumnFormula>
    </tableColumn>
    <tableColumn id="8" xr3:uid="{00000000-0010-0000-1200-000008000000}" name="Friday" totalsRowFunction="sum" dataDxfId="160">
      <calculatedColumnFormula array="1">IF($C$101=$C$132,SUM(COUNTIFS(#REF!,Table2935[[#This Row],[Hour of Day (Short)]],#REF!,I$104,#REF!,1)),IF($C$101=$C$133, SUM(COUNTIFS(#REF!,Table2935[[#This Row],[Hour of Day (Short)]],#REF!,I$104,#REF!,{"Fatal","Severe Injury"},#REF!,1)),IF($C$101=$C$134,SUM(COUNTIFS(#REF!,Table2935[[#This Row],[Hour of Day (Short)]],#REF!,I$104,#REF!,1)), IF($C$101=$C$135, SUM(COUNTIFS(#REF!,Table2935[[#This Row],[Hour of Day (Short)]],#REF!,I$104,#REF!,{"Fatal","Severe Injury"},#REF!,1))))))</calculatedColumnFormula>
    </tableColumn>
    <tableColumn id="9" xr3:uid="{00000000-0010-0000-1200-000009000000}" name="Saturday" totalsRowFunction="sum" dataDxfId="159">
      <calculatedColumnFormula array="1">IF($C$101=$C$132,SUM(COUNTIFS(#REF!,Table2935[[#This Row],[Hour of Day (Short)]],#REF!,J$104,#REF!,1)),IF($C$101=$C$133, SUM(COUNTIFS(#REF!,Table2935[[#This Row],[Hour of Day (Short)]],#REF!,J$104,#REF!,{"Fatal","Severe Injury"},#REF!,1)),IF($C$101=$C$134,SUM(COUNTIFS(#REF!,Table2935[[#This Row],[Hour of Day (Short)]],#REF!,J$104,#REF!,1)), IF($C$101=$C$135, SUM(COUNTIFS(#REF!,Table2935[[#This Row],[Hour of Day (Short)]],#REF!,J$104,#REF!,{"Fatal","Severe Injury"},#REF!,1))))))</calculatedColumnFormula>
    </tableColumn>
    <tableColumn id="10" xr3:uid="{00000000-0010-0000-1200-00000A000000}" name="Average Weekend" totalsRowFunction="average" dataDxfId="158" totalsRowDxfId="157">
      <calculatedColumnFormula>AVERAGE(D105,J105)</calculatedColumnFormula>
    </tableColumn>
    <tableColumn id="11" xr3:uid="{00000000-0010-0000-1200-00000B000000}" name="Average Weekday" totalsRowFunction="average" dataDxfId="156" totalsRowDxfId="155">
      <calculatedColumnFormula>AVERAGE(Table2935[[#This Row],[Monday]:[Friday]])</calculatedColumnFormula>
    </tableColumn>
    <tableColumn id="13" xr3:uid="{00000000-0010-0000-1200-00000D000000}" name="Beginning of Hour" dataDxfId="154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036" displayName="Table1036" ref="B155:J162" totalsRowCount="1" headerRowDxfId="153">
  <autoFilter ref="B155:J161" xr:uid="{00000000-0009-0000-0100-00001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1300-000001000000}" name="Lighting" totalsRowLabel="Total"/>
    <tableColumn id="2" xr3:uid="{00000000-0010-0000-1300-000002000000}" name="Fatal" totalsRowFunction="sum" dataDxfId="152">
      <calculatedColumnFormula>IF(OR($C$101=$C$132,$C$101=$C$133),SUM(COUNTIFS(#REF!,Table1036[[#This Row],[Lighting]],#REF!, C$155,#REF!,1)),IF(OR($C$101=$C$134,$C$101=$C$135),SUM(COUNTIFS(#REF!,Table1036[[#This Row],[Lighting]],#REF!, C$155,#REF!,1))))</calculatedColumnFormula>
    </tableColumn>
    <tableColumn id="3" xr3:uid="{00000000-0010-0000-1300-000003000000}" name="Severe Injury" totalsRowFunction="sum" dataDxfId="151">
      <calculatedColumnFormula>IF(OR($C$101=$C$132,$C$101=$C$133),SUM(COUNTIFS(#REF!,Table1036[[#This Row],[Lighting]],#REF!, D$155,#REF!,1)),IF(OR($C$101=$C$134,$C$101=$C$135),SUM(COUNTIFS(#REF!,Table1036[[#This Row],[Lighting]],#REF!, D$155,#REF!,1))))</calculatedColumnFormula>
    </tableColumn>
    <tableColumn id="4" xr3:uid="{00000000-0010-0000-1300-000004000000}" name="Other Injury" totalsRowFunction="sum" dataDxfId="150">
      <calculatedColumnFormula array="1">IF(OR($C$101=$C$132,$C$101=$C$133),SUM(COUNTIFS(#REF!,Table1036[[#This Row],[Lighting]],#REF!, {"Other Visible Injury","Complaint of Pain"},#REF!,1)),IF(OR($C$101=$C$134,$C$101=$C$135),SUM(COUNTIFS(#REF!,Table1036[[#This Row],[Lighting]],#REF!, {"Other Visible Injury","Complaint of Pain"},#REF!,1))))</calculatedColumnFormula>
    </tableColumn>
    <tableColumn id="5" xr3:uid="{00000000-0010-0000-1300-000005000000}" name="PDO" totalsRowFunction="sum" dataDxfId="149">
      <calculatedColumnFormula>IF(OR($C$101=$C$132,$C$101=$C$133),SUM(COUNTIFS(#REF!,Table1036[[#This Row],[Lighting]],#REF!, F$155,#REF!,1)),IF(OR($C$101=$C$134,$C$101=$C$135),SUM(COUNTIFS(#REF!,Table1036[[#This Row],[Lighting]],#REF!, F$155,#REF!,1))))</calculatedColumnFormula>
    </tableColumn>
    <tableColumn id="6" xr3:uid="{00000000-0010-0000-1300-000006000000}" name="Total" totalsRowFunction="sum" dataDxfId="148">
      <calculatedColumnFormula>SUM(Table1036[[#This Row],[Fatal]:[PDO]])</calculatedColumnFormula>
    </tableColumn>
    <tableColumn id="9" xr3:uid="{00000000-0010-0000-1300-000009000000}" name="Crash Share" totalsRowFunction="sum" dataDxfId="147" totalsRowDxfId="146" dataCellStyle="Percent">
      <calculatedColumnFormula>Table1036[[#This Row],[Total]]/Table1036[[#Totals],[Total]]</calculatedColumnFormula>
    </tableColumn>
    <tableColumn id="7" xr3:uid="{00000000-0010-0000-1300-000007000000}" name="Crash Count" totalsRowFunction="sum" dataDxfId="145">
      <calculatedColumnFormula>SUM(Table1036[[#This Row],[Fatal]:[Severe Injury]])</calculatedColumnFormula>
    </tableColumn>
    <tableColumn id="8" xr3:uid="{00000000-0010-0000-1300-000008000000}" name="Crash Share2" totalsRowFunction="sum" dataDxfId="144" totalsRowDxfId="143" dataCellStyle="Percent">
      <calculatedColumnFormula>Table1036[[#This Row],[Crash Count]]/Table1036[[#Totals],[Crash Count]]</calculatedColumnFormula>
    </tableColumn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36" displayName="Table36" ref="B43:J56" totalsRowCount="1" headerRowDxfId="142" dataDxfId="141" dataCellStyle="Percent">
  <autoFilter ref="B43:J55" xr:uid="{00000000-0009-0000-0100-000015000000}"/>
  <sortState xmlns:xlrd2="http://schemas.microsoft.com/office/spreadsheetml/2017/richdata2" ref="B44:J55">
    <sortCondition ref="H43:H55"/>
  </sortState>
  <tableColumns count="9">
    <tableColumn id="1" xr3:uid="{00000000-0010-0000-1400-000001000000}" name="Crash Type" totalsRowLabel="Total" dataDxfId="140"/>
    <tableColumn id="2" xr3:uid="{00000000-0010-0000-1400-000002000000}" name="Fatal" totalsRowFunction="sum" dataDxfId="139" dataCellStyle="Percent">
      <calculatedColumnFormula>SUM(COUNTIFS(INDIRECT("Collision!"&amp;'Road User'!$C$7&amp;":"&amp;'Road User'!$C$7),C$43,INDIRECT("Collision!"&amp;Type!$C$3&amp;":"&amp;Type!$C$3),Table36[[#This Row],[Crash Type]],INDIRECT("Collision!"&amp;'Road User'!$C$4&amp;":"&amp;'Road User'!$C$4),1))</calculatedColumnFormula>
    </tableColumn>
    <tableColumn id="3" xr3:uid="{00000000-0010-0000-1400-000003000000}" name="Severe Injury" totalsRowFunction="sum" dataDxfId="138" dataCellStyle="Percent">
      <calculatedColumnFormula>SUM(COUNTIFS(INDIRECT("Collision!"&amp;'Road User'!$C$7&amp;":"&amp;'Road User'!$C$7),D$43,INDIRECT("Collision!"&amp;Type!$C$3&amp;":"&amp;Type!$C$3),Table36[[#This Row],[Crash Type]],INDIRECT("Collision!"&amp;'Road User'!$C$4&amp;":"&amp;'Road User'!$C$4),1))</calculatedColumnFormula>
    </tableColumn>
    <tableColumn id="4" xr3:uid="{00000000-0010-0000-1400-000004000000}" name="Other Injury" totalsRowFunction="sum" dataDxfId="137" dataCellStyle="Percent">
      <calculatedColumnFormula array="1">SUM(COUNTIFS(INDIRECT("Collision!"&amp;'Road User'!$C$7&amp;":"&amp;'Road User'!$C$7),{"Moderate Injury","Minor Injury"},INDIRECT("Collision!"&amp;Type!$C$3&amp;":"&amp;Type!$C$3),Table36[[#This Row],[Crash Type]],INDIRECT("Collision!"&amp;'Road User'!$C$4&amp;":"&amp;'Road User'!$C$4),1))</calculatedColumnFormula>
    </tableColumn>
    <tableColumn id="5" xr3:uid="{00000000-0010-0000-1400-000005000000}" name="PDO" totalsRowFunction="sum" dataDxfId="136" dataCellStyle="Percent">
      <calculatedColumnFormula>SUM(COUNTIFS(INDIRECT("Collision!"&amp;'Road User'!$C$7&amp;":"&amp;'Road User'!$C$7),F$43,INDIRECT("Collision!"&amp;Type!$C$3&amp;":"&amp;Type!$C$3),Table36[[#This Row],[Crash Type]],INDIRECT("Collision!"&amp;'Road User'!$C$4&amp;":"&amp;'Road User'!$C$4),1))</calculatedColumnFormula>
    </tableColumn>
    <tableColumn id="6" xr3:uid="{00000000-0010-0000-1400-000006000000}" name="Total" totalsRowFunction="sum" dataDxfId="135" dataCellStyle="Percent">
      <calculatedColumnFormula>SUM(C44:F44)</calculatedColumnFormula>
    </tableColumn>
    <tableColumn id="7" xr3:uid="{00000000-0010-0000-1400-000007000000}" name="Crash Share" totalsRowFunction="sum" dataDxfId="134" totalsRowDxfId="133" dataCellStyle="Percent">
      <calculatedColumnFormula>IFERROR(Table36[[#This Row],[Total]]/Table36[[#Totals],[Total]],0)</calculatedColumnFormula>
    </tableColumn>
    <tableColumn id="8" xr3:uid="{00000000-0010-0000-1400-000008000000}" name="Crash Count" totalsRowFunction="sum" dataDxfId="132" dataCellStyle="Percent">
      <calculatedColumnFormula>SUM(D44,C44)</calculatedColumnFormula>
    </tableColumn>
    <tableColumn id="9" xr3:uid="{00000000-0010-0000-1400-000009000000}" name="Crash Share2" totalsRowFunction="sum" dataDxfId="131" totalsRowDxfId="130" dataCellStyle="Percent">
      <calculatedColumnFormula>IFERROR(Table36[[#This Row],[Crash Count]]/Table36[[#Totals],[Crash Count]],0)</calculatedColumnFormula>
    </tableColumn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" displayName="Table37" ref="B61:K98" totalsRowCount="1" headerRowDxfId="129" dataDxfId="128" dataCellStyle="Percent">
  <autoFilter ref="B61:K97" xr:uid="{00000000-0009-0000-0100-000016000000}"/>
  <sortState xmlns:xlrd2="http://schemas.microsoft.com/office/spreadsheetml/2017/richdata2" ref="B62:K97">
    <sortCondition ref="H61:H97"/>
  </sortState>
  <tableColumns count="10">
    <tableColumn id="1" xr3:uid="{00000000-0010-0000-1500-000001000000}" name="PCF" totalsRowLabel="Total" dataDxfId="127" totalsRowDxfId="126"/>
    <tableColumn id="2" xr3:uid="{00000000-0010-0000-1500-000002000000}" name="Fatal" totalsRowFunction="sum" dataDxfId="125" dataCellStyle="Percent">
      <calculatedColumnFormula>SUM(COUNTIFS(#REF!,C$61,#REF!,Table37[[#This Row],[PCF]],#REF!,1))</calculatedColumnFormula>
    </tableColumn>
    <tableColumn id="3" xr3:uid="{00000000-0010-0000-1500-000003000000}" name="Severe Injury" totalsRowFunction="sum" dataDxfId="124" dataCellStyle="Percent">
      <calculatedColumnFormula>SUM(COUNTIFS(#REF!,D$61,#REF!,Table37[[#This Row],[PCF]],#REF!,1))</calculatedColumnFormula>
    </tableColumn>
    <tableColumn id="4" xr3:uid="{00000000-0010-0000-1500-000004000000}" name="Other Injury" totalsRowFunction="sum" dataDxfId="123" dataCellStyle="Percent">
      <calculatedColumnFormula array="1">SUM(COUNTIFS(#REF!,{"Other Visible Injury","Complaint of Pain"},#REF!,Table37[[#This Row],[PCF]],#REF!,1))</calculatedColumnFormula>
    </tableColumn>
    <tableColumn id="5" xr3:uid="{00000000-0010-0000-1500-000005000000}" name="PDO" totalsRowFunction="sum" dataDxfId="122" dataCellStyle="Percent">
      <calculatedColumnFormula>SUM(COUNTIFS(#REF!,F$61,#REF!,Table37[[#This Row],[PCF]],#REF!,1))</calculatedColumnFormula>
    </tableColumn>
    <tableColumn id="6" xr3:uid="{00000000-0010-0000-1500-000006000000}" name="Total" totalsRowFunction="sum" dataDxfId="121" dataCellStyle="Percent">
      <calculatedColumnFormula>SUM(C62:F62)</calculatedColumnFormula>
    </tableColumn>
    <tableColumn id="7" xr3:uid="{00000000-0010-0000-1500-000007000000}" name="Crash Share" totalsRowFunction="custom" dataDxfId="120" totalsRowDxfId="119" dataCellStyle="Percent">
      <calculatedColumnFormula>IFERROR(Table37[[#This Row],[Total]]/Table37[[#Totals],[Total]],0)</calculatedColumnFormula>
      <totalsRowFormula>IFERROR(SUBTOTAL(109,Table37[Crash Share]),0)</totalsRowFormula>
    </tableColumn>
    <tableColumn id="8" xr3:uid="{00000000-0010-0000-1500-000008000000}" name="Crash Count" totalsRowFunction="sum" dataDxfId="118" dataCellStyle="Percent">
      <calculatedColumnFormula>SUM(Table37[[#This Row],[Fatal]:[Severe Injury]])</calculatedColumnFormula>
    </tableColumn>
    <tableColumn id="9" xr3:uid="{00000000-0010-0000-1500-000009000000}" name="Crash Share2" totalsRowFunction="custom" dataDxfId="117" totalsRowDxfId="116" dataCellStyle="Percent">
      <calculatedColumnFormula>IFERROR(Table37[[#This Row],[Crash Count]]/Table37[[#Totals],[Crash Count]],0)</calculatedColumnFormula>
      <totalsRowFormula>IFERROR(SUBTOTAL(109,Table37[Crash Share2]),0)</totalsRowFormula>
    </tableColumn>
    <tableColumn id="10" xr3:uid="{00000000-0010-0000-1500-00000A000000}" name="Label" dataDxfId="115" totalsRowDxfId="114" dataCellStyle="Percent">
      <calculatedColumnFormula>VLOOKUP(Table37[[#This Row],[PCF]],PCF[[#Headers],[#Data]],4,FALSE)</calculatedColumnFormula>
    </tableColumn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7" displayName="Table27" ref="B10:K13" totalsRowCount="1" headerRowDxfId="113">
  <autoFilter ref="B10:K12" xr:uid="{00000000-0009-0000-0100-00001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1600-000001000000}" name="Impairment Flag" totalsRowLabel="Total"/>
    <tableColumn id="10" xr3:uid="{00000000-0010-0000-1600-00000A000000}" name="Impaired"/>
    <tableColumn id="2" xr3:uid="{00000000-0010-0000-1600-000002000000}" name="Fatal" totalsRowFunction="sum" dataDxfId="112">
      <calculatedColumnFormula>SUM((COUNTIFS(#REF!,$B11,#REF!,D$10)))</calculatedColumnFormula>
    </tableColumn>
    <tableColumn id="3" xr3:uid="{00000000-0010-0000-1600-000003000000}" name="Severe Injury" totalsRowFunction="sum" dataDxfId="111">
      <calculatedColumnFormula>SUM((COUNTIFS(#REF!,$B11,#REF!,E$10)))</calculatedColumnFormula>
    </tableColumn>
    <tableColumn id="4" xr3:uid="{00000000-0010-0000-1600-000004000000}" name="Other Injury" totalsRowFunction="sum" dataDxfId="110">
      <calculatedColumnFormula array="1">SUM((COUNTIFS(#REF!,$B11,#REF!,{"Other Visible Injury","Complaint of Pain"})))</calculatedColumnFormula>
    </tableColumn>
    <tableColumn id="5" xr3:uid="{00000000-0010-0000-1600-000005000000}" name="PDO" totalsRowFunction="sum" dataDxfId="109">
      <calculatedColumnFormula>SUM((COUNTIFS(#REF!,$B11,#REF!,G$10)))</calculatedColumnFormula>
    </tableColumn>
    <tableColumn id="6" xr3:uid="{00000000-0010-0000-1600-000006000000}" name="Total" totalsRowFunction="sum" dataDxfId="108">
      <calculatedColumnFormula>SUM(Table27[[#This Row],[Fatal]:[PDO]])</calculatedColumnFormula>
    </tableColumn>
    <tableColumn id="7" xr3:uid="{00000000-0010-0000-1600-000007000000}" name="Crash Share" totalsRowFunction="sum" dataDxfId="107" totalsRowDxfId="106" dataCellStyle="Percent">
      <calculatedColumnFormula>Table27[[#This Row],[Total]]/Table27[[#Totals],[Total]]</calculatedColumnFormula>
    </tableColumn>
    <tableColumn id="8" xr3:uid="{00000000-0010-0000-1600-000008000000}" name="Crash Count" totalsRowFunction="sum" dataDxfId="105">
      <calculatedColumnFormula>SUM(Table27[[#This Row],[Fatal]:[Severe Injury]])</calculatedColumnFormula>
    </tableColumn>
    <tableColumn id="9" xr3:uid="{00000000-0010-0000-1600-000009000000}" name="Crash Share2" totalsRowFunction="sum" dataDxfId="104" totalsRowDxfId="103" dataCellStyle="Percent">
      <calculatedColumnFormula>Table27[[#This Row],[Crash Count]]/Table27[[#Totals],[Crash Count]]</calculatedColumnFormula>
    </tableColumn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31" displayName="Table31" ref="B17:K20" totalsRowCount="1" headerRowDxfId="102" dataDxfId="101">
  <autoFilter ref="B17:K19" xr:uid="{00000000-0009-0000-0100-00001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1700-000001000000}" name="Equipment Flag" totalsRowLabel="Total" dataDxfId="100"/>
    <tableColumn id="2" xr3:uid="{00000000-0010-0000-1700-000002000000}" name="Equipment Used" dataDxfId="99"/>
    <tableColumn id="3" xr3:uid="{00000000-0010-0000-1700-000003000000}" name="Fatal" totalsRowFunction="sum" dataDxfId="98">
      <calculatedColumnFormula>SUM((COUNTIFS(#REF!,$B18,#REF!,D$17)))</calculatedColumnFormula>
    </tableColumn>
    <tableColumn id="5" xr3:uid="{00000000-0010-0000-1700-000005000000}" name="Severe Injury" totalsRowFunction="sum" dataDxfId="97" totalsRowDxfId="96" dataCellStyle="Percent">
      <calculatedColumnFormula>SUM((COUNTIFS(#REF!,$B18,#REF!,E$17)))</calculatedColumnFormula>
    </tableColumn>
    <tableColumn id="6" xr3:uid="{00000000-0010-0000-1700-000006000000}" name="Other Injury" totalsRowFunction="sum" dataDxfId="95">
      <calculatedColumnFormula array="1">SUM((COUNTIFS(#REF!,$B18,#REF!,{"Other Visible Injury","Complaint of Pain"})))</calculatedColumnFormula>
    </tableColumn>
    <tableColumn id="7" xr3:uid="{00000000-0010-0000-1700-000007000000}" name="PDO" totalsRowFunction="sum" dataDxfId="94">
      <calculatedColumnFormula>SUM((COUNTIFS(#REF!,$B18,#REF!,G$17)))</calculatedColumnFormula>
    </tableColumn>
    <tableColumn id="9" xr3:uid="{00000000-0010-0000-1700-000009000000}" name="Crash Count" totalsRowFunction="sum" dataDxfId="93">
      <calculatedColumnFormula>COUNTIF(#REF!,Table31[[#This Row],[Equipment Flag]])</calculatedColumnFormula>
    </tableColumn>
    <tableColumn id="10" xr3:uid="{00000000-0010-0000-1700-00000A000000}" name="Crash Share" totalsRowFunction="sum" dataDxfId="92" totalsRowDxfId="91" dataCellStyle="Percent">
      <calculatedColumnFormula>Table31[[#This Row],[Crash Count]]/Table31[[#Totals],[Crash Count]]</calculatedColumnFormula>
    </tableColumn>
    <tableColumn id="11" xr3:uid="{00000000-0010-0000-1700-00000B000000}" name="Crash Count2" totalsRowFunction="sum" dataDxfId="90">
      <calculatedColumnFormula>SUM(Table31[[#This Row],[Fatal]:[Severe Injury]])</calculatedColumnFormula>
    </tableColumn>
    <tableColumn id="12" xr3:uid="{00000000-0010-0000-1700-00000C000000}" name="Crash Share2" totalsRowFunction="sum" dataDxfId="89" totalsRowDxfId="88" dataCellStyle="Percent">
      <calculatedColumnFormula>Table31[[#This Row],[Crash Count2]]/Table31[[#Totals],[Crash Count2]]</calculatedColumnFormula>
    </tableColumn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3133" displayName="Table3133" ref="B24:K27" totalsRowCount="1" headerRowDxfId="87" dataDxfId="86">
  <autoFilter ref="B24:K26" xr:uid="{00000000-0009-0000-0100-00001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1800-000001000000}" name="Distracted Flag" totalsRowLabel="Total" dataDxfId="85"/>
    <tableColumn id="2" xr3:uid="{00000000-0010-0000-1800-000002000000}" name="Distracted Driving" dataDxfId="84"/>
    <tableColumn id="3" xr3:uid="{00000000-0010-0000-1800-000003000000}" name="Fatal" totalsRowFunction="sum" dataDxfId="83">
      <calculatedColumnFormula>SUM((COUNTIFS(#REF!,$B25,#REF!,D$24)))</calculatedColumnFormula>
    </tableColumn>
    <tableColumn id="5" xr3:uid="{00000000-0010-0000-1800-000005000000}" name="Severe Injury" totalsRowFunction="sum" dataDxfId="82" totalsRowDxfId="81" dataCellStyle="Percent">
      <calculatedColumnFormula>SUM((COUNTIFS(#REF!,$B25,#REF!,E$24)))</calculatedColumnFormula>
    </tableColumn>
    <tableColumn id="6" xr3:uid="{00000000-0010-0000-1800-000006000000}" name="Other Injury" totalsRowFunction="sum" dataDxfId="80">
      <calculatedColumnFormula array="1">SUM((COUNTIFS(#REF!,$B25,#REF!,{"Other Visible Injury","Complaint of Pain"})))</calculatedColumnFormula>
    </tableColumn>
    <tableColumn id="7" xr3:uid="{00000000-0010-0000-1800-000007000000}" name="PDO" totalsRowFunction="sum" dataDxfId="79">
      <calculatedColumnFormula>SUM((COUNTIFS(#REF!,$B25,#REF!,G$24)))</calculatedColumnFormula>
    </tableColumn>
    <tableColumn id="9" xr3:uid="{00000000-0010-0000-1800-000009000000}" name="Crash Count" totalsRowFunction="sum" dataDxfId="78">
      <calculatedColumnFormula>COUNTIF(#REF!,Table3133[[#This Row],[Distracted Flag]])</calculatedColumnFormula>
    </tableColumn>
    <tableColumn id="10" xr3:uid="{00000000-0010-0000-1800-00000A000000}" name="Crash Share" totalsRowFunction="sum" dataDxfId="77" totalsRowDxfId="76" dataCellStyle="Percent">
      <calculatedColumnFormula>Table3133[[#This Row],[Crash Count]]/Table3133[[#Totals],[Crash Count]]</calculatedColumnFormula>
    </tableColumn>
    <tableColumn id="11" xr3:uid="{00000000-0010-0000-1800-00000B000000}" name="Crash Count2" totalsRowFunction="sum" dataDxfId="75">
      <calculatedColumnFormula>SUM(Table3133[[#This Row],[Fatal]:[Severe Injury]])</calculatedColumnFormula>
    </tableColumn>
    <tableColumn id="12" xr3:uid="{00000000-0010-0000-1800-00000C000000}" name="Crash Share2" totalsRowFunction="sum" dataDxfId="74" totalsRowDxfId="73" dataCellStyle="Percent">
      <calculatedColumnFormula>Table3133[[#This Row],[Crash Count2]]/Table3133[[#Totals],[Crash Count2]]</calculatedColumnFormula>
    </tableColumn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313322" displayName="Table313322" ref="B31:K34" totalsRowCount="1" headerRowDxfId="72" dataDxfId="71">
  <autoFilter ref="B31:K33" xr:uid="{00000000-0009-0000-0100-00001A000000}"/>
  <tableColumns count="10">
    <tableColumn id="1" xr3:uid="{00000000-0010-0000-1900-000001000000}" name="Local Driving Flag" totalsRowLabel="Total" dataDxfId="70"/>
    <tableColumn id="2" xr3:uid="{00000000-0010-0000-1900-000002000000}" name="Local Driver" dataDxfId="69"/>
    <tableColumn id="3" xr3:uid="{00000000-0010-0000-1900-000003000000}" name="Fatal" totalsRowFunction="sum" dataDxfId="68">
      <calculatedColumnFormula>SUM((COUNTIFS(INDIRECT("Collision!"&amp;'Drvr Cond'!$C$6&amp;":"&amp;'Drvr Cond'!$C$6),$B32,INDIRECT("Collision!"&amp;Severity!$C$3&amp;":"&amp;Severity!$C$3),D$31)))</calculatedColumnFormula>
    </tableColumn>
    <tableColumn id="5" xr3:uid="{00000000-0010-0000-1900-000005000000}" name="Severe Injury" totalsRowFunction="sum" dataDxfId="67" dataCellStyle="Percent">
      <calculatedColumnFormula>SUM((COUNTIFS(INDIRECT("Collision!"&amp;'Drvr Cond'!$C$6&amp;":"&amp;'Drvr Cond'!$C$6),$B32,INDIRECT("Collision!"&amp;Severity!$C$3&amp;":"&amp;Severity!$C$3),E$31)))</calculatedColumnFormula>
    </tableColumn>
    <tableColumn id="6" xr3:uid="{00000000-0010-0000-1900-000006000000}" name="Other Injury" totalsRowFunction="sum" dataDxfId="66">
      <calculatedColumnFormula>SUM((COUNTIFS(INDIRECT("Collision!"&amp;'Drvr Cond'!$C$6&amp;":"&amp;'Drvr Cond'!$C$6),$B32,INDIRECT("Collision!"&amp;Severity!$C$3&amp;":"&amp;Severity!$C$3),F$31)))</calculatedColumnFormula>
    </tableColumn>
    <tableColumn id="7" xr3:uid="{00000000-0010-0000-1900-000007000000}" name="PDO" totalsRowFunction="sum" dataDxfId="65">
      <calculatedColumnFormula>SUM((COUNTIFS(INDIRECT("Collision!"&amp;'Drvr Cond'!$C$6&amp;":"&amp;'Drvr Cond'!$C$6),$B32,INDIRECT("Collision!"&amp;Severity!$C$3&amp;":"&amp;Severity!$C$3),G$31)))</calculatedColumnFormula>
    </tableColumn>
    <tableColumn id="9" xr3:uid="{00000000-0010-0000-1900-000009000000}" name="Crash Count" totalsRowFunction="sum" dataDxfId="64">
      <calculatedColumnFormula>COUNTIF(INDIRECT("Collision!"&amp;'Drvr Cond'!$C$6&amp;":"&amp;'Drvr Cond'!$C$6),Table313322[[#This Row],[Local Driving Flag]])</calculatedColumnFormula>
    </tableColumn>
    <tableColumn id="10" xr3:uid="{00000000-0010-0000-1900-00000A000000}" name="Crash Share" totalsRowFunction="sum" dataDxfId="63" totalsRowDxfId="1" dataCellStyle="Percent">
      <calculatedColumnFormula>Table313322[[#This Row],[Crash Count]]/Table313322[[#Totals],[Crash Count]]</calculatedColumnFormula>
    </tableColumn>
    <tableColumn id="11" xr3:uid="{00000000-0010-0000-1900-00000B000000}" name="Crash Count2" totalsRowFunction="sum" dataDxfId="62">
      <calculatedColumnFormula>SUM(Table313322[[#This Row],[Fatal]:[Severe Injury]])</calculatedColumnFormula>
    </tableColumn>
    <tableColumn id="12" xr3:uid="{00000000-0010-0000-1900-00000C000000}" name="Crash Share2" totalsRowFunction="sum" dataDxfId="61" totalsRowDxfId="0" dataCellStyle="Percent">
      <calculatedColumnFormula>Table313322[[#This Row],[Crash Count2]]/Table313322[[#Totals],[Crash Count2]]</calculatedColumnFormula>
    </tableColumn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0" displayName="Table10" ref="B9:J16" totalsRowCount="1" headerRowDxfId="60">
  <autoFilter ref="B9:J15" xr:uid="{00000000-0009-0000-0100-00001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1A00-000001000000}" name="Lighting" totalsRowLabel="Total"/>
    <tableColumn id="2" xr3:uid="{00000000-0010-0000-1A00-000002000000}" name="Fatal" totalsRowFunction="sum" dataDxfId="59">
      <calculatedColumnFormula>SUM((COUNTIFS(#REF!,$B10,#REF!,C$9)))</calculatedColumnFormula>
    </tableColumn>
    <tableColumn id="3" xr3:uid="{00000000-0010-0000-1A00-000003000000}" name="Severe Injury" totalsRowFunction="sum" dataDxfId="58">
      <calculatedColumnFormula>SUM((COUNTIFS(#REF!,$B10,#REF!,D$9)))</calculatedColumnFormula>
    </tableColumn>
    <tableColumn id="4" xr3:uid="{00000000-0010-0000-1A00-000004000000}" name="Other Injury" totalsRowFunction="sum" dataDxfId="57">
      <calculatedColumnFormula array="1">SUM((COUNTIFS(#REF!,$B10,#REF!,{"Other Visible Injury","Complaint of Pain"})))</calculatedColumnFormula>
    </tableColumn>
    <tableColumn id="5" xr3:uid="{00000000-0010-0000-1A00-000005000000}" name="PDO" totalsRowFunction="sum" dataDxfId="56">
      <calculatedColumnFormula>SUM((COUNTIFS(#REF!,$B10,#REF!,F$9)))</calculatedColumnFormula>
    </tableColumn>
    <tableColumn id="6" xr3:uid="{00000000-0010-0000-1A00-000006000000}" name="Total" totalsRowFunction="sum" dataDxfId="55">
      <calculatedColumnFormula>SUM(Table10[[#This Row],[Fatal]:[PDO]])</calculatedColumnFormula>
    </tableColumn>
    <tableColumn id="9" xr3:uid="{00000000-0010-0000-1A00-000009000000}" name="Crash Share" totalsRowFunction="sum" dataDxfId="54" totalsRowDxfId="53" dataCellStyle="Percent">
      <calculatedColumnFormula>Table10[[#This Row],[Total]]/Table10[[#Totals],[Total]]</calculatedColumnFormula>
    </tableColumn>
    <tableColumn id="7" xr3:uid="{00000000-0010-0000-1A00-000007000000}" name="Crash Count" totalsRowFunction="sum" dataDxfId="52">
      <calculatedColumnFormula>SUM(Table10[[#This Row],[Fatal]:[Severe Injury]])</calculatedColumnFormula>
    </tableColumn>
    <tableColumn id="8" xr3:uid="{00000000-0010-0000-1A00-000008000000}" name="Crash Share2" totalsRowFunction="sum" dataDxfId="51" totalsRowDxfId="50" dataCellStyle="Percent">
      <calculatedColumnFormula>Table10[[#This Row],[Crash Count]]/Table10[[#Totals],[Crash Count]]</calculatedColumnFormula>
    </tableColumn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4" displayName="Table14" ref="B35:J41" totalsRowCount="1" headerRowDxfId="49">
  <autoFilter ref="B35:J40" xr:uid="{00000000-0009-0000-0100-00001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1B00-000001000000}" name="Road Surface" totalsRowLabel="Total"/>
    <tableColumn id="2" xr3:uid="{00000000-0010-0000-1B00-000002000000}" name="Fatal" totalsRowFunction="sum" dataDxfId="48">
      <calculatedColumnFormula>SUM((COUNTIFS(#REF!,$B36,#REF!,C$35)))</calculatedColumnFormula>
    </tableColumn>
    <tableColumn id="3" xr3:uid="{00000000-0010-0000-1B00-000003000000}" name="Severe Injury" totalsRowFunction="sum" dataDxfId="47">
      <calculatedColumnFormula>SUM((COUNTIFS(#REF!,$B36,#REF!,D$35)))</calculatedColumnFormula>
    </tableColumn>
    <tableColumn id="4" xr3:uid="{00000000-0010-0000-1B00-000004000000}" name="Other Injury" totalsRowFunction="sum" dataDxfId="46">
      <calculatedColumnFormula array="1">SUM((COUNTIFS(#REF!,$B36,#REF!,{"Other Visible Injury","Complaint of Pain"})))</calculatedColumnFormula>
    </tableColumn>
    <tableColumn id="5" xr3:uid="{00000000-0010-0000-1B00-000005000000}" name="PDO" totalsRowFunction="sum" dataDxfId="45">
      <calculatedColumnFormula>SUM((COUNTIFS(#REF!,$B36,#REF!,F$35)))</calculatedColumnFormula>
    </tableColumn>
    <tableColumn id="6" xr3:uid="{00000000-0010-0000-1B00-000006000000}" name="Total" totalsRowFunction="sum" dataDxfId="44">
      <calculatedColumnFormula>SUM(Table14[[#This Row],[Fatal]:[PDO]])</calculatedColumnFormula>
    </tableColumn>
    <tableColumn id="7" xr3:uid="{00000000-0010-0000-1B00-000007000000}" name="Crash Share" totalsRowFunction="sum" dataDxfId="43" totalsRowDxfId="42" dataCellStyle="Percent">
      <calculatedColumnFormula>Table14[[#This Row],[Total]]/Table14[[#Totals],[Total]]</calculatedColumnFormula>
    </tableColumn>
    <tableColumn id="8" xr3:uid="{00000000-0010-0000-1B00-000008000000}" name="Crash Count" totalsRowFunction="sum" dataDxfId="41">
      <calculatedColumnFormula>SUM(Table14[[#This Row],[Fatal]:[Severe Injury]])</calculatedColumnFormula>
    </tableColumn>
    <tableColumn id="9" xr3:uid="{00000000-0010-0000-1B00-000009000000}" name="Crash Share2" totalsRowFunction="sum" dataDxfId="40" totalsRowDxfId="39" dataCellStyle="Percent">
      <calculatedColumnFormula>Table14[[#This Row],[Crash Count]]/Table14[[#Totals],[Crash Count]]</calculatedColumnFormula>
    </tableColumn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7" displayName="Table7" ref="B20:K31" totalsRowCount="1" headerRowDxfId="38" headerRowBorderDxfId="37" tableBorderDxfId="36">
  <autoFilter ref="B20:K30" xr:uid="{00000000-0009-0000-0100-00001D000000}"/>
  <tableColumns count="10">
    <tableColumn id="1" xr3:uid="{00000000-0010-0000-1C00-000001000000}" name="Weather Condition" totalsRowLabel="Total"/>
    <tableColumn id="2" xr3:uid="{00000000-0010-0000-1C00-000002000000}" name="Fatal" totalsRowFunction="sum">
      <calculatedColumnFormula>SUM((COUNTIFS(INDIRECT("Collision!"&amp;'Rdwy Cond'!$C$4&amp;":"&amp;'Rdwy Cond'!$C$4),$B21,INDIRECT("Collision!"&amp;Severity!$C$3&amp;":"&amp;Severity!$C$3),C$20)))</calculatedColumnFormula>
    </tableColumn>
    <tableColumn id="3" xr3:uid="{00000000-0010-0000-1C00-000003000000}" name="Severe Injury" totalsRowFunction="sum">
      <calculatedColumnFormula>SUM((COUNTIFS(INDIRECT("Collision!"&amp;'Rdwy Cond'!$C$4&amp;":"&amp;'Rdwy Cond'!$C$4),$B21,INDIRECT("Collision!"&amp;Severity!$C$3&amp;":"&amp;Severity!$C$3),D$20)))</calculatedColumnFormula>
    </tableColumn>
    <tableColumn id="4" xr3:uid="{00000000-0010-0000-1C00-000004000000}" name="Other Injury" totalsRowFunction="sum">
      <calculatedColumnFormula array="1">SUM((COUNTIFS(INDIRECT("Collision!"&amp;'Rdwy Cond'!$C$4&amp;":"&amp;'Rdwy Cond'!$C$4),$B21,INDIRECT("Collision!"&amp;Severity!$C$3&amp;":"&amp;Severity!$C$3),{"Moderate Injury","Minor Injury"})))</calculatedColumnFormula>
    </tableColumn>
    <tableColumn id="5" xr3:uid="{00000000-0010-0000-1C00-000005000000}" name="PDO" totalsRowFunction="sum">
      <calculatedColumnFormula>SUM((COUNTIFS(INDIRECT("Collision!"&amp;'Rdwy Cond'!$C$4&amp;":"&amp;'Rdwy Cond'!$C$4),$B21,INDIRECT("Collision!"&amp;Severity!$C$3&amp;":"&amp;Severity!$C$3),F$20)))</calculatedColumnFormula>
    </tableColumn>
    <tableColumn id="6" xr3:uid="{00000000-0010-0000-1C00-000006000000}" name="Crash Count" totalsRowFunction="sum" dataDxfId="35" dataCellStyle="Percent">
      <calculatedColumnFormula>SUM(C21:F21)</calculatedColumnFormula>
    </tableColumn>
    <tableColumn id="7" xr3:uid="{00000000-0010-0000-1C00-000007000000}" name="Crash Share" totalsRowFunction="sum" dataDxfId="34" totalsRowDxfId="33" dataCellStyle="Percent">
      <calculatedColumnFormula>G21/Table7[[#Totals],[Crash Count]]</calculatedColumnFormula>
    </tableColumn>
    <tableColumn id="8" xr3:uid="{00000000-0010-0000-1C00-000008000000}" name="Crash Count2" totalsRowFunction="sum" dataDxfId="32" dataCellStyle="Percent">
      <calculatedColumnFormula>SUM(C21:D21)</calculatedColumnFormula>
    </tableColumn>
    <tableColumn id="9" xr3:uid="{00000000-0010-0000-1C00-000009000000}" name="Crash Share2" totalsRowFunction="sum" dataDxfId="31" totalsRowDxfId="30" dataCellStyle="Percent">
      <calculatedColumnFormula>IFERROR(I21/Table7[[#Totals],[Crash Count2]],0)</calculatedColumnFormula>
    </tableColumn>
    <tableColumn id="10" xr3:uid="{00000000-0010-0000-1C00-00000A000000}" name="Label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9" displayName="Table39" ref="B10:H17" totalsRowCount="1" headerRowDxfId="29">
  <autoFilter ref="B10:H16" xr:uid="{00000000-0009-0000-0100-00001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1D00-000001000000}" name="Age Range" totalsRowLabel="Total" dataDxfId="28" totalsRowDxfId="27"/>
    <tableColumn id="2" xr3:uid="{00000000-0010-0000-1D00-000002000000}" name="Party Count" totalsRowFunction="sum" dataDxfId="26" totalsRowDxfId="25" dataCellStyle="Comma"/>
    <tableColumn id="3" xr3:uid="{00000000-0010-0000-1D00-000003000000}" name="Party Share" totalsRowFunction="sum" dataDxfId="24" totalsRowDxfId="23" dataCellStyle="Percent">
      <calculatedColumnFormula>Table39[[#This Row],[Party Count]]/Table39[[#Totals],[Party Count]]</calculatedColumnFormula>
    </tableColumn>
    <tableColumn id="4" xr3:uid="{00000000-0010-0000-1D00-000004000000}" name="Party Count2" totalsRowFunction="sum" totalsRowDxfId="22"/>
    <tableColumn id="5" xr3:uid="{00000000-0010-0000-1D00-000005000000}" name="Party Share2" totalsRowFunction="sum" dataDxfId="21" totalsRowDxfId="20" dataCellStyle="Percent">
      <calculatedColumnFormula>Table39[[#This Row],[Party Count2]]/Table39[[#Totals],[Party Count2]]</calculatedColumnFormula>
    </tableColumn>
    <tableColumn id="6" xr3:uid="{00000000-0010-0000-1D00-000006000000}" name="Party Count3" totalsRowFunction="sum" dataDxfId="19" totalsRowDxfId="18" dataCellStyle="Comma"/>
    <tableColumn id="7" xr3:uid="{00000000-0010-0000-1D00-000007000000}" name="Party Share3" totalsRowFunction="sum" dataDxfId="17" totalsRowDxfId="16" dataCellStyle="Percent">
      <calculatedColumnFormula>Table39[[#This Row],[Party Count3]]/Table39[[#Totals],[Party Count3]]</calculatedColumnFormula>
    </tableColumn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923" displayName="Table3923" ref="B23:G41" totalsRowCount="1" headerRowDxfId="15">
  <autoFilter ref="B23:G40" xr:uid="{00000000-0009-0000-0100-00001F000000}"/>
  <tableColumns count="6">
    <tableColumn id="1" xr3:uid="{00000000-0010-0000-1E00-000001000000}" name="Participant Action" totalsRowLabel="Total" dataDxfId="14" totalsRowDxfId="13"/>
    <tableColumn id="2" xr3:uid="{00000000-0010-0000-1E00-000002000000}" name="Party Count" totalsRowFunction="sum" dataDxfId="12" totalsRowDxfId="11" dataCellStyle="Comma">
      <calculatedColumnFormula array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calculatedColumnFormula>
    </tableColumn>
    <tableColumn id="3" xr3:uid="{00000000-0010-0000-1E00-000003000000}" name="Party Share" totalsRowFunction="sum" dataDxfId="10" totalsRowDxfId="9" dataCellStyle="Percent">
      <calculatedColumnFormula>Table3923[[#This Row],[Party Count]]/Table3923[[#Totals],[Party Count]]</calculatedColumnFormula>
    </tableColumn>
    <tableColumn id="4" xr3:uid="{00000000-0010-0000-1E00-000004000000}" name="Party Count2" totalsRowFunction="sum" totalsRowDxfId="8">
      <calculatedColumnFormula array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calculatedColumnFormula>
    </tableColumn>
    <tableColumn id="5" xr3:uid="{00000000-0010-0000-1E00-000005000000}" name="Party Share2" totalsRowFunction="sum" totalsRowDxfId="7" dataCellStyle="Percent">
      <calculatedColumnFormula>Table3923[[#This Row],[Party Count2]]/Table3923[[#Totals],[Party Count2]]</calculatedColumnFormula>
    </tableColumn>
    <tableColumn id="7" xr3:uid="{00000000-0010-0000-1E00-000007000000}" name="Label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6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drawing" Target="../drawings/drawing8.xml"/><Relationship Id="rId4" Type="http://schemas.openxmlformats.org/officeDocument/2006/relationships/table" Target="../tables/table2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80" zoomScaleNormal="80" workbookViewId="0">
      <selection activeCell="B29" sqref="B29"/>
    </sheetView>
  </sheetViews>
  <sheetFormatPr defaultRowHeight="15" x14ac:dyDescent="0.25"/>
  <cols>
    <col min="1" max="1" width="32.28515625" bestFit="1" customWidth="1"/>
    <col min="2" max="2" width="48.42578125" customWidth="1"/>
    <col min="3" max="3" width="125.42578125" customWidth="1"/>
  </cols>
  <sheetData>
    <row r="1" spans="1:3" x14ac:dyDescent="0.25">
      <c r="A1" s="80" t="s">
        <v>0</v>
      </c>
    </row>
    <row r="2" spans="1:3" x14ac:dyDescent="0.25">
      <c r="A2" s="61"/>
      <c r="B2" t="s">
        <v>1</v>
      </c>
    </row>
    <row r="3" spans="1:3" x14ac:dyDescent="0.25">
      <c r="A3" s="62"/>
      <c r="B3" t="s">
        <v>2</v>
      </c>
    </row>
    <row r="4" spans="1:3" x14ac:dyDescent="0.25">
      <c r="A4" s="42"/>
      <c r="B4" t="s">
        <v>3</v>
      </c>
    </row>
    <row r="5" spans="1:3" x14ac:dyDescent="0.25">
      <c r="A5" s="36"/>
      <c r="B5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s="65" t="s">
        <v>8</v>
      </c>
      <c r="B8" s="66" t="s">
        <v>9</v>
      </c>
      <c r="C8" s="60" t="s">
        <v>10</v>
      </c>
    </row>
    <row r="9" spans="1:3" x14ac:dyDescent="0.25">
      <c r="A9" s="65" t="s">
        <v>11</v>
      </c>
      <c r="B9" s="66" t="s">
        <v>12</v>
      </c>
      <c r="C9" s="60" t="s">
        <v>13</v>
      </c>
    </row>
    <row r="10" spans="1:3" x14ac:dyDescent="0.25">
      <c r="A10" s="65" t="s">
        <v>14</v>
      </c>
      <c r="B10" s="66" t="s">
        <v>15</v>
      </c>
      <c r="C10" s="60" t="s">
        <v>16</v>
      </c>
    </row>
    <row r="11" spans="1:3" x14ac:dyDescent="0.25">
      <c r="A11" s="65" t="s">
        <v>17</v>
      </c>
      <c r="B11" s="66" t="s">
        <v>18</v>
      </c>
      <c r="C11" s="60" t="s">
        <v>19</v>
      </c>
    </row>
    <row r="12" spans="1:3" ht="30" customHeight="1" x14ac:dyDescent="0.25">
      <c r="A12" s="65" t="s">
        <v>20</v>
      </c>
      <c r="B12" s="66" t="s">
        <v>21</v>
      </c>
      <c r="C12" s="60" t="s">
        <v>22</v>
      </c>
    </row>
    <row r="13" spans="1:3" ht="30" customHeight="1" x14ac:dyDescent="0.25">
      <c r="A13" s="65" t="s">
        <v>23</v>
      </c>
      <c r="B13" s="66" t="s">
        <v>24</v>
      </c>
      <c r="C13" s="60" t="s">
        <v>25</v>
      </c>
    </row>
    <row r="14" spans="1:3" ht="30" customHeight="1" x14ac:dyDescent="0.25">
      <c r="A14" s="65" t="s">
        <v>26</v>
      </c>
      <c r="B14" s="66" t="s">
        <v>27</v>
      </c>
      <c r="C14" s="60" t="s">
        <v>28</v>
      </c>
    </row>
    <row r="15" spans="1:3" x14ac:dyDescent="0.25">
      <c r="A15" s="65" t="s">
        <v>29</v>
      </c>
      <c r="B15" s="66" t="s">
        <v>30</v>
      </c>
      <c r="C15" s="60" t="s">
        <v>31</v>
      </c>
    </row>
    <row r="16" spans="1:3" x14ac:dyDescent="0.25">
      <c r="A16" s="67" t="s">
        <v>32</v>
      </c>
      <c r="B16" s="68" t="s">
        <v>33</v>
      </c>
      <c r="C16" s="59" t="s">
        <v>34</v>
      </c>
    </row>
    <row r="17" spans="1:3" ht="30" customHeight="1" x14ac:dyDescent="0.25">
      <c r="A17" s="63" t="s">
        <v>35</v>
      </c>
      <c r="B17" s="64" t="s">
        <v>36</v>
      </c>
      <c r="C17" s="63" t="s">
        <v>37</v>
      </c>
    </row>
    <row r="18" spans="1:3" ht="30" customHeight="1" x14ac:dyDescent="0.25">
      <c r="A18" s="63" t="s">
        <v>38</v>
      </c>
      <c r="B18" s="64" t="s">
        <v>39</v>
      </c>
      <c r="C18" s="63" t="s">
        <v>40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B2:K122"/>
  <sheetViews>
    <sheetView zoomScale="115" zoomScaleNormal="115" workbookViewId="0">
      <selection activeCell="C3" sqref="C3"/>
    </sheetView>
  </sheetViews>
  <sheetFormatPr defaultColWidth="8.85546875" defaultRowHeight="15" x14ac:dyDescent="0.25"/>
  <cols>
    <col min="1" max="1" width="3.140625" customWidth="1"/>
    <col min="2" max="2" width="30.42578125" customWidth="1"/>
    <col min="3" max="3" width="16.28515625" bestFit="1" customWidth="1"/>
    <col min="4" max="4" width="15.28515625" bestFit="1" customWidth="1"/>
    <col min="5" max="5" width="16.7109375" bestFit="1" customWidth="1"/>
    <col min="6" max="6" width="16.28515625" bestFit="1" customWidth="1"/>
    <col min="7" max="7" width="31.28515625" bestFit="1" customWidth="1"/>
    <col min="8" max="8" width="11.85546875" bestFit="1" customWidth="1"/>
    <col min="9" max="9" width="15.140625" customWidth="1"/>
    <col min="10" max="10" width="12.7109375" customWidth="1"/>
    <col min="11" max="19" width="8.85546875" customWidth="1"/>
  </cols>
  <sheetData>
    <row r="2" spans="2:10" x14ac:dyDescent="0.25">
      <c r="B2" s="80" t="s">
        <v>41</v>
      </c>
    </row>
    <row r="3" spans="2:10" x14ac:dyDescent="0.25">
      <c r="B3" s="95" t="s">
        <v>42</v>
      </c>
      <c r="C3" s="96">
        <f>COI!E2</f>
        <v>0</v>
      </c>
    </row>
    <row r="5" spans="2:10" x14ac:dyDescent="0.25">
      <c r="B5" s="80" t="s">
        <v>43</v>
      </c>
      <c r="E5" s="6"/>
      <c r="F5" s="6"/>
      <c r="G5" s="6"/>
      <c r="H5" s="6"/>
      <c r="I5" s="6"/>
      <c r="J5" s="6"/>
    </row>
    <row r="6" spans="2:10" x14ac:dyDescent="0.25">
      <c r="E6" s="6"/>
      <c r="F6" s="6"/>
      <c r="G6" s="6"/>
      <c r="H6" s="6"/>
      <c r="I6" s="6"/>
      <c r="J6" s="6"/>
    </row>
    <row r="7" spans="2:10" x14ac:dyDescent="0.25">
      <c r="B7" s="107" t="s">
        <v>44</v>
      </c>
      <c r="C7" s="105"/>
      <c r="D7" s="105"/>
      <c r="E7" s="6"/>
      <c r="F7" s="6"/>
      <c r="G7" s="6"/>
      <c r="H7" s="6"/>
      <c r="I7" s="6"/>
      <c r="J7" s="6"/>
    </row>
    <row r="8" spans="2:10" x14ac:dyDescent="0.25">
      <c r="B8" s="5" t="s">
        <v>45</v>
      </c>
      <c r="C8" s="5" t="s">
        <v>46</v>
      </c>
      <c r="D8" s="5" t="s">
        <v>47</v>
      </c>
      <c r="E8" s="6"/>
      <c r="F8" s="6"/>
      <c r="G8" s="6"/>
      <c r="H8" s="6"/>
      <c r="I8" s="6"/>
      <c r="J8" s="6"/>
    </row>
    <row r="9" spans="2:10" x14ac:dyDescent="0.25">
      <c r="B9" t="s">
        <v>48</v>
      </c>
      <c r="C9" t="e">
        <f ca="1">COUNTIFS(INDIRECT("Collision!"&amp;Severity!$C$3&amp;":"&amp;Severity!$C$3),Severity[[#This Row],[Crash Severity]])</f>
        <v>#REF!</v>
      </c>
      <c r="D9" s="69" t="e">
        <f ca="1">C9/Severity[[#Totals],[Crash Count]]</f>
        <v>#REF!</v>
      </c>
      <c r="E9" s="6"/>
      <c r="F9" s="6"/>
      <c r="G9" s="6"/>
      <c r="H9" s="6"/>
      <c r="I9" s="6"/>
      <c r="J9" s="6"/>
    </row>
    <row r="10" spans="2:10" x14ac:dyDescent="0.25">
      <c r="B10" t="s">
        <v>49</v>
      </c>
      <c r="C10" t="e">
        <f ca="1">COUNTIFS(INDIRECT("Collision!"&amp;Severity!$C$3&amp;":"&amp;Severity!$C$3),Severity[[#This Row],[Crash Severity]])</f>
        <v>#REF!</v>
      </c>
      <c r="D10" s="69" t="e">
        <f ca="1">C10/Severity[[#Totals],[Crash Count]]</f>
        <v>#REF!</v>
      </c>
      <c r="E10" s="6"/>
      <c r="F10" s="6"/>
      <c r="G10" s="6"/>
      <c r="H10" s="6"/>
      <c r="I10" s="6"/>
      <c r="J10" s="6"/>
    </row>
    <row r="11" spans="2:10" x14ac:dyDescent="0.25">
      <c r="B11" t="s">
        <v>50</v>
      </c>
      <c r="C11" t="e">
        <f ca="1">COUNTIFS(INDIRECT("Collision!"&amp;Severity!$C$3&amp;":"&amp;Severity!$C$3),Severity[[#This Row],[Crash Severity]])</f>
        <v>#REF!</v>
      </c>
      <c r="D11" s="69" t="e">
        <f ca="1">C11/Severity[[#Totals],[Crash Count]]</f>
        <v>#REF!</v>
      </c>
      <c r="E11" s="6"/>
      <c r="F11" s="6"/>
      <c r="G11" s="6"/>
      <c r="H11" s="6"/>
      <c r="I11" s="6"/>
      <c r="J11" s="6"/>
    </row>
    <row r="12" spans="2:10" x14ac:dyDescent="0.25">
      <c r="B12" t="s">
        <v>51</v>
      </c>
      <c r="C12" t="e">
        <f ca="1">COUNTIFS(INDIRECT("Collision!"&amp;Severity!$C$3&amp;":"&amp;Severity!$C$3),Severity[[#This Row],[Crash Severity]])</f>
        <v>#REF!</v>
      </c>
      <c r="D12" s="69" t="e">
        <f ca="1">C12/Severity[[#Totals],[Crash Count]]</f>
        <v>#REF!</v>
      </c>
      <c r="E12" s="6"/>
      <c r="F12" s="6"/>
      <c r="G12" s="6"/>
      <c r="H12" s="6"/>
      <c r="I12" s="6"/>
      <c r="J12" s="6"/>
    </row>
    <row r="13" spans="2:10" x14ac:dyDescent="0.25">
      <c r="B13" t="s">
        <v>52</v>
      </c>
      <c r="C13" t="e">
        <f ca="1">COUNTIFS(INDIRECT("Collision!"&amp;Severity!$C$3&amp;":"&amp;Severity!$C$3),Severity[[#This Row],[Crash Severity]])</f>
        <v>#REF!</v>
      </c>
      <c r="D13" s="69" t="e">
        <f ca="1">C13/Severity[[#Totals],[Crash Count]]</f>
        <v>#REF!</v>
      </c>
      <c r="E13" s="6"/>
      <c r="F13" s="6"/>
      <c r="G13" s="6"/>
      <c r="H13" s="6"/>
      <c r="I13" s="6"/>
      <c r="J13" s="6"/>
    </row>
    <row r="14" spans="2:10" x14ac:dyDescent="0.25">
      <c r="B14" t="s">
        <v>53</v>
      </c>
      <c r="C14" t="e">
        <f ca="1">SUBTOTAL(109,Severity[Crash Count])</f>
        <v>#REF!</v>
      </c>
      <c r="D14" s="69" t="e">
        <f ca="1">SUBTOTAL(109,Severity[Crash Share])</f>
        <v>#REF!</v>
      </c>
      <c r="E14" s="6"/>
      <c r="F14" s="6"/>
      <c r="G14" s="6"/>
      <c r="H14" s="6"/>
      <c r="I14" s="6"/>
      <c r="J14" s="6"/>
    </row>
    <row r="15" spans="2:10" x14ac:dyDescent="0.25">
      <c r="B15" s="6"/>
      <c r="C15" s="6"/>
      <c r="D15" s="6"/>
      <c r="E15" s="6"/>
      <c r="F15" s="6"/>
      <c r="G15" s="6"/>
      <c r="H15" s="6"/>
      <c r="I15" s="6"/>
      <c r="J15" s="6"/>
    </row>
    <row r="16" spans="2:10" x14ac:dyDescent="0.25">
      <c r="B16" s="80" t="s">
        <v>54</v>
      </c>
      <c r="C16" s="6"/>
      <c r="E16" s="6"/>
      <c r="F16" s="6"/>
      <c r="G16" s="6"/>
      <c r="H16" s="6"/>
      <c r="I16" s="6"/>
      <c r="J16" s="6"/>
    </row>
    <row r="18" spans="2:10" ht="31.9" customHeight="1" x14ac:dyDescent="0.25">
      <c r="C18" s="104" t="s">
        <v>55</v>
      </c>
      <c r="D18" s="105"/>
      <c r="E18" s="104" t="s">
        <v>56</v>
      </c>
      <c r="F18" s="105"/>
      <c r="G18" s="104" t="s">
        <v>57</v>
      </c>
      <c r="H18" s="105"/>
      <c r="I18" s="104" t="s">
        <v>58</v>
      </c>
      <c r="J18" s="105"/>
    </row>
    <row r="19" spans="2:10" ht="30" customHeight="1" x14ac:dyDescent="0.25">
      <c r="B19" s="5" t="s">
        <v>45</v>
      </c>
      <c r="C19" s="12" t="s">
        <v>46</v>
      </c>
      <c r="D19" s="5" t="s">
        <v>47</v>
      </c>
      <c r="E19" s="5" t="s">
        <v>59</v>
      </c>
      <c r="F19" s="5" t="s">
        <v>60</v>
      </c>
      <c r="G19" s="5" t="s">
        <v>61</v>
      </c>
      <c r="H19" s="5" t="s">
        <v>62</v>
      </c>
      <c r="I19" s="8" t="s">
        <v>63</v>
      </c>
      <c r="J19" s="9" t="s">
        <v>64</v>
      </c>
    </row>
    <row r="20" spans="2:10" x14ac:dyDescent="0.25">
      <c r="B20" t="s">
        <v>48</v>
      </c>
      <c r="C20" t="e">
        <f ca="1">SUMIFS(INDIRECT("Collision!"&amp;'Road User'!$C$3&amp;":"&amp;'Road User'!$C$3),INDIRECT("Collision!"&amp;Severity!$C$3&amp;":"&amp;Severity!$C$3),Severity_User[[#This Row],[Crash Severity]])</f>
        <v>#REF!</v>
      </c>
      <c r="D20" s="69" t="e">
        <f ca="1">C20/Severity_User[[#Totals],[Crash Count]]</f>
        <v>#REF!</v>
      </c>
      <c r="E20" t="e">
        <f ca="1">SUMIFS(INDIRECT("Collision!"&amp;'Road User'!$C$4&amp;":"&amp;'Road User'!$C$4),INDIRECT("Collision!"&amp;Severity!$C$3&amp;":"&amp;Severity!$C$3),Severity_User[[#This Row],[Crash Severity]])</f>
        <v>#REF!</v>
      </c>
      <c r="F20" s="69" t="e">
        <f ca="1">E20/Severity_User[[#Totals],[Crash Count2]]</f>
        <v>#REF!</v>
      </c>
      <c r="G20" t="e">
        <f ca="1">SUMIFS(INDIRECT("Collision!"&amp;'Road User'!$C$5&amp;":"&amp;'Road User'!$C$5),INDIRECT("Collision!"&amp;Severity!$C$3&amp;":"&amp;Severity!$C$3),Severity_User[[#This Row],[Crash Severity]])</f>
        <v>#REF!</v>
      </c>
      <c r="H20" s="69">
        <f ca="1">IFERROR(G20/Severity_User[[#Totals],[Crash Count4]], 0)</f>
        <v>0</v>
      </c>
      <c r="I20" t="e">
        <f ca="1">SUM(COUNTIFS(INDIRECT("Collision!"&amp;Severity!$C$3&amp;":"&amp;Severity!$C$3),B20,INDIRECT("Collision!"&amp;'Road User'!$C$3&amp;":"&amp;'Road User'!$C$3),0,INDIRECT("Collision!"&amp;'Road User'!$C$4&amp;":"&amp;'Road User'!$C$4),0))</f>
        <v>#REF!</v>
      </c>
      <c r="J20" s="69">
        <f ca="1">IFERROR(I20/Severity_User[[#Totals],[Crash Count3]],0)</f>
        <v>0</v>
      </c>
    </row>
    <row r="21" spans="2:10" x14ac:dyDescent="0.25">
      <c r="B21" t="s">
        <v>49</v>
      </c>
      <c r="C21" t="e">
        <f ca="1">SUMIFS(INDIRECT("Collision!"&amp;'Road User'!$C$3&amp;":"&amp;'Road User'!$C$3),INDIRECT("Collision!"&amp;Severity!$C$3&amp;":"&amp;Severity!$C$3),Severity_User[[#This Row],[Crash Severity]])</f>
        <v>#REF!</v>
      </c>
      <c r="D21" s="69" t="e">
        <f ca="1">C21/Severity_User[[#Totals],[Crash Count]]</f>
        <v>#REF!</v>
      </c>
      <c r="E21" t="e">
        <f ca="1">SUMIFS(INDIRECT("Collision!"&amp;'Road User'!$C$4&amp;":"&amp;'Road User'!$C$4),INDIRECT("Collision!"&amp;Severity!$C$3&amp;":"&amp;Severity!$C$3),Severity_User[[#This Row],[Crash Severity]])</f>
        <v>#REF!</v>
      </c>
      <c r="F21" s="69" t="e">
        <f ca="1">E21/Severity_User[[#Totals],[Crash Count2]]</f>
        <v>#REF!</v>
      </c>
      <c r="G21" t="e">
        <f ca="1">SUMIFS(INDIRECT("Collision!"&amp;'Road User'!$C$5&amp;":"&amp;'Road User'!$C$5),INDIRECT("Collision!"&amp;Severity!$C$3&amp;":"&amp;Severity!$C$3),Severity_User[[#This Row],[Crash Severity]])</f>
        <v>#REF!</v>
      </c>
      <c r="H21" s="82">
        <f ca="1">IFERROR(G21/Severity_User[[#Totals],[Crash Count4]], 0)</f>
        <v>0</v>
      </c>
      <c r="I21" t="e">
        <f ca="1">SUM(COUNTIFS(INDIRECT("Collision!"&amp;Severity!$C$3&amp;":"&amp;Severity!$C$3),B21,INDIRECT("Collision!"&amp;'Road User'!$C$3&amp;":"&amp;'Road User'!$C$3),0,INDIRECT("Collision!"&amp;'Road User'!$C$4&amp;":"&amp;'Road User'!$C$4),0))</f>
        <v>#REF!</v>
      </c>
      <c r="J21" s="82">
        <f ca="1">IFERROR(I21/Severity_User[[#Totals],[Crash Count3]],0)</f>
        <v>0</v>
      </c>
    </row>
    <row r="22" spans="2:10" x14ac:dyDescent="0.25">
      <c r="B22" t="s">
        <v>50</v>
      </c>
      <c r="C22" t="e">
        <f ca="1">SUMIFS(INDIRECT("Collision!"&amp;'Road User'!$C$3&amp;":"&amp;'Road User'!$C$3),INDIRECT("Collision!"&amp;Severity!$C$3&amp;":"&amp;Severity!$C$3),Severity_User[[#This Row],[Crash Severity]])</f>
        <v>#REF!</v>
      </c>
      <c r="D22" s="69" t="e">
        <f ca="1">C22/Severity_User[[#Totals],[Crash Count]]</f>
        <v>#REF!</v>
      </c>
      <c r="E22" t="e">
        <f ca="1">SUMIFS(INDIRECT("Collision!"&amp;'Road User'!$C$4&amp;":"&amp;'Road User'!$C$4),INDIRECT("Collision!"&amp;Severity!$C$3&amp;":"&amp;Severity!$C$3),Severity_User[[#This Row],[Crash Severity]])</f>
        <v>#REF!</v>
      </c>
      <c r="F22" s="82" t="e">
        <f ca="1">E22/Severity_User[[#Totals],[Crash Count2]]</f>
        <v>#REF!</v>
      </c>
      <c r="G22" t="e">
        <f ca="1">SUMIFS(INDIRECT("Collision!"&amp;'Road User'!$C$5&amp;":"&amp;'Road User'!$C$5),INDIRECT("Collision!"&amp;Severity!$C$3&amp;":"&amp;Severity!$C$3),Severity_User[[#This Row],[Crash Severity]])</f>
        <v>#REF!</v>
      </c>
      <c r="H22" s="82">
        <f ca="1">IFERROR(G22/Severity_User[[#Totals],[Crash Count4]], 0)</f>
        <v>0</v>
      </c>
      <c r="I22" t="e">
        <f ca="1">SUM(COUNTIFS(INDIRECT("Collision!"&amp;Severity!$C$3&amp;":"&amp;Severity!$C$3),B22,INDIRECT("Collision!"&amp;'Road User'!$C$3&amp;":"&amp;'Road User'!$C$3),0,INDIRECT("Collision!"&amp;'Road User'!$C$4&amp;":"&amp;'Road User'!$C$4),0))</f>
        <v>#REF!</v>
      </c>
      <c r="J22" s="82">
        <f ca="1">IFERROR(I22/Severity_User[[#Totals],[Crash Count3]],0)</f>
        <v>0</v>
      </c>
    </row>
    <row r="23" spans="2:10" x14ac:dyDescent="0.25">
      <c r="B23" t="s">
        <v>51</v>
      </c>
      <c r="C23" t="e">
        <f ca="1">SUMIFS(INDIRECT("Collision!"&amp;'Road User'!$C$3&amp;":"&amp;'Road User'!$C$3),INDIRECT("Collision!"&amp;Severity!$C$3&amp;":"&amp;Severity!$C$3),Severity_User[[#This Row],[Crash Severity]])</f>
        <v>#REF!</v>
      </c>
      <c r="D23" s="69" t="e">
        <f ca="1">C23/Severity_User[[#Totals],[Crash Count]]</f>
        <v>#REF!</v>
      </c>
      <c r="E23" t="e">
        <f ca="1">SUMIFS(INDIRECT("Collision!"&amp;'Road User'!$C$4&amp;":"&amp;'Road User'!$C$4),INDIRECT("Collision!"&amp;Severity!$C$3&amp;":"&amp;Severity!$C$3),Severity_User[[#This Row],[Crash Severity]])</f>
        <v>#REF!</v>
      </c>
      <c r="F23" s="82" t="e">
        <f ca="1">E23/Severity_User[[#Totals],[Crash Count2]]</f>
        <v>#REF!</v>
      </c>
      <c r="G23" t="e">
        <f ca="1">SUMIFS(INDIRECT("Collision!"&amp;'Road User'!$C$5&amp;":"&amp;'Road User'!$C$5),INDIRECT("Collision!"&amp;Severity!$C$3&amp;":"&amp;Severity!$C$3),Severity_User[[#This Row],[Crash Severity]])</f>
        <v>#REF!</v>
      </c>
      <c r="H23" s="82">
        <f ca="1">IFERROR(G23/Severity_User[[#Totals],[Crash Count4]], 0)</f>
        <v>0</v>
      </c>
      <c r="I23" t="e">
        <f ca="1">SUM(COUNTIFS(INDIRECT("Collision!"&amp;Severity!$C$3&amp;":"&amp;Severity!$C$3),B23,INDIRECT("Collision!"&amp;'Road User'!$C$3&amp;":"&amp;'Road User'!$C$3),0,INDIRECT("Collision!"&amp;'Road User'!$C$4&amp;":"&amp;'Road User'!$C$4),0))</f>
        <v>#REF!</v>
      </c>
      <c r="J23" s="82">
        <f ca="1">IFERROR(I23/Severity_User[[#Totals],[Crash Count3]],0)</f>
        <v>0</v>
      </c>
    </row>
    <row r="24" spans="2:10" x14ac:dyDescent="0.25">
      <c r="B24" t="s">
        <v>52</v>
      </c>
      <c r="C24" t="e">
        <f ca="1">SUMIFS(INDIRECT("Collision!"&amp;'Road User'!$C$3&amp;":"&amp;'Road User'!$C$3),INDIRECT("Collision!"&amp;Severity!$C$3&amp;":"&amp;Severity!$C$3),Severity_User[[#This Row],[Crash Severity]])</f>
        <v>#REF!</v>
      </c>
      <c r="D24" s="69" t="e">
        <f ca="1">C24/Severity_User[[#Totals],[Crash Count]]</f>
        <v>#REF!</v>
      </c>
      <c r="E24" t="e">
        <f ca="1">SUMIFS(INDIRECT("Collision!"&amp;'Road User'!$C$4&amp;":"&amp;'Road User'!$C$4),INDIRECT("Collision!"&amp;Severity!$C$3&amp;":"&amp;Severity!$C$3),Severity_User[[#This Row],[Crash Severity]])</f>
        <v>#REF!</v>
      </c>
      <c r="F24" s="82" t="e">
        <f ca="1">E24/Severity_User[[#Totals],[Crash Count2]]</f>
        <v>#REF!</v>
      </c>
      <c r="G24" t="e">
        <f ca="1">SUMIFS(INDIRECT("Collision!"&amp;'Road User'!$C$5&amp;":"&amp;'Road User'!$C$5),INDIRECT("Collision!"&amp;Severity!$C$3&amp;":"&amp;Severity!$C$3),Severity_User[[#This Row],[Crash Severity]])</f>
        <v>#REF!</v>
      </c>
      <c r="H24" s="82">
        <f ca="1">IFERROR(G24/Severity_User[[#Totals],[Crash Count4]], 0)</f>
        <v>0</v>
      </c>
      <c r="I24" t="e">
        <f ca="1">SUM(COUNTIFS(INDIRECT("Collision!"&amp;Severity!$C$3&amp;":"&amp;Severity!$C$3),B24,INDIRECT("Collision!"&amp;'Road User'!$C$3&amp;":"&amp;'Road User'!$C$3),0,INDIRECT("Collision!"&amp;'Road User'!$C$4&amp;":"&amp;'Road User'!$C$4),0))</f>
        <v>#REF!</v>
      </c>
      <c r="J24" s="82">
        <f ca="1">IFERROR(I24/Severity_User[[#Totals],[Crash Count3]],0)</f>
        <v>0</v>
      </c>
    </row>
    <row r="25" spans="2:10" x14ac:dyDescent="0.25">
      <c r="B25" t="s">
        <v>53</v>
      </c>
      <c r="C25" t="e">
        <f ca="1">SUBTOTAL(109,Severity_User[Crash Count])</f>
        <v>#REF!</v>
      </c>
      <c r="D25" s="82" t="e">
        <f ca="1">SUBTOTAL(109,Severity_User[Crash Share])</f>
        <v>#REF!</v>
      </c>
      <c r="E25" t="e">
        <f ca="1">SUBTOTAL(109,Severity_User[Crash Count2])</f>
        <v>#REF!</v>
      </c>
      <c r="F25" s="82" t="e">
        <f ca="1">SUBTOTAL(109,Severity_User[Crash Share2])</f>
        <v>#REF!</v>
      </c>
      <c r="G25" t="e">
        <f ca="1">SUBTOTAL(109,Severity_User[Crash Count4])</f>
        <v>#REF!</v>
      </c>
      <c r="H25" s="82">
        <f ca="1">IFERROR(SUBTOTAL(109,Severity_User[Crash Share4]), 0)</f>
        <v>0</v>
      </c>
      <c r="I25" t="e">
        <f ca="1">SUBTOTAL(109,Severity_User[Crash Count3])</f>
        <v>#REF!</v>
      </c>
      <c r="J25" s="82">
        <f ca="1">IFERROR(SUBTOTAL(109,Severity_User[Crash Share3]), 0)</f>
        <v>0</v>
      </c>
    </row>
    <row r="26" spans="2:10" x14ac:dyDescent="0.25">
      <c r="B26" s="10" t="s">
        <v>65</v>
      </c>
      <c r="D26" s="82"/>
      <c r="F26" s="82"/>
      <c r="H26" s="82"/>
    </row>
    <row r="44" spans="2:6" x14ac:dyDescent="0.25">
      <c r="B44" s="80" t="s">
        <v>66</v>
      </c>
    </row>
    <row r="45" spans="2:6" x14ac:dyDescent="0.25">
      <c r="B45" s="11" t="s">
        <v>67</v>
      </c>
      <c r="C45" s="96" t="s">
        <v>49</v>
      </c>
    </row>
    <row r="46" spans="2:6" x14ac:dyDescent="0.25">
      <c r="B46" s="11"/>
    </row>
    <row r="47" spans="2:6" x14ac:dyDescent="0.25">
      <c r="B47" s="106" t="s">
        <v>68</v>
      </c>
      <c r="C47" s="105"/>
      <c r="D47" s="105"/>
      <c r="E47" s="105"/>
    </row>
    <row r="48" spans="2:6" ht="14.45" customHeight="1" x14ac:dyDescent="0.25">
      <c r="B48" s="39" t="s">
        <v>69</v>
      </c>
      <c r="C48" s="104" t="str">
        <f>$C$45</f>
        <v>Severe Injury</v>
      </c>
      <c r="D48" s="105"/>
      <c r="E48" s="104" t="s">
        <v>44</v>
      </c>
      <c r="F48" s="105"/>
    </row>
    <row r="49" spans="2:7" x14ac:dyDescent="0.25">
      <c r="B49" s="5" t="s">
        <v>70</v>
      </c>
      <c r="C49" s="5" t="s">
        <v>46</v>
      </c>
      <c r="D49" s="5" t="s">
        <v>47</v>
      </c>
      <c r="E49" s="8" t="s">
        <v>59</v>
      </c>
      <c r="F49" s="9" t="s">
        <v>60</v>
      </c>
      <c r="G49" s="12" t="s">
        <v>71</v>
      </c>
    </row>
    <row r="50" spans="2:7" x14ac:dyDescent="0.25">
      <c r="B50" t="s">
        <v>72</v>
      </c>
      <c r="C50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0" s="69" t="e">
        <f ca="1">C50/Dynamic_Severity[[#Totals],[Crash Count]]</f>
        <v>#REF!</v>
      </c>
      <c r="E50" t="e">
        <f ca="1">VLOOKUP(Dynamic_Severity[[#This Row],[Crash Type]],Type[[#Headers],[#Data]],2,FALSE)</f>
        <v>#REF!</v>
      </c>
      <c r="F50" s="69" t="e">
        <f ca="1">E50/Dynamic_Severity[[#Totals],[Crash Count2]]</f>
        <v>#REF!</v>
      </c>
      <c r="G50" t="str">
        <f>VLOOKUP(Dynamic_Severity[[#This Row],[Crash Type]],Type[[#Headers],[#Data]],4,FALSE)</f>
        <v>Pedestrian</v>
      </c>
    </row>
    <row r="51" spans="2:7" x14ac:dyDescent="0.25">
      <c r="B51" t="s">
        <v>73</v>
      </c>
      <c r="C51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1" s="69" t="e">
        <f ca="1">C51/Dynamic_Severity[[#Totals],[Crash Count]]</f>
        <v>#REF!</v>
      </c>
      <c r="E51" t="e">
        <f ca="1">VLOOKUP(Dynamic_Severity[[#This Row],[Crash Type]],Type[[#Headers],[#Data]],2,FALSE)</f>
        <v>#REF!</v>
      </c>
      <c r="F51" s="69" t="e">
        <f ca="1">E51/Dynamic_Severity[[#Totals],[Crash Count2]]</f>
        <v>#REF!</v>
      </c>
      <c r="G51" t="str">
        <f>VLOOKUP(Dynamic_Severity[[#This Row],[Crash Type]],Type[[#Headers],[#Data]],4,FALSE)</f>
        <v>Head-On</v>
      </c>
    </row>
    <row r="52" spans="2:7" x14ac:dyDescent="0.25">
      <c r="B52" t="s">
        <v>74</v>
      </c>
      <c r="C52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2" s="69" t="e">
        <f ca="1">C52/Dynamic_Severity[[#Totals],[Crash Count]]</f>
        <v>#REF!</v>
      </c>
      <c r="E52" t="e">
        <f ca="1">VLOOKUP(Dynamic_Severity[[#This Row],[Crash Type]],Type[[#Headers],[#Data]],2,FALSE)</f>
        <v>#REF!</v>
      </c>
      <c r="F52" s="69" t="e">
        <f ca="1">E52/Dynamic_Severity[[#Totals],[Crash Count2]]</f>
        <v>#REF!</v>
      </c>
      <c r="G52" t="str">
        <f>VLOOKUP(Dynamic_Severity[[#This Row],[Crash Type]],Type[[#Headers],[#Data]],4,FALSE)</f>
        <v>Turning
Movement</v>
      </c>
    </row>
    <row r="53" spans="2:7" x14ac:dyDescent="0.25">
      <c r="B53" t="s">
        <v>75</v>
      </c>
      <c r="C53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3" s="69" t="e">
        <f ca="1">C53/Dynamic_Severity[[#Totals],[Crash Count]]</f>
        <v>#REF!</v>
      </c>
      <c r="E53" t="e">
        <f ca="1">VLOOKUP(Dynamic_Severity[[#This Row],[Crash Type]],Type[[#Headers],[#Data]],2,FALSE)</f>
        <v>#REF!</v>
      </c>
      <c r="F53" s="69" t="e">
        <f ca="1">E53/Dynamic_Severity[[#Totals],[Crash Count2]]</f>
        <v>#REF!</v>
      </c>
      <c r="G53" t="str">
        <f>VLOOKUP(Dynamic_Severity[[#This Row],[Crash Type]],Type[[#Headers],[#Data]],4,FALSE)</f>
        <v>Rear-End</v>
      </c>
    </row>
    <row r="54" spans="2:7" x14ac:dyDescent="0.25">
      <c r="B54" t="s">
        <v>76</v>
      </c>
      <c r="C54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4" s="69" t="e">
        <f ca="1">C54/Dynamic_Severity[[#Totals],[Crash Count]]</f>
        <v>#REF!</v>
      </c>
      <c r="E54" t="e">
        <f ca="1">VLOOKUP(Dynamic_Severity[[#This Row],[Crash Type]],Type[[#Headers],[#Data]],2,FALSE)</f>
        <v>#REF!</v>
      </c>
      <c r="F54" s="69" t="e">
        <f ca="1">E54/Dynamic_Severity[[#Totals],[Crash Count2]]</f>
        <v>#REF!</v>
      </c>
      <c r="G54" t="str">
        <f>VLOOKUP(Dynamic_Severity[[#This Row],[Crash Type]],Type[[#Headers],[#Data]],4,FALSE)</f>
        <v>Angle</v>
      </c>
    </row>
    <row r="55" spans="2:7" x14ac:dyDescent="0.25">
      <c r="B55" t="s">
        <v>77</v>
      </c>
      <c r="C55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5" s="69" t="e">
        <f ca="1">C55/Dynamic_Severity[[#Totals],[Crash Count]]</f>
        <v>#REF!</v>
      </c>
      <c r="E55" t="e">
        <f ca="1">VLOOKUP(Dynamic_Severity[[#This Row],[Crash Type]],Type[[#Headers],[#Data]],2,FALSE)</f>
        <v>#REF!</v>
      </c>
      <c r="F55" s="69" t="e">
        <f ca="1">E55/Dynamic_Severity[[#Totals],[Crash Count2]]</f>
        <v>#REF!</v>
      </c>
      <c r="G55" t="str">
        <f>VLOOKUP(Dynamic_Severity[[#This Row],[Crash Type]],Type[[#Headers],[#Data]],4,FALSE)</f>
        <v>Sideswipe-
overtaking</v>
      </c>
    </row>
    <row r="56" spans="2:7" x14ac:dyDescent="0.25">
      <c r="B56" t="s">
        <v>78</v>
      </c>
      <c r="C56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6" s="69" t="e">
        <f ca="1">C56/Dynamic_Severity[[#Totals],[Crash Count]]</f>
        <v>#REF!</v>
      </c>
      <c r="E56" t="e">
        <f ca="1">VLOOKUP(Dynamic_Severity[[#This Row],[Crash Type]],Type[[#Headers],[#Data]],2,FALSE)</f>
        <v>#REF!</v>
      </c>
      <c r="F56" s="69" t="e">
        <f ca="1">E56/Dynamic_Severity[[#Totals],[Crash Count2]]</f>
        <v>#REF!</v>
      </c>
      <c r="G56" t="str">
        <f>VLOOKUP(Dynamic_Severity[[#This Row],[Crash Type]],Type[[#Headers],[#Data]],4,FALSE)</f>
        <v>Fixed-Object or
Other-Object</v>
      </c>
    </row>
    <row r="57" spans="2:7" x14ac:dyDescent="0.25">
      <c r="B57" t="s">
        <v>79</v>
      </c>
      <c r="C57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7" s="69" t="e">
        <f ca="1">C57/Dynamic_Severity[[#Totals],[Crash Count]]</f>
        <v>#REF!</v>
      </c>
      <c r="E57" t="e">
        <f ca="1">VLOOKUP(Dynamic_Severity[[#This Row],[Crash Type]],Type[[#Headers],[#Data]],2,FALSE)</f>
        <v>#REF!</v>
      </c>
      <c r="F57" s="69" t="e">
        <f ca="1">E57/Dynamic_Severity[[#Totals],[Crash Count2]]</f>
        <v>#REF!</v>
      </c>
      <c r="G57" t="str">
        <f>VLOOKUP(Dynamic_Severity[[#This Row],[Crash Type]],Type[[#Headers],[#Data]],4,FALSE)</f>
        <v>Non-collision</v>
      </c>
    </row>
    <row r="58" spans="2:7" x14ac:dyDescent="0.25">
      <c r="B58" t="s">
        <v>80</v>
      </c>
      <c r="C58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8" s="69" t="e">
        <f ca="1">C58/Dynamic_Severity[[#Totals],[Crash Count]]</f>
        <v>#REF!</v>
      </c>
      <c r="E58" t="e">
        <f ca="1">VLOOKUP(Dynamic_Severity[[#This Row],[Crash Type]],Type[[#Headers],[#Data]],2,FALSE)</f>
        <v>#REF!</v>
      </c>
      <c r="F58" s="69" t="e">
        <f ca="1">E58/Dynamic_Severity[[#Totals],[Crash Count2]]</f>
        <v>#REF!</v>
      </c>
      <c r="G58" t="str">
        <f>VLOOKUP(Dynamic_Severity[[#This Row],[Crash Type]],Type[[#Headers],[#Data]],4,FALSE)</f>
        <v>Sideswipe-
meeting</v>
      </c>
    </row>
    <row r="59" spans="2:7" x14ac:dyDescent="0.25">
      <c r="B59" t="s">
        <v>81</v>
      </c>
      <c r="C59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9" s="69" t="e">
        <f ca="1">C59/Dynamic_Severity[[#Totals],[Crash Count]]</f>
        <v>#REF!</v>
      </c>
      <c r="E59" t="e">
        <f ca="1">VLOOKUP(Dynamic_Severity[[#This Row],[Crash Type]],Type[[#Headers],[#Data]],2,FALSE)</f>
        <v>#REF!</v>
      </c>
      <c r="F59" s="69" t="e">
        <f ca="1">E59/Dynamic_Severity[[#Totals],[Crash Count2]]</f>
        <v>#REF!</v>
      </c>
      <c r="G59" t="str">
        <f>VLOOKUP(Dynamic_Severity[[#This Row],[Crash Type]],Type[[#Headers],[#Data]],4,FALSE)</f>
        <v>Backing</v>
      </c>
    </row>
    <row r="60" spans="2:7" x14ac:dyDescent="0.25">
      <c r="B60" s="15" t="s">
        <v>82</v>
      </c>
      <c r="C60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60" s="69" t="e">
        <f ca="1">C60/Dynamic_Severity[[#Totals],[Crash Count]]</f>
        <v>#REF!</v>
      </c>
      <c r="E60" t="e">
        <f ca="1">VLOOKUP(Dynamic_Severity[[#This Row],[Crash Type]],Type[[#Headers],[#Data]],2,FALSE)</f>
        <v>#REF!</v>
      </c>
      <c r="F60" s="69" t="e">
        <f ca="1">E60/Dynamic_Severity[[#Totals],[Crash Count2]]</f>
        <v>#REF!</v>
      </c>
      <c r="G60" t="str">
        <f>VLOOKUP(Dynamic_Severity[[#This Row],[Crash Type]],Type[[#Headers],[#Data]],4,FALSE)</f>
        <v>Pedalcyclist</v>
      </c>
    </row>
    <row r="61" spans="2:7" x14ac:dyDescent="0.25">
      <c r="B61" s="15" t="s">
        <v>83</v>
      </c>
      <c r="C61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61" s="69" t="e">
        <f ca="1">C61/Dynamic_Severity[[#Totals],[Crash Count]]</f>
        <v>#REF!</v>
      </c>
      <c r="E61" t="e">
        <f ca="1">VLOOKUP(Dynamic_Severity[[#This Row],[Crash Type]],Type[[#Headers],[#Data]],2,FALSE)</f>
        <v>#REF!</v>
      </c>
      <c r="F61" s="69" t="e">
        <f ca="1">E61/Dynamic_Severity[[#Totals],[Crash Count2]]</f>
        <v>#REF!</v>
      </c>
      <c r="G61" t="str">
        <f>VLOOKUP(Dynamic_Severity[[#This Row],[Crash Type]],Type[[#Headers],[#Data]],4,FALSE)</f>
        <v>Parking Maneuver</v>
      </c>
    </row>
    <row r="62" spans="2:7" x14ac:dyDescent="0.25">
      <c r="B62" s="15" t="s">
        <v>84</v>
      </c>
      <c r="C62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62" s="69" t="e">
        <f ca="1">C62/Dynamic_Severity[[#Totals],[Crash Count]]</f>
        <v>#REF!</v>
      </c>
      <c r="E62" t="e">
        <f ca="1">VLOOKUP(Dynamic_Severity[[#This Row],[Crash Type]],Type[[#Headers],[#Data]],2,FALSE)</f>
        <v>#REF!</v>
      </c>
      <c r="F62" s="69" t="e">
        <f ca="1">E62/Dynamic_Severity[[#Totals],[Crash Count2]]</f>
        <v>#REF!</v>
      </c>
      <c r="G62" t="str">
        <f>VLOOKUP(Dynamic_Severity[[#This Row],[Crash Type]],Type[[#Headers],[#Data]],4,FALSE)</f>
        <v>Miscellaneous</v>
      </c>
    </row>
    <row r="63" spans="2:7" x14ac:dyDescent="0.25">
      <c r="B63" t="s">
        <v>53</v>
      </c>
      <c r="C63" t="e">
        <f ca="1">SUBTOTAL(109,Dynamic_Severity[Crash Count])</f>
        <v>#REF!</v>
      </c>
      <c r="D63" s="82" t="e">
        <f ca="1">SUBTOTAL(109,Dynamic_Severity[Crash Share])</f>
        <v>#REF!</v>
      </c>
      <c r="E63" t="e">
        <f ca="1">SUBTOTAL(109,Dynamic_Severity[Crash Count2])</f>
        <v>#REF!</v>
      </c>
      <c r="F63" s="82" t="e">
        <f ca="1">SUBTOTAL(109,Dynamic_Severity[Crash Share2])</f>
        <v>#REF!</v>
      </c>
    </row>
    <row r="64" spans="2:7" x14ac:dyDescent="0.25">
      <c r="D64" s="82"/>
    </row>
    <row r="65" spans="3:4" x14ac:dyDescent="0.25">
      <c r="C65" s="7" t="s">
        <v>48</v>
      </c>
      <c r="D65" s="82"/>
    </row>
    <row r="66" spans="3:4" x14ac:dyDescent="0.25">
      <c r="C66" s="7" t="s">
        <v>49</v>
      </c>
      <c r="D66" s="82"/>
    </row>
    <row r="67" spans="3:4" x14ac:dyDescent="0.25">
      <c r="C67" s="7" t="s">
        <v>85</v>
      </c>
      <c r="D67" s="82"/>
    </row>
    <row r="68" spans="3:4" x14ac:dyDescent="0.25">
      <c r="C68" s="7" t="s">
        <v>86</v>
      </c>
      <c r="D68" s="82"/>
    </row>
    <row r="69" spans="3:4" x14ac:dyDescent="0.25">
      <c r="C69" s="7" t="s">
        <v>52</v>
      </c>
      <c r="D69" s="82"/>
    </row>
    <row r="70" spans="3:4" x14ac:dyDescent="0.25">
      <c r="C70" s="7" t="s">
        <v>87</v>
      </c>
      <c r="D70" s="82"/>
    </row>
    <row r="71" spans="3:4" x14ac:dyDescent="0.25">
      <c r="C71" s="7" t="s">
        <v>88</v>
      </c>
    </row>
    <row r="82" spans="2:11" x14ac:dyDescent="0.25">
      <c r="B82" s="106" t="s">
        <v>89</v>
      </c>
      <c r="C82" s="105"/>
      <c r="D82" s="105"/>
      <c r="E82" s="105"/>
    </row>
    <row r="83" spans="2:11" x14ac:dyDescent="0.25">
      <c r="B83" s="85" t="s">
        <v>90</v>
      </c>
      <c r="C83" s="104" t="str">
        <f>$C$45</f>
        <v>Severe Injury</v>
      </c>
      <c r="D83" s="105"/>
      <c r="E83" s="104" t="s">
        <v>44</v>
      </c>
      <c r="F83" s="105"/>
    </row>
    <row r="84" spans="2:11" x14ac:dyDescent="0.25">
      <c r="B84" s="5" t="s">
        <v>91</v>
      </c>
      <c r="C84" s="5" t="s">
        <v>46</v>
      </c>
      <c r="D84" s="5" t="s">
        <v>47</v>
      </c>
      <c r="E84" s="8" t="s">
        <v>59</v>
      </c>
      <c r="F84" s="9" t="s">
        <v>60</v>
      </c>
      <c r="G84" s="5" t="s">
        <v>71</v>
      </c>
      <c r="H84" s="106"/>
      <c r="I84" s="105"/>
      <c r="J84" s="105"/>
      <c r="K84" s="105"/>
    </row>
    <row r="85" spans="2:11" x14ac:dyDescent="0.25">
      <c r="B85" t="s">
        <v>92</v>
      </c>
      <c r="C85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5" s="87" t="e">
        <f ca="1">Dynamic_Severity2[[#This Row],[Crash Count]]/$C$122</f>
        <v>#REF!</v>
      </c>
      <c r="E85" t="e">
        <f ca="1">VLOOKUP(Dynamic_Severity2[[#This Row],[Crash Cause]],PCF[[#Headers],[#Data]],2,FALSE)</f>
        <v>#REF!</v>
      </c>
      <c r="F85" s="69" t="e">
        <f ca="1">Dynamic_Severity2[[#This Row],[Crash Count2]]/$E$122</f>
        <v>#REF!</v>
      </c>
      <c r="G85" s="86" t="str">
        <f>VLOOKUP(Dynamic_Severity2[[#This Row],[Crash Cause]],PCF[[#Headers],[#Data]],4,FALSE)</f>
        <v>No cause associated at this level</v>
      </c>
    </row>
    <row r="86" spans="2:11" ht="30" customHeight="1" x14ac:dyDescent="0.25">
      <c r="B86" t="s">
        <v>93</v>
      </c>
      <c r="C8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6" s="87" t="e">
        <f ca="1">Dynamic_Severity2[[#This Row],[Crash Count]]/$C$122</f>
        <v>#REF!</v>
      </c>
      <c r="E86" t="e">
        <f ca="1">VLOOKUP(Dynamic_Severity2[[#This Row],[Crash Cause]],PCF[[#Headers],[#Data]],2,FALSE)</f>
        <v>#REF!</v>
      </c>
      <c r="F86" s="69" t="e">
        <f ca="1">Dynamic_Severity2[[#This Row],[Crash Count2]]/$E$122</f>
        <v>#REF!</v>
      </c>
      <c r="G86" s="86" t="str">
        <f>VLOOKUP(Dynamic_Severity2[[#This Row],[Crash Cause]],PCF[[#Headers],[#Data]],4,FALSE)</f>
        <v>Speed too fast for conditions
(Not exceeding limit)</v>
      </c>
    </row>
    <row r="87" spans="2:11" x14ac:dyDescent="0.25">
      <c r="B87" t="s">
        <v>94</v>
      </c>
      <c r="C8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7" s="87" t="e">
        <f ca="1">Dynamic_Severity2[[#This Row],[Crash Count]]/$C$122</f>
        <v>#REF!</v>
      </c>
      <c r="E87" t="e">
        <f ca="1">VLOOKUP(Dynamic_Severity2[[#This Row],[Crash Cause]],PCF[[#Headers],[#Data]],2,FALSE)</f>
        <v>#REF!</v>
      </c>
      <c r="F87" s="69" t="e">
        <f ca="1">Dynamic_Severity2[[#This Row],[Crash Count2]]/$E$122</f>
        <v>#REF!</v>
      </c>
      <c r="G87" s="86" t="str">
        <f>VLOOKUP(Dynamic_Severity2[[#This Row],[Crash Cause]],PCF[[#Headers],[#Data]],4,FALSE)</f>
        <v>Did not yield right-of-way</v>
      </c>
    </row>
    <row r="88" spans="2:11" x14ac:dyDescent="0.25">
      <c r="B88" t="s">
        <v>95</v>
      </c>
      <c r="C8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8" s="87" t="e">
        <f ca="1">Dynamic_Severity2[[#This Row],[Crash Count]]/$C$122</f>
        <v>#REF!</v>
      </c>
      <c r="E88" t="e">
        <f ca="1">VLOOKUP(Dynamic_Severity2[[#This Row],[Crash Cause]],PCF[[#Headers],[#Data]],2,FALSE)</f>
        <v>#REF!</v>
      </c>
      <c r="F88" s="69" t="e">
        <f ca="1">Dynamic_Severity2[[#This Row],[Crash Count2]]/$E$122</f>
        <v>#REF!</v>
      </c>
      <c r="G88" s="86" t="str">
        <f>VLOOKUP(Dynamic_Severity2[[#This Row],[Crash Cause]],PCF[[#Headers],[#Data]],4,FALSE)</f>
        <v>Passed stop sign or red flasher</v>
      </c>
    </row>
    <row r="89" spans="2:11" x14ac:dyDescent="0.25">
      <c r="B89" t="s">
        <v>96</v>
      </c>
      <c r="C8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9" s="87" t="e">
        <f ca="1">Dynamic_Severity2[[#This Row],[Crash Count]]/$C$122</f>
        <v>#REF!</v>
      </c>
      <c r="E89" t="e">
        <f ca="1">VLOOKUP(Dynamic_Severity2[[#This Row],[Crash Cause]],PCF[[#Headers],[#Data]],2,FALSE)</f>
        <v>#REF!</v>
      </c>
      <c r="F89" s="69" t="e">
        <f ca="1">Dynamic_Severity2[[#This Row],[Crash Count2]]/$E$122</f>
        <v>#REF!</v>
      </c>
      <c r="G89" s="86" t="str">
        <f>VLOOKUP(Dynamic_Severity2[[#This Row],[Crash Cause]],PCF[[#Headers],[#Data]],4,FALSE)</f>
        <v>Disregarded traffic signal</v>
      </c>
    </row>
    <row r="90" spans="2:11" ht="45" customHeight="1" x14ac:dyDescent="0.25">
      <c r="B90" t="s">
        <v>97</v>
      </c>
      <c r="C9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0" s="87" t="e">
        <f ca="1">Dynamic_Severity2[[#This Row],[Crash Count]]/$C$122</f>
        <v>#REF!</v>
      </c>
      <c r="E90" t="e">
        <f ca="1">VLOOKUP(Dynamic_Severity2[[#This Row],[Crash Cause]],PCF[[#Headers],[#Data]],2,FALSE)</f>
        <v>#REF!</v>
      </c>
      <c r="F90" s="69" t="e">
        <f ca="1">Dynamic_Severity2[[#This Row],[Crash Count2]]/$E$122</f>
        <v>#REF!</v>
      </c>
      <c r="G90" s="86" t="str">
        <f>VLOOKUP(Dynamic_Severity2[[#This Row],[Crash Cause]],PCF[[#Headers],[#Data]],4,FALSE)</f>
        <v>*Drove left of center on two-way road; 
straddling the center line</v>
      </c>
    </row>
    <row r="91" spans="2:11" x14ac:dyDescent="0.25">
      <c r="B91" t="s">
        <v>98</v>
      </c>
      <c r="C91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1" s="87" t="e">
        <f ca="1">Dynamic_Severity2[[#This Row],[Crash Count]]/$C$122</f>
        <v>#REF!</v>
      </c>
      <c r="E91" t="e">
        <f ca="1">VLOOKUP(Dynamic_Severity2[[#This Row],[Crash Cause]],PCF[[#Headers],[#Data]],2,FALSE)</f>
        <v>#REF!</v>
      </c>
      <c r="F91" s="69" t="e">
        <f ca="1">Dynamic_Severity2[[#This Row],[Crash Count2]]/$E$122</f>
        <v>#REF!</v>
      </c>
      <c r="G91" s="86" t="str">
        <f>VLOOKUP(Dynamic_Severity2[[#This Row],[Crash Cause]],PCF[[#Headers],[#Data]],4,FALSE)</f>
        <v>Improper overtaking</v>
      </c>
    </row>
    <row r="92" spans="2:11" x14ac:dyDescent="0.25">
      <c r="B92" t="s">
        <v>99</v>
      </c>
      <c r="C92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2" s="87" t="e">
        <f ca="1">Dynamic_Severity2[[#This Row],[Crash Count]]/$C$122</f>
        <v>#REF!</v>
      </c>
      <c r="E92" t="e">
        <f ca="1">VLOOKUP(Dynamic_Severity2[[#This Row],[Crash Cause]],PCF[[#Headers],[#Data]],2,FALSE)</f>
        <v>#REF!</v>
      </c>
      <c r="F92" s="69" t="e">
        <f ca="1">Dynamic_Severity2[[#This Row],[Crash Count2]]/$E$122</f>
        <v>#REF!</v>
      </c>
      <c r="G92" s="86" t="str">
        <f>VLOOKUP(Dynamic_Severity2[[#This Row],[Crash Cause]],PCF[[#Headers],[#Data]],4,FALSE)</f>
        <v>Followed too closely</v>
      </c>
    </row>
    <row r="93" spans="2:11" x14ac:dyDescent="0.25">
      <c r="B93" t="s">
        <v>100</v>
      </c>
      <c r="C93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3" s="87" t="e">
        <f ca="1">Dynamic_Severity2[[#This Row],[Crash Count]]/$C$122</f>
        <v>#REF!</v>
      </c>
      <c r="E93" t="e">
        <f ca="1">VLOOKUP(Dynamic_Severity2[[#This Row],[Crash Cause]],PCF[[#Headers],[#Data]],2,FALSE)</f>
        <v>#REF!</v>
      </c>
      <c r="F93" s="69" t="e">
        <f ca="1">Dynamic_Severity2[[#This Row],[Crash Count2]]/$E$122</f>
        <v>#REF!</v>
      </c>
      <c r="G93" s="86" t="str">
        <f>VLOOKUP(Dynamic_Severity2[[#This Row],[Crash Cause]],PCF[[#Headers],[#Data]],4,FALSE)</f>
        <v>Made improper turn</v>
      </c>
    </row>
    <row r="94" spans="2:11" x14ac:dyDescent="0.25">
      <c r="B94" t="s">
        <v>101</v>
      </c>
      <c r="C94" s="38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4" s="40" t="e">
        <f ca="1">Dynamic_Severity2[[#This Row],[Crash Count]]/$C$122</f>
        <v>#REF!</v>
      </c>
      <c r="E94" t="e">
        <f ca="1">VLOOKUP(Dynamic_Severity2[[#This Row],[Crash Cause]],PCF[[#Headers],[#Data]],2,FALSE)</f>
        <v>#REF!</v>
      </c>
      <c r="F94" s="69" t="e">
        <f ca="1">Dynamic_Severity2[[#This Row],[Crash Count2]]/$E$122</f>
        <v>#REF!</v>
      </c>
      <c r="G94" s="86" t="str">
        <f>VLOOKUP(Dynamic_Severity2[[#This Row],[Crash Cause]],PCF[[#Headers],[#Data]],4,FALSE)</f>
        <v>*Other improper driving</v>
      </c>
    </row>
    <row r="95" spans="2:11" ht="45" customHeight="1" x14ac:dyDescent="0.25">
      <c r="B95" t="s">
        <v>102</v>
      </c>
      <c r="C95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5" s="87" t="e">
        <f ca="1">Dynamic_Severity2[[#This Row],[Crash Count]]/$C$122</f>
        <v>#REF!</v>
      </c>
      <c r="E95" t="e">
        <f ca="1">VLOOKUP(Dynamic_Severity2[[#This Row],[Crash Cause]],PCF[[#Headers],[#Data]],2,FALSE)</f>
        <v>#REF!</v>
      </c>
      <c r="F95" s="69" t="e">
        <f ca="1">Dynamic_Severity2[[#This Row],[Crash Count2]]/$E$122</f>
        <v>#REF!</v>
      </c>
      <c r="G95" s="86" t="str">
        <f>VLOOKUP(Dynamic_Severity2[[#This Row],[Crash Cause]],PCF[[#Headers],[#Data]],4,FALSE)</f>
        <v>Mechanical defect - other than
represented by codes 21, 22, or 25</v>
      </c>
    </row>
    <row r="96" spans="2:11" x14ac:dyDescent="0.25">
      <c r="B96" t="s">
        <v>103</v>
      </c>
      <c r="C9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6" s="87" t="e">
        <f ca="1">Dynamic_Severity2[[#This Row],[Crash Count]]/$C$122</f>
        <v>#REF!</v>
      </c>
      <c r="E96" t="e">
        <f ca="1">VLOOKUP(Dynamic_Severity2[[#This Row],[Crash Cause]],PCF[[#Headers],[#Data]],2,FALSE)</f>
        <v>#REF!</v>
      </c>
      <c r="F96" s="69" t="e">
        <f ca="1">Dynamic_Severity2[[#This Row],[Crash Count2]]/$E$122</f>
        <v>#REF!</v>
      </c>
      <c r="G96" s="86" t="str">
        <f>VLOOKUP(Dynamic_Severity2[[#This Row],[Crash Cause]],PCF[[#Headers],[#Data]],4,FALSE)</f>
        <v>*Other (Not improper driving)</v>
      </c>
    </row>
    <row r="97" spans="2:7" x14ac:dyDescent="0.25">
      <c r="B97" t="s">
        <v>104</v>
      </c>
      <c r="C9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7" s="87" t="e">
        <f ca="1">Dynamic_Severity2[[#This Row],[Crash Count]]/$C$122</f>
        <v>#REF!</v>
      </c>
      <c r="E97" t="e">
        <f ca="1">VLOOKUP(Dynamic_Severity2[[#This Row],[Crash Cause]],PCF[[#Headers],[#Data]],2,FALSE)</f>
        <v>#REF!</v>
      </c>
      <c r="F97" s="69" t="e">
        <f ca="1">Dynamic_Severity2[[#This Row],[Crash Count2]]/$E$122</f>
        <v>#REF!</v>
      </c>
      <c r="G97" s="86" t="str">
        <f>VLOOKUP(Dynamic_Severity2[[#This Row],[Crash Cause]],PCF[[#Headers],[#Data]],4,FALSE)</f>
        <v>Improper change of traffic lanes</v>
      </c>
    </row>
    <row r="98" spans="2:7" ht="30" customHeight="1" x14ac:dyDescent="0.25">
      <c r="B98" t="s">
        <v>105</v>
      </c>
      <c r="C9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8" s="87" t="e">
        <f ca="1">Dynamic_Severity2[[#This Row],[Crash Count]]/$C$122</f>
        <v>#REF!</v>
      </c>
      <c r="E98" t="e">
        <f ca="1">VLOOKUP(Dynamic_Severity2[[#This Row],[Crash Cause]],PCF[[#Headers],[#Data]],2,FALSE)</f>
        <v>#REF!</v>
      </c>
      <c r="F98" s="69" t="e">
        <f ca="1">Dynamic_Severity2[[#This Row],[Crash Count2]]/$E$122</f>
        <v>#REF!</v>
      </c>
      <c r="G98" s="86" t="str">
        <f>VLOOKUP(Dynamic_Severity2[[#This Row],[Crash Cause]],PCF[[#Headers],[#Data]],4,FALSE)</f>
        <v>Disregarded other traffic control device</v>
      </c>
    </row>
    <row r="99" spans="2:7" x14ac:dyDescent="0.25">
      <c r="B99" t="s">
        <v>106</v>
      </c>
      <c r="C9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9" s="87" t="e">
        <f ca="1">Dynamic_Severity2[[#This Row],[Crash Count]]/$C$122</f>
        <v>#REF!</v>
      </c>
      <c r="E99" t="e">
        <f ca="1">VLOOKUP(Dynamic_Severity2[[#This Row],[Crash Cause]],PCF[[#Headers],[#Data]],2,FALSE)</f>
        <v>#REF!</v>
      </c>
      <c r="F99" s="69" t="e">
        <f ca="1">Dynamic_Severity2[[#This Row],[Crash Count2]]/$E$122</f>
        <v>#REF!</v>
      </c>
      <c r="G99" s="86" t="str">
        <f>VLOOKUP(Dynamic_Severity2[[#This Row],[Crash Cause]],PCF[[#Headers],[#Data]],4,FALSE)</f>
        <v>Wrong way on one-way roadway</v>
      </c>
    </row>
    <row r="100" spans="2:7" x14ac:dyDescent="0.25">
      <c r="B100" t="s">
        <v>107</v>
      </c>
      <c r="C10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0" s="87" t="e">
        <f ca="1">Dynamic_Severity2[[#This Row],[Crash Count]]/$C$122</f>
        <v>#REF!</v>
      </c>
      <c r="E100" t="e">
        <f ca="1">VLOOKUP(Dynamic_Severity2[[#This Row],[Crash Cause]],PCF[[#Headers],[#Data]],2,FALSE)</f>
        <v>#REF!</v>
      </c>
      <c r="F100" s="69" t="e">
        <f ca="1">Dynamic_Severity2[[#This Row],[Crash Count2]]/$E$122</f>
        <v>#REF!</v>
      </c>
      <c r="G100" s="86" t="str">
        <f>VLOOKUP(Dynamic_Severity2[[#This Row],[Crash Cause]],PCF[[#Headers],[#Data]],4,FALSE)</f>
        <v>Driver drowsy / fatigued / sleepy</v>
      </c>
    </row>
    <row r="101" spans="2:7" x14ac:dyDescent="0.25">
      <c r="B101" t="s">
        <v>108</v>
      </c>
      <c r="C101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1" s="87" t="e">
        <f ca="1">Dynamic_Severity2[[#This Row],[Crash Count]]/$C$122</f>
        <v>#REF!</v>
      </c>
      <c r="E101" t="e">
        <f ca="1">VLOOKUP(Dynamic_Severity2[[#This Row],[Crash Cause]],PCF[[#Headers],[#Data]],2,FALSE)</f>
        <v>#REF!</v>
      </c>
      <c r="F101" s="69" t="e">
        <f ca="1">Dynamic_Severity2[[#This Row],[Crash Count2]]/$E$122</f>
        <v>#REF!</v>
      </c>
      <c r="G101" s="86" t="str">
        <f>VLOOKUP(Dynamic_Severity2[[#This Row],[Crash Cause]],PCF[[#Headers],[#Data]],4,FALSE)</f>
        <v>Physical Illness</v>
      </c>
    </row>
    <row r="102" spans="2:7" x14ac:dyDescent="0.25">
      <c r="B102" t="s">
        <v>109</v>
      </c>
      <c r="C102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2" s="87" t="e">
        <f ca="1">Dynamic_Severity2[[#This Row],[Crash Count]]/$C$122</f>
        <v>#REF!</v>
      </c>
      <c r="E102" t="e">
        <f ca="1">VLOOKUP(Dynamic_Severity2[[#This Row],[Crash Cause]],PCF[[#Headers],[#Data]],2,FALSE)</f>
        <v>#REF!</v>
      </c>
      <c r="F102" s="69" t="e">
        <f ca="1">Dynamic_Severity2[[#This Row],[Crash Count2]]/$E$122</f>
        <v>#REF!</v>
      </c>
      <c r="G102" s="86" t="str">
        <f>VLOOKUP(Dynamic_Severity2[[#This Row],[Crash Cause]],PCF[[#Headers],[#Data]],4,FALSE)</f>
        <v>Non-Motorist illegally in roadway</v>
      </c>
    </row>
    <row r="103" spans="2:7" ht="30" customHeight="1" x14ac:dyDescent="0.25">
      <c r="B103" t="s">
        <v>110</v>
      </c>
      <c r="C103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3" s="87" t="e">
        <f ca="1">Dynamic_Severity2[[#This Row],[Crash Count]]/$C$122</f>
        <v>#REF!</v>
      </c>
      <c r="E103" t="e">
        <f ca="1">VLOOKUP(Dynamic_Severity2[[#This Row],[Crash Cause]],PCF[[#Headers],[#Data]],2,FALSE)</f>
        <v>#REF!</v>
      </c>
      <c r="F103" s="69" t="e">
        <f ca="1">Dynamic_Severity2[[#This Row],[Crash Count2]]/$E$122</f>
        <v>#REF!</v>
      </c>
      <c r="G103" s="86" t="str">
        <f>VLOOKUP(Dynamic_Severity2[[#This Row],[Crash Cause]],PCF[[#Headers],[#Data]],4,FALSE)</f>
        <v>Not visible: dark / non-reflective clothing</v>
      </c>
    </row>
    <row r="104" spans="2:7" x14ac:dyDescent="0.25">
      <c r="B104" t="s">
        <v>111</v>
      </c>
      <c r="C104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4" s="87" t="e">
        <f ca="1">Dynamic_Severity2[[#This Row],[Crash Count]]/$C$122</f>
        <v>#REF!</v>
      </c>
      <c r="E104" t="e">
        <f ca="1">VLOOKUP(Dynamic_Severity2[[#This Row],[Crash Cause]],PCF[[#Headers],[#Data]],2,FALSE)</f>
        <v>#REF!</v>
      </c>
      <c r="F104" s="69" t="e">
        <f ca="1">Dynamic_Severity2[[#This Row],[Crash Count2]]/$E$122</f>
        <v>#REF!</v>
      </c>
      <c r="G104" s="86" t="str">
        <f>VLOOKUP(Dynamic_Severity2[[#This Row],[Crash Cause]],PCF[[#Headers],[#Data]],4,FALSE)</f>
        <v>Vehicle improperly parked</v>
      </c>
    </row>
    <row r="105" spans="2:7" x14ac:dyDescent="0.25">
      <c r="B105" t="s">
        <v>112</v>
      </c>
      <c r="C105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5" s="87" t="e">
        <f ca="1">Dynamic_Severity2[[#This Row],[Crash Count]]/$C$122</f>
        <v>#REF!</v>
      </c>
      <c r="E105" t="e">
        <f ca="1">VLOOKUP(Dynamic_Severity2[[#This Row],[Crash Cause]],PCF[[#Headers],[#Data]],2,FALSE)</f>
        <v>#REF!</v>
      </c>
      <c r="F105" s="69" t="e">
        <f ca="1">Dynamic_Severity2[[#This Row],[Crash Count2]]/$E$122</f>
        <v>#REF!</v>
      </c>
      <c r="G105" s="86" t="str">
        <f>VLOOKUP(Dynamic_Severity2[[#This Row],[Crash Cause]],PCF[[#Headers],[#Data]],4,FALSE)</f>
        <v>Defective steering mechanism</v>
      </c>
    </row>
    <row r="106" spans="2:7" x14ac:dyDescent="0.25">
      <c r="B106" t="s">
        <v>113</v>
      </c>
      <c r="C10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6" s="87" t="e">
        <f ca="1">Dynamic_Severity2[[#This Row],[Crash Count]]/$C$122</f>
        <v>#REF!</v>
      </c>
      <c r="E106" t="e">
        <f ca="1">VLOOKUP(Dynamic_Severity2[[#This Row],[Crash Cause]],PCF[[#Headers],[#Data]],2,FALSE)</f>
        <v>#REF!</v>
      </c>
      <c r="F106" s="69" t="e">
        <f ca="1">Dynamic_Severity2[[#This Row],[Crash Count2]]/$E$122</f>
        <v>#REF!</v>
      </c>
      <c r="G106" s="86" t="str">
        <f>VLOOKUP(Dynamic_Severity2[[#This Row],[Crash Cause]],PCF[[#Headers],[#Data]],4,FALSE)</f>
        <v>Inadequate or no brakes</v>
      </c>
    </row>
    <row r="107" spans="2:7" x14ac:dyDescent="0.25">
      <c r="B107" t="s">
        <v>114</v>
      </c>
      <c r="C10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7" s="87" t="e">
        <f ca="1">Dynamic_Severity2[[#This Row],[Crash Count]]/$C$122</f>
        <v>#REF!</v>
      </c>
      <c r="E107" t="e">
        <f ca="1">VLOOKUP(Dynamic_Severity2[[#This Row],[Crash Cause]],PCF[[#Headers],[#Data]],2,FALSE)</f>
        <v>#REF!</v>
      </c>
      <c r="F107" s="69" t="e">
        <f ca="1">Dynamic_Severity2[[#This Row],[Crash Count2]]/$E$122</f>
        <v>#REF!</v>
      </c>
      <c r="G107" s="86" t="str">
        <f>VLOOKUP(Dynamic_Severity2[[#This Row],[Crash Cause]],PCF[[#Headers],[#Data]],4,FALSE)</f>
        <v>Vehicle lost load or load shifted</v>
      </c>
    </row>
    <row r="108" spans="2:7" x14ac:dyDescent="0.25">
      <c r="B108" t="s">
        <v>115</v>
      </c>
      <c r="C10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8" s="87" t="e">
        <f ca="1">Dynamic_Severity2[[#This Row],[Crash Count]]/$C$122</f>
        <v>#REF!</v>
      </c>
      <c r="E108" t="e">
        <f ca="1">VLOOKUP(Dynamic_Severity2[[#This Row],[Crash Cause]],PCF[[#Headers],[#Data]],2,FALSE)</f>
        <v>#REF!</v>
      </c>
      <c r="F108" s="69" t="e">
        <f ca="1">Dynamic_Severity2[[#This Row],[Crash Count2]]/$E$122</f>
        <v>#REF!</v>
      </c>
      <c r="G108" s="86" t="str">
        <f>VLOOKUP(Dynamic_Severity2[[#This Row],[Crash Cause]],PCF[[#Headers],[#Data]],4,FALSE)</f>
        <v>Tire failure</v>
      </c>
    </row>
    <row r="109" spans="2:7" x14ac:dyDescent="0.25">
      <c r="B109" t="s">
        <v>116</v>
      </c>
      <c r="C10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9" s="87" t="e">
        <f ca="1">Dynamic_Severity2[[#This Row],[Crash Count]]/$C$122</f>
        <v>#REF!</v>
      </c>
      <c r="E109" t="e">
        <f ca="1">VLOOKUP(Dynamic_Severity2[[#This Row],[Crash Cause]],PCF[[#Headers],[#Data]],2,FALSE)</f>
        <v>#REF!</v>
      </c>
      <c r="F109" s="69" t="e">
        <f ca="1">Dynamic_Severity2[[#This Row],[Crash Count2]]/$E$122</f>
        <v>#REF!</v>
      </c>
      <c r="G109" s="86" t="str">
        <f>VLOOKUP(Dynamic_Severity2[[#This Row],[Crash Cause]],PCF[[#Headers],[#Data]],4,FALSE)</f>
        <v>Phantom / non-contact vehicle</v>
      </c>
    </row>
    <row r="110" spans="2:7" x14ac:dyDescent="0.25">
      <c r="B110" t="s">
        <v>117</v>
      </c>
      <c r="C11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0" s="87" t="e">
        <f ca="1">Dynamic_Severity2[[#This Row],[Crash Count]]/$C$122</f>
        <v>#REF!</v>
      </c>
      <c r="E110" t="e">
        <f ca="1">VLOOKUP(Dynamic_Severity2[[#This Row],[Crash Cause]],PCF[[#Headers],[#Data]],2,FALSE)</f>
        <v>#REF!</v>
      </c>
      <c r="F110" s="69" t="e">
        <f ca="1">Dynamic_Severity2[[#This Row],[Crash Count2]]/$E$122</f>
        <v>#REF!</v>
      </c>
      <c r="G110" s="86" t="str">
        <f>VLOOKUP(Dynamic_Severity2[[#This Row],[Crash Cause]],PCF[[#Headers],[#Data]],4,FALSE)</f>
        <v>Inattention</v>
      </c>
    </row>
    <row r="111" spans="2:7" x14ac:dyDescent="0.25">
      <c r="B111" t="s">
        <v>118</v>
      </c>
      <c r="C111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1" s="87" t="e">
        <f ca="1">Dynamic_Severity2[[#This Row],[Crash Count]]/$C$122</f>
        <v>#REF!</v>
      </c>
      <c r="E111" t="e">
        <f ca="1">VLOOKUP(Dynamic_Severity2[[#This Row],[Crash Cause]],PCF[[#Headers],[#Data]],2,FALSE)</f>
        <v>#REF!</v>
      </c>
      <c r="F111" s="69" t="e">
        <f ca="1">Dynamic_Severity2[[#This Row],[Crash Count2]]/$E$122</f>
        <v>#REF!</v>
      </c>
      <c r="G111" s="86" t="str">
        <f>VLOOKUP(Dynamic_Severity2[[#This Row],[Crash Cause]],PCF[[#Headers],[#Data]],4,FALSE)</f>
        <v>Non-Motorist Inattention</v>
      </c>
    </row>
    <row r="112" spans="2:7" x14ac:dyDescent="0.25">
      <c r="B112" t="s">
        <v>119</v>
      </c>
      <c r="C112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2" s="87" t="e">
        <f ca="1">Dynamic_Severity2[[#This Row],[Crash Count]]/$C$122</f>
        <v>#REF!</v>
      </c>
      <c r="E112" t="e">
        <f ca="1">VLOOKUP(Dynamic_Severity2[[#This Row],[Crash Cause]],PCF[[#Headers],[#Data]],2,FALSE)</f>
        <v>#REF!</v>
      </c>
      <c r="F112" s="69" t="e">
        <f ca="1">Dynamic_Severity2[[#This Row],[Crash Count2]]/$E$122</f>
        <v>#REF!</v>
      </c>
      <c r="G112" s="86" t="str">
        <f>VLOOKUP(Dynamic_Severity2[[#This Row],[Crash Cause]],PCF[[#Headers],[#Data]],4,FALSE)</f>
        <v>Failed to avoid vehicle ahead</v>
      </c>
    </row>
    <row r="113" spans="2:7" x14ac:dyDescent="0.25">
      <c r="B113" t="s">
        <v>120</v>
      </c>
      <c r="C113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3" s="87" t="e">
        <f ca="1">Dynamic_Severity2[[#This Row],[Crash Count]]/$C$122</f>
        <v>#REF!</v>
      </c>
      <c r="E113" t="e">
        <f ca="1">VLOOKUP(Dynamic_Severity2[[#This Row],[Crash Cause]],PCF[[#Headers],[#Data]],2,FALSE)</f>
        <v>#REF!</v>
      </c>
      <c r="F113" s="69" t="e">
        <f ca="1">Dynamic_Severity2[[#This Row],[Crash Count2]]/$E$122</f>
        <v>#REF!</v>
      </c>
      <c r="G113" s="86" t="str">
        <f>VLOOKUP(Dynamic_Severity2[[#This Row],[Crash Cause]],PCF[[#Headers],[#Data]],4,FALSE)</f>
        <v>Driving in excess of posted speed</v>
      </c>
    </row>
    <row r="114" spans="2:7" ht="30" customHeight="1" x14ac:dyDescent="0.25">
      <c r="B114" t="s">
        <v>121</v>
      </c>
      <c r="C114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4" s="87" t="e">
        <f ca="1">Dynamic_Severity2[[#This Row],[Crash Count]]/$C$122</f>
        <v>#REF!</v>
      </c>
      <c r="E114" t="e">
        <f ca="1">VLOOKUP(Dynamic_Severity2[[#This Row],[Crash Cause]],PCF[[#Headers],[#Data]],2,FALSE)</f>
        <v>#REF!</v>
      </c>
      <c r="F114" s="69" t="e">
        <f ca="1">Dynamic_Severity2[[#This Row],[Crash Count2]]/$E$122</f>
        <v>#REF!</v>
      </c>
      <c r="G114" s="86" t="str">
        <f>VLOOKUP(Dynamic_Severity2[[#This Row],[Crash Cause]],PCF[[#Headers],[#Data]],4,FALSE)</f>
        <v>Speed Racing (Per PAR or self-reported)</v>
      </c>
    </row>
    <row r="115" spans="2:7" ht="30" customHeight="1" x14ac:dyDescent="0.25">
      <c r="B115" t="s">
        <v>122</v>
      </c>
      <c r="C115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5" s="87" t="e">
        <f ca="1">Dynamic_Severity2[[#This Row],[Crash Count]]/$C$122</f>
        <v>#REF!</v>
      </c>
      <c r="E115" t="e">
        <f ca="1">VLOOKUP(Dynamic_Severity2[[#This Row],[Crash Cause]],PCF[[#Headers],[#Data]],2,FALSE)</f>
        <v>#REF!</v>
      </c>
      <c r="F115" s="69" t="e">
        <f ca="1">Dynamic_Severity2[[#This Row],[Crash Count2]]/$E$122</f>
        <v>#REF!</v>
      </c>
      <c r="G115" s="86" t="str">
        <f>VLOOKUP(Dynamic_Severity2[[#This Row],[Crash Cause]],PCF[[#Headers],[#Data]],4,FALSE)</f>
        <v>Careless Driving (Per PAR or self-reported)</v>
      </c>
    </row>
    <row r="116" spans="2:7" ht="30" customHeight="1" x14ac:dyDescent="0.25">
      <c r="B116" t="s">
        <v>123</v>
      </c>
      <c r="C11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6" s="87" t="e">
        <f ca="1">Dynamic_Severity2[[#This Row],[Crash Count]]/$C$122</f>
        <v>#REF!</v>
      </c>
      <c r="E116" t="e">
        <f ca="1">VLOOKUP(Dynamic_Severity2[[#This Row],[Crash Cause]],PCF[[#Headers],[#Data]],2,FALSE)</f>
        <v>#REF!</v>
      </c>
      <c r="F116" s="69" t="e">
        <f ca="1">Dynamic_Severity2[[#This Row],[Crash Count2]]/$E$122</f>
        <v>#REF!</v>
      </c>
      <c r="G116" s="86" t="str">
        <f>VLOOKUP(Dynamic_Severity2[[#This Row],[Crash Cause]],PCF[[#Headers],[#Data]],4,FALSE)</f>
        <v>Reckless Driving (Per PAR or self-reported)</v>
      </c>
    </row>
    <row r="117" spans="2:7" x14ac:dyDescent="0.25">
      <c r="B117" t="s">
        <v>124</v>
      </c>
      <c r="C11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7" s="87" t="e">
        <f ca="1">Dynamic_Severity2[[#This Row],[Crash Count]]/$C$122</f>
        <v>#REF!</v>
      </c>
      <c r="E117" t="e">
        <f ca="1">VLOOKUP(Dynamic_Severity2[[#This Row],[Crash Cause]],PCF[[#Headers],[#Data]],2,FALSE)</f>
        <v>#REF!</v>
      </c>
      <c r="F117" s="69" t="e">
        <f ca="1">Dynamic_Severity2[[#This Row],[Crash Count2]]/$E$122</f>
        <v>#REF!</v>
      </c>
      <c r="G117" s="86" t="str">
        <f>VLOOKUP(Dynamic_Severity2[[#This Row],[Crash Cause]],PCF[[#Headers],[#Data]],4,FALSE)</f>
        <v>*Aggressive Driving (Per PAR)</v>
      </c>
    </row>
    <row r="118" spans="2:7" x14ac:dyDescent="0.25">
      <c r="B118" t="s">
        <v>125</v>
      </c>
      <c r="C11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8" s="87" t="e">
        <f ca="1">Dynamic_Severity2[[#This Row],[Crash Count]]/$C$122</f>
        <v>#REF!</v>
      </c>
      <c r="E118" t="e">
        <f ca="1">VLOOKUP(Dynamic_Severity2[[#This Row],[Crash Cause]],PCF[[#Headers],[#Data]],2,FALSE)</f>
        <v>#REF!</v>
      </c>
      <c r="F118" s="69" t="e">
        <f ca="1">Dynamic_Severity2[[#This Row],[Crash Count2]]/$E$122</f>
        <v>#REF!</v>
      </c>
      <c r="G118" s="86" t="str">
        <f>VLOOKUP(Dynamic_Severity2[[#This Row],[Crash Cause]],PCF[[#Headers],[#Data]],4,FALSE)</f>
        <v>*Road Rage (Per PAR)</v>
      </c>
    </row>
    <row r="119" spans="2:7" x14ac:dyDescent="0.25">
      <c r="B119" t="s">
        <v>126</v>
      </c>
      <c r="C11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9" s="87" t="e">
        <f ca="1">Dynamic_Severity2[[#This Row],[Crash Count]]/$C$122</f>
        <v>#REF!</v>
      </c>
      <c r="E119" t="e">
        <f ca="1">VLOOKUP(Dynamic_Severity2[[#This Row],[Crash Cause]],PCF[[#Headers],[#Data]],2,FALSE)</f>
        <v>#REF!</v>
      </c>
      <c r="F119" s="69" t="e">
        <f ca="1">Dynamic_Severity2[[#This Row],[Crash Count2]]/$E$122</f>
        <v>#REF!</v>
      </c>
      <c r="G119" s="86" t="str">
        <f>VLOOKUP(Dynamic_Severity2[[#This Row],[Crash Cause]],PCF[[#Headers],[#Data]],4,FALSE)</f>
        <v>View Obscured</v>
      </c>
    </row>
    <row r="120" spans="2:7" ht="30" customHeight="1" x14ac:dyDescent="0.25">
      <c r="B120" t="s">
        <v>127</v>
      </c>
      <c r="C12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20" s="87" t="e">
        <f ca="1">Dynamic_Severity2[[#This Row],[Crash Count]]/$C$122</f>
        <v>#REF!</v>
      </c>
      <c r="E120" t="e">
        <f ca="1">VLOOKUP(Dynamic_Severity2[[#This Row],[Crash Cause]],PCF[[#Headers],[#Data]],2,FALSE)</f>
        <v>#REF!</v>
      </c>
      <c r="F120" s="69" t="e">
        <f ca="1">Dynamic_Severity2[[#This Row],[Crash Count2]]/$E$122</f>
        <v>#REF!</v>
      </c>
      <c r="G120" s="86" t="str">
        <f>VLOOKUP(Dynamic_Severity2[[#This Row],[Crash Cause]],PCF[[#Headers],[#Data]],4,FALSE)</f>
        <v>Improper use of median or shoulder</v>
      </c>
    </row>
    <row r="121" spans="2:7" x14ac:dyDescent="0.25">
      <c r="B121" s="86" t="s">
        <v>53</v>
      </c>
      <c r="C121" s="86" t="e">
        <f ca="1">SUBTOTAL(109,Dynamic_Severity2[Crash Count])</f>
        <v>#REF!</v>
      </c>
      <c r="D121" s="41" t="e">
        <f ca="1">SUBTOTAL(109,Dynamic_Severity2[Crash Share])</f>
        <v>#REF!</v>
      </c>
      <c r="E121" t="e">
        <f ca="1">SUBTOTAL(109,Dynamic_Severity2[Crash Count2])</f>
        <v>#REF!</v>
      </c>
      <c r="F121" s="82" t="e">
        <f ca="1">SUBTOTAL(109,Dynamic_Severity2[Crash Share2])</f>
        <v>#REF!</v>
      </c>
      <c r="G121" s="86"/>
    </row>
    <row r="122" spans="2:7" x14ac:dyDescent="0.25">
      <c r="B122" s="83" t="s">
        <v>128</v>
      </c>
      <c r="C122" s="80" t="e">
        <f ca="1">Dynamic_Severity[[#Totals],[Crash Count]]</f>
        <v>#REF!</v>
      </c>
      <c r="D122" s="41"/>
      <c r="E122" s="80" t="e">
        <f ca="1">Dynamic_Severity[[#Totals],[Crash Count2]]</f>
        <v>#REF!</v>
      </c>
      <c r="F122" s="82"/>
      <c r="G122" s="86"/>
    </row>
  </sheetData>
  <mergeCells count="12">
    <mergeCell ref="C83:D83"/>
    <mergeCell ref="E83:F83"/>
    <mergeCell ref="H84:K84"/>
    <mergeCell ref="B47:E47"/>
    <mergeCell ref="B7:D7"/>
    <mergeCell ref="C18:D18"/>
    <mergeCell ref="E18:F18"/>
    <mergeCell ref="G18:H18"/>
    <mergeCell ref="C48:D48"/>
    <mergeCell ref="E48:F48"/>
    <mergeCell ref="B82:E82"/>
    <mergeCell ref="I18:J18"/>
  </mergeCells>
  <dataValidations disablePrompts="1" count="1">
    <dataValidation type="list" showInputMessage="1" showErrorMessage="1" sqref="C45" xr:uid="{00000000-0002-0000-0100-000000000000}">
      <formula1>$C$65:$C$71</formula1>
    </dataValidation>
  </dataValidations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2:L116"/>
  <sheetViews>
    <sheetView zoomScale="115" zoomScaleNormal="115" workbookViewId="0">
      <selection activeCell="E4" sqref="E4"/>
    </sheetView>
  </sheetViews>
  <sheetFormatPr defaultColWidth="8.85546875" defaultRowHeight="15" x14ac:dyDescent="0.25"/>
  <cols>
    <col min="1" max="1" width="3" customWidth="1"/>
    <col min="2" max="2" width="29.28515625" customWidth="1"/>
    <col min="3" max="3" width="15.7109375" bestFit="1" customWidth="1"/>
    <col min="4" max="4" width="16.5703125" bestFit="1" customWidth="1"/>
    <col min="5" max="5" width="17.7109375" bestFit="1" customWidth="1"/>
    <col min="6" max="6" width="14.28515625" customWidth="1"/>
    <col min="7" max="7" width="28.5703125" customWidth="1"/>
    <col min="8" max="8" width="15.28515625" bestFit="1" customWidth="1"/>
    <col min="9" max="9" width="15.7109375" bestFit="1" customWidth="1"/>
    <col min="10" max="10" width="16.28515625" bestFit="1" customWidth="1"/>
    <col min="11" max="12" width="17.7109375" bestFit="1" customWidth="1"/>
    <col min="13" max="21" width="8.85546875" customWidth="1"/>
  </cols>
  <sheetData>
    <row r="2" spans="2:5" x14ac:dyDescent="0.25">
      <c r="B2" s="80" t="s">
        <v>41</v>
      </c>
    </row>
    <row r="3" spans="2:5" x14ac:dyDescent="0.25">
      <c r="B3" s="95" t="s">
        <v>129</v>
      </c>
      <c r="C3" s="96">
        <f>COI!E3</f>
        <v>0</v>
      </c>
    </row>
    <row r="5" spans="2:5" x14ac:dyDescent="0.25">
      <c r="B5" s="80" t="s">
        <v>69</v>
      </c>
    </row>
    <row r="7" spans="2:5" x14ac:dyDescent="0.25">
      <c r="B7" s="107" t="s">
        <v>44</v>
      </c>
      <c r="C7" s="105"/>
      <c r="D7" s="105"/>
    </row>
    <row r="8" spans="2:5" x14ac:dyDescent="0.25">
      <c r="B8" s="13" t="s">
        <v>70</v>
      </c>
      <c r="C8" s="14" t="s">
        <v>46</v>
      </c>
      <c r="D8" s="14" t="s">
        <v>47</v>
      </c>
      <c r="E8" s="13" t="s">
        <v>71</v>
      </c>
    </row>
    <row r="9" spans="2:5" x14ac:dyDescent="0.25">
      <c r="B9" t="s">
        <v>72</v>
      </c>
      <c r="C9" t="e">
        <f ca="1">COUNTIF(INDIRECT("Collision!"&amp;Type!$C$3&amp;":"&amp;Type!$C$3),B9)</f>
        <v>#REF!</v>
      </c>
      <c r="D9" s="69">
        <f ca="1">IFERROR(C9/Type[[#Totals],[Crash Count]],0)</f>
        <v>0</v>
      </c>
      <c r="E9" t="s">
        <v>72</v>
      </c>
    </row>
    <row r="10" spans="2:5" x14ac:dyDescent="0.25">
      <c r="B10" t="s">
        <v>73</v>
      </c>
      <c r="C10" t="e">
        <f ca="1">COUNTIF(INDIRECT("Collision!"&amp;Type!$C$3&amp;":"&amp;Type!$C$3),B10)</f>
        <v>#REF!</v>
      </c>
      <c r="D10" s="69">
        <f ca="1">IFERROR(C10/Type[[#Totals],[Crash Count]],0)</f>
        <v>0</v>
      </c>
      <c r="E10" t="s">
        <v>73</v>
      </c>
    </row>
    <row r="11" spans="2:5" ht="30" customHeight="1" x14ac:dyDescent="0.25">
      <c r="B11" t="s">
        <v>74</v>
      </c>
      <c r="C11" t="e">
        <f ca="1">COUNTIF(INDIRECT("Collision!"&amp;Type!$C$3&amp;":"&amp;Type!$C$3),B11)</f>
        <v>#REF!</v>
      </c>
      <c r="D11" s="69">
        <f ca="1">IFERROR(C11/Type[[#Totals],[Crash Count]],0)</f>
        <v>0</v>
      </c>
      <c r="E11" s="86" t="s">
        <v>130</v>
      </c>
    </row>
    <row r="12" spans="2:5" x14ac:dyDescent="0.25">
      <c r="B12" t="s">
        <v>75</v>
      </c>
      <c r="C12" t="e">
        <f ca="1">COUNTIF(INDIRECT("Collision!"&amp;Type!$C$3&amp;":"&amp;Type!$C$3),B12)</f>
        <v>#REF!</v>
      </c>
      <c r="D12" s="69">
        <f ca="1">IFERROR(C12/Type[[#Totals],[Crash Count]],0)</f>
        <v>0</v>
      </c>
      <c r="E12" t="s">
        <v>75</v>
      </c>
    </row>
    <row r="13" spans="2:5" x14ac:dyDescent="0.25">
      <c r="B13" t="s">
        <v>76</v>
      </c>
      <c r="C13" t="e">
        <f ca="1">COUNTIF(INDIRECT("Collision!"&amp;Type!$C$3&amp;":"&amp;Type!$C$3),B13)</f>
        <v>#REF!</v>
      </c>
      <c r="D13" s="69">
        <f ca="1">IFERROR(C13/Type[[#Totals],[Crash Count]],0)</f>
        <v>0</v>
      </c>
      <c r="E13" t="s">
        <v>76</v>
      </c>
    </row>
    <row r="14" spans="2:5" ht="30" customHeight="1" x14ac:dyDescent="0.25">
      <c r="B14" t="s">
        <v>77</v>
      </c>
      <c r="C14" t="e">
        <f ca="1">COUNTIF(INDIRECT("Collision!"&amp;Type!$C$3&amp;":"&amp;Type!$C$3),B14)</f>
        <v>#REF!</v>
      </c>
      <c r="D14" s="69">
        <f ca="1">IFERROR(C14/Type[[#Totals],[Crash Count]],0)</f>
        <v>0</v>
      </c>
      <c r="E14" s="86" t="s">
        <v>131</v>
      </c>
    </row>
    <row r="15" spans="2:5" ht="30" customHeight="1" x14ac:dyDescent="0.25">
      <c r="B15" t="s">
        <v>78</v>
      </c>
      <c r="C15" t="e">
        <f ca="1">COUNTIF(INDIRECT("Collision!"&amp;Type!$C$3&amp;":"&amp;Type!$C$3),B15)</f>
        <v>#REF!</v>
      </c>
      <c r="D15" s="69">
        <f ca="1">IFERROR(C15/Type[[#Totals],[Crash Count]],0)</f>
        <v>0</v>
      </c>
      <c r="E15" s="86" t="s">
        <v>132</v>
      </c>
    </row>
    <row r="16" spans="2:5" x14ac:dyDescent="0.25">
      <c r="B16" t="s">
        <v>79</v>
      </c>
      <c r="C16" t="e">
        <f ca="1">COUNTIF(INDIRECT("Collision!"&amp;Type!$C$3&amp;":"&amp;Type!$C$3),B16)</f>
        <v>#REF!</v>
      </c>
      <c r="D16" s="69">
        <f ca="1">IFERROR(C16/Type[[#Totals],[Crash Count]],0)</f>
        <v>0</v>
      </c>
      <c r="E16" t="s">
        <v>79</v>
      </c>
    </row>
    <row r="17" spans="2:12" ht="30" customHeight="1" x14ac:dyDescent="0.25">
      <c r="B17" t="s">
        <v>80</v>
      </c>
      <c r="C17" t="e">
        <f ca="1">COUNTIF(INDIRECT("Collision!"&amp;Type!$C$3&amp;":"&amp;Type!$C$3),B17)</f>
        <v>#REF!</v>
      </c>
      <c r="D17" s="69">
        <f ca="1">IFERROR(C17/Type[[#Totals],[Crash Count]],0)</f>
        <v>0</v>
      </c>
      <c r="E17" s="86" t="s">
        <v>133</v>
      </c>
    </row>
    <row r="18" spans="2:12" x14ac:dyDescent="0.25">
      <c r="B18" t="s">
        <v>81</v>
      </c>
      <c r="C18" t="e">
        <f ca="1">COUNTIF(INDIRECT("Collision!"&amp;Type!$C$3&amp;":"&amp;Type!$C$3),B18)</f>
        <v>#REF!</v>
      </c>
      <c r="D18" s="69">
        <f ca="1">IFERROR(C18/Type[[#Totals],[Crash Count]],0)</f>
        <v>0</v>
      </c>
      <c r="E18" t="s">
        <v>81</v>
      </c>
    </row>
    <row r="19" spans="2:12" x14ac:dyDescent="0.25">
      <c r="B19" s="15" t="s">
        <v>82</v>
      </c>
      <c r="C19" t="e">
        <f ca="1">COUNTIF(INDIRECT("Collision!"&amp;Type!$C$3&amp;":"&amp;Type!$C$3),B19)</f>
        <v>#REF!</v>
      </c>
      <c r="D19" s="69">
        <f ca="1">IFERROR(C19/Type[[#Totals],[Crash Count]],0)</f>
        <v>0</v>
      </c>
      <c r="E19" s="15" t="s">
        <v>82</v>
      </c>
    </row>
    <row r="20" spans="2:12" x14ac:dyDescent="0.25">
      <c r="B20" s="15" t="s">
        <v>83</v>
      </c>
      <c r="C20" t="e">
        <f ca="1">COUNTIF(INDIRECT("Collision!"&amp;Type!$C$3&amp;":"&amp;Type!$C$3),B20)</f>
        <v>#REF!</v>
      </c>
      <c r="D20" s="69">
        <f ca="1">IFERROR(C20/Type[[#Totals],[Crash Count]],0)</f>
        <v>0</v>
      </c>
      <c r="E20" s="15" t="s">
        <v>83</v>
      </c>
    </row>
    <row r="21" spans="2:12" x14ac:dyDescent="0.25">
      <c r="B21" s="15" t="s">
        <v>84</v>
      </c>
      <c r="C21" t="e">
        <f ca="1">COUNTIF(INDIRECT("Collision!"&amp;Type!$C$3&amp;":"&amp;Type!$C$3),B21)</f>
        <v>#REF!</v>
      </c>
      <c r="D21" s="69">
        <f ca="1">IFERROR(C21/Type[[#Totals],[Crash Count]],0)</f>
        <v>0</v>
      </c>
      <c r="E21" s="15" t="s">
        <v>84</v>
      </c>
    </row>
    <row r="22" spans="2:12" x14ac:dyDescent="0.25">
      <c r="B22" s="15" t="s">
        <v>53</v>
      </c>
      <c r="C22" t="e">
        <f ca="1">SUBTOTAL(109,Type[Crash Count])</f>
        <v>#REF!</v>
      </c>
      <c r="D22" s="82">
        <f ca="1">IFERROR(SUBTOTAL(109,Type[Crash Share]), 0)</f>
        <v>0</v>
      </c>
    </row>
    <row r="24" spans="2:12" x14ac:dyDescent="0.25">
      <c r="B24" s="80" t="s">
        <v>134</v>
      </c>
    </row>
    <row r="25" spans="2:12" x14ac:dyDescent="0.25">
      <c r="B25" s="80"/>
    </row>
    <row r="26" spans="2:12" x14ac:dyDescent="0.25">
      <c r="B26" s="106" t="s">
        <v>68</v>
      </c>
      <c r="C26" s="105"/>
      <c r="D26" s="105"/>
      <c r="E26" s="105"/>
      <c r="I26" s="104" t="s">
        <v>88</v>
      </c>
      <c r="J26" s="105"/>
      <c r="K26" s="104" t="s">
        <v>87</v>
      </c>
      <c r="L26" s="105"/>
    </row>
    <row r="27" spans="2:12" x14ac:dyDescent="0.25">
      <c r="B27" s="5" t="s">
        <v>70</v>
      </c>
      <c r="C27" s="5" t="s">
        <v>48</v>
      </c>
      <c r="D27" s="5" t="s">
        <v>49</v>
      </c>
      <c r="E27" s="5" t="s">
        <v>135</v>
      </c>
      <c r="F27" s="5" t="s">
        <v>52</v>
      </c>
      <c r="G27" s="5" t="s">
        <v>53</v>
      </c>
      <c r="H27" s="5" t="s">
        <v>47</v>
      </c>
      <c r="I27" s="5" t="s">
        <v>46</v>
      </c>
      <c r="J27" s="5" t="s">
        <v>60</v>
      </c>
      <c r="K27" s="8" t="s">
        <v>59</v>
      </c>
      <c r="L27" s="9" t="s">
        <v>64</v>
      </c>
    </row>
    <row r="28" spans="2:12" x14ac:dyDescent="0.25">
      <c r="B28" s="15" t="s">
        <v>82</v>
      </c>
      <c r="C28" s="71" t="e">
        <f ca="1">SUM(COUNTIFS(INDIRECT("Collision!"&amp;Type!$C$3&amp;":"&amp;Type!$C$3),$B28,INDIRECT("Collision!"&amp;Severity!$C$3&amp;":"&amp;Severity!$C$3),C$27))</f>
        <v>#REF!</v>
      </c>
      <c r="D28" s="71" t="e">
        <f ca="1">SUM(COUNTIFS(INDIRECT("Collision!"&amp;Type!$C$3&amp;":"&amp;Type!$C$3),$B28,INDIRECT("Collision!"&amp;Severity!$C$3&amp;":"&amp;Severity!$C$3),D$27))</f>
        <v>#REF!</v>
      </c>
      <c r="E28" s="71" t="e">
        <f t="array" aca="1" ref="E28" ca="1">SUM(COUNTIFS(INDIRECT("Collision!"&amp;Type!$C$3&amp;":"&amp;Type!$C$3),$B28,INDIRECT("Collision!"&amp;Severity!$C$3&amp;":"&amp;Severity!$C$3),{"Moderate Injury","Minor Injury"}))</f>
        <v>#REF!</v>
      </c>
      <c r="F28" s="71" t="e">
        <f ca="1">SUM(COUNTIFS(INDIRECT("Collision!"&amp;Type!$C$3&amp;":"&amp;Type!$C$3),$B28,INDIRECT("Collision!"&amp;Severity!$C$3&amp;":"&amp;Severity!$C$3),F$27))</f>
        <v>#REF!</v>
      </c>
      <c r="G28" s="71" t="e">
        <f t="shared" ref="G28:G40" ca="1" si="0">SUM(C28:F28)</f>
        <v>#REF!</v>
      </c>
      <c r="H28" s="69">
        <f ca="1">IFERROR(G28/Type_Severity[[#Totals],[Total]],0)</f>
        <v>0</v>
      </c>
      <c r="I28" s="71" t="e">
        <f t="shared" ref="I28:I40" ca="1" si="1">SUM(D28,C28)</f>
        <v>#REF!</v>
      </c>
      <c r="J28" s="69" t="e">
        <f ca="1">IF(G28=0,0,Type_Severity[[#This Row],[Crash Count]]/Type_Severity[[#Totals],[Crash Count]])</f>
        <v>#REF!</v>
      </c>
      <c r="K28" t="e">
        <f ca="1">SUM(Type_Severity[[#This Row],[Severe Injury]:[Other Injury]])</f>
        <v>#REF!</v>
      </c>
      <c r="L28" s="69">
        <f ca="1">IFERROR(Type_Severity[[#This Row],[Crash Count2]]/Type_Severity[[#Totals],[Crash Count2]],0)</f>
        <v>0</v>
      </c>
    </row>
    <row r="29" spans="2:12" x14ac:dyDescent="0.25">
      <c r="B29" s="15" t="s">
        <v>83</v>
      </c>
      <c r="C29" s="71" t="e">
        <f ca="1">SUM(COUNTIFS(INDIRECT("Collision!"&amp;Type!$C$3&amp;":"&amp;Type!$C$3),$B29,INDIRECT("Collision!"&amp;Severity!$C$3&amp;":"&amp;Severity!$C$3),C$27))</f>
        <v>#REF!</v>
      </c>
      <c r="D29" s="71" t="e">
        <f ca="1">SUM(COUNTIFS(INDIRECT("Collision!"&amp;Type!$C$3&amp;":"&amp;Type!$C$3),$B29,INDIRECT("Collision!"&amp;Severity!$C$3&amp;":"&amp;Severity!$C$3),D$27))</f>
        <v>#REF!</v>
      </c>
      <c r="E29" s="71" t="e">
        <f t="array" aca="1" ref="E29" ca="1">SUM(COUNTIFS(INDIRECT("Collision!"&amp;Type!$C$3&amp;":"&amp;Type!$C$3),$B29,INDIRECT("Collision!"&amp;Severity!$C$3&amp;":"&amp;Severity!$C$3),{"Moderate Injury","Minor Injury"}))</f>
        <v>#REF!</v>
      </c>
      <c r="F29" s="71" t="e">
        <f ca="1">SUM(COUNTIFS(INDIRECT("Collision!"&amp;Type!$C$3&amp;":"&amp;Type!$C$3),$B29,INDIRECT("Collision!"&amp;Severity!$C$3&amp;":"&amp;Severity!$C$3),F$27))</f>
        <v>#REF!</v>
      </c>
      <c r="G29" s="71" t="e">
        <f t="shared" ca="1" si="0"/>
        <v>#REF!</v>
      </c>
      <c r="H29" s="69">
        <f ca="1">IFERROR(G29/Type_Severity[[#Totals],[Total]],0)</f>
        <v>0</v>
      </c>
      <c r="I29" s="71" t="e">
        <f t="shared" ca="1" si="1"/>
        <v>#REF!</v>
      </c>
      <c r="J29" s="69" t="e">
        <f ca="1">IF(G29=0,0,Type_Severity[[#This Row],[Crash Count]]/Type_Severity[[#Totals],[Crash Count]])</f>
        <v>#REF!</v>
      </c>
      <c r="K29" t="e">
        <f ca="1">SUM(Type_Severity[[#This Row],[Severe Injury]:[Other Injury]])</f>
        <v>#REF!</v>
      </c>
      <c r="L29" s="69">
        <f ca="1">IFERROR(Type_Severity[[#This Row],[Crash Count2]]/Type_Severity[[#Totals],[Crash Count2]],0)</f>
        <v>0</v>
      </c>
    </row>
    <row r="30" spans="2:12" x14ac:dyDescent="0.25">
      <c r="B30" t="s">
        <v>72</v>
      </c>
      <c r="C30" s="71" t="e">
        <f ca="1">SUM(COUNTIFS(INDIRECT("Collision!"&amp;Type!$C$3&amp;":"&amp;Type!$C$3),$B30,INDIRECT("Collision!"&amp;Severity!$C$3&amp;":"&amp;Severity!$C$3),C$27))</f>
        <v>#REF!</v>
      </c>
      <c r="D30" s="71" t="e">
        <f ca="1">SUM(COUNTIFS(INDIRECT("Collision!"&amp;Type!$C$3&amp;":"&amp;Type!$C$3),$B30,INDIRECT("Collision!"&amp;Severity!$C$3&amp;":"&amp;Severity!$C$3),D$27))</f>
        <v>#REF!</v>
      </c>
      <c r="E30" s="71" t="e">
        <f t="array" aca="1" ref="E30" ca="1">SUM(COUNTIFS(INDIRECT("Collision!"&amp;Type!$C$3&amp;":"&amp;Type!$C$3),$B30,INDIRECT("Collision!"&amp;Severity!$C$3&amp;":"&amp;Severity!$C$3),{"Moderate Injury","Minor Injury"}))</f>
        <v>#REF!</v>
      </c>
      <c r="F30" s="71" t="e">
        <f ca="1">SUM(COUNTIFS(INDIRECT("Collision!"&amp;Type!$C$3&amp;":"&amp;Type!$C$3),$B30,INDIRECT("Collision!"&amp;Severity!$C$3&amp;":"&amp;Severity!$C$3),F$27))</f>
        <v>#REF!</v>
      </c>
      <c r="G30" s="71" t="e">
        <f t="shared" ca="1" si="0"/>
        <v>#REF!</v>
      </c>
      <c r="H30" s="69">
        <f ca="1">IFERROR(G30/Type_Severity[[#Totals],[Total]],0)</f>
        <v>0</v>
      </c>
      <c r="I30" s="71" t="e">
        <f t="shared" ca="1" si="1"/>
        <v>#REF!</v>
      </c>
      <c r="J30" s="69" t="e">
        <f ca="1">IF(G30=0,0,Type_Severity[[#This Row],[Crash Count]]/Type_Severity[[#Totals],[Crash Count]])</f>
        <v>#REF!</v>
      </c>
      <c r="K30" t="e">
        <f ca="1">SUM(Type_Severity[[#This Row],[Severe Injury]:[Other Injury]])</f>
        <v>#REF!</v>
      </c>
      <c r="L30" s="69">
        <f ca="1">IFERROR(Type_Severity[[#This Row],[Crash Count2]]/Type_Severity[[#Totals],[Crash Count2]],0)</f>
        <v>0</v>
      </c>
    </row>
    <row r="31" spans="2:12" x14ac:dyDescent="0.25">
      <c r="B31" t="s">
        <v>81</v>
      </c>
      <c r="C31" s="71" t="e">
        <f ca="1">SUM(COUNTIFS(INDIRECT("Collision!"&amp;Type!$C$3&amp;":"&amp;Type!$C$3),$B31,INDIRECT("Collision!"&amp;Severity!$C$3&amp;":"&amp;Severity!$C$3),C$27))</f>
        <v>#REF!</v>
      </c>
      <c r="D31" s="71" t="e">
        <f ca="1">SUM(COUNTIFS(INDIRECT("Collision!"&amp;Type!$C$3&amp;":"&amp;Type!$C$3),$B31,INDIRECT("Collision!"&amp;Severity!$C$3&amp;":"&amp;Severity!$C$3),D$27))</f>
        <v>#REF!</v>
      </c>
      <c r="E31" s="71" t="e">
        <f t="array" aca="1" ref="E31" ca="1">SUM(COUNTIFS(INDIRECT("Collision!"&amp;Type!$C$3&amp;":"&amp;Type!$C$3),$B31,INDIRECT("Collision!"&amp;Severity!$C$3&amp;":"&amp;Severity!$C$3),{"Moderate Injury","Minor Injury"}))</f>
        <v>#REF!</v>
      </c>
      <c r="F31" s="71" t="e">
        <f ca="1">SUM(COUNTIFS(INDIRECT("Collision!"&amp;Type!$C$3&amp;":"&amp;Type!$C$3),$B31,INDIRECT("Collision!"&amp;Severity!$C$3&amp;":"&amp;Severity!$C$3),F$27))</f>
        <v>#REF!</v>
      </c>
      <c r="G31" s="71" t="e">
        <f t="shared" ca="1" si="0"/>
        <v>#REF!</v>
      </c>
      <c r="H31" s="69">
        <f ca="1">IFERROR(G31/Type_Severity[[#Totals],[Total]],0)</f>
        <v>0</v>
      </c>
      <c r="I31" s="71" t="e">
        <f t="shared" ca="1" si="1"/>
        <v>#REF!</v>
      </c>
      <c r="J31" s="69" t="e">
        <f ca="1">IF(G31=0,0,Type_Severity[[#This Row],[Crash Count]]/Type_Severity[[#Totals],[Crash Count]])</f>
        <v>#REF!</v>
      </c>
      <c r="K31" t="e">
        <f ca="1">SUM(Type_Severity[[#This Row],[Severe Injury]:[Other Injury]])</f>
        <v>#REF!</v>
      </c>
      <c r="L31" s="69">
        <f ca="1">IFERROR(Type_Severity[[#This Row],[Crash Count2]]/Type_Severity[[#Totals],[Crash Count2]],0)</f>
        <v>0</v>
      </c>
    </row>
    <row r="32" spans="2:12" x14ac:dyDescent="0.25">
      <c r="B32" s="15" t="s">
        <v>84</v>
      </c>
      <c r="C32" s="71" t="e">
        <f ca="1">SUM(COUNTIFS(INDIRECT("Collision!"&amp;Type!$C$3&amp;":"&amp;Type!$C$3),$B32,INDIRECT("Collision!"&amp;Severity!$C$3&amp;":"&amp;Severity!$C$3),C$27))</f>
        <v>#REF!</v>
      </c>
      <c r="D32" s="71" t="e">
        <f ca="1">SUM(COUNTIFS(INDIRECT("Collision!"&amp;Type!$C$3&amp;":"&amp;Type!$C$3),$B32,INDIRECT("Collision!"&amp;Severity!$C$3&amp;":"&amp;Severity!$C$3),D$27))</f>
        <v>#REF!</v>
      </c>
      <c r="E32" s="71" t="e">
        <f t="array" aca="1" ref="E32" ca="1">SUM(COUNTIFS(INDIRECT("Collision!"&amp;Type!$C$3&amp;":"&amp;Type!$C$3),$B32,INDIRECT("Collision!"&amp;Severity!$C$3&amp;":"&amp;Severity!$C$3),{"Moderate Injury","Minor Injury"}))</f>
        <v>#REF!</v>
      </c>
      <c r="F32" s="71" t="e">
        <f ca="1">SUM(COUNTIFS(INDIRECT("Collision!"&amp;Type!$C$3&amp;":"&amp;Type!$C$3),$B32,INDIRECT("Collision!"&amp;Severity!$C$3&amp;":"&amp;Severity!$C$3),F$27))</f>
        <v>#REF!</v>
      </c>
      <c r="G32" s="71" t="e">
        <f t="shared" ca="1" si="0"/>
        <v>#REF!</v>
      </c>
      <c r="H32" s="69">
        <f ca="1">IFERROR(G32/Type_Severity[[#Totals],[Total]],0)</f>
        <v>0</v>
      </c>
      <c r="I32" s="71" t="e">
        <f t="shared" ca="1" si="1"/>
        <v>#REF!</v>
      </c>
      <c r="J32" s="69" t="e">
        <f ca="1">IF(G32=0,0,Type_Severity[[#This Row],[Crash Count]]/Type_Severity[[#Totals],[Crash Count]])</f>
        <v>#REF!</v>
      </c>
      <c r="K32" t="e">
        <f ca="1">SUM(Type_Severity[[#This Row],[Severe Injury]:[Other Injury]])</f>
        <v>#REF!</v>
      </c>
      <c r="L32" s="69">
        <f ca="1">IFERROR(Type_Severity[[#This Row],[Crash Count2]]/Type_Severity[[#Totals],[Crash Count2]],0)</f>
        <v>0</v>
      </c>
    </row>
    <row r="33" spans="2:12" x14ac:dyDescent="0.25">
      <c r="B33" t="s">
        <v>73</v>
      </c>
      <c r="C33" s="71" t="e">
        <f ca="1">SUM(COUNTIFS(INDIRECT("Collision!"&amp;Type!$C$3&amp;":"&amp;Type!$C$3),$B33,INDIRECT("Collision!"&amp;Severity!$C$3&amp;":"&amp;Severity!$C$3),C$27))</f>
        <v>#REF!</v>
      </c>
      <c r="D33" s="71" t="e">
        <f ca="1">SUM(COUNTIFS(INDIRECT("Collision!"&amp;Type!$C$3&amp;":"&amp;Type!$C$3),$B33,INDIRECT("Collision!"&amp;Severity!$C$3&amp;":"&amp;Severity!$C$3),D$27))</f>
        <v>#REF!</v>
      </c>
      <c r="E33" s="71" t="e">
        <f t="array" aca="1" ref="E33" ca="1">SUM(COUNTIFS(INDIRECT("Collision!"&amp;Type!$C$3&amp;":"&amp;Type!$C$3),$B33,INDIRECT("Collision!"&amp;Severity!$C$3&amp;":"&amp;Severity!$C$3),{"Moderate Injury","Minor Injury"}))</f>
        <v>#REF!</v>
      </c>
      <c r="F33" s="71" t="e">
        <f ca="1">SUM(COUNTIFS(INDIRECT("Collision!"&amp;Type!$C$3&amp;":"&amp;Type!$C$3),$B33,INDIRECT("Collision!"&amp;Severity!$C$3&amp;":"&amp;Severity!$C$3),F$27))</f>
        <v>#REF!</v>
      </c>
      <c r="G33" s="71" t="e">
        <f t="shared" ca="1" si="0"/>
        <v>#REF!</v>
      </c>
      <c r="H33" s="69">
        <f ca="1">IFERROR(G33/Type_Severity[[#Totals],[Total]],0)</f>
        <v>0</v>
      </c>
      <c r="I33" s="71" t="e">
        <f t="shared" ca="1" si="1"/>
        <v>#REF!</v>
      </c>
      <c r="J33" s="69" t="e">
        <f ca="1">IF(G33=0,0,Type_Severity[[#This Row],[Crash Count]]/Type_Severity[[#Totals],[Crash Count]])</f>
        <v>#REF!</v>
      </c>
      <c r="K33" t="e">
        <f ca="1">SUM(Type_Severity[[#This Row],[Severe Injury]:[Other Injury]])</f>
        <v>#REF!</v>
      </c>
      <c r="L33" s="69">
        <f ca="1">IFERROR(Type_Severity[[#This Row],[Crash Count2]]/Type_Severity[[#Totals],[Crash Count2]],0)</f>
        <v>0</v>
      </c>
    </row>
    <row r="34" spans="2:12" x14ac:dyDescent="0.25">
      <c r="B34" t="s">
        <v>80</v>
      </c>
      <c r="C34" s="71" t="e">
        <f ca="1">SUM(COUNTIFS(INDIRECT("Collision!"&amp;Type!$C$3&amp;":"&amp;Type!$C$3),$B34,INDIRECT("Collision!"&amp;Severity!$C$3&amp;":"&amp;Severity!$C$3),C$27))</f>
        <v>#REF!</v>
      </c>
      <c r="D34" s="71" t="e">
        <f ca="1">SUM(COUNTIFS(INDIRECT("Collision!"&amp;Type!$C$3&amp;":"&amp;Type!$C$3),$B34,INDIRECT("Collision!"&amp;Severity!$C$3&amp;":"&amp;Severity!$C$3),D$27))</f>
        <v>#REF!</v>
      </c>
      <c r="E34" s="71" t="e">
        <f t="array" aca="1" ref="E34" ca="1">SUM(COUNTIFS(INDIRECT("Collision!"&amp;Type!$C$3&amp;":"&amp;Type!$C$3),$B34,INDIRECT("Collision!"&amp;Severity!$C$3&amp;":"&amp;Severity!$C$3),{"Moderate Injury","Minor Injury"}))</f>
        <v>#REF!</v>
      </c>
      <c r="F34" s="71" t="e">
        <f ca="1">SUM(COUNTIFS(INDIRECT("Collision!"&amp;Type!$C$3&amp;":"&amp;Type!$C$3),$B34,INDIRECT("Collision!"&amp;Severity!$C$3&amp;":"&amp;Severity!$C$3),F$27))</f>
        <v>#REF!</v>
      </c>
      <c r="G34" s="71" t="e">
        <f t="shared" ca="1" si="0"/>
        <v>#REF!</v>
      </c>
      <c r="H34" s="69">
        <f ca="1">IFERROR(G34/Type_Severity[[#Totals],[Total]],0)</f>
        <v>0</v>
      </c>
      <c r="I34" s="71" t="e">
        <f t="shared" ca="1" si="1"/>
        <v>#REF!</v>
      </c>
      <c r="J34" s="69" t="e">
        <f ca="1">IF(G34=0,0,Type_Severity[[#This Row],[Crash Count]]/Type_Severity[[#Totals],[Crash Count]])</f>
        <v>#REF!</v>
      </c>
      <c r="K34" t="e">
        <f ca="1">SUM(Type_Severity[[#This Row],[Severe Injury]:[Other Injury]])</f>
        <v>#REF!</v>
      </c>
      <c r="L34" s="69">
        <f ca="1">IFERROR(Type_Severity[[#This Row],[Crash Count2]]/Type_Severity[[#Totals],[Crash Count2]],0)</f>
        <v>0</v>
      </c>
    </row>
    <row r="35" spans="2:12" x14ac:dyDescent="0.25">
      <c r="B35" t="s">
        <v>79</v>
      </c>
      <c r="C35" s="71" t="e">
        <f ca="1">SUM(COUNTIFS(INDIRECT("Collision!"&amp;Type!$C$3&amp;":"&amp;Type!$C$3),$B35,INDIRECT("Collision!"&amp;Severity!$C$3&amp;":"&amp;Severity!$C$3),C$27))</f>
        <v>#REF!</v>
      </c>
      <c r="D35" s="71" t="e">
        <f ca="1">SUM(COUNTIFS(INDIRECT("Collision!"&amp;Type!$C$3&amp;":"&amp;Type!$C$3),$B35,INDIRECT("Collision!"&amp;Severity!$C$3&amp;":"&amp;Severity!$C$3),D$27))</f>
        <v>#REF!</v>
      </c>
      <c r="E35" s="71" t="e">
        <f t="array" aca="1" ref="E35" ca="1">SUM(COUNTIFS(INDIRECT("Collision!"&amp;Type!$C$3&amp;":"&amp;Type!$C$3),$B35,INDIRECT("Collision!"&amp;Severity!$C$3&amp;":"&amp;Severity!$C$3),{"Moderate Injury","Minor Injury"}))</f>
        <v>#REF!</v>
      </c>
      <c r="F35" s="71" t="e">
        <f ca="1">SUM(COUNTIFS(INDIRECT("Collision!"&amp;Type!$C$3&amp;":"&amp;Type!$C$3),$B35,INDIRECT("Collision!"&amp;Severity!$C$3&amp;":"&amp;Severity!$C$3),F$27))</f>
        <v>#REF!</v>
      </c>
      <c r="G35" s="71" t="e">
        <f t="shared" ca="1" si="0"/>
        <v>#REF!</v>
      </c>
      <c r="H35" s="69">
        <f ca="1">IFERROR(G35/Type_Severity[[#Totals],[Total]],0)</f>
        <v>0</v>
      </c>
      <c r="I35" s="71" t="e">
        <f t="shared" ca="1" si="1"/>
        <v>#REF!</v>
      </c>
      <c r="J35" s="69" t="e">
        <f ca="1">IF(G35=0,0,Type_Severity[[#This Row],[Crash Count]]/Type_Severity[[#Totals],[Crash Count]])</f>
        <v>#REF!</v>
      </c>
      <c r="K35" t="e">
        <f ca="1">SUM(Type_Severity[[#This Row],[Severe Injury]:[Other Injury]])</f>
        <v>#REF!</v>
      </c>
      <c r="L35" s="69">
        <f ca="1">IFERROR(Type_Severity[[#This Row],[Crash Count2]]/Type_Severity[[#Totals],[Crash Count2]],0)</f>
        <v>0</v>
      </c>
    </row>
    <row r="36" spans="2:12" x14ac:dyDescent="0.25">
      <c r="B36" t="s">
        <v>77</v>
      </c>
      <c r="C36" s="71" t="e">
        <f ca="1">SUM(COUNTIFS(INDIRECT("Collision!"&amp;Type!$C$3&amp;":"&amp;Type!$C$3),$B36,INDIRECT("Collision!"&amp;Severity!$C$3&amp;":"&amp;Severity!$C$3),C$27))</f>
        <v>#REF!</v>
      </c>
      <c r="D36" s="71" t="e">
        <f ca="1">SUM(COUNTIFS(INDIRECT("Collision!"&amp;Type!$C$3&amp;":"&amp;Type!$C$3),$B36,INDIRECT("Collision!"&amp;Severity!$C$3&amp;":"&amp;Severity!$C$3),D$27))</f>
        <v>#REF!</v>
      </c>
      <c r="E36" s="71" t="e">
        <f t="array" aca="1" ref="E36" ca="1">SUM(COUNTIFS(INDIRECT("Collision!"&amp;Type!$C$3&amp;":"&amp;Type!$C$3),$B36,INDIRECT("Collision!"&amp;Severity!$C$3&amp;":"&amp;Severity!$C$3),{"Moderate Injury","Minor Injury"}))</f>
        <v>#REF!</v>
      </c>
      <c r="F36" s="71" t="e">
        <f ca="1">SUM(COUNTIFS(INDIRECT("Collision!"&amp;Type!$C$3&amp;":"&amp;Type!$C$3),$B36,INDIRECT("Collision!"&amp;Severity!$C$3&amp;":"&amp;Severity!$C$3),F$27))</f>
        <v>#REF!</v>
      </c>
      <c r="G36" s="71" t="e">
        <f t="shared" ca="1" si="0"/>
        <v>#REF!</v>
      </c>
      <c r="H36" s="69">
        <f ca="1">IFERROR(G36/Type_Severity[[#Totals],[Total]],0)</f>
        <v>0</v>
      </c>
      <c r="I36" s="71" t="e">
        <f t="shared" ca="1" si="1"/>
        <v>#REF!</v>
      </c>
      <c r="J36" s="69" t="e">
        <f ca="1">IF(G36=0,0,Type_Severity[[#This Row],[Crash Count]]/Type_Severity[[#Totals],[Crash Count]])</f>
        <v>#REF!</v>
      </c>
      <c r="K36" t="e">
        <f ca="1">SUM(Type_Severity[[#This Row],[Severe Injury]:[Other Injury]])</f>
        <v>#REF!</v>
      </c>
      <c r="L36" s="69">
        <f ca="1">IFERROR(Type_Severity[[#This Row],[Crash Count2]]/Type_Severity[[#Totals],[Crash Count2]],0)</f>
        <v>0</v>
      </c>
    </row>
    <row r="37" spans="2:12" x14ac:dyDescent="0.25">
      <c r="B37" t="s">
        <v>76</v>
      </c>
      <c r="C37" s="71" t="e">
        <f ca="1">SUM(COUNTIFS(INDIRECT("Collision!"&amp;Type!$C$3&amp;":"&amp;Type!$C$3),$B37,INDIRECT("Collision!"&amp;Severity!$C$3&amp;":"&amp;Severity!$C$3),C$27))</f>
        <v>#REF!</v>
      </c>
      <c r="D37" s="71" t="e">
        <f ca="1">SUM(COUNTIFS(INDIRECT("Collision!"&amp;Type!$C$3&amp;":"&amp;Type!$C$3),$B37,INDIRECT("Collision!"&amp;Severity!$C$3&amp;":"&amp;Severity!$C$3),D$27))</f>
        <v>#REF!</v>
      </c>
      <c r="E37" s="71" t="e">
        <f t="array" aca="1" ref="E37" ca="1">SUM(COUNTIFS(INDIRECT("Collision!"&amp;Type!$C$3&amp;":"&amp;Type!$C$3),$B37,INDIRECT("Collision!"&amp;Severity!$C$3&amp;":"&amp;Severity!$C$3),{"Moderate Injury","Minor Injury"}))</f>
        <v>#REF!</v>
      </c>
      <c r="F37" s="71" t="e">
        <f ca="1">SUM(COUNTIFS(INDIRECT("Collision!"&amp;Type!$C$3&amp;":"&amp;Type!$C$3),$B37,INDIRECT("Collision!"&amp;Severity!$C$3&amp;":"&amp;Severity!$C$3),F$27))</f>
        <v>#REF!</v>
      </c>
      <c r="G37" s="71" t="e">
        <f t="shared" ca="1" si="0"/>
        <v>#REF!</v>
      </c>
      <c r="H37" s="69">
        <f ca="1">IFERROR(G37/Type_Severity[[#Totals],[Total]],0)</f>
        <v>0</v>
      </c>
      <c r="I37" s="71" t="e">
        <f t="shared" ca="1" si="1"/>
        <v>#REF!</v>
      </c>
      <c r="J37" s="69" t="e">
        <f ca="1">IF(G37=0,0,Type_Severity[[#This Row],[Crash Count]]/Type_Severity[[#Totals],[Crash Count]])</f>
        <v>#REF!</v>
      </c>
      <c r="K37" t="e">
        <f ca="1">SUM(Type_Severity[[#This Row],[Severe Injury]:[Other Injury]])</f>
        <v>#REF!</v>
      </c>
      <c r="L37" s="69">
        <f ca="1">IFERROR(Type_Severity[[#This Row],[Crash Count2]]/Type_Severity[[#Totals],[Crash Count2]],0)</f>
        <v>0</v>
      </c>
    </row>
    <row r="38" spans="2:12" x14ac:dyDescent="0.25">
      <c r="B38" t="s">
        <v>74</v>
      </c>
      <c r="C38" s="71" t="e">
        <f ca="1">SUM(COUNTIFS(INDIRECT("Collision!"&amp;Type!$C$3&amp;":"&amp;Type!$C$3),$B38,INDIRECT("Collision!"&amp;Severity!$C$3&amp;":"&amp;Severity!$C$3),C$27))</f>
        <v>#REF!</v>
      </c>
      <c r="D38" s="71" t="e">
        <f ca="1">SUM(COUNTIFS(INDIRECT("Collision!"&amp;Type!$C$3&amp;":"&amp;Type!$C$3),$B38,INDIRECT("Collision!"&amp;Severity!$C$3&amp;":"&amp;Severity!$C$3),D$27))</f>
        <v>#REF!</v>
      </c>
      <c r="E38" s="71" t="e">
        <f t="array" aca="1" ref="E38" ca="1">SUM(COUNTIFS(INDIRECT("Collision!"&amp;Type!$C$3&amp;":"&amp;Type!$C$3),$B38,INDIRECT("Collision!"&amp;Severity!$C$3&amp;":"&amp;Severity!$C$3),{"Moderate Injury","Minor Injury"}))</f>
        <v>#REF!</v>
      </c>
      <c r="F38" s="71" t="e">
        <f ca="1">SUM(COUNTIFS(INDIRECT("Collision!"&amp;Type!$C$3&amp;":"&amp;Type!$C$3),$B38,INDIRECT("Collision!"&amp;Severity!$C$3&amp;":"&amp;Severity!$C$3),F$27))</f>
        <v>#REF!</v>
      </c>
      <c r="G38" s="71" t="e">
        <f t="shared" ca="1" si="0"/>
        <v>#REF!</v>
      </c>
      <c r="H38" s="69">
        <f ca="1">IFERROR(G38/Type_Severity[[#Totals],[Total]],0)</f>
        <v>0</v>
      </c>
      <c r="I38" s="71" t="e">
        <f t="shared" ca="1" si="1"/>
        <v>#REF!</v>
      </c>
      <c r="J38" s="69" t="e">
        <f ca="1">IF(G38=0,0,Type_Severity[[#This Row],[Crash Count]]/Type_Severity[[#Totals],[Crash Count]])</f>
        <v>#REF!</v>
      </c>
      <c r="K38" t="e">
        <f ca="1">SUM(Type_Severity[[#This Row],[Severe Injury]:[Other Injury]])</f>
        <v>#REF!</v>
      </c>
      <c r="L38" s="69">
        <f ca="1">IFERROR(Type_Severity[[#This Row],[Crash Count2]]/Type_Severity[[#Totals],[Crash Count2]],0)</f>
        <v>0</v>
      </c>
    </row>
    <row r="39" spans="2:12" x14ac:dyDescent="0.25">
      <c r="B39" t="s">
        <v>78</v>
      </c>
      <c r="C39" s="71" t="e">
        <f ca="1">SUM(COUNTIFS(INDIRECT("Collision!"&amp;Type!$C$3&amp;":"&amp;Type!$C$3),$B39,INDIRECT("Collision!"&amp;Severity!$C$3&amp;":"&amp;Severity!$C$3),C$27))</f>
        <v>#REF!</v>
      </c>
      <c r="D39" s="71" t="e">
        <f ca="1">SUM(COUNTIFS(INDIRECT("Collision!"&amp;Type!$C$3&amp;":"&amp;Type!$C$3),$B39,INDIRECT("Collision!"&amp;Severity!$C$3&amp;":"&amp;Severity!$C$3),D$27))</f>
        <v>#REF!</v>
      </c>
      <c r="E39" s="71" t="e">
        <f t="array" aca="1" ref="E39" ca="1">SUM(COUNTIFS(INDIRECT("Collision!"&amp;Type!$C$3&amp;":"&amp;Type!$C$3),$B39,INDIRECT("Collision!"&amp;Severity!$C$3&amp;":"&amp;Severity!$C$3),{"Moderate Injury","Minor Injury"}))</f>
        <v>#REF!</v>
      </c>
      <c r="F39" s="71" t="e">
        <f ca="1">SUM(COUNTIFS(INDIRECT("Collision!"&amp;Type!$C$3&amp;":"&amp;Type!$C$3),$B39,INDIRECT("Collision!"&amp;Severity!$C$3&amp;":"&amp;Severity!$C$3),F$27))</f>
        <v>#REF!</v>
      </c>
      <c r="G39" s="71" t="e">
        <f t="shared" ca="1" si="0"/>
        <v>#REF!</v>
      </c>
      <c r="H39" s="69">
        <f ca="1">IFERROR(G39/Type_Severity[[#Totals],[Total]],0)</f>
        <v>0</v>
      </c>
      <c r="I39" s="71" t="e">
        <f t="shared" ca="1" si="1"/>
        <v>#REF!</v>
      </c>
      <c r="J39" s="69" t="e">
        <f ca="1">IF(G39=0,0,Type_Severity[[#This Row],[Crash Count]]/Type_Severity[[#Totals],[Crash Count]])</f>
        <v>#REF!</v>
      </c>
      <c r="K39" t="e">
        <f ca="1">SUM(Type_Severity[[#This Row],[Severe Injury]:[Other Injury]])</f>
        <v>#REF!</v>
      </c>
      <c r="L39" s="69">
        <f ca="1">IFERROR(Type_Severity[[#This Row],[Crash Count2]]/Type_Severity[[#Totals],[Crash Count2]],0)</f>
        <v>0</v>
      </c>
    </row>
    <row r="40" spans="2:12" x14ac:dyDescent="0.25">
      <c r="B40" t="s">
        <v>75</v>
      </c>
      <c r="C40" s="71" t="e">
        <f ca="1">SUM(COUNTIFS(INDIRECT("Collision!"&amp;Type!$C$3&amp;":"&amp;Type!$C$3),$B40,INDIRECT("Collision!"&amp;Severity!$C$3&amp;":"&amp;Severity!$C$3),C$27))</f>
        <v>#REF!</v>
      </c>
      <c r="D40" s="71" t="e">
        <f ca="1">SUM(COUNTIFS(INDIRECT("Collision!"&amp;Type!$C$3&amp;":"&amp;Type!$C$3),$B40,INDIRECT("Collision!"&amp;Severity!$C$3&amp;":"&amp;Severity!$C$3),D$27))</f>
        <v>#REF!</v>
      </c>
      <c r="E40" s="71" t="e">
        <f t="array" aca="1" ref="E40" ca="1">SUM(COUNTIFS(INDIRECT("Collision!"&amp;Type!$C$3&amp;":"&amp;Type!$C$3),$B40,INDIRECT("Collision!"&amp;Severity!$C$3&amp;":"&amp;Severity!$C$3),{"Moderate Injury","Minor Injury"}))</f>
        <v>#REF!</v>
      </c>
      <c r="F40" s="71" t="e">
        <f ca="1">SUM(COUNTIFS(INDIRECT("Collision!"&amp;Type!$C$3&amp;":"&amp;Type!$C$3),$B40,INDIRECT("Collision!"&amp;Severity!$C$3&amp;":"&amp;Severity!$C$3),F$27))</f>
        <v>#REF!</v>
      </c>
      <c r="G40" s="71" t="e">
        <f t="shared" ca="1" si="0"/>
        <v>#REF!</v>
      </c>
      <c r="H40" s="69">
        <f ca="1">IFERROR(G40/Type_Severity[[#Totals],[Total]],0)</f>
        <v>0</v>
      </c>
      <c r="I40" s="71" t="e">
        <f t="shared" ca="1" si="1"/>
        <v>#REF!</v>
      </c>
      <c r="J40" s="69" t="e">
        <f ca="1">IF(G40=0,0,Type_Severity[[#This Row],[Crash Count]]/Type_Severity[[#Totals],[Crash Count]])</f>
        <v>#REF!</v>
      </c>
      <c r="K40" t="e">
        <f ca="1">SUM(Type_Severity[[#This Row],[Severe Injury]:[Other Injury]])</f>
        <v>#REF!</v>
      </c>
      <c r="L40" s="69">
        <f ca="1">IFERROR(Type_Severity[[#This Row],[Crash Count2]]/Type_Severity[[#Totals],[Crash Count2]],0)</f>
        <v>0</v>
      </c>
    </row>
    <row r="41" spans="2:12" x14ac:dyDescent="0.25">
      <c r="B41" t="s">
        <v>53</v>
      </c>
      <c r="C41" t="e">
        <f ca="1">SUBTOTAL(109,Type_Severity[Fatal])</f>
        <v>#REF!</v>
      </c>
      <c r="D41" t="e">
        <f ca="1">SUBTOTAL(109,Type_Severity[Severe Injury])</f>
        <v>#REF!</v>
      </c>
      <c r="E41" t="e">
        <f ca="1">SUBTOTAL(109,Type_Severity[Other Injury])</f>
        <v>#REF!</v>
      </c>
      <c r="F41" t="e">
        <f ca="1">SUBTOTAL(109,Type_Severity[PDO])</f>
        <v>#REF!</v>
      </c>
      <c r="G41" t="e">
        <f ca="1">SUBTOTAL(109,Type_Severity[Total])</f>
        <v>#REF!</v>
      </c>
      <c r="H41" s="82">
        <f ca="1">IFERROR(SUBTOTAL(109,Type_Severity[Crash Share]),0)</f>
        <v>0</v>
      </c>
      <c r="I41" t="e">
        <f ca="1">SUBTOTAL(109,Type_Severity[Crash Count])</f>
        <v>#REF!</v>
      </c>
      <c r="J41" s="82">
        <f ca="1">IFERROR(SUBTOTAL(109,Type_Severity[Crash Share2]),0)</f>
        <v>0</v>
      </c>
      <c r="K41" t="e">
        <f ca="1">SUBTOTAL(109,Type_Severity[Crash Count2])</f>
        <v>#REF!</v>
      </c>
      <c r="L41" s="82">
        <f ca="1">IFERROR(SUBTOTAL(109,Type_Severity[Crash Share3]),0)</f>
        <v>0</v>
      </c>
    </row>
    <row r="43" spans="2:12" x14ac:dyDescent="0.25">
      <c r="B43" s="106"/>
      <c r="C43" s="105"/>
      <c r="D43" s="105"/>
      <c r="E43" s="105"/>
    </row>
    <row r="60" spans="2:6" x14ac:dyDescent="0.25">
      <c r="B60" s="80" t="s">
        <v>136</v>
      </c>
    </row>
    <row r="61" spans="2:6" x14ac:dyDescent="0.25">
      <c r="B61" s="11" t="s">
        <v>137</v>
      </c>
      <c r="C61" s="96" t="s">
        <v>82</v>
      </c>
    </row>
    <row r="63" spans="2:6" x14ac:dyDescent="0.25">
      <c r="B63" s="39" t="s">
        <v>138</v>
      </c>
      <c r="C63" s="104" t="str">
        <f>C61</f>
        <v>Pedalcyclist</v>
      </c>
      <c r="D63" s="105"/>
      <c r="E63" s="104" t="s">
        <v>44</v>
      </c>
      <c r="F63" s="105"/>
    </row>
    <row r="64" spans="2:6" x14ac:dyDescent="0.25">
      <c r="B64" s="5" t="s">
        <v>45</v>
      </c>
      <c r="C64" s="5" t="s">
        <v>46</v>
      </c>
      <c r="D64" s="5" t="s">
        <v>47</v>
      </c>
      <c r="E64" s="8" t="s">
        <v>59</v>
      </c>
      <c r="F64" s="9" t="s">
        <v>60</v>
      </c>
    </row>
    <row r="65" spans="2:11" x14ac:dyDescent="0.25">
      <c r="B65" t="s">
        <v>48</v>
      </c>
      <c r="C65" t="e">
        <f ca="1">SUM(COUNTIFS(INDIRECT("Collision!"&amp;Severity!$C$3&amp;":"&amp;Severity!$C$3),Dynamic_Type[[#This Row],[Crash Severity]],INDIRECT("Collision!"&amp;Type!$C$3&amp;":"&amp;Type!$C$3),$C$63))</f>
        <v>#REF!</v>
      </c>
      <c r="D65" s="69">
        <f ca="1">IFERROR(C65/Dynamic_Type[[#Totals],[Crash Count]],0)</f>
        <v>0</v>
      </c>
      <c r="E65" t="e">
        <f ca="1">VLOOKUP(Dynamic_Type[[#This Row],[Crash Severity]],Severity[[#Headers],[#Data]],2,FALSE)</f>
        <v>#REF!</v>
      </c>
      <c r="F65" s="69">
        <f ca="1">IFERROR(E65/Dynamic_Type[[#Totals],[Crash Count2]],0)</f>
        <v>0</v>
      </c>
    </row>
    <row r="66" spans="2:11" x14ac:dyDescent="0.25">
      <c r="B66" t="s">
        <v>49</v>
      </c>
      <c r="C66" t="e">
        <f ca="1">SUM(COUNTIFS(INDIRECT("Collision!"&amp;Severity!$C$3&amp;":"&amp;Severity!$C$3),Dynamic_Type[[#This Row],[Crash Severity]],INDIRECT("Collision!"&amp;Type!$C$3&amp;":"&amp;Type!$C$3),$C$63))</f>
        <v>#REF!</v>
      </c>
      <c r="D66" s="69">
        <f ca="1">IFERROR(C66/Dynamic_Type[[#Totals],[Crash Count]],0)</f>
        <v>0</v>
      </c>
      <c r="E66" t="e">
        <f ca="1">VLOOKUP(Dynamic_Type[[#This Row],[Crash Severity]],Severity[[#Headers],[#Data]],2,FALSE)</f>
        <v>#REF!</v>
      </c>
      <c r="F66" s="69">
        <f ca="1">IFERROR(E66/Dynamic_Type[[#Totals],[Crash Count2]],0)</f>
        <v>0</v>
      </c>
    </row>
    <row r="67" spans="2:11" x14ac:dyDescent="0.25">
      <c r="B67" t="s">
        <v>50</v>
      </c>
      <c r="C67" t="e">
        <f ca="1">SUM(COUNTIFS(INDIRECT("Collision!"&amp;Severity!$C$3&amp;":"&amp;Severity!$C$3),Dynamic_Type[[#This Row],[Crash Severity]],INDIRECT("Collision!"&amp;Type!$C$3&amp;":"&amp;Type!$C$3),$C$63))</f>
        <v>#REF!</v>
      </c>
      <c r="D67" s="69">
        <f ca="1">IFERROR(C67/Dynamic_Type[[#Totals],[Crash Count]],0)</f>
        <v>0</v>
      </c>
      <c r="E67" t="e">
        <f ca="1">VLOOKUP(Dynamic_Type[[#This Row],[Crash Severity]],Severity[[#Headers],[#Data]],2,FALSE)</f>
        <v>#REF!</v>
      </c>
      <c r="F67" s="69">
        <f ca="1">IFERROR(E67/Dynamic_Type[[#Totals],[Crash Count2]],0)</f>
        <v>0</v>
      </c>
    </row>
    <row r="68" spans="2:11" x14ac:dyDescent="0.25">
      <c r="B68" t="s">
        <v>51</v>
      </c>
      <c r="C68" t="e">
        <f ca="1">SUM(COUNTIFS(INDIRECT("Collision!"&amp;Severity!$C$3&amp;":"&amp;Severity!$C$3),Dynamic_Type[[#This Row],[Crash Severity]],INDIRECT("Collision!"&amp;Type!$C$3&amp;":"&amp;Type!$C$3),$C$63))</f>
        <v>#REF!</v>
      </c>
      <c r="D68" s="69">
        <f ca="1">IFERROR(C68/Dynamic_Type[[#Totals],[Crash Count]],0)</f>
        <v>0</v>
      </c>
      <c r="E68" t="e">
        <f ca="1">VLOOKUP(Dynamic_Type[[#This Row],[Crash Severity]],Severity[[#Headers],[#Data]],2,FALSE)</f>
        <v>#REF!</v>
      </c>
      <c r="F68" s="69">
        <f ca="1">IFERROR(E68/Dynamic_Type[[#Totals],[Crash Count2]],0)</f>
        <v>0</v>
      </c>
    </row>
    <row r="69" spans="2:11" x14ac:dyDescent="0.25">
      <c r="B69" t="s">
        <v>52</v>
      </c>
      <c r="C69" t="e">
        <f ca="1">SUM(COUNTIFS(INDIRECT("Collision!"&amp;Severity!$C$3&amp;":"&amp;Severity!$C$3),Dynamic_Type[[#This Row],[Crash Severity]],INDIRECT("Collision!"&amp;Type!$C$3&amp;":"&amp;Type!$C$3),$C$63))</f>
        <v>#REF!</v>
      </c>
      <c r="D69" s="69">
        <f ca="1">IFERROR(C69/Dynamic_Type[[#Totals],[Crash Count]],0)</f>
        <v>0</v>
      </c>
      <c r="E69" t="e">
        <f ca="1">VLOOKUP(Dynamic_Type[[#This Row],[Crash Severity]],Severity[[#Headers],[#Data]],2,FALSE)</f>
        <v>#REF!</v>
      </c>
      <c r="F69" s="69">
        <f ca="1">IFERROR(E69/Dynamic_Type[[#Totals],[Crash Count2]],0)</f>
        <v>0</v>
      </c>
    </row>
    <row r="70" spans="2:11" x14ac:dyDescent="0.25">
      <c r="B70" t="s">
        <v>53</v>
      </c>
      <c r="C70" t="e">
        <f ca="1">SUBTOTAL(109,Dynamic_Type[Crash Count])</f>
        <v>#REF!</v>
      </c>
      <c r="D70" s="82">
        <f ca="1">IFERROR(SUBTOTAL(109,Dynamic_Type[Crash Share]),0)</f>
        <v>0</v>
      </c>
      <c r="E70" t="e">
        <f ca="1">SUBTOTAL(109,Dynamic_Type[Crash Count2])</f>
        <v>#REF!</v>
      </c>
      <c r="F70" s="82">
        <f ca="1">IFERROR(SUBTOTAL(109,Dynamic_Type[Crash Share2]),0)</f>
        <v>0</v>
      </c>
    </row>
    <row r="76" spans="2:11" x14ac:dyDescent="0.25">
      <c r="B76" s="106" t="s">
        <v>89</v>
      </c>
      <c r="C76" s="105"/>
      <c r="D76" s="105"/>
      <c r="E76" s="105"/>
    </row>
    <row r="77" spans="2:11" x14ac:dyDescent="0.25">
      <c r="B77" s="85" t="s">
        <v>90</v>
      </c>
      <c r="C77" s="104" t="str">
        <f>$C$63</f>
        <v>Pedalcyclist</v>
      </c>
      <c r="D77" s="105"/>
      <c r="E77" s="104" t="s">
        <v>44</v>
      </c>
      <c r="F77" s="105"/>
    </row>
    <row r="78" spans="2:11" x14ac:dyDescent="0.25">
      <c r="B78" s="5" t="s">
        <v>91</v>
      </c>
      <c r="C78" s="5" t="s">
        <v>46</v>
      </c>
      <c r="D78" s="5" t="s">
        <v>47</v>
      </c>
      <c r="E78" s="8" t="s">
        <v>59</v>
      </c>
      <c r="F78" s="9" t="s">
        <v>60</v>
      </c>
      <c r="G78" s="5" t="s">
        <v>71</v>
      </c>
      <c r="H78" s="106"/>
      <c r="I78" s="105"/>
      <c r="J78" s="105"/>
      <c r="K78" s="105"/>
    </row>
    <row r="79" spans="2:11" ht="30" customHeight="1" x14ac:dyDescent="0.25">
      <c r="B79" t="s">
        <v>92</v>
      </c>
      <c r="C7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79" s="87" t="e">
        <f ca="1">Dynamic_Type2[[#This Row],[Crash Count]]/$C$116</f>
        <v>#REF!</v>
      </c>
      <c r="E79" t="e">
        <f ca="1">VLOOKUP(Dynamic_Type2[[#This Row],[Crash Cause]],PCF[[#Headers],[#Data]],2,FALSE)</f>
        <v>#REF!</v>
      </c>
      <c r="F79" s="69" t="e">
        <f ca="1">Dynamic_Type2[[#This Row],[Crash Count2]]/Dynamic_Type2[[#Totals],[Crash Count2]]</f>
        <v>#REF!</v>
      </c>
      <c r="G79" s="86" t="str">
        <f>VLOOKUP(Dynamic_Type2[[#This Row],[Crash Cause]],PCF[[#Headers],[#Data]],4,FALSE)</f>
        <v>No cause associated at this level</v>
      </c>
    </row>
    <row r="80" spans="2:11" ht="30" customHeight="1" x14ac:dyDescent="0.25">
      <c r="B80" t="s">
        <v>93</v>
      </c>
      <c r="C8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0" s="87" t="e">
        <f ca="1">Dynamic_Type2[[#This Row],[Crash Count]]/$C$116</f>
        <v>#REF!</v>
      </c>
      <c r="E80" t="e">
        <f ca="1">VLOOKUP(Dynamic_Type2[[#This Row],[Crash Cause]],PCF[[#Headers],[#Data]],2,FALSE)</f>
        <v>#REF!</v>
      </c>
      <c r="F80" s="69" t="e">
        <f ca="1">Dynamic_Type2[[#This Row],[Crash Count2]]/Dynamic_Type2[[#Totals],[Crash Count2]]</f>
        <v>#REF!</v>
      </c>
      <c r="G80" s="86" t="str">
        <f>VLOOKUP(Dynamic_Type2[[#This Row],[Crash Cause]],PCF[[#Headers],[#Data]],4,FALSE)</f>
        <v>Speed too fast for conditions
(Not exceeding limit)</v>
      </c>
    </row>
    <row r="81" spans="2:7" x14ac:dyDescent="0.25">
      <c r="B81" t="s">
        <v>94</v>
      </c>
      <c r="C8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1" s="87" t="e">
        <f ca="1">Dynamic_Type2[[#This Row],[Crash Count]]/$C$116</f>
        <v>#REF!</v>
      </c>
      <c r="E81" t="e">
        <f ca="1">VLOOKUP(Dynamic_Type2[[#This Row],[Crash Cause]],PCF[[#Headers],[#Data]],2,FALSE)</f>
        <v>#REF!</v>
      </c>
      <c r="F81" s="69" t="e">
        <f ca="1">Dynamic_Type2[[#This Row],[Crash Count2]]/Dynamic_Type2[[#Totals],[Crash Count2]]</f>
        <v>#REF!</v>
      </c>
      <c r="G81" s="86" t="str">
        <f>VLOOKUP(Dynamic_Type2[[#This Row],[Crash Cause]],PCF[[#Headers],[#Data]],4,FALSE)</f>
        <v>Did not yield right-of-way</v>
      </c>
    </row>
    <row r="82" spans="2:7" x14ac:dyDescent="0.25">
      <c r="B82" t="s">
        <v>95</v>
      </c>
      <c r="C8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2" s="87" t="e">
        <f ca="1">Dynamic_Type2[[#This Row],[Crash Count]]/$C$116</f>
        <v>#REF!</v>
      </c>
      <c r="E82" t="e">
        <f ca="1">VLOOKUP(Dynamic_Type2[[#This Row],[Crash Cause]],PCF[[#Headers],[#Data]],2,FALSE)</f>
        <v>#REF!</v>
      </c>
      <c r="F82" s="69" t="e">
        <f ca="1">Dynamic_Type2[[#This Row],[Crash Count2]]/Dynamic_Type2[[#Totals],[Crash Count2]]</f>
        <v>#REF!</v>
      </c>
      <c r="G82" s="86" t="str">
        <f>VLOOKUP(Dynamic_Type2[[#This Row],[Crash Cause]],PCF[[#Headers],[#Data]],4,FALSE)</f>
        <v>Passed stop sign or red flasher</v>
      </c>
    </row>
    <row r="83" spans="2:7" x14ac:dyDescent="0.25">
      <c r="B83" t="s">
        <v>96</v>
      </c>
      <c r="C8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3" s="87" t="e">
        <f ca="1">Dynamic_Type2[[#This Row],[Crash Count]]/$C$116</f>
        <v>#REF!</v>
      </c>
      <c r="E83" t="e">
        <f ca="1">VLOOKUP(Dynamic_Type2[[#This Row],[Crash Cause]],PCF[[#Headers],[#Data]],2,FALSE)</f>
        <v>#REF!</v>
      </c>
      <c r="F83" s="69" t="e">
        <f ca="1">Dynamic_Type2[[#This Row],[Crash Count2]]/Dynamic_Type2[[#Totals],[Crash Count2]]</f>
        <v>#REF!</v>
      </c>
      <c r="G83" s="86" t="str">
        <f>VLOOKUP(Dynamic_Type2[[#This Row],[Crash Cause]],PCF[[#Headers],[#Data]],4,FALSE)</f>
        <v>Disregarded traffic signal</v>
      </c>
    </row>
    <row r="84" spans="2:7" ht="45" customHeight="1" x14ac:dyDescent="0.25">
      <c r="B84" t="s">
        <v>97</v>
      </c>
      <c r="C8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4" s="87" t="e">
        <f ca="1">Dynamic_Type2[[#This Row],[Crash Count]]/$C$116</f>
        <v>#REF!</v>
      </c>
      <c r="E84" t="e">
        <f ca="1">VLOOKUP(Dynamic_Type2[[#This Row],[Crash Cause]],PCF[[#Headers],[#Data]],2,FALSE)</f>
        <v>#REF!</v>
      </c>
      <c r="F84" s="69" t="e">
        <f ca="1">Dynamic_Type2[[#This Row],[Crash Count2]]/Dynamic_Type2[[#Totals],[Crash Count2]]</f>
        <v>#REF!</v>
      </c>
      <c r="G84" s="86" t="str">
        <f>VLOOKUP(Dynamic_Type2[[#This Row],[Crash Cause]],PCF[[#Headers],[#Data]],4,FALSE)</f>
        <v>*Drove left of center on two-way road; 
straddling the center line</v>
      </c>
    </row>
    <row r="85" spans="2:7" x14ac:dyDescent="0.25">
      <c r="B85" t="s">
        <v>98</v>
      </c>
      <c r="C85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5" s="87" t="e">
        <f ca="1">Dynamic_Type2[[#This Row],[Crash Count]]/$C$116</f>
        <v>#REF!</v>
      </c>
      <c r="E85" t="e">
        <f ca="1">VLOOKUP(Dynamic_Type2[[#This Row],[Crash Cause]],PCF[[#Headers],[#Data]],2,FALSE)</f>
        <v>#REF!</v>
      </c>
      <c r="F85" s="69" t="e">
        <f ca="1">Dynamic_Type2[[#This Row],[Crash Count2]]/Dynamic_Type2[[#Totals],[Crash Count2]]</f>
        <v>#REF!</v>
      </c>
      <c r="G85" s="86" t="str">
        <f>VLOOKUP(Dynamic_Type2[[#This Row],[Crash Cause]],PCF[[#Headers],[#Data]],4,FALSE)</f>
        <v>Improper overtaking</v>
      </c>
    </row>
    <row r="86" spans="2:7" x14ac:dyDescent="0.25">
      <c r="B86" t="s">
        <v>99</v>
      </c>
      <c r="C86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6" s="87" t="e">
        <f ca="1">Dynamic_Type2[[#This Row],[Crash Count]]/$C$116</f>
        <v>#REF!</v>
      </c>
      <c r="E86" t="e">
        <f ca="1">VLOOKUP(Dynamic_Type2[[#This Row],[Crash Cause]],PCF[[#Headers],[#Data]],2,FALSE)</f>
        <v>#REF!</v>
      </c>
      <c r="F86" s="69" t="e">
        <f ca="1">Dynamic_Type2[[#This Row],[Crash Count2]]/Dynamic_Type2[[#Totals],[Crash Count2]]</f>
        <v>#REF!</v>
      </c>
      <c r="G86" s="86" t="str">
        <f>VLOOKUP(Dynamic_Type2[[#This Row],[Crash Cause]],PCF[[#Headers],[#Data]],4,FALSE)</f>
        <v>Followed too closely</v>
      </c>
    </row>
    <row r="87" spans="2:7" x14ac:dyDescent="0.25">
      <c r="B87" t="s">
        <v>100</v>
      </c>
      <c r="C87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7" s="87" t="e">
        <f ca="1">Dynamic_Type2[[#This Row],[Crash Count]]/$C$116</f>
        <v>#REF!</v>
      </c>
      <c r="E87" t="e">
        <f ca="1">VLOOKUP(Dynamic_Type2[[#This Row],[Crash Cause]],PCF[[#Headers],[#Data]],2,FALSE)</f>
        <v>#REF!</v>
      </c>
      <c r="F87" s="69" t="e">
        <f ca="1">Dynamic_Type2[[#This Row],[Crash Count2]]/Dynamic_Type2[[#Totals],[Crash Count2]]</f>
        <v>#REF!</v>
      </c>
      <c r="G87" s="86" t="str">
        <f>VLOOKUP(Dynamic_Type2[[#This Row],[Crash Cause]],PCF[[#Headers],[#Data]],4,FALSE)</f>
        <v>Made improper turn</v>
      </c>
    </row>
    <row r="88" spans="2:7" x14ac:dyDescent="0.25">
      <c r="B88" t="s">
        <v>101</v>
      </c>
      <c r="C88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8" s="40" t="e">
        <f ca="1">Dynamic_Type2[[#This Row],[Crash Count]]/$C$116</f>
        <v>#REF!</v>
      </c>
      <c r="E88" t="e">
        <f ca="1">VLOOKUP(Dynamic_Type2[[#This Row],[Crash Cause]],PCF[[#Headers],[#Data]],2,FALSE)</f>
        <v>#REF!</v>
      </c>
      <c r="F88" s="69" t="e">
        <f ca="1">Dynamic_Type2[[#This Row],[Crash Count2]]/Dynamic_Type2[[#Totals],[Crash Count2]]</f>
        <v>#REF!</v>
      </c>
      <c r="G88" s="86" t="str">
        <f>VLOOKUP(Dynamic_Type2[[#This Row],[Crash Cause]],PCF[[#Headers],[#Data]],4,FALSE)</f>
        <v>*Other improper driving</v>
      </c>
    </row>
    <row r="89" spans="2:7" ht="45" customHeight="1" x14ac:dyDescent="0.25">
      <c r="B89" t="s">
        <v>102</v>
      </c>
      <c r="C8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9" s="87" t="e">
        <f ca="1">Dynamic_Type2[[#This Row],[Crash Count]]/$C$116</f>
        <v>#REF!</v>
      </c>
      <c r="E89" t="e">
        <f ca="1">VLOOKUP(Dynamic_Type2[[#This Row],[Crash Cause]],PCF[[#Headers],[#Data]],2,FALSE)</f>
        <v>#REF!</v>
      </c>
      <c r="F89" s="69" t="e">
        <f ca="1">Dynamic_Type2[[#This Row],[Crash Count2]]/Dynamic_Type2[[#Totals],[Crash Count2]]</f>
        <v>#REF!</v>
      </c>
      <c r="G89" s="86" t="str">
        <f>VLOOKUP(Dynamic_Type2[[#This Row],[Crash Cause]],PCF[[#Headers],[#Data]],4,FALSE)</f>
        <v>Mechanical defect - other than
represented by codes 21, 22, or 25</v>
      </c>
    </row>
    <row r="90" spans="2:7" x14ac:dyDescent="0.25">
      <c r="B90" t="s">
        <v>103</v>
      </c>
      <c r="C9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0" s="87" t="e">
        <f ca="1">Dynamic_Type2[[#This Row],[Crash Count]]/$C$116</f>
        <v>#REF!</v>
      </c>
      <c r="E90" t="e">
        <f ca="1">VLOOKUP(Dynamic_Type2[[#This Row],[Crash Cause]],PCF[[#Headers],[#Data]],2,FALSE)</f>
        <v>#REF!</v>
      </c>
      <c r="F90" s="69" t="e">
        <f ca="1">Dynamic_Type2[[#This Row],[Crash Count2]]/Dynamic_Type2[[#Totals],[Crash Count2]]</f>
        <v>#REF!</v>
      </c>
      <c r="G90" s="86" t="str">
        <f>VLOOKUP(Dynamic_Type2[[#This Row],[Crash Cause]],PCF[[#Headers],[#Data]],4,FALSE)</f>
        <v>*Other (Not improper driving)</v>
      </c>
    </row>
    <row r="91" spans="2:7" ht="30" customHeight="1" x14ac:dyDescent="0.25">
      <c r="B91" t="s">
        <v>104</v>
      </c>
      <c r="C9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1" s="87" t="e">
        <f ca="1">Dynamic_Type2[[#This Row],[Crash Count]]/$C$116</f>
        <v>#REF!</v>
      </c>
      <c r="E91" t="e">
        <f ca="1">VLOOKUP(Dynamic_Type2[[#This Row],[Crash Cause]],PCF[[#Headers],[#Data]],2,FALSE)</f>
        <v>#REF!</v>
      </c>
      <c r="F91" s="69" t="e">
        <f ca="1">Dynamic_Type2[[#This Row],[Crash Count2]]/Dynamic_Type2[[#Totals],[Crash Count2]]</f>
        <v>#REF!</v>
      </c>
      <c r="G91" s="86" t="str">
        <f>VLOOKUP(Dynamic_Type2[[#This Row],[Crash Cause]],PCF[[#Headers],[#Data]],4,FALSE)</f>
        <v>Improper change of traffic lanes</v>
      </c>
    </row>
    <row r="92" spans="2:7" ht="30" customHeight="1" x14ac:dyDescent="0.25">
      <c r="B92" t="s">
        <v>105</v>
      </c>
      <c r="C9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2" s="87" t="e">
        <f ca="1">Dynamic_Type2[[#This Row],[Crash Count]]/$C$116</f>
        <v>#REF!</v>
      </c>
      <c r="E92" t="e">
        <f ca="1">VLOOKUP(Dynamic_Type2[[#This Row],[Crash Cause]],PCF[[#Headers],[#Data]],2,FALSE)</f>
        <v>#REF!</v>
      </c>
      <c r="F92" s="69" t="e">
        <f ca="1">Dynamic_Type2[[#This Row],[Crash Count2]]/Dynamic_Type2[[#Totals],[Crash Count2]]</f>
        <v>#REF!</v>
      </c>
      <c r="G92" s="86" t="str">
        <f>VLOOKUP(Dynamic_Type2[[#This Row],[Crash Cause]],PCF[[#Headers],[#Data]],4,FALSE)</f>
        <v>Disregarded other traffic control device</v>
      </c>
    </row>
    <row r="93" spans="2:7" ht="30" customHeight="1" x14ac:dyDescent="0.25">
      <c r="B93" t="s">
        <v>106</v>
      </c>
      <c r="C9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3" s="87" t="e">
        <f ca="1">Dynamic_Type2[[#This Row],[Crash Count]]/$C$116</f>
        <v>#REF!</v>
      </c>
      <c r="E93" t="e">
        <f ca="1">VLOOKUP(Dynamic_Type2[[#This Row],[Crash Cause]],PCF[[#Headers],[#Data]],2,FALSE)</f>
        <v>#REF!</v>
      </c>
      <c r="F93" s="69" t="e">
        <f ca="1">Dynamic_Type2[[#This Row],[Crash Count2]]/Dynamic_Type2[[#Totals],[Crash Count2]]</f>
        <v>#REF!</v>
      </c>
      <c r="G93" s="86" t="str">
        <f>VLOOKUP(Dynamic_Type2[[#This Row],[Crash Cause]],PCF[[#Headers],[#Data]],4,FALSE)</f>
        <v>Wrong way on one-way roadway</v>
      </c>
    </row>
    <row r="94" spans="2:7" ht="30" customHeight="1" x14ac:dyDescent="0.25">
      <c r="B94" t="s">
        <v>107</v>
      </c>
      <c r="C9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4" s="87" t="e">
        <f ca="1">Dynamic_Type2[[#This Row],[Crash Count]]/$C$116</f>
        <v>#REF!</v>
      </c>
      <c r="E94" t="e">
        <f ca="1">VLOOKUP(Dynamic_Type2[[#This Row],[Crash Cause]],PCF[[#Headers],[#Data]],2,FALSE)</f>
        <v>#REF!</v>
      </c>
      <c r="F94" s="69" t="e">
        <f ca="1">Dynamic_Type2[[#This Row],[Crash Count2]]/Dynamic_Type2[[#Totals],[Crash Count2]]</f>
        <v>#REF!</v>
      </c>
      <c r="G94" s="86" t="str">
        <f>VLOOKUP(Dynamic_Type2[[#This Row],[Crash Cause]],PCF[[#Headers],[#Data]],4,FALSE)</f>
        <v>Driver drowsy / fatigued / sleepy</v>
      </c>
    </row>
    <row r="95" spans="2:7" x14ac:dyDescent="0.25">
      <c r="B95" t="s">
        <v>108</v>
      </c>
      <c r="C95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5" s="87" t="e">
        <f ca="1">Dynamic_Type2[[#This Row],[Crash Count]]/$C$116</f>
        <v>#REF!</v>
      </c>
      <c r="E95" t="e">
        <f ca="1">VLOOKUP(Dynamic_Type2[[#This Row],[Crash Cause]],PCF[[#Headers],[#Data]],2,FALSE)</f>
        <v>#REF!</v>
      </c>
      <c r="F95" s="69" t="e">
        <f ca="1">Dynamic_Type2[[#This Row],[Crash Count2]]/Dynamic_Type2[[#Totals],[Crash Count2]]</f>
        <v>#REF!</v>
      </c>
      <c r="G95" s="86" t="str">
        <f>VLOOKUP(Dynamic_Type2[[#This Row],[Crash Cause]],PCF[[#Headers],[#Data]],4,FALSE)</f>
        <v>Physical Illness</v>
      </c>
    </row>
    <row r="96" spans="2:7" ht="30" customHeight="1" x14ac:dyDescent="0.25">
      <c r="B96" t="s">
        <v>109</v>
      </c>
      <c r="C96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6" s="87" t="e">
        <f ca="1">Dynamic_Type2[[#This Row],[Crash Count]]/$C$116</f>
        <v>#REF!</v>
      </c>
      <c r="E96" t="e">
        <f ca="1">VLOOKUP(Dynamic_Type2[[#This Row],[Crash Cause]],PCF[[#Headers],[#Data]],2,FALSE)</f>
        <v>#REF!</v>
      </c>
      <c r="F96" s="69" t="e">
        <f ca="1">Dynamic_Type2[[#This Row],[Crash Count2]]/Dynamic_Type2[[#Totals],[Crash Count2]]</f>
        <v>#REF!</v>
      </c>
      <c r="G96" s="86" t="str">
        <f>VLOOKUP(Dynamic_Type2[[#This Row],[Crash Cause]],PCF[[#Headers],[#Data]],4,FALSE)</f>
        <v>Non-Motorist illegally in roadway</v>
      </c>
    </row>
    <row r="97" spans="2:7" ht="30" customHeight="1" x14ac:dyDescent="0.25">
      <c r="B97" t="s">
        <v>110</v>
      </c>
      <c r="C97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7" s="87" t="e">
        <f ca="1">Dynamic_Type2[[#This Row],[Crash Count]]/$C$116</f>
        <v>#REF!</v>
      </c>
      <c r="E97" t="e">
        <f ca="1">VLOOKUP(Dynamic_Type2[[#This Row],[Crash Cause]],PCF[[#Headers],[#Data]],2,FALSE)</f>
        <v>#REF!</v>
      </c>
      <c r="F97" s="69" t="e">
        <f ca="1">Dynamic_Type2[[#This Row],[Crash Count2]]/Dynamic_Type2[[#Totals],[Crash Count2]]</f>
        <v>#REF!</v>
      </c>
      <c r="G97" s="86" t="str">
        <f>VLOOKUP(Dynamic_Type2[[#This Row],[Crash Cause]],PCF[[#Headers],[#Data]],4,FALSE)</f>
        <v>Not visible: dark / non-reflective clothing</v>
      </c>
    </row>
    <row r="98" spans="2:7" x14ac:dyDescent="0.25">
      <c r="B98" t="s">
        <v>111</v>
      </c>
      <c r="C98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8" s="87" t="e">
        <f ca="1">Dynamic_Type2[[#This Row],[Crash Count]]/$C$116</f>
        <v>#REF!</v>
      </c>
      <c r="E98" t="e">
        <f ca="1">VLOOKUP(Dynamic_Type2[[#This Row],[Crash Cause]],PCF[[#Headers],[#Data]],2,FALSE)</f>
        <v>#REF!</v>
      </c>
      <c r="F98" s="69" t="e">
        <f ca="1">Dynamic_Type2[[#This Row],[Crash Count2]]/Dynamic_Type2[[#Totals],[Crash Count2]]</f>
        <v>#REF!</v>
      </c>
      <c r="G98" s="86" t="str">
        <f>VLOOKUP(Dynamic_Type2[[#This Row],[Crash Cause]],PCF[[#Headers],[#Data]],4,FALSE)</f>
        <v>Vehicle improperly parked</v>
      </c>
    </row>
    <row r="99" spans="2:7" x14ac:dyDescent="0.25">
      <c r="B99" t="s">
        <v>112</v>
      </c>
      <c r="C9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9" s="87" t="e">
        <f ca="1">Dynamic_Type2[[#This Row],[Crash Count]]/$C$116</f>
        <v>#REF!</v>
      </c>
      <c r="E99" t="e">
        <f ca="1">VLOOKUP(Dynamic_Type2[[#This Row],[Crash Cause]],PCF[[#Headers],[#Data]],2,FALSE)</f>
        <v>#REF!</v>
      </c>
      <c r="F99" s="69" t="e">
        <f ca="1">Dynamic_Type2[[#This Row],[Crash Count2]]/Dynamic_Type2[[#Totals],[Crash Count2]]</f>
        <v>#REF!</v>
      </c>
      <c r="G99" s="86" t="str">
        <f>VLOOKUP(Dynamic_Type2[[#This Row],[Crash Cause]],PCF[[#Headers],[#Data]],4,FALSE)</f>
        <v>Defective steering mechanism</v>
      </c>
    </row>
    <row r="100" spans="2:7" x14ac:dyDescent="0.25">
      <c r="B100" t="s">
        <v>113</v>
      </c>
      <c r="C10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0" s="87" t="e">
        <f ca="1">Dynamic_Type2[[#This Row],[Crash Count]]/$C$116</f>
        <v>#REF!</v>
      </c>
      <c r="E100" t="e">
        <f ca="1">VLOOKUP(Dynamic_Type2[[#This Row],[Crash Cause]],PCF[[#Headers],[#Data]],2,FALSE)</f>
        <v>#REF!</v>
      </c>
      <c r="F100" s="69" t="e">
        <f ca="1">Dynamic_Type2[[#This Row],[Crash Count2]]/Dynamic_Type2[[#Totals],[Crash Count2]]</f>
        <v>#REF!</v>
      </c>
      <c r="G100" s="86" t="str">
        <f>VLOOKUP(Dynamic_Type2[[#This Row],[Crash Cause]],PCF[[#Headers],[#Data]],4,FALSE)</f>
        <v>Inadequate or no brakes</v>
      </c>
    </row>
    <row r="101" spans="2:7" ht="30" customHeight="1" x14ac:dyDescent="0.25">
      <c r="B101" t="s">
        <v>114</v>
      </c>
      <c r="C10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1" s="87" t="e">
        <f ca="1">Dynamic_Type2[[#This Row],[Crash Count]]/$C$116</f>
        <v>#REF!</v>
      </c>
      <c r="E101" t="e">
        <f ca="1">VLOOKUP(Dynamic_Type2[[#This Row],[Crash Cause]],PCF[[#Headers],[#Data]],2,FALSE)</f>
        <v>#REF!</v>
      </c>
      <c r="F101" s="69" t="e">
        <f ca="1">Dynamic_Type2[[#This Row],[Crash Count2]]/Dynamic_Type2[[#Totals],[Crash Count2]]</f>
        <v>#REF!</v>
      </c>
      <c r="G101" s="86" t="str">
        <f>VLOOKUP(Dynamic_Type2[[#This Row],[Crash Cause]],PCF[[#Headers],[#Data]],4,FALSE)</f>
        <v>Vehicle lost load or load shifted</v>
      </c>
    </row>
    <row r="102" spans="2:7" x14ac:dyDescent="0.25">
      <c r="B102" t="s">
        <v>115</v>
      </c>
      <c r="C10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2" s="87" t="e">
        <f ca="1">Dynamic_Type2[[#This Row],[Crash Count]]/$C$116</f>
        <v>#REF!</v>
      </c>
      <c r="E102" t="e">
        <f ca="1">VLOOKUP(Dynamic_Type2[[#This Row],[Crash Cause]],PCF[[#Headers],[#Data]],2,FALSE)</f>
        <v>#REF!</v>
      </c>
      <c r="F102" s="69" t="e">
        <f ca="1">Dynamic_Type2[[#This Row],[Crash Count2]]/Dynamic_Type2[[#Totals],[Crash Count2]]</f>
        <v>#REF!</v>
      </c>
      <c r="G102" s="86" t="str">
        <f>VLOOKUP(Dynamic_Type2[[#This Row],[Crash Cause]],PCF[[#Headers],[#Data]],4,FALSE)</f>
        <v>Tire failure</v>
      </c>
    </row>
    <row r="103" spans="2:7" ht="30" customHeight="1" x14ac:dyDescent="0.25">
      <c r="B103" t="s">
        <v>116</v>
      </c>
      <c r="C10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3" s="87" t="e">
        <f ca="1">Dynamic_Type2[[#This Row],[Crash Count]]/$C$116</f>
        <v>#REF!</v>
      </c>
      <c r="E103" t="e">
        <f ca="1">VLOOKUP(Dynamic_Type2[[#This Row],[Crash Cause]],PCF[[#Headers],[#Data]],2,FALSE)</f>
        <v>#REF!</v>
      </c>
      <c r="F103" s="69" t="e">
        <f ca="1">Dynamic_Type2[[#This Row],[Crash Count2]]/Dynamic_Type2[[#Totals],[Crash Count2]]</f>
        <v>#REF!</v>
      </c>
      <c r="G103" s="86" t="str">
        <f>VLOOKUP(Dynamic_Type2[[#This Row],[Crash Cause]],PCF[[#Headers],[#Data]],4,FALSE)</f>
        <v>Phantom / non-contact vehicle</v>
      </c>
    </row>
    <row r="104" spans="2:7" x14ac:dyDescent="0.25">
      <c r="B104" t="s">
        <v>117</v>
      </c>
      <c r="C10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4" s="87" t="e">
        <f ca="1">Dynamic_Type2[[#This Row],[Crash Count]]/$C$116</f>
        <v>#REF!</v>
      </c>
      <c r="E104" t="e">
        <f ca="1">VLOOKUP(Dynamic_Type2[[#This Row],[Crash Cause]],PCF[[#Headers],[#Data]],2,FALSE)</f>
        <v>#REF!</v>
      </c>
      <c r="F104" s="69" t="e">
        <f ca="1">Dynamic_Type2[[#This Row],[Crash Count2]]/Dynamic_Type2[[#Totals],[Crash Count2]]</f>
        <v>#REF!</v>
      </c>
      <c r="G104" s="86" t="str">
        <f>VLOOKUP(Dynamic_Type2[[#This Row],[Crash Cause]],PCF[[#Headers],[#Data]],4,FALSE)</f>
        <v>Inattention</v>
      </c>
    </row>
    <row r="105" spans="2:7" x14ac:dyDescent="0.25">
      <c r="B105" t="s">
        <v>118</v>
      </c>
      <c r="C105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5" s="87" t="e">
        <f ca="1">Dynamic_Type2[[#This Row],[Crash Count]]/$C$116</f>
        <v>#REF!</v>
      </c>
      <c r="E105" t="e">
        <f ca="1">VLOOKUP(Dynamic_Type2[[#This Row],[Crash Cause]],PCF[[#Headers],[#Data]],2,FALSE)</f>
        <v>#REF!</v>
      </c>
      <c r="F105" s="69" t="e">
        <f ca="1">Dynamic_Type2[[#This Row],[Crash Count2]]/Dynamic_Type2[[#Totals],[Crash Count2]]</f>
        <v>#REF!</v>
      </c>
      <c r="G105" s="86" t="str">
        <f>VLOOKUP(Dynamic_Type2[[#This Row],[Crash Cause]],PCF[[#Headers],[#Data]],4,FALSE)</f>
        <v>Non-Motorist Inattention</v>
      </c>
    </row>
    <row r="106" spans="2:7" x14ac:dyDescent="0.25">
      <c r="B106" t="s">
        <v>119</v>
      </c>
      <c r="C106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6" s="87" t="e">
        <f ca="1">Dynamic_Type2[[#This Row],[Crash Count]]/$C$116</f>
        <v>#REF!</v>
      </c>
      <c r="E106" t="e">
        <f ca="1">VLOOKUP(Dynamic_Type2[[#This Row],[Crash Cause]],PCF[[#Headers],[#Data]],2,FALSE)</f>
        <v>#REF!</v>
      </c>
      <c r="F106" s="69" t="e">
        <f ca="1">Dynamic_Type2[[#This Row],[Crash Count2]]/Dynamic_Type2[[#Totals],[Crash Count2]]</f>
        <v>#REF!</v>
      </c>
      <c r="G106" s="86" t="str">
        <f>VLOOKUP(Dynamic_Type2[[#This Row],[Crash Cause]],PCF[[#Headers],[#Data]],4,FALSE)</f>
        <v>Failed to avoid vehicle ahead</v>
      </c>
    </row>
    <row r="107" spans="2:7" ht="30" customHeight="1" x14ac:dyDescent="0.25">
      <c r="B107" t="s">
        <v>120</v>
      </c>
      <c r="C107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7" s="87" t="e">
        <f ca="1">Dynamic_Type2[[#This Row],[Crash Count]]/$C$116</f>
        <v>#REF!</v>
      </c>
      <c r="E107" t="e">
        <f ca="1">VLOOKUP(Dynamic_Type2[[#This Row],[Crash Cause]],PCF[[#Headers],[#Data]],2,FALSE)</f>
        <v>#REF!</v>
      </c>
      <c r="F107" s="69" t="e">
        <f ca="1">Dynamic_Type2[[#This Row],[Crash Count2]]/Dynamic_Type2[[#Totals],[Crash Count2]]</f>
        <v>#REF!</v>
      </c>
      <c r="G107" s="86" t="str">
        <f>VLOOKUP(Dynamic_Type2[[#This Row],[Crash Cause]],PCF[[#Headers],[#Data]],4,FALSE)</f>
        <v>Driving in excess of posted speed</v>
      </c>
    </row>
    <row r="108" spans="2:7" ht="30" customHeight="1" x14ac:dyDescent="0.25">
      <c r="B108" t="s">
        <v>121</v>
      </c>
      <c r="C108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8" s="87" t="e">
        <f ca="1">Dynamic_Type2[[#This Row],[Crash Count]]/$C$116</f>
        <v>#REF!</v>
      </c>
      <c r="E108" t="e">
        <f ca="1">VLOOKUP(Dynamic_Type2[[#This Row],[Crash Cause]],PCF[[#Headers],[#Data]],2,FALSE)</f>
        <v>#REF!</v>
      </c>
      <c r="F108" s="69" t="e">
        <f ca="1">Dynamic_Type2[[#This Row],[Crash Count2]]/Dynamic_Type2[[#Totals],[Crash Count2]]</f>
        <v>#REF!</v>
      </c>
      <c r="G108" s="86" t="str">
        <f>VLOOKUP(Dynamic_Type2[[#This Row],[Crash Cause]],PCF[[#Headers],[#Data]],4,FALSE)</f>
        <v>Speed Racing (Per PAR or self-reported)</v>
      </c>
    </row>
    <row r="109" spans="2:7" ht="30" customHeight="1" x14ac:dyDescent="0.25">
      <c r="B109" t="s">
        <v>122</v>
      </c>
      <c r="C10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9" s="87" t="e">
        <f ca="1">Dynamic_Type2[[#This Row],[Crash Count]]/$C$116</f>
        <v>#REF!</v>
      </c>
      <c r="E109" t="e">
        <f ca="1">VLOOKUP(Dynamic_Type2[[#This Row],[Crash Cause]],PCF[[#Headers],[#Data]],2,FALSE)</f>
        <v>#REF!</v>
      </c>
      <c r="F109" s="69" t="e">
        <f ca="1">Dynamic_Type2[[#This Row],[Crash Count2]]/Dynamic_Type2[[#Totals],[Crash Count2]]</f>
        <v>#REF!</v>
      </c>
      <c r="G109" s="86" t="str">
        <f>VLOOKUP(Dynamic_Type2[[#This Row],[Crash Cause]],PCF[[#Headers],[#Data]],4,FALSE)</f>
        <v>Careless Driving (Per PAR or self-reported)</v>
      </c>
    </row>
    <row r="110" spans="2:7" ht="30" customHeight="1" x14ac:dyDescent="0.25">
      <c r="B110" t="s">
        <v>123</v>
      </c>
      <c r="C11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0" s="87" t="e">
        <f ca="1">Dynamic_Type2[[#This Row],[Crash Count]]/$C$116</f>
        <v>#REF!</v>
      </c>
      <c r="E110" t="e">
        <f ca="1">VLOOKUP(Dynamic_Type2[[#This Row],[Crash Cause]],PCF[[#Headers],[#Data]],2,FALSE)</f>
        <v>#REF!</v>
      </c>
      <c r="F110" s="69" t="e">
        <f ca="1">Dynamic_Type2[[#This Row],[Crash Count2]]/Dynamic_Type2[[#Totals],[Crash Count2]]</f>
        <v>#REF!</v>
      </c>
      <c r="G110" s="86" t="str">
        <f>VLOOKUP(Dynamic_Type2[[#This Row],[Crash Cause]],PCF[[#Headers],[#Data]],4,FALSE)</f>
        <v>Reckless Driving (Per PAR or self-reported)</v>
      </c>
    </row>
    <row r="111" spans="2:7" x14ac:dyDescent="0.25">
      <c r="B111" t="s">
        <v>124</v>
      </c>
      <c r="C11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1" s="87" t="e">
        <f ca="1">Dynamic_Type2[[#This Row],[Crash Count]]/$C$116</f>
        <v>#REF!</v>
      </c>
      <c r="E111" t="e">
        <f ca="1">VLOOKUP(Dynamic_Type2[[#This Row],[Crash Cause]],PCF[[#Headers],[#Data]],2,FALSE)</f>
        <v>#REF!</v>
      </c>
      <c r="F111" s="69" t="e">
        <f ca="1">Dynamic_Type2[[#This Row],[Crash Count2]]/Dynamic_Type2[[#Totals],[Crash Count2]]</f>
        <v>#REF!</v>
      </c>
      <c r="G111" s="86" t="str">
        <f>VLOOKUP(Dynamic_Type2[[#This Row],[Crash Cause]],PCF[[#Headers],[#Data]],4,FALSE)</f>
        <v>*Aggressive Driving (Per PAR)</v>
      </c>
    </row>
    <row r="112" spans="2:7" x14ac:dyDescent="0.25">
      <c r="B112" t="s">
        <v>125</v>
      </c>
      <c r="C11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2" s="87" t="e">
        <f ca="1">Dynamic_Type2[[#This Row],[Crash Count]]/$C$116</f>
        <v>#REF!</v>
      </c>
      <c r="E112" t="e">
        <f ca="1">VLOOKUP(Dynamic_Type2[[#This Row],[Crash Cause]],PCF[[#Headers],[#Data]],2,FALSE)</f>
        <v>#REF!</v>
      </c>
      <c r="F112" s="69" t="e">
        <f ca="1">Dynamic_Type2[[#This Row],[Crash Count2]]/Dynamic_Type2[[#Totals],[Crash Count2]]</f>
        <v>#REF!</v>
      </c>
      <c r="G112" s="86" t="str">
        <f>VLOOKUP(Dynamic_Type2[[#This Row],[Crash Cause]],PCF[[#Headers],[#Data]],4,FALSE)</f>
        <v>*Road Rage (Per PAR)</v>
      </c>
    </row>
    <row r="113" spans="2:7" x14ac:dyDescent="0.25">
      <c r="B113" t="s">
        <v>126</v>
      </c>
      <c r="C11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3" s="87" t="e">
        <f ca="1">Dynamic_Type2[[#This Row],[Crash Count]]/$C$116</f>
        <v>#REF!</v>
      </c>
      <c r="E113" t="e">
        <f ca="1">VLOOKUP(Dynamic_Type2[[#This Row],[Crash Cause]],PCF[[#Headers],[#Data]],2,FALSE)</f>
        <v>#REF!</v>
      </c>
      <c r="F113" s="69" t="e">
        <f ca="1">Dynamic_Type2[[#This Row],[Crash Count2]]/Dynamic_Type2[[#Totals],[Crash Count2]]</f>
        <v>#REF!</v>
      </c>
      <c r="G113" s="86" t="str">
        <f>VLOOKUP(Dynamic_Type2[[#This Row],[Crash Cause]],PCF[[#Headers],[#Data]],4,FALSE)</f>
        <v>View Obscured</v>
      </c>
    </row>
    <row r="114" spans="2:7" ht="30" customHeight="1" x14ac:dyDescent="0.25">
      <c r="B114" t="s">
        <v>127</v>
      </c>
      <c r="C11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4" s="87" t="e">
        <f ca="1">Dynamic_Type2[[#This Row],[Crash Count]]/$C$116</f>
        <v>#REF!</v>
      </c>
      <c r="E114" t="e">
        <f ca="1">VLOOKUP(Dynamic_Type2[[#This Row],[Crash Cause]],PCF[[#Headers],[#Data]],2,FALSE)</f>
        <v>#REF!</v>
      </c>
      <c r="F114" s="69" t="e">
        <f ca="1">Dynamic_Type2[[#This Row],[Crash Count2]]/Dynamic_Type2[[#Totals],[Crash Count2]]</f>
        <v>#REF!</v>
      </c>
      <c r="G114" s="86" t="str">
        <f>VLOOKUP(Dynamic_Type2[[#This Row],[Crash Cause]],PCF[[#Headers],[#Data]],4,FALSE)</f>
        <v>Improper use of median or shoulder</v>
      </c>
    </row>
    <row r="115" spans="2:7" x14ac:dyDescent="0.25">
      <c r="B115" s="86" t="s">
        <v>53</v>
      </c>
      <c r="C115" s="86" t="e">
        <f ca="1">SUBTOTAL(109,Dynamic_Type2[Crash Count])</f>
        <v>#REF!</v>
      </c>
      <c r="D115" s="41" t="e">
        <f ca="1">SUBTOTAL(109,Dynamic_Type2[Crash Share])</f>
        <v>#REF!</v>
      </c>
      <c r="E115" t="e">
        <f ca="1">SUBTOTAL(109,Dynamic_Type2[Crash Count2])</f>
        <v>#REF!</v>
      </c>
      <c r="F115" s="82" t="e">
        <f ca="1">SUBTOTAL(109,Dynamic_Type2[Crash Share2])</f>
        <v>#REF!</v>
      </c>
      <c r="G115" s="86"/>
    </row>
    <row r="116" spans="2:7" x14ac:dyDescent="0.25">
      <c r="B116" s="80" t="s">
        <v>128</v>
      </c>
      <c r="C116" s="80" t="e">
        <f ca="1">Dynamic_Type[[#Totals],[Crash Count]]</f>
        <v>#REF!</v>
      </c>
      <c r="E116" s="80" t="e">
        <f ca="1">Dynamic_Type[[#Totals],[Crash Count2]]</f>
        <v>#REF!</v>
      </c>
    </row>
  </sheetData>
  <mergeCells count="11">
    <mergeCell ref="B43:E43"/>
    <mergeCell ref="C77:D77"/>
    <mergeCell ref="E77:F77"/>
    <mergeCell ref="H78:K78"/>
    <mergeCell ref="B7:D7"/>
    <mergeCell ref="I26:J26"/>
    <mergeCell ref="K26:L26"/>
    <mergeCell ref="C63:D63"/>
    <mergeCell ref="E63:F63"/>
    <mergeCell ref="B26:E26"/>
    <mergeCell ref="B76:E76"/>
  </mergeCells>
  <dataValidations disablePrompts="1" count="1">
    <dataValidation type="list" showInputMessage="1" showErrorMessage="1" sqref="C61" xr:uid="{00000000-0002-0000-0200-000000000000}">
      <formula1>$B$9:$B$21</formula1>
    </dataValidation>
  </dataValidations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2:M159"/>
  <sheetViews>
    <sheetView topLeftCell="A145" zoomScaleNormal="100" workbookViewId="0">
      <selection activeCell="D165" sqref="D165"/>
    </sheetView>
  </sheetViews>
  <sheetFormatPr defaultRowHeight="15" x14ac:dyDescent="0.25"/>
  <cols>
    <col min="1" max="1" width="3.140625" customWidth="1"/>
    <col min="2" max="2" width="53.42578125" customWidth="1"/>
    <col min="3" max="3" width="13.5703125" customWidth="1"/>
    <col min="4" max="4" width="16.5703125" bestFit="1" customWidth="1"/>
    <col min="5" max="5" width="38.85546875" customWidth="1"/>
    <col min="6" max="6" width="16.7109375" customWidth="1"/>
    <col min="7" max="7" width="9.7109375" bestFit="1" customWidth="1"/>
    <col min="8" max="8" width="15.28515625" bestFit="1" customWidth="1"/>
    <col min="9" max="9" width="15.7109375" bestFit="1" customWidth="1"/>
    <col min="10" max="10" width="16.28515625" bestFit="1" customWidth="1"/>
    <col min="11" max="11" width="16.7109375" bestFit="1" customWidth="1"/>
    <col min="12" max="12" width="16.28515625" bestFit="1" customWidth="1"/>
    <col min="13" max="13" width="34.140625" customWidth="1"/>
  </cols>
  <sheetData>
    <row r="2" spans="2:8" x14ac:dyDescent="0.25">
      <c r="B2" s="80" t="s">
        <v>41</v>
      </c>
      <c r="G2" s="78">
        <f>C3</f>
        <v>0</v>
      </c>
    </row>
    <row r="3" spans="2:8" x14ac:dyDescent="0.25">
      <c r="B3" s="95" t="s">
        <v>139</v>
      </c>
      <c r="C3" s="76">
        <f>COI!E4</f>
        <v>0</v>
      </c>
      <c r="G3" s="79" t="str">
        <f>IF(RIGHT($G2,1)="Z", CHAR(CODE(LEFT(G2,1))+1),LEFT(G2,1))&amp;CHAR(65+MOD(CODE(RIGHT(G2,1))+1-65,26))</f>
        <v>0K</v>
      </c>
      <c r="H3" s="78"/>
    </row>
    <row r="4" spans="2:8" x14ac:dyDescent="0.25">
      <c r="B4" s="95"/>
      <c r="C4" s="37"/>
      <c r="G4" s="79" t="str">
        <f>IF(RIGHT($G3,1)="Z", CHAR(CODE(LEFT(G3,1))+1),LEFT(G3,1))&amp;CHAR(65+MOD(CODE(RIGHT(G3,1))+1-65,26))</f>
        <v>0L</v>
      </c>
      <c r="H4" s="79"/>
    </row>
    <row r="5" spans="2:8" x14ac:dyDescent="0.25">
      <c r="B5" s="77" t="s">
        <v>90</v>
      </c>
      <c r="C5" s="37"/>
    </row>
    <row r="6" spans="2:8" x14ac:dyDescent="0.25">
      <c r="B6" s="107" t="s">
        <v>44</v>
      </c>
      <c r="C6" s="105"/>
      <c r="D6" s="105"/>
    </row>
    <row r="7" spans="2:8" x14ac:dyDescent="0.25">
      <c r="B7" s="5" t="s">
        <v>91</v>
      </c>
      <c r="C7" s="5" t="s">
        <v>46</v>
      </c>
      <c r="D7" s="5" t="s">
        <v>47</v>
      </c>
      <c r="E7" s="5" t="s">
        <v>71</v>
      </c>
    </row>
    <row r="8" spans="2:8" x14ac:dyDescent="0.25">
      <c r="B8" t="s">
        <v>92</v>
      </c>
      <c r="C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8" s="69" t="e">
        <f ca="1">PCF[[#This Row],[Crash Count]]/$C$45</f>
        <v>#REF!</v>
      </c>
      <c r="E8" t="s">
        <v>92</v>
      </c>
    </row>
    <row r="9" spans="2:8" ht="30" customHeight="1" x14ac:dyDescent="0.25">
      <c r="B9" t="s">
        <v>93</v>
      </c>
      <c r="C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9" s="69" t="e">
        <f ca="1">PCF[[#This Row],[Crash Count]]/$C$45</f>
        <v>#REF!</v>
      </c>
      <c r="E9" s="86" t="s">
        <v>140</v>
      </c>
    </row>
    <row r="10" spans="2:8" x14ac:dyDescent="0.25">
      <c r="B10" t="s">
        <v>94</v>
      </c>
      <c r="C1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0" s="69" t="e">
        <f ca="1">PCF[[#This Row],[Crash Count]]/$C$45</f>
        <v>#REF!</v>
      </c>
      <c r="E10" t="s">
        <v>94</v>
      </c>
    </row>
    <row r="11" spans="2:8" x14ac:dyDescent="0.25">
      <c r="B11" t="s">
        <v>95</v>
      </c>
      <c r="C1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1" s="69" t="e">
        <f ca="1">PCF[[#This Row],[Crash Count]]/$C$45</f>
        <v>#REF!</v>
      </c>
      <c r="E11" t="s">
        <v>95</v>
      </c>
    </row>
    <row r="12" spans="2:8" x14ac:dyDescent="0.25">
      <c r="B12" t="s">
        <v>96</v>
      </c>
      <c r="C1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2" s="69" t="e">
        <f ca="1">PCF[[#This Row],[Crash Count]]/$C$45</f>
        <v>#REF!</v>
      </c>
      <c r="E12" t="s">
        <v>96</v>
      </c>
    </row>
    <row r="13" spans="2:8" ht="30" customHeight="1" x14ac:dyDescent="0.25">
      <c r="B13" t="s">
        <v>97</v>
      </c>
      <c r="C1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3" s="69" t="e">
        <f ca="1">PCF[[#This Row],[Crash Count]]/$C$45</f>
        <v>#REF!</v>
      </c>
      <c r="E13" s="86" t="s">
        <v>141</v>
      </c>
    </row>
    <row r="14" spans="2:8" x14ac:dyDescent="0.25">
      <c r="B14" t="s">
        <v>98</v>
      </c>
      <c r="C14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4" s="69" t="e">
        <f ca="1">PCF[[#This Row],[Crash Count]]/$C$45</f>
        <v>#REF!</v>
      </c>
      <c r="E14" t="s">
        <v>98</v>
      </c>
    </row>
    <row r="15" spans="2:8" x14ac:dyDescent="0.25">
      <c r="B15" t="s">
        <v>99</v>
      </c>
      <c r="C15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5" s="69" t="e">
        <f ca="1">PCF[[#This Row],[Crash Count]]/$C$45</f>
        <v>#REF!</v>
      </c>
      <c r="E15" t="s">
        <v>99</v>
      </c>
    </row>
    <row r="16" spans="2:8" x14ac:dyDescent="0.25">
      <c r="B16" t="s">
        <v>100</v>
      </c>
      <c r="C16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6" s="69" t="e">
        <f ca="1">PCF[[#This Row],[Crash Count]]/$C$45</f>
        <v>#REF!</v>
      </c>
      <c r="E16" t="s">
        <v>100</v>
      </c>
    </row>
    <row r="17" spans="2:5" x14ac:dyDescent="0.25">
      <c r="B17" t="s">
        <v>101</v>
      </c>
      <c r="C17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7" s="69" t="e">
        <f ca="1">PCF[[#This Row],[Crash Count]]/$C$45</f>
        <v>#REF!</v>
      </c>
      <c r="E17" t="s">
        <v>101</v>
      </c>
    </row>
    <row r="18" spans="2:5" ht="30" customHeight="1" x14ac:dyDescent="0.25">
      <c r="B18" t="s">
        <v>102</v>
      </c>
      <c r="C1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8" s="69" t="e">
        <f ca="1">PCF[[#This Row],[Crash Count]]/$C$45</f>
        <v>#REF!</v>
      </c>
      <c r="E18" s="86" t="s">
        <v>142</v>
      </c>
    </row>
    <row r="19" spans="2:5" x14ac:dyDescent="0.25">
      <c r="B19" t="s">
        <v>103</v>
      </c>
      <c r="C1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9" s="69" t="e">
        <f ca="1">PCF[[#This Row],[Crash Count]]/$C$45</f>
        <v>#REF!</v>
      </c>
      <c r="E19" t="s">
        <v>103</v>
      </c>
    </row>
    <row r="20" spans="2:5" x14ac:dyDescent="0.25">
      <c r="B20" t="s">
        <v>104</v>
      </c>
      <c r="C2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0" s="69" t="e">
        <f ca="1">PCF[[#This Row],[Crash Count]]/$C$45</f>
        <v>#REF!</v>
      </c>
      <c r="E20" t="s">
        <v>104</v>
      </c>
    </row>
    <row r="21" spans="2:5" x14ac:dyDescent="0.25">
      <c r="B21" t="s">
        <v>105</v>
      </c>
      <c r="C2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1" s="69" t="e">
        <f ca="1">PCF[[#This Row],[Crash Count]]/$C$45</f>
        <v>#REF!</v>
      </c>
      <c r="E21" t="s">
        <v>105</v>
      </c>
    </row>
    <row r="22" spans="2:5" x14ac:dyDescent="0.25">
      <c r="B22" t="s">
        <v>106</v>
      </c>
      <c r="C2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2" s="69" t="e">
        <f ca="1">PCF[[#This Row],[Crash Count]]/$C$45</f>
        <v>#REF!</v>
      </c>
      <c r="E22" t="s">
        <v>106</v>
      </c>
    </row>
    <row r="23" spans="2:5" x14ac:dyDescent="0.25">
      <c r="B23" t="s">
        <v>107</v>
      </c>
      <c r="C2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3" s="69" t="e">
        <f ca="1">PCF[[#This Row],[Crash Count]]/$C$45</f>
        <v>#REF!</v>
      </c>
      <c r="E23" t="s">
        <v>107</v>
      </c>
    </row>
    <row r="24" spans="2:5" x14ac:dyDescent="0.25">
      <c r="B24" t="s">
        <v>108</v>
      </c>
      <c r="C24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4" s="69" t="e">
        <f ca="1">PCF[[#This Row],[Crash Count]]/$C$45</f>
        <v>#REF!</v>
      </c>
      <c r="E24" t="s">
        <v>108</v>
      </c>
    </row>
    <row r="25" spans="2:5" x14ac:dyDescent="0.25">
      <c r="B25" t="s">
        <v>109</v>
      </c>
      <c r="C25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5" s="69" t="e">
        <f ca="1">PCF[[#This Row],[Crash Count]]/$C$45</f>
        <v>#REF!</v>
      </c>
      <c r="E25" t="s">
        <v>109</v>
      </c>
    </row>
    <row r="26" spans="2:5" x14ac:dyDescent="0.25">
      <c r="B26" t="s">
        <v>110</v>
      </c>
      <c r="C26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6" s="69" t="e">
        <f ca="1">PCF[[#This Row],[Crash Count]]/$C$45</f>
        <v>#REF!</v>
      </c>
      <c r="E26" t="s">
        <v>110</v>
      </c>
    </row>
    <row r="27" spans="2:5" x14ac:dyDescent="0.25">
      <c r="B27" t="s">
        <v>111</v>
      </c>
      <c r="C27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7" s="69" t="e">
        <f ca="1">PCF[[#This Row],[Crash Count]]/$C$45</f>
        <v>#REF!</v>
      </c>
      <c r="E27" t="s">
        <v>111</v>
      </c>
    </row>
    <row r="28" spans="2:5" x14ac:dyDescent="0.25">
      <c r="B28" t="s">
        <v>112</v>
      </c>
      <c r="C2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8" s="69" t="e">
        <f ca="1">PCF[[#This Row],[Crash Count]]/$C$45</f>
        <v>#REF!</v>
      </c>
      <c r="E28" t="s">
        <v>112</v>
      </c>
    </row>
    <row r="29" spans="2:5" x14ac:dyDescent="0.25">
      <c r="B29" t="s">
        <v>113</v>
      </c>
      <c r="C2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9" s="69" t="e">
        <f ca="1">PCF[[#This Row],[Crash Count]]/$C$45</f>
        <v>#REF!</v>
      </c>
      <c r="E29" t="s">
        <v>113</v>
      </c>
    </row>
    <row r="30" spans="2:5" x14ac:dyDescent="0.25">
      <c r="B30" t="s">
        <v>114</v>
      </c>
      <c r="C3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0" s="69" t="e">
        <f ca="1">PCF[[#This Row],[Crash Count]]/$C$45</f>
        <v>#REF!</v>
      </c>
      <c r="E30" t="s">
        <v>114</v>
      </c>
    </row>
    <row r="31" spans="2:5" x14ac:dyDescent="0.25">
      <c r="B31" t="s">
        <v>115</v>
      </c>
      <c r="C3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1" s="69" t="e">
        <f ca="1">PCF[[#This Row],[Crash Count]]/$C$45</f>
        <v>#REF!</v>
      </c>
      <c r="E31" t="s">
        <v>115</v>
      </c>
    </row>
    <row r="32" spans="2:5" x14ac:dyDescent="0.25">
      <c r="B32" t="s">
        <v>116</v>
      </c>
      <c r="C3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2" s="69" t="e">
        <f ca="1">PCF[[#This Row],[Crash Count]]/$C$45</f>
        <v>#REF!</v>
      </c>
      <c r="E32" t="s">
        <v>116</v>
      </c>
    </row>
    <row r="33" spans="2:5" x14ac:dyDescent="0.25">
      <c r="B33" t="s">
        <v>117</v>
      </c>
      <c r="C3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3" s="69" t="e">
        <f ca="1">PCF[[#This Row],[Crash Count]]/$C$45</f>
        <v>#REF!</v>
      </c>
      <c r="E33" t="s">
        <v>117</v>
      </c>
    </row>
    <row r="34" spans="2:5" x14ac:dyDescent="0.25">
      <c r="B34" t="s">
        <v>118</v>
      </c>
      <c r="C34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4" s="69" t="e">
        <f ca="1">PCF[[#This Row],[Crash Count]]/$C$45</f>
        <v>#REF!</v>
      </c>
      <c r="E34" t="s">
        <v>118</v>
      </c>
    </row>
    <row r="35" spans="2:5" x14ac:dyDescent="0.25">
      <c r="B35" t="s">
        <v>119</v>
      </c>
      <c r="C35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5" s="69" t="e">
        <f ca="1">PCF[[#This Row],[Crash Count]]/$C$45</f>
        <v>#REF!</v>
      </c>
      <c r="E35" t="s">
        <v>119</v>
      </c>
    </row>
    <row r="36" spans="2:5" x14ac:dyDescent="0.25">
      <c r="B36" t="s">
        <v>120</v>
      </c>
      <c r="C36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6" s="69" t="e">
        <f ca="1">PCF[[#This Row],[Crash Count]]/$C$45</f>
        <v>#REF!</v>
      </c>
      <c r="E36" t="s">
        <v>120</v>
      </c>
    </row>
    <row r="37" spans="2:5" x14ac:dyDescent="0.25">
      <c r="B37" t="s">
        <v>121</v>
      </c>
      <c r="C37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7" s="69" t="e">
        <f ca="1">PCF[[#This Row],[Crash Count]]/$C$45</f>
        <v>#REF!</v>
      </c>
      <c r="E37" t="s">
        <v>121</v>
      </c>
    </row>
    <row r="38" spans="2:5" x14ac:dyDescent="0.25">
      <c r="B38" t="s">
        <v>122</v>
      </c>
      <c r="C3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8" s="69" t="e">
        <f ca="1">PCF[[#This Row],[Crash Count]]/$C$45</f>
        <v>#REF!</v>
      </c>
      <c r="E38" t="s">
        <v>122</v>
      </c>
    </row>
    <row r="39" spans="2:5" x14ac:dyDescent="0.25">
      <c r="B39" t="s">
        <v>123</v>
      </c>
      <c r="C3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9" s="69" t="e">
        <f ca="1">PCF[[#This Row],[Crash Count]]/$C$45</f>
        <v>#REF!</v>
      </c>
      <c r="E39" t="s">
        <v>123</v>
      </c>
    </row>
    <row r="40" spans="2:5" x14ac:dyDescent="0.25">
      <c r="B40" t="s">
        <v>124</v>
      </c>
      <c r="C4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0" s="69" t="e">
        <f ca="1">PCF[[#This Row],[Crash Count]]/$C$45</f>
        <v>#REF!</v>
      </c>
      <c r="E40" t="s">
        <v>124</v>
      </c>
    </row>
    <row r="41" spans="2:5" x14ac:dyDescent="0.25">
      <c r="B41" t="s">
        <v>125</v>
      </c>
      <c r="C4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1" s="69" t="e">
        <f ca="1">PCF[[#This Row],[Crash Count]]/$C$45</f>
        <v>#REF!</v>
      </c>
      <c r="E41" t="s">
        <v>125</v>
      </c>
    </row>
    <row r="42" spans="2:5" x14ac:dyDescent="0.25">
      <c r="B42" t="s">
        <v>126</v>
      </c>
      <c r="C4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2" s="69" t="e">
        <f ca="1">PCF[[#This Row],[Crash Count]]/$C$45</f>
        <v>#REF!</v>
      </c>
      <c r="E42" t="s">
        <v>126</v>
      </c>
    </row>
    <row r="43" spans="2:5" x14ac:dyDescent="0.25">
      <c r="B43" t="s">
        <v>127</v>
      </c>
      <c r="C4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3" s="69" t="e">
        <f ca="1">PCF[[#This Row],[Crash Count]]/$C$45</f>
        <v>#REF!</v>
      </c>
      <c r="E43" t="s">
        <v>127</v>
      </c>
    </row>
    <row r="44" spans="2:5" x14ac:dyDescent="0.25">
      <c r="B44" s="86" t="s">
        <v>53</v>
      </c>
      <c r="C44" t="e">
        <f ca="1">SUBTOTAL(109,PCF[Crash Count])</f>
        <v>#REF!</v>
      </c>
      <c r="D44" s="82" t="e">
        <f ca="1">SUBTOTAL(109,PCF[Crash Share])</f>
        <v>#REF!</v>
      </c>
      <c r="E44" s="86"/>
    </row>
    <row r="45" spans="2:5" x14ac:dyDescent="0.25">
      <c r="B45" s="83" t="s">
        <v>128</v>
      </c>
      <c r="C45" s="80" t="e">
        <f ca="1">Severity[[#Totals],[Crash Count]]</f>
        <v>#REF!</v>
      </c>
      <c r="D45" s="82"/>
      <c r="E45" s="86"/>
    </row>
    <row r="47" spans="2:5" x14ac:dyDescent="0.25">
      <c r="B47" s="77" t="s">
        <v>143</v>
      </c>
    </row>
    <row r="48" spans="2:5" x14ac:dyDescent="0.25">
      <c r="B48" s="80"/>
    </row>
    <row r="49" spans="2:13" x14ac:dyDescent="0.25">
      <c r="B49" s="106" t="s">
        <v>144</v>
      </c>
      <c r="C49" s="105"/>
      <c r="D49" s="105"/>
      <c r="E49" s="105"/>
      <c r="I49" s="104" t="s">
        <v>88</v>
      </c>
      <c r="J49" s="105"/>
      <c r="K49" s="104" t="s">
        <v>87</v>
      </c>
      <c r="L49" s="105"/>
    </row>
    <row r="50" spans="2:13" x14ac:dyDescent="0.25">
      <c r="B50" s="5" t="s">
        <v>91</v>
      </c>
      <c r="C50" s="5" t="s">
        <v>48</v>
      </c>
      <c r="D50" s="5" t="s">
        <v>49</v>
      </c>
      <c r="E50" s="5" t="s">
        <v>135</v>
      </c>
      <c r="F50" s="5" t="s">
        <v>52</v>
      </c>
      <c r="G50" s="5" t="s">
        <v>53</v>
      </c>
      <c r="H50" s="5" t="s">
        <v>47</v>
      </c>
      <c r="I50" s="5" t="s">
        <v>46</v>
      </c>
      <c r="J50" s="5" t="s">
        <v>60</v>
      </c>
      <c r="K50" s="8" t="s">
        <v>59</v>
      </c>
      <c r="L50" s="9" t="s">
        <v>64</v>
      </c>
      <c r="M50" s="12" t="s">
        <v>71</v>
      </c>
    </row>
    <row r="51" spans="2:13" x14ac:dyDescent="0.25">
      <c r="B51" t="s">
        <v>92</v>
      </c>
      <c r="C51" s="71" t="e">
        <f ca="1">SUM(COUNTIFS(INDIRECT("Collision!"&amp;Cause!$C$3&amp;":"&amp;Cause!$C$3),$B51,INDIRECT("Collision!"&amp;Severity!$C$3&amp;":"&amp;Severity!$C$3),C$50), COUNTIFS(INDIRECT("Collision!"&amp;Cause!$G$3&amp;":"&amp;Cause!$G$3),$B51,INDIRECT("Collision!"&amp;Severity!$C$3&amp;":"&amp;Severity!$C$3),C$50), COUNTIFS(INDIRECT("Collision!"&amp;Cause!$G$4&amp;":"&amp;Cause!$G$4),$B51,INDIRECT("Collision!"&amp;Severity!$C$3&amp;":"&amp;Severity!$C$3),C$50))</f>
        <v>#REF!</v>
      </c>
      <c r="D51" s="71" t="e">
        <f ca="1">SUM(COUNTIFS(INDIRECT("Collision!"&amp;Cause!$C$3&amp;":"&amp;Cause!$C$3),$B51,INDIRECT("Collision!"&amp;Severity!$C$3&amp;":"&amp;Severity!$C$3),D$50), COUNTIFS(INDIRECT("Collision!"&amp;Cause!$G$3&amp;":"&amp;Cause!$G$3),$B51,INDIRECT("Collision!"&amp;Severity!$C$3&amp;":"&amp;Severity!$C$3),D$50), COUNTIFS(INDIRECT("Collision!"&amp;Cause!$G$4&amp;":"&amp;Cause!$G$4),$B51,INDIRECT("Collision!"&amp;Severity!$C$3&amp;":"&amp;Severity!$C$3),D$50))</f>
        <v>#REF!</v>
      </c>
      <c r="E51" s="71" t="e">
        <f t="array" aca="1" ref="E51" ca="1">SUM(COUNTIFS(INDIRECT("Collision!"&amp;Cause!$C$3&amp;":"&amp;Cause!$C$3),$B51,INDIRECT("Collision!"&amp;Severity!$C$3&amp;":"&amp;Severity!$C$3),{"Moderate Injury","Minor Injury"}), COUNTIFS(INDIRECT("Collision!"&amp;Cause!$G$3&amp;":"&amp;Cause!$G$3),$B51,INDIRECT("Collision!"&amp;Severity!$C$3&amp;":"&amp;Severity!$C$3),{"Moderate Injury","Minor Injury"}), COUNTIFS(INDIRECT("Collision!"&amp;Cause!$G$4&amp;":"&amp;Cause!$G$4),$B51,INDIRECT("Collision!"&amp;Severity!$C$3&amp;":"&amp;Severity!$C$3),{"Moderate Injury","Minor Injury"}))</f>
        <v>#REF!</v>
      </c>
      <c r="F51" s="71" t="e">
        <f ca="1">SUM(COUNTIFS(INDIRECT("Collision!"&amp;Cause!$C$3&amp;":"&amp;Cause!$C$3),$B51,INDIRECT("Collision!"&amp;Severity!$C$3&amp;":"&amp;Severity!$C$3),F$50), COUNTIFS(INDIRECT("Collision!"&amp;Cause!$G$3&amp;":"&amp;Cause!$G$3),$B51,INDIRECT("Collision!"&amp;Severity!$C$3&amp;":"&amp;Severity!$C$3),F$50), COUNTIFS(INDIRECT("Collision!"&amp;Cause!$G$4&amp;":"&amp;Cause!$G$4),$B51,INDIRECT("Collision!"&amp;Severity!$C$3&amp;":"&amp;Severity!$C$3),F$50))</f>
        <v>#REF!</v>
      </c>
      <c r="G51" s="71" t="e">
        <f t="shared" ref="G51:G86" ca="1" si="0">SUM(C51:F51)</f>
        <v>#REF!</v>
      </c>
      <c r="H51" s="69" t="e">
        <f t="shared" ref="H51:H86" ca="1" si="1">G51/$G$88</f>
        <v>#REF!</v>
      </c>
      <c r="I51" s="71" t="e">
        <f t="shared" ref="I51:I86" ca="1" si="2">SUM(D51,C51)</f>
        <v>#REF!</v>
      </c>
      <c r="J51" s="69" t="e">
        <f ca="1">IF(G51=0,0,PCF_Severity[[#This Row],[Crash Count]]/$I$88)</f>
        <v>#REF!</v>
      </c>
      <c r="K51" t="e">
        <f ca="1">SUM(PCF_Severity[[#This Row],[Severe Injury]:[Other Injury]])</f>
        <v>#REF!</v>
      </c>
      <c r="L51" s="69" t="e">
        <f ca="1">PCF_Severity[[#This Row],[Crash Count2]]/$K$88</f>
        <v>#REF!</v>
      </c>
      <c r="M51" s="86" t="str">
        <f>VLOOKUP(PCF_Severity[[#This Row],[Crash Cause]],PCF[[#Headers],[#Data]],4,FALSE)</f>
        <v>No cause associated at this level</v>
      </c>
    </row>
    <row r="52" spans="2:13" x14ac:dyDescent="0.25">
      <c r="B52" t="s">
        <v>118</v>
      </c>
      <c r="C52" s="71" t="e">
        <f ca="1">SUM(COUNTIFS(INDIRECT("Collision!"&amp;Cause!$C$3&amp;":"&amp;Cause!$C$3),$B52,INDIRECT("Collision!"&amp;Severity!$C$3&amp;":"&amp;Severity!$C$3),C$50), COUNTIFS(INDIRECT("Collision!"&amp;Cause!$G$3&amp;":"&amp;Cause!$G$3),$B52,INDIRECT("Collision!"&amp;Severity!$C$3&amp;":"&amp;Severity!$C$3),C$50), COUNTIFS(INDIRECT("Collision!"&amp;Cause!$G$4&amp;":"&amp;Cause!$G$4),$B52,INDIRECT("Collision!"&amp;Severity!$C$3&amp;":"&amp;Severity!$C$3),C$50))</f>
        <v>#REF!</v>
      </c>
      <c r="D52" s="71" t="e">
        <f ca="1">SUM(COUNTIFS(INDIRECT("Collision!"&amp;Cause!$C$3&amp;":"&amp;Cause!$C$3),$B52,INDIRECT("Collision!"&amp;Severity!$C$3&amp;":"&amp;Severity!$C$3),D$50), COUNTIFS(INDIRECT("Collision!"&amp;Cause!$G$3&amp;":"&amp;Cause!$G$3),$B52,INDIRECT("Collision!"&amp;Severity!$C$3&amp;":"&amp;Severity!$C$3),D$50), COUNTIFS(INDIRECT("Collision!"&amp;Cause!$G$4&amp;":"&amp;Cause!$G$4),$B52,INDIRECT("Collision!"&amp;Severity!$C$3&amp;":"&amp;Severity!$C$3),D$50))</f>
        <v>#REF!</v>
      </c>
      <c r="E52" s="71" t="e">
        <f t="array" aca="1" ref="E52" ca="1">SUM(COUNTIFS(INDIRECT("Collision!"&amp;Cause!$C$3&amp;":"&amp;Cause!$C$3),$B52,INDIRECT("Collision!"&amp;Severity!$C$3&amp;":"&amp;Severity!$C$3),{"Moderate Injury","Minor Injury"}), COUNTIFS(INDIRECT("Collision!"&amp;Cause!$G$3&amp;":"&amp;Cause!$G$3),$B52,INDIRECT("Collision!"&amp;Severity!$C$3&amp;":"&amp;Severity!$C$3),{"Moderate Injury","Minor Injury"}), COUNTIFS(INDIRECT("Collision!"&amp;Cause!$G$4&amp;":"&amp;Cause!$G$4),$B52,INDIRECT("Collision!"&amp;Severity!$C$3&amp;":"&amp;Severity!$C$3),{"Moderate Injury","Minor Injury"}))</f>
        <v>#REF!</v>
      </c>
      <c r="F52" s="71" t="e">
        <f ca="1">SUM(COUNTIFS(INDIRECT("Collision!"&amp;Cause!$C$3&amp;":"&amp;Cause!$C$3),$B52,INDIRECT("Collision!"&amp;Severity!$C$3&amp;":"&amp;Severity!$C$3),F$50), COUNTIFS(INDIRECT("Collision!"&amp;Cause!$G$3&amp;":"&amp;Cause!$G$3),$B52,INDIRECT("Collision!"&amp;Severity!$C$3&amp;":"&amp;Severity!$C$3),F$50), COUNTIFS(INDIRECT("Collision!"&amp;Cause!$G$4&amp;":"&amp;Cause!$G$4),$B52,INDIRECT("Collision!"&amp;Severity!$C$3&amp;":"&amp;Severity!$C$3),F$50))</f>
        <v>#REF!</v>
      </c>
      <c r="G52" s="71" t="e">
        <f t="shared" ca="1" si="0"/>
        <v>#REF!</v>
      </c>
      <c r="H52" s="69" t="e">
        <f t="shared" ca="1" si="1"/>
        <v>#REF!</v>
      </c>
      <c r="I52" s="71" t="e">
        <f t="shared" ca="1" si="2"/>
        <v>#REF!</v>
      </c>
      <c r="J52" s="69" t="e">
        <f ca="1">IF(G52=0,0,PCF_Severity[[#This Row],[Crash Count]]/$I$88)</f>
        <v>#REF!</v>
      </c>
      <c r="K52" t="e">
        <f ca="1">SUM(PCF_Severity[[#This Row],[Severe Injury]:[Other Injury]])</f>
        <v>#REF!</v>
      </c>
      <c r="L52" s="69" t="e">
        <f ca="1">PCF_Severity[[#This Row],[Crash Count2]]/$K$88</f>
        <v>#REF!</v>
      </c>
      <c r="M52" s="86" t="str">
        <f>VLOOKUP(PCF_Severity[[#This Row],[Crash Cause]],PCF[[#Headers],[#Data]],4,FALSE)</f>
        <v>Non-Motorist Inattention</v>
      </c>
    </row>
    <row r="53" spans="2:13" x14ac:dyDescent="0.25">
      <c r="B53" t="s">
        <v>124</v>
      </c>
      <c r="C53" s="71" t="e">
        <f ca="1">SUM(COUNTIFS(INDIRECT("Collision!"&amp;Cause!$C$3&amp;":"&amp;Cause!$C$3),$B53,INDIRECT("Collision!"&amp;Severity!$C$3&amp;":"&amp;Severity!$C$3),C$50), COUNTIFS(INDIRECT("Collision!"&amp;Cause!$G$3&amp;":"&amp;Cause!$G$3),$B53,INDIRECT("Collision!"&amp;Severity!$C$3&amp;":"&amp;Severity!$C$3),C$50), COUNTIFS(INDIRECT("Collision!"&amp;Cause!$G$4&amp;":"&amp;Cause!$G$4),$B53,INDIRECT("Collision!"&amp;Severity!$C$3&amp;":"&amp;Severity!$C$3),C$50))</f>
        <v>#REF!</v>
      </c>
      <c r="D53" s="71" t="e">
        <f ca="1">SUM(COUNTIFS(INDIRECT("Collision!"&amp;Cause!$C$3&amp;":"&amp;Cause!$C$3),$B53,INDIRECT("Collision!"&amp;Severity!$C$3&amp;":"&amp;Severity!$C$3),D$50), COUNTIFS(INDIRECT("Collision!"&amp;Cause!$G$3&amp;":"&amp;Cause!$G$3),$B53,INDIRECT("Collision!"&amp;Severity!$C$3&amp;":"&amp;Severity!$C$3),D$50), COUNTIFS(INDIRECT("Collision!"&amp;Cause!$G$4&amp;":"&amp;Cause!$G$4),$B53,INDIRECT("Collision!"&amp;Severity!$C$3&amp;":"&amp;Severity!$C$3),D$50))</f>
        <v>#REF!</v>
      </c>
      <c r="E53" s="71" t="e">
        <f t="array" aca="1" ref="E53" ca="1">SUM(COUNTIFS(INDIRECT("Collision!"&amp;Cause!$C$3&amp;":"&amp;Cause!$C$3),$B53,INDIRECT("Collision!"&amp;Severity!$C$3&amp;":"&amp;Severity!$C$3),{"Moderate Injury","Minor Injury"}), COUNTIFS(INDIRECT("Collision!"&amp;Cause!$G$3&amp;":"&amp;Cause!$G$3),$B53,INDIRECT("Collision!"&amp;Severity!$C$3&amp;":"&amp;Severity!$C$3),{"Moderate Injury","Minor Injury"}), COUNTIFS(INDIRECT("Collision!"&amp;Cause!$G$4&amp;":"&amp;Cause!$G$4),$B53,INDIRECT("Collision!"&amp;Severity!$C$3&amp;":"&amp;Severity!$C$3),{"Moderate Injury","Minor Injury"}))</f>
        <v>#REF!</v>
      </c>
      <c r="F53" s="71" t="e">
        <f ca="1">SUM(COUNTIFS(INDIRECT("Collision!"&amp;Cause!$C$3&amp;":"&amp;Cause!$C$3),$B53,INDIRECT("Collision!"&amp;Severity!$C$3&amp;":"&amp;Severity!$C$3),F$50), COUNTIFS(INDIRECT("Collision!"&amp;Cause!$G$3&amp;":"&amp;Cause!$G$3),$B53,INDIRECT("Collision!"&amp;Severity!$C$3&amp;":"&amp;Severity!$C$3),F$50), COUNTIFS(INDIRECT("Collision!"&amp;Cause!$G$4&amp;":"&amp;Cause!$G$4),$B53,INDIRECT("Collision!"&amp;Severity!$C$3&amp;":"&amp;Severity!$C$3),F$50))</f>
        <v>#REF!</v>
      </c>
      <c r="G53" s="71" t="e">
        <f t="shared" ca="1" si="0"/>
        <v>#REF!</v>
      </c>
      <c r="H53" s="69" t="e">
        <f t="shared" ca="1" si="1"/>
        <v>#REF!</v>
      </c>
      <c r="I53" s="71" t="e">
        <f t="shared" ca="1" si="2"/>
        <v>#REF!</v>
      </c>
      <c r="J53" s="69" t="e">
        <f ca="1">IF(G53=0,0,PCF_Severity[[#This Row],[Crash Count]]/$I$88)</f>
        <v>#REF!</v>
      </c>
      <c r="K53" t="e">
        <f ca="1">SUM(PCF_Severity[[#This Row],[Severe Injury]:[Other Injury]])</f>
        <v>#REF!</v>
      </c>
      <c r="L53" s="69" t="e">
        <f ca="1">PCF_Severity[[#This Row],[Crash Count2]]/$K$88</f>
        <v>#REF!</v>
      </c>
      <c r="M53" s="86" t="str">
        <f>VLOOKUP(PCF_Severity[[#This Row],[Crash Cause]],PCF[[#Headers],[#Data]],4,FALSE)</f>
        <v>*Aggressive Driving (Per PAR)</v>
      </c>
    </row>
    <row r="54" spans="2:13" x14ac:dyDescent="0.25">
      <c r="B54" t="s">
        <v>125</v>
      </c>
      <c r="C54" s="71" t="e">
        <f ca="1">SUM(COUNTIFS(INDIRECT("Collision!"&amp;Cause!$C$3&amp;":"&amp;Cause!$C$3),$B54,INDIRECT("Collision!"&amp;Severity!$C$3&amp;":"&amp;Severity!$C$3),C$50), COUNTIFS(INDIRECT("Collision!"&amp;Cause!$G$3&amp;":"&amp;Cause!$G$3),$B54,INDIRECT("Collision!"&amp;Severity!$C$3&amp;":"&amp;Severity!$C$3),C$50), COUNTIFS(INDIRECT("Collision!"&amp;Cause!$G$4&amp;":"&amp;Cause!$G$4),$B54,INDIRECT("Collision!"&amp;Severity!$C$3&amp;":"&amp;Severity!$C$3),C$50))</f>
        <v>#REF!</v>
      </c>
      <c r="D54" s="71" t="e">
        <f ca="1">SUM(COUNTIFS(INDIRECT("Collision!"&amp;Cause!$C$3&amp;":"&amp;Cause!$C$3),$B54,INDIRECT("Collision!"&amp;Severity!$C$3&amp;":"&amp;Severity!$C$3),D$50), COUNTIFS(INDIRECT("Collision!"&amp;Cause!$G$3&amp;":"&amp;Cause!$G$3),$B54,INDIRECT("Collision!"&amp;Severity!$C$3&amp;":"&amp;Severity!$C$3),D$50), COUNTIFS(INDIRECT("Collision!"&amp;Cause!$G$4&amp;":"&amp;Cause!$G$4),$B54,INDIRECT("Collision!"&amp;Severity!$C$3&amp;":"&amp;Severity!$C$3),D$50))</f>
        <v>#REF!</v>
      </c>
      <c r="E54" s="71" t="e">
        <f t="array" aca="1" ref="E54" ca="1">SUM(COUNTIFS(INDIRECT("Collision!"&amp;Cause!$C$3&amp;":"&amp;Cause!$C$3),$B54,INDIRECT("Collision!"&amp;Severity!$C$3&amp;":"&amp;Severity!$C$3),{"Moderate Injury","Minor Injury"}), COUNTIFS(INDIRECT("Collision!"&amp;Cause!$G$3&amp;":"&amp;Cause!$G$3),$B54,INDIRECT("Collision!"&amp;Severity!$C$3&amp;":"&amp;Severity!$C$3),{"Moderate Injury","Minor Injury"}), COUNTIFS(INDIRECT("Collision!"&amp;Cause!$G$4&amp;":"&amp;Cause!$G$4),$B54,INDIRECT("Collision!"&amp;Severity!$C$3&amp;":"&amp;Severity!$C$3),{"Moderate Injury","Minor Injury"}))</f>
        <v>#REF!</v>
      </c>
      <c r="F54" s="71" t="e">
        <f ca="1">SUM(COUNTIFS(INDIRECT("Collision!"&amp;Cause!$C$3&amp;":"&amp;Cause!$C$3),$B54,INDIRECT("Collision!"&amp;Severity!$C$3&amp;":"&amp;Severity!$C$3),F$50), COUNTIFS(INDIRECT("Collision!"&amp;Cause!$G$3&amp;":"&amp;Cause!$G$3),$B54,INDIRECT("Collision!"&amp;Severity!$C$3&amp;":"&amp;Severity!$C$3),F$50), COUNTIFS(INDIRECT("Collision!"&amp;Cause!$G$4&amp;":"&amp;Cause!$G$4),$B54,INDIRECT("Collision!"&amp;Severity!$C$3&amp;":"&amp;Severity!$C$3),F$50))</f>
        <v>#REF!</v>
      </c>
      <c r="G54" s="71" t="e">
        <f t="shared" ca="1" si="0"/>
        <v>#REF!</v>
      </c>
      <c r="H54" s="69" t="e">
        <f t="shared" ca="1" si="1"/>
        <v>#REF!</v>
      </c>
      <c r="I54" s="71" t="e">
        <f t="shared" ca="1" si="2"/>
        <v>#REF!</v>
      </c>
      <c r="J54" s="69" t="e">
        <f ca="1">IF(G54=0,0,PCF_Severity[[#This Row],[Crash Count]]/$I$88)</f>
        <v>#REF!</v>
      </c>
      <c r="K54" t="e">
        <f ca="1">SUM(PCF_Severity[[#This Row],[Severe Injury]:[Other Injury]])</f>
        <v>#REF!</v>
      </c>
      <c r="L54" s="69" t="e">
        <f ca="1">PCF_Severity[[#This Row],[Crash Count2]]/$K$88</f>
        <v>#REF!</v>
      </c>
      <c r="M54" s="86" t="str">
        <f>VLOOKUP(PCF_Severity[[#This Row],[Crash Cause]],PCF[[#Headers],[#Data]],4,FALSE)</f>
        <v>*Road Rage (Per PAR)</v>
      </c>
    </row>
    <row r="55" spans="2:13" ht="30" customHeight="1" x14ac:dyDescent="0.25">
      <c r="B55" t="s">
        <v>121</v>
      </c>
      <c r="C55" s="71" t="e">
        <f ca="1">SUM(COUNTIFS(INDIRECT("Collision!"&amp;Cause!$C$3&amp;":"&amp;Cause!$C$3),$B55,INDIRECT("Collision!"&amp;Severity!$C$3&amp;":"&amp;Severity!$C$3),C$50), COUNTIFS(INDIRECT("Collision!"&amp;Cause!$G$3&amp;":"&amp;Cause!$G$3),$B55,INDIRECT("Collision!"&amp;Severity!$C$3&amp;":"&amp;Severity!$C$3),C$50), COUNTIFS(INDIRECT("Collision!"&amp;Cause!$G$4&amp;":"&amp;Cause!$G$4),$B55,INDIRECT("Collision!"&amp;Severity!$C$3&amp;":"&amp;Severity!$C$3),C$50))</f>
        <v>#REF!</v>
      </c>
      <c r="D55" s="71" t="e">
        <f ca="1">SUM(COUNTIFS(INDIRECT("Collision!"&amp;Cause!$C$3&amp;":"&amp;Cause!$C$3),$B55,INDIRECT("Collision!"&amp;Severity!$C$3&amp;":"&amp;Severity!$C$3),D$50), COUNTIFS(INDIRECT("Collision!"&amp;Cause!$G$3&amp;":"&amp;Cause!$G$3),$B55,INDIRECT("Collision!"&amp;Severity!$C$3&amp;":"&amp;Severity!$C$3),D$50), COUNTIFS(INDIRECT("Collision!"&amp;Cause!$G$4&amp;":"&amp;Cause!$G$4),$B55,INDIRECT("Collision!"&amp;Severity!$C$3&amp;":"&amp;Severity!$C$3),D$50))</f>
        <v>#REF!</v>
      </c>
      <c r="E55" s="71" t="e">
        <f t="array" aca="1" ref="E55" ca="1">SUM(COUNTIFS(INDIRECT("Collision!"&amp;Cause!$C$3&amp;":"&amp;Cause!$C$3),$B55,INDIRECT("Collision!"&amp;Severity!$C$3&amp;":"&amp;Severity!$C$3),{"Moderate Injury","Minor Injury"}), COUNTIFS(INDIRECT("Collision!"&amp;Cause!$G$3&amp;":"&amp;Cause!$G$3),$B55,INDIRECT("Collision!"&amp;Severity!$C$3&amp;":"&amp;Severity!$C$3),{"Moderate Injury","Minor Injury"}), COUNTIFS(INDIRECT("Collision!"&amp;Cause!$G$4&amp;":"&amp;Cause!$G$4),$B55,INDIRECT("Collision!"&amp;Severity!$C$3&amp;":"&amp;Severity!$C$3),{"Moderate Injury","Minor Injury"}))</f>
        <v>#REF!</v>
      </c>
      <c r="F55" s="71" t="e">
        <f ca="1">SUM(COUNTIFS(INDIRECT("Collision!"&amp;Cause!$C$3&amp;":"&amp;Cause!$C$3),$B55,INDIRECT("Collision!"&amp;Severity!$C$3&amp;":"&amp;Severity!$C$3),F$50), COUNTIFS(INDIRECT("Collision!"&amp;Cause!$G$3&amp;":"&amp;Cause!$G$3),$B55,INDIRECT("Collision!"&amp;Severity!$C$3&amp;":"&amp;Severity!$C$3),F$50), COUNTIFS(INDIRECT("Collision!"&amp;Cause!$G$4&amp;":"&amp;Cause!$G$4),$B55,INDIRECT("Collision!"&amp;Severity!$C$3&amp;":"&amp;Severity!$C$3),F$50))</f>
        <v>#REF!</v>
      </c>
      <c r="G55" s="71" t="e">
        <f t="shared" ca="1" si="0"/>
        <v>#REF!</v>
      </c>
      <c r="H55" s="69" t="e">
        <f t="shared" ca="1" si="1"/>
        <v>#REF!</v>
      </c>
      <c r="I55" s="71" t="e">
        <f t="shared" ca="1" si="2"/>
        <v>#REF!</v>
      </c>
      <c r="J55" s="69" t="e">
        <f ca="1">IF(G55=0,0,PCF_Severity[[#This Row],[Crash Count]]/$I$88)</f>
        <v>#REF!</v>
      </c>
      <c r="K55" t="e">
        <f ca="1">SUM(PCF_Severity[[#This Row],[Severe Injury]:[Other Injury]])</f>
        <v>#REF!</v>
      </c>
      <c r="L55" s="69" t="e">
        <f ca="1">PCF_Severity[[#This Row],[Crash Count2]]/$K$88</f>
        <v>#REF!</v>
      </c>
      <c r="M55" s="86" t="str">
        <f>VLOOKUP(PCF_Severity[[#This Row],[Crash Cause]],PCF[[#Headers],[#Data]],4,FALSE)</f>
        <v>Speed Racing (Per PAR or self-reported)</v>
      </c>
    </row>
    <row r="56" spans="2:13" x14ac:dyDescent="0.25">
      <c r="B56" t="s">
        <v>111</v>
      </c>
      <c r="C56" s="71" t="e">
        <f ca="1">SUM(COUNTIFS(INDIRECT("Collision!"&amp;Cause!$C$3&amp;":"&amp;Cause!$C$3),$B56,INDIRECT("Collision!"&amp;Severity!$C$3&amp;":"&amp;Severity!$C$3),C$50), COUNTIFS(INDIRECT("Collision!"&amp;Cause!$G$3&amp;":"&amp;Cause!$G$3),$B56,INDIRECT("Collision!"&amp;Severity!$C$3&amp;":"&amp;Severity!$C$3),C$50), COUNTIFS(INDIRECT("Collision!"&amp;Cause!$G$4&amp;":"&amp;Cause!$G$4),$B56,INDIRECT("Collision!"&amp;Severity!$C$3&amp;":"&amp;Severity!$C$3),C$50))</f>
        <v>#REF!</v>
      </c>
      <c r="D56" s="71" t="e">
        <f ca="1">SUM(COUNTIFS(INDIRECT("Collision!"&amp;Cause!$C$3&amp;":"&amp;Cause!$C$3),$B56,INDIRECT("Collision!"&amp;Severity!$C$3&amp;":"&amp;Severity!$C$3),D$50), COUNTIFS(INDIRECT("Collision!"&amp;Cause!$G$3&amp;":"&amp;Cause!$G$3),$B56,INDIRECT("Collision!"&amp;Severity!$C$3&amp;":"&amp;Severity!$C$3),D$50), COUNTIFS(INDIRECT("Collision!"&amp;Cause!$G$4&amp;":"&amp;Cause!$G$4),$B56,INDIRECT("Collision!"&amp;Severity!$C$3&amp;":"&amp;Severity!$C$3),D$50))</f>
        <v>#REF!</v>
      </c>
      <c r="E56" s="71" t="e">
        <f t="array" aca="1" ref="E56" ca="1">SUM(COUNTIFS(INDIRECT("Collision!"&amp;Cause!$C$3&amp;":"&amp;Cause!$C$3),$B56,INDIRECT("Collision!"&amp;Severity!$C$3&amp;":"&amp;Severity!$C$3),{"Moderate Injury","Minor Injury"}), COUNTIFS(INDIRECT("Collision!"&amp;Cause!$G$3&amp;":"&amp;Cause!$G$3),$B56,INDIRECT("Collision!"&amp;Severity!$C$3&amp;":"&amp;Severity!$C$3),{"Moderate Injury","Minor Injury"}), COUNTIFS(INDIRECT("Collision!"&amp;Cause!$G$4&amp;":"&amp;Cause!$G$4),$B56,INDIRECT("Collision!"&amp;Severity!$C$3&amp;":"&amp;Severity!$C$3),{"Moderate Injury","Minor Injury"}))</f>
        <v>#REF!</v>
      </c>
      <c r="F56" s="71" t="e">
        <f ca="1">SUM(COUNTIFS(INDIRECT("Collision!"&amp;Cause!$C$3&amp;":"&amp;Cause!$C$3),$B56,INDIRECT("Collision!"&amp;Severity!$C$3&amp;":"&amp;Severity!$C$3),F$50), COUNTIFS(INDIRECT("Collision!"&amp;Cause!$G$3&amp;":"&amp;Cause!$G$3),$B56,INDIRECT("Collision!"&amp;Severity!$C$3&amp;":"&amp;Severity!$C$3),F$50), COUNTIFS(INDIRECT("Collision!"&amp;Cause!$G$4&amp;":"&amp;Cause!$G$4),$B56,INDIRECT("Collision!"&amp;Severity!$C$3&amp;":"&amp;Severity!$C$3),F$50))</f>
        <v>#REF!</v>
      </c>
      <c r="G56" s="71" t="e">
        <f t="shared" ca="1" si="0"/>
        <v>#REF!</v>
      </c>
      <c r="H56" s="69" t="e">
        <f t="shared" ca="1" si="1"/>
        <v>#REF!</v>
      </c>
      <c r="I56" s="71" t="e">
        <f t="shared" ca="1" si="2"/>
        <v>#REF!</v>
      </c>
      <c r="J56" s="69" t="e">
        <f ca="1">IF(G56=0,0,PCF_Severity[[#This Row],[Crash Count]]/$I$88)</f>
        <v>#REF!</v>
      </c>
      <c r="K56" t="e">
        <f ca="1">SUM(PCF_Severity[[#This Row],[Severe Injury]:[Other Injury]])</f>
        <v>#REF!</v>
      </c>
      <c r="L56" s="69" t="e">
        <f ca="1">PCF_Severity[[#This Row],[Crash Count2]]/$K$88</f>
        <v>#REF!</v>
      </c>
      <c r="M56" s="86" t="str">
        <f>VLOOKUP(PCF_Severity[[#This Row],[Crash Cause]],PCF[[#Headers],[#Data]],4,FALSE)</f>
        <v>Vehicle improperly parked</v>
      </c>
    </row>
    <row r="57" spans="2:13" x14ac:dyDescent="0.25">
      <c r="B57" t="s">
        <v>114</v>
      </c>
      <c r="C57" s="71" t="e">
        <f ca="1">SUM(COUNTIFS(INDIRECT("Collision!"&amp;Cause!$C$3&amp;":"&amp;Cause!$C$3),$B57,INDIRECT("Collision!"&amp;Severity!$C$3&amp;":"&amp;Severity!$C$3),C$50), COUNTIFS(INDIRECT("Collision!"&amp;Cause!$G$3&amp;":"&amp;Cause!$G$3),$B57,INDIRECT("Collision!"&amp;Severity!$C$3&amp;":"&amp;Severity!$C$3),C$50), COUNTIFS(INDIRECT("Collision!"&amp;Cause!$G$4&amp;":"&amp;Cause!$G$4),$B57,INDIRECT("Collision!"&amp;Severity!$C$3&amp;":"&amp;Severity!$C$3),C$50))</f>
        <v>#REF!</v>
      </c>
      <c r="D57" s="71" t="e">
        <f ca="1">SUM(COUNTIFS(INDIRECT("Collision!"&amp;Cause!$C$3&amp;":"&amp;Cause!$C$3),$B57,INDIRECT("Collision!"&amp;Severity!$C$3&amp;":"&amp;Severity!$C$3),D$50), COUNTIFS(INDIRECT("Collision!"&amp;Cause!$G$3&amp;":"&amp;Cause!$G$3),$B57,INDIRECT("Collision!"&amp;Severity!$C$3&amp;":"&amp;Severity!$C$3),D$50), COUNTIFS(INDIRECT("Collision!"&amp;Cause!$G$4&amp;":"&amp;Cause!$G$4),$B57,INDIRECT("Collision!"&amp;Severity!$C$3&amp;":"&amp;Severity!$C$3),D$50))</f>
        <v>#REF!</v>
      </c>
      <c r="E57" s="71" t="e">
        <f t="array" aca="1" ref="E57" ca="1">SUM(COUNTIFS(INDIRECT("Collision!"&amp;Cause!$C$3&amp;":"&amp;Cause!$C$3),$B57,INDIRECT("Collision!"&amp;Severity!$C$3&amp;":"&amp;Severity!$C$3),{"Moderate Injury","Minor Injury"}), COUNTIFS(INDIRECT("Collision!"&amp;Cause!$G$3&amp;":"&amp;Cause!$G$3),$B57,INDIRECT("Collision!"&amp;Severity!$C$3&amp;":"&amp;Severity!$C$3),{"Moderate Injury","Minor Injury"}), COUNTIFS(INDIRECT("Collision!"&amp;Cause!$G$4&amp;":"&amp;Cause!$G$4),$B57,INDIRECT("Collision!"&amp;Severity!$C$3&amp;":"&amp;Severity!$C$3),{"Moderate Injury","Minor Injury"}))</f>
        <v>#REF!</v>
      </c>
      <c r="F57" s="71" t="e">
        <f ca="1">SUM(COUNTIFS(INDIRECT("Collision!"&amp;Cause!$C$3&amp;":"&amp;Cause!$C$3),$B57,INDIRECT("Collision!"&amp;Severity!$C$3&amp;":"&amp;Severity!$C$3),F$50), COUNTIFS(INDIRECT("Collision!"&amp;Cause!$G$3&amp;":"&amp;Cause!$G$3),$B57,INDIRECT("Collision!"&amp;Severity!$C$3&amp;":"&amp;Severity!$C$3),F$50), COUNTIFS(INDIRECT("Collision!"&amp;Cause!$G$4&amp;":"&amp;Cause!$G$4),$B57,INDIRECT("Collision!"&amp;Severity!$C$3&amp;":"&amp;Severity!$C$3),F$50))</f>
        <v>#REF!</v>
      </c>
      <c r="G57" s="71" t="e">
        <f t="shared" ca="1" si="0"/>
        <v>#REF!</v>
      </c>
      <c r="H57" s="69" t="e">
        <f t="shared" ca="1" si="1"/>
        <v>#REF!</v>
      </c>
      <c r="I57" s="71" t="e">
        <f t="shared" ca="1" si="2"/>
        <v>#REF!</v>
      </c>
      <c r="J57" s="69" t="e">
        <f ca="1">IF(G57=0,0,PCF_Severity[[#This Row],[Crash Count]]/$I$88)</f>
        <v>#REF!</v>
      </c>
      <c r="K57" t="e">
        <f ca="1">SUM(PCF_Severity[[#This Row],[Severe Injury]:[Other Injury]])</f>
        <v>#REF!</v>
      </c>
      <c r="L57" s="69" t="e">
        <f ca="1">PCF_Severity[[#This Row],[Crash Count2]]/$K$88</f>
        <v>#REF!</v>
      </c>
      <c r="M57" s="86" t="str">
        <f>VLOOKUP(PCF_Severity[[#This Row],[Crash Cause]],PCF[[#Headers],[#Data]],4,FALSE)</f>
        <v>Vehicle lost load or load shifted</v>
      </c>
    </row>
    <row r="58" spans="2:13" x14ac:dyDescent="0.25">
      <c r="B58" t="s">
        <v>106</v>
      </c>
      <c r="C58" s="71" t="e">
        <f ca="1">SUM(COUNTIFS(INDIRECT("Collision!"&amp;Cause!$C$3&amp;":"&amp;Cause!$C$3),$B58,INDIRECT("Collision!"&amp;Severity!$C$3&amp;":"&amp;Severity!$C$3),C$50), COUNTIFS(INDIRECT("Collision!"&amp;Cause!$G$3&amp;":"&amp;Cause!$G$3),$B58,INDIRECT("Collision!"&amp;Severity!$C$3&amp;":"&amp;Severity!$C$3),C$50), COUNTIFS(INDIRECT("Collision!"&amp;Cause!$G$4&amp;":"&amp;Cause!$G$4),$B58,INDIRECT("Collision!"&amp;Severity!$C$3&amp;":"&amp;Severity!$C$3),C$50))</f>
        <v>#REF!</v>
      </c>
      <c r="D58" s="71" t="e">
        <f ca="1">SUM(COUNTIFS(INDIRECT("Collision!"&amp;Cause!$C$3&amp;":"&amp;Cause!$C$3),$B58,INDIRECT("Collision!"&amp;Severity!$C$3&amp;":"&amp;Severity!$C$3),D$50), COUNTIFS(INDIRECT("Collision!"&amp;Cause!$G$3&amp;":"&amp;Cause!$G$3),$B58,INDIRECT("Collision!"&amp;Severity!$C$3&amp;":"&amp;Severity!$C$3),D$50), COUNTIFS(INDIRECT("Collision!"&amp;Cause!$G$4&amp;":"&amp;Cause!$G$4),$B58,INDIRECT("Collision!"&amp;Severity!$C$3&amp;":"&amp;Severity!$C$3),D$50))</f>
        <v>#REF!</v>
      </c>
      <c r="E58" s="71" t="e">
        <f t="array" aca="1" ref="E58" ca="1">SUM(COUNTIFS(INDIRECT("Collision!"&amp;Cause!$C$3&amp;":"&amp;Cause!$C$3),$B58,INDIRECT("Collision!"&amp;Severity!$C$3&amp;":"&amp;Severity!$C$3),{"Moderate Injury","Minor Injury"}), COUNTIFS(INDIRECT("Collision!"&amp;Cause!$G$3&amp;":"&amp;Cause!$G$3),$B58,INDIRECT("Collision!"&amp;Severity!$C$3&amp;":"&amp;Severity!$C$3),{"Moderate Injury","Minor Injury"}), COUNTIFS(INDIRECT("Collision!"&amp;Cause!$G$4&amp;":"&amp;Cause!$G$4),$B58,INDIRECT("Collision!"&amp;Severity!$C$3&amp;":"&amp;Severity!$C$3),{"Moderate Injury","Minor Injury"}))</f>
        <v>#REF!</v>
      </c>
      <c r="F58" s="71" t="e">
        <f ca="1">SUM(COUNTIFS(INDIRECT("Collision!"&amp;Cause!$C$3&amp;":"&amp;Cause!$C$3),$B58,INDIRECT("Collision!"&amp;Severity!$C$3&amp;":"&amp;Severity!$C$3),F$50), COUNTIFS(INDIRECT("Collision!"&amp;Cause!$G$3&amp;":"&amp;Cause!$G$3),$B58,INDIRECT("Collision!"&amp;Severity!$C$3&amp;":"&amp;Severity!$C$3),F$50), COUNTIFS(INDIRECT("Collision!"&amp;Cause!$G$4&amp;":"&amp;Cause!$G$4),$B58,INDIRECT("Collision!"&amp;Severity!$C$3&amp;":"&amp;Severity!$C$3),F$50))</f>
        <v>#REF!</v>
      </c>
      <c r="G58" s="71" t="e">
        <f t="shared" ca="1" si="0"/>
        <v>#REF!</v>
      </c>
      <c r="H58" s="69" t="e">
        <f t="shared" ca="1" si="1"/>
        <v>#REF!</v>
      </c>
      <c r="I58" s="71" t="e">
        <f t="shared" ca="1" si="2"/>
        <v>#REF!</v>
      </c>
      <c r="J58" s="69" t="e">
        <f ca="1">IF(G58=0,0,PCF_Severity[[#This Row],[Crash Count]]/$I$88)</f>
        <v>#REF!</v>
      </c>
      <c r="K58" t="e">
        <f ca="1">SUM(PCF_Severity[[#This Row],[Severe Injury]:[Other Injury]])</f>
        <v>#REF!</v>
      </c>
      <c r="L58" s="69" t="e">
        <f ca="1">PCF_Severity[[#This Row],[Crash Count2]]/$K$88</f>
        <v>#REF!</v>
      </c>
      <c r="M58" s="86" t="str">
        <f>VLOOKUP(PCF_Severity[[#This Row],[Crash Cause]],PCF[[#Headers],[#Data]],4,FALSE)</f>
        <v>Wrong way on one-way roadway</v>
      </c>
    </row>
    <row r="59" spans="2:13" ht="30" customHeight="1" x14ac:dyDescent="0.25">
      <c r="B59" t="s">
        <v>105</v>
      </c>
      <c r="C59" s="71" t="e">
        <f ca="1">SUM(COUNTIFS(INDIRECT("Collision!"&amp;Cause!$C$3&amp;":"&amp;Cause!$C$3),$B59,INDIRECT("Collision!"&amp;Severity!$C$3&amp;":"&amp;Severity!$C$3),C$50), COUNTIFS(INDIRECT("Collision!"&amp;Cause!$G$3&amp;":"&amp;Cause!$G$3),$B59,INDIRECT("Collision!"&amp;Severity!$C$3&amp;":"&amp;Severity!$C$3),C$50), COUNTIFS(INDIRECT("Collision!"&amp;Cause!$G$4&amp;":"&amp;Cause!$G$4),$B59,INDIRECT("Collision!"&amp;Severity!$C$3&amp;":"&amp;Severity!$C$3),C$50))</f>
        <v>#REF!</v>
      </c>
      <c r="D59" s="71" t="e">
        <f ca="1">SUM(COUNTIFS(INDIRECT("Collision!"&amp;Cause!$C$3&amp;":"&amp;Cause!$C$3),$B59,INDIRECT("Collision!"&amp;Severity!$C$3&amp;":"&amp;Severity!$C$3),D$50), COUNTIFS(INDIRECT("Collision!"&amp;Cause!$G$3&amp;":"&amp;Cause!$G$3),$B59,INDIRECT("Collision!"&amp;Severity!$C$3&amp;":"&amp;Severity!$C$3),D$50), COUNTIFS(INDIRECT("Collision!"&amp;Cause!$G$4&amp;":"&amp;Cause!$G$4),$B59,INDIRECT("Collision!"&amp;Severity!$C$3&amp;":"&amp;Severity!$C$3),D$50))</f>
        <v>#REF!</v>
      </c>
      <c r="E59" s="71" t="e">
        <f t="array" aca="1" ref="E59" ca="1">SUM(COUNTIFS(INDIRECT("Collision!"&amp;Cause!$C$3&amp;":"&amp;Cause!$C$3),$B59,INDIRECT("Collision!"&amp;Severity!$C$3&amp;":"&amp;Severity!$C$3),{"Moderate Injury","Minor Injury"}), COUNTIFS(INDIRECT("Collision!"&amp;Cause!$G$3&amp;":"&amp;Cause!$G$3),$B59,INDIRECT("Collision!"&amp;Severity!$C$3&amp;":"&amp;Severity!$C$3),{"Moderate Injury","Minor Injury"}), COUNTIFS(INDIRECT("Collision!"&amp;Cause!$G$4&amp;":"&amp;Cause!$G$4),$B59,INDIRECT("Collision!"&amp;Severity!$C$3&amp;":"&amp;Severity!$C$3),{"Moderate Injury","Minor Injury"}))</f>
        <v>#REF!</v>
      </c>
      <c r="F59" s="71" t="e">
        <f ca="1">SUM(COUNTIFS(INDIRECT("Collision!"&amp;Cause!$C$3&amp;":"&amp;Cause!$C$3),$B59,INDIRECT("Collision!"&amp;Severity!$C$3&amp;":"&amp;Severity!$C$3),F$50), COUNTIFS(INDIRECT("Collision!"&amp;Cause!$G$3&amp;":"&amp;Cause!$G$3),$B59,INDIRECT("Collision!"&amp;Severity!$C$3&amp;":"&amp;Severity!$C$3),F$50), COUNTIFS(INDIRECT("Collision!"&amp;Cause!$G$4&amp;":"&amp;Cause!$G$4),$B59,INDIRECT("Collision!"&amp;Severity!$C$3&amp;":"&amp;Severity!$C$3),F$50))</f>
        <v>#REF!</v>
      </c>
      <c r="G59" s="71" t="e">
        <f t="shared" ca="1" si="0"/>
        <v>#REF!</v>
      </c>
      <c r="H59" s="69" t="e">
        <f t="shared" ca="1" si="1"/>
        <v>#REF!</v>
      </c>
      <c r="I59" s="71" t="e">
        <f t="shared" ca="1" si="2"/>
        <v>#REF!</v>
      </c>
      <c r="J59" s="69" t="e">
        <f ca="1">IF(G59=0,0,PCF_Severity[[#This Row],[Crash Count]]/$I$88)</f>
        <v>#REF!</v>
      </c>
      <c r="K59" t="e">
        <f ca="1">SUM(PCF_Severity[[#This Row],[Severe Injury]:[Other Injury]])</f>
        <v>#REF!</v>
      </c>
      <c r="L59" s="69" t="e">
        <f ca="1">PCF_Severity[[#This Row],[Crash Count2]]/$K$88</f>
        <v>#REF!</v>
      </c>
      <c r="M59" s="86" t="str">
        <f>VLOOKUP(PCF_Severity[[#This Row],[Crash Cause]],PCF[[#Headers],[#Data]],4,FALSE)</f>
        <v>Disregarded other traffic control device</v>
      </c>
    </row>
    <row r="60" spans="2:13" x14ac:dyDescent="0.25">
      <c r="B60" t="s">
        <v>115</v>
      </c>
      <c r="C60" s="71" t="e">
        <f ca="1">SUM(COUNTIFS(INDIRECT("Collision!"&amp;Cause!$C$3&amp;":"&amp;Cause!$C$3),$B60,INDIRECT("Collision!"&amp;Severity!$C$3&amp;":"&amp;Severity!$C$3),C$50), COUNTIFS(INDIRECT("Collision!"&amp;Cause!$G$3&amp;":"&amp;Cause!$G$3),$B60,INDIRECT("Collision!"&amp;Severity!$C$3&amp;":"&amp;Severity!$C$3),C$50), COUNTIFS(INDIRECT("Collision!"&amp;Cause!$G$4&amp;":"&amp;Cause!$G$4),$B60,INDIRECT("Collision!"&amp;Severity!$C$3&amp;":"&amp;Severity!$C$3),C$50))</f>
        <v>#REF!</v>
      </c>
      <c r="D60" s="71" t="e">
        <f ca="1">SUM(COUNTIFS(INDIRECT("Collision!"&amp;Cause!$C$3&amp;":"&amp;Cause!$C$3),$B60,INDIRECT("Collision!"&amp;Severity!$C$3&amp;":"&amp;Severity!$C$3),D$50), COUNTIFS(INDIRECT("Collision!"&amp;Cause!$G$3&amp;":"&amp;Cause!$G$3),$B60,INDIRECT("Collision!"&amp;Severity!$C$3&amp;":"&amp;Severity!$C$3),D$50), COUNTIFS(INDIRECT("Collision!"&amp;Cause!$G$4&amp;":"&amp;Cause!$G$4),$B60,INDIRECT("Collision!"&amp;Severity!$C$3&amp;":"&amp;Severity!$C$3),D$50))</f>
        <v>#REF!</v>
      </c>
      <c r="E60" s="71" t="e">
        <f t="array" aca="1" ref="E60" ca="1">SUM(COUNTIFS(INDIRECT("Collision!"&amp;Cause!$C$3&amp;":"&amp;Cause!$C$3),$B60,INDIRECT("Collision!"&amp;Severity!$C$3&amp;":"&amp;Severity!$C$3),{"Moderate Injury","Minor Injury"}), COUNTIFS(INDIRECT("Collision!"&amp;Cause!$G$3&amp;":"&amp;Cause!$G$3),$B60,INDIRECT("Collision!"&amp;Severity!$C$3&amp;":"&amp;Severity!$C$3),{"Moderate Injury","Minor Injury"}), COUNTIFS(INDIRECT("Collision!"&amp;Cause!$G$4&amp;":"&amp;Cause!$G$4),$B60,INDIRECT("Collision!"&amp;Severity!$C$3&amp;":"&amp;Severity!$C$3),{"Moderate Injury","Minor Injury"}))</f>
        <v>#REF!</v>
      </c>
      <c r="F60" s="71" t="e">
        <f ca="1">SUM(COUNTIFS(INDIRECT("Collision!"&amp;Cause!$C$3&amp;":"&amp;Cause!$C$3),$B60,INDIRECT("Collision!"&amp;Severity!$C$3&amp;":"&amp;Severity!$C$3),F$50), COUNTIFS(INDIRECT("Collision!"&amp;Cause!$G$3&amp;":"&amp;Cause!$G$3),$B60,INDIRECT("Collision!"&amp;Severity!$C$3&amp;":"&amp;Severity!$C$3),F$50), COUNTIFS(INDIRECT("Collision!"&amp;Cause!$G$4&amp;":"&amp;Cause!$G$4),$B60,INDIRECT("Collision!"&amp;Severity!$C$3&amp;":"&amp;Severity!$C$3),F$50))</f>
        <v>#REF!</v>
      </c>
      <c r="G60" s="71" t="e">
        <f t="shared" ca="1" si="0"/>
        <v>#REF!</v>
      </c>
      <c r="H60" s="69" t="e">
        <f t="shared" ca="1" si="1"/>
        <v>#REF!</v>
      </c>
      <c r="I60" s="71" t="e">
        <f t="shared" ca="1" si="2"/>
        <v>#REF!</v>
      </c>
      <c r="J60" s="69" t="e">
        <f ca="1">IF(G60=0,0,PCF_Severity[[#This Row],[Crash Count]]/$I$88)</f>
        <v>#REF!</v>
      </c>
      <c r="K60" t="e">
        <f ca="1">SUM(PCF_Severity[[#This Row],[Severe Injury]:[Other Injury]])</f>
        <v>#REF!</v>
      </c>
      <c r="L60" s="69" t="e">
        <f ca="1">PCF_Severity[[#This Row],[Crash Count2]]/$K$88</f>
        <v>#REF!</v>
      </c>
      <c r="M60" s="86" t="str">
        <f>VLOOKUP(PCF_Severity[[#This Row],[Crash Cause]],PCF[[#Headers],[#Data]],4,FALSE)</f>
        <v>Tire failure</v>
      </c>
    </row>
    <row r="61" spans="2:13" x14ac:dyDescent="0.25">
      <c r="B61" t="s">
        <v>127</v>
      </c>
      <c r="C61" s="71" t="e">
        <f ca="1">SUM(COUNTIFS(INDIRECT("Collision!"&amp;Cause!$C$3&amp;":"&amp;Cause!$C$3),$B61,INDIRECT("Collision!"&amp;Severity!$C$3&amp;":"&amp;Severity!$C$3),C$50), COUNTIFS(INDIRECT("Collision!"&amp;Cause!$G$3&amp;":"&amp;Cause!$G$3),$B61,INDIRECT("Collision!"&amp;Severity!$C$3&amp;":"&amp;Severity!$C$3),C$50), COUNTIFS(INDIRECT("Collision!"&amp;Cause!$G$4&amp;":"&amp;Cause!$G$4),$B61,INDIRECT("Collision!"&amp;Severity!$C$3&amp;":"&amp;Severity!$C$3),C$50))</f>
        <v>#REF!</v>
      </c>
      <c r="D61" s="71" t="e">
        <f ca="1">SUM(COUNTIFS(INDIRECT("Collision!"&amp;Cause!$C$3&amp;":"&amp;Cause!$C$3),$B61,INDIRECT("Collision!"&amp;Severity!$C$3&amp;":"&amp;Severity!$C$3),D$50), COUNTIFS(INDIRECT("Collision!"&amp;Cause!$G$3&amp;":"&amp;Cause!$G$3),$B61,INDIRECT("Collision!"&amp;Severity!$C$3&amp;":"&amp;Severity!$C$3),D$50), COUNTIFS(INDIRECT("Collision!"&amp;Cause!$G$4&amp;":"&amp;Cause!$G$4),$B61,INDIRECT("Collision!"&amp;Severity!$C$3&amp;":"&amp;Severity!$C$3),D$50))</f>
        <v>#REF!</v>
      </c>
      <c r="E61" s="71" t="e">
        <f t="array" aca="1" ref="E61" ca="1">SUM(COUNTIFS(INDIRECT("Collision!"&amp;Cause!$C$3&amp;":"&amp;Cause!$C$3),$B61,INDIRECT("Collision!"&amp;Severity!$C$3&amp;":"&amp;Severity!$C$3),{"Moderate Injury","Minor Injury"}), COUNTIFS(INDIRECT("Collision!"&amp;Cause!$G$3&amp;":"&amp;Cause!$G$3),$B61,INDIRECT("Collision!"&amp;Severity!$C$3&amp;":"&amp;Severity!$C$3),{"Moderate Injury","Minor Injury"}), COUNTIFS(INDIRECT("Collision!"&amp;Cause!$G$4&amp;":"&amp;Cause!$G$4),$B61,INDIRECT("Collision!"&amp;Severity!$C$3&amp;":"&amp;Severity!$C$3),{"Moderate Injury","Minor Injury"}))</f>
        <v>#REF!</v>
      </c>
      <c r="F61" s="71" t="e">
        <f ca="1">SUM(COUNTIFS(INDIRECT("Collision!"&amp;Cause!$C$3&amp;":"&amp;Cause!$C$3),$B61,INDIRECT("Collision!"&amp;Severity!$C$3&amp;":"&amp;Severity!$C$3),F$50), COUNTIFS(INDIRECT("Collision!"&amp;Cause!$G$3&amp;":"&amp;Cause!$G$3),$B61,INDIRECT("Collision!"&amp;Severity!$C$3&amp;":"&amp;Severity!$C$3),F$50), COUNTIFS(INDIRECT("Collision!"&amp;Cause!$G$4&amp;":"&amp;Cause!$G$4),$B61,INDIRECT("Collision!"&amp;Severity!$C$3&amp;":"&amp;Severity!$C$3),F$50))</f>
        <v>#REF!</v>
      </c>
      <c r="G61" s="71" t="e">
        <f t="shared" ca="1" si="0"/>
        <v>#REF!</v>
      </c>
      <c r="H61" s="69" t="e">
        <f t="shared" ca="1" si="1"/>
        <v>#REF!</v>
      </c>
      <c r="I61" s="71" t="e">
        <f t="shared" ca="1" si="2"/>
        <v>#REF!</v>
      </c>
      <c r="J61" s="69" t="e">
        <f ca="1">IF(G61=0,0,PCF_Severity[[#This Row],[Crash Count]]/$I$88)</f>
        <v>#REF!</v>
      </c>
      <c r="K61" t="e">
        <f ca="1">SUM(PCF_Severity[[#This Row],[Severe Injury]:[Other Injury]])</f>
        <v>#REF!</v>
      </c>
      <c r="L61" s="69" t="e">
        <f ca="1">PCF_Severity[[#This Row],[Crash Count2]]/$K$88</f>
        <v>#REF!</v>
      </c>
      <c r="M61" s="86" t="str">
        <f>VLOOKUP(PCF_Severity[[#This Row],[Crash Cause]],PCF[[#Headers],[#Data]],4,FALSE)</f>
        <v>Improper use of median or shoulder</v>
      </c>
    </row>
    <row r="62" spans="2:13" x14ac:dyDescent="0.25">
      <c r="B62" t="s">
        <v>112</v>
      </c>
      <c r="C62" s="71" t="e">
        <f ca="1">SUM(COUNTIFS(INDIRECT("Collision!"&amp;Cause!$C$3&amp;":"&amp;Cause!$C$3),$B62,INDIRECT("Collision!"&amp;Severity!$C$3&amp;":"&amp;Severity!$C$3),C$50), COUNTIFS(INDIRECT("Collision!"&amp;Cause!$G$3&amp;":"&amp;Cause!$G$3),$B62,INDIRECT("Collision!"&amp;Severity!$C$3&amp;":"&amp;Severity!$C$3),C$50), COUNTIFS(INDIRECT("Collision!"&amp;Cause!$G$4&amp;":"&amp;Cause!$G$4),$B62,INDIRECT("Collision!"&amp;Severity!$C$3&amp;":"&amp;Severity!$C$3),C$50))</f>
        <v>#REF!</v>
      </c>
      <c r="D62" s="71" t="e">
        <f ca="1">SUM(COUNTIFS(INDIRECT("Collision!"&amp;Cause!$C$3&amp;":"&amp;Cause!$C$3),$B62,INDIRECT("Collision!"&amp;Severity!$C$3&amp;":"&amp;Severity!$C$3),D$50), COUNTIFS(INDIRECT("Collision!"&amp;Cause!$G$3&amp;":"&amp;Cause!$G$3),$B62,INDIRECT("Collision!"&amp;Severity!$C$3&amp;":"&amp;Severity!$C$3),D$50), COUNTIFS(INDIRECT("Collision!"&amp;Cause!$G$4&amp;":"&amp;Cause!$G$4),$B62,INDIRECT("Collision!"&amp;Severity!$C$3&amp;":"&amp;Severity!$C$3),D$50))</f>
        <v>#REF!</v>
      </c>
      <c r="E62" s="71" t="e">
        <f t="array" aca="1" ref="E62" ca="1">SUM(COUNTIFS(INDIRECT("Collision!"&amp;Cause!$C$3&amp;":"&amp;Cause!$C$3),$B62,INDIRECT("Collision!"&amp;Severity!$C$3&amp;":"&amp;Severity!$C$3),{"Moderate Injury","Minor Injury"}), COUNTIFS(INDIRECT("Collision!"&amp;Cause!$G$3&amp;":"&amp;Cause!$G$3),$B62,INDIRECT("Collision!"&amp;Severity!$C$3&amp;":"&amp;Severity!$C$3),{"Moderate Injury","Minor Injury"}), COUNTIFS(INDIRECT("Collision!"&amp;Cause!$G$4&amp;":"&amp;Cause!$G$4),$B62,INDIRECT("Collision!"&amp;Severity!$C$3&amp;":"&amp;Severity!$C$3),{"Moderate Injury","Minor Injury"}))</f>
        <v>#REF!</v>
      </c>
      <c r="F62" s="71" t="e">
        <f ca="1">SUM(COUNTIFS(INDIRECT("Collision!"&amp;Cause!$C$3&amp;":"&amp;Cause!$C$3),$B62,INDIRECT("Collision!"&amp;Severity!$C$3&amp;":"&amp;Severity!$C$3),F$50), COUNTIFS(INDIRECT("Collision!"&amp;Cause!$G$3&amp;":"&amp;Cause!$G$3),$B62,INDIRECT("Collision!"&amp;Severity!$C$3&amp;":"&amp;Severity!$C$3),F$50), COUNTIFS(INDIRECT("Collision!"&amp;Cause!$G$4&amp;":"&amp;Cause!$G$4),$B62,INDIRECT("Collision!"&amp;Severity!$C$3&amp;":"&amp;Severity!$C$3),F$50))</f>
        <v>#REF!</v>
      </c>
      <c r="G62" s="71" t="e">
        <f t="shared" ca="1" si="0"/>
        <v>#REF!</v>
      </c>
      <c r="H62" s="69" t="e">
        <f t="shared" ca="1" si="1"/>
        <v>#REF!</v>
      </c>
      <c r="I62" s="71" t="e">
        <f t="shared" ca="1" si="2"/>
        <v>#REF!</v>
      </c>
      <c r="J62" s="69" t="e">
        <f ca="1">IF(G62=0,0,PCF_Severity[[#This Row],[Crash Count]]/$I$88)</f>
        <v>#REF!</v>
      </c>
      <c r="K62" t="e">
        <f ca="1">SUM(PCF_Severity[[#This Row],[Severe Injury]:[Other Injury]])</f>
        <v>#REF!</v>
      </c>
      <c r="L62" s="69" t="e">
        <f ca="1">PCF_Severity[[#This Row],[Crash Count2]]/$K$88</f>
        <v>#REF!</v>
      </c>
      <c r="M62" s="86" t="str">
        <f>VLOOKUP(PCF_Severity[[#This Row],[Crash Cause]],PCF[[#Headers],[#Data]],4,FALSE)</f>
        <v>Defective steering mechanism</v>
      </c>
    </row>
    <row r="63" spans="2:13" x14ac:dyDescent="0.25">
      <c r="B63" t="s">
        <v>109</v>
      </c>
      <c r="C63" s="71" t="e">
        <f ca="1">SUM(COUNTIFS(INDIRECT("Collision!"&amp;Cause!$C$3&amp;":"&amp;Cause!$C$3),$B63,INDIRECT("Collision!"&amp;Severity!$C$3&amp;":"&amp;Severity!$C$3),C$50), COUNTIFS(INDIRECT("Collision!"&amp;Cause!$G$3&amp;":"&amp;Cause!$G$3),$B63,INDIRECT("Collision!"&amp;Severity!$C$3&amp;":"&amp;Severity!$C$3),C$50), COUNTIFS(INDIRECT("Collision!"&amp;Cause!$G$4&amp;":"&amp;Cause!$G$4),$B63,INDIRECT("Collision!"&amp;Severity!$C$3&amp;":"&amp;Severity!$C$3),C$50))</f>
        <v>#REF!</v>
      </c>
      <c r="D63" s="71" t="e">
        <f ca="1">SUM(COUNTIFS(INDIRECT("Collision!"&amp;Cause!$C$3&amp;":"&amp;Cause!$C$3),$B63,INDIRECT("Collision!"&amp;Severity!$C$3&amp;":"&amp;Severity!$C$3),D$50), COUNTIFS(INDIRECT("Collision!"&amp;Cause!$G$3&amp;":"&amp;Cause!$G$3),$B63,INDIRECT("Collision!"&amp;Severity!$C$3&amp;":"&amp;Severity!$C$3),D$50), COUNTIFS(INDIRECT("Collision!"&amp;Cause!$G$4&amp;":"&amp;Cause!$G$4),$B63,INDIRECT("Collision!"&amp;Severity!$C$3&amp;":"&amp;Severity!$C$3),D$50))</f>
        <v>#REF!</v>
      </c>
      <c r="E63" s="71" t="e">
        <f t="array" aca="1" ref="E63" ca="1">SUM(COUNTIFS(INDIRECT("Collision!"&amp;Cause!$C$3&amp;":"&amp;Cause!$C$3),$B63,INDIRECT("Collision!"&amp;Severity!$C$3&amp;":"&amp;Severity!$C$3),{"Moderate Injury","Minor Injury"}), COUNTIFS(INDIRECT("Collision!"&amp;Cause!$G$3&amp;":"&amp;Cause!$G$3),$B63,INDIRECT("Collision!"&amp;Severity!$C$3&amp;":"&amp;Severity!$C$3),{"Moderate Injury","Minor Injury"}), COUNTIFS(INDIRECT("Collision!"&amp;Cause!$G$4&amp;":"&amp;Cause!$G$4),$B63,INDIRECT("Collision!"&amp;Severity!$C$3&amp;":"&amp;Severity!$C$3),{"Moderate Injury","Minor Injury"}))</f>
        <v>#REF!</v>
      </c>
      <c r="F63" s="71" t="e">
        <f ca="1">SUM(COUNTIFS(INDIRECT("Collision!"&amp;Cause!$C$3&amp;":"&amp;Cause!$C$3),$B63,INDIRECT("Collision!"&amp;Severity!$C$3&amp;":"&amp;Severity!$C$3),F$50), COUNTIFS(INDIRECT("Collision!"&amp;Cause!$G$3&amp;":"&amp;Cause!$G$3),$B63,INDIRECT("Collision!"&amp;Severity!$C$3&amp;":"&amp;Severity!$C$3),F$50), COUNTIFS(INDIRECT("Collision!"&amp;Cause!$G$4&amp;":"&amp;Cause!$G$4),$B63,INDIRECT("Collision!"&amp;Severity!$C$3&amp;":"&amp;Severity!$C$3),F$50))</f>
        <v>#REF!</v>
      </c>
      <c r="G63" s="71" t="e">
        <f t="shared" ca="1" si="0"/>
        <v>#REF!</v>
      </c>
      <c r="H63" s="69" t="e">
        <f t="shared" ca="1" si="1"/>
        <v>#REF!</v>
      </c>
      <c r="I63" s="71" t="e">
        <f t="shared" ca="1" si="2"/>
        <v>#REF!</v>
      </c>
      <c r="J63" s="69" t="e">
        <f ca="1">IF(G63=0,0,PCF_Severity[[#This Row],[Crash Count]]/$I$88)</f>
        <v>#REF!</v>
      </c>
      <c r="K63" t="e">
        <f ca="1">SUM(PCF_Severity[[#This Row],[Severe Injury]:[Other Injury]])</f>
        <v>#REF!</v>
      </c>
      <c r="L63" s="69" t="e">
        <f ca="1">PCF_Severity[[#This Row],[Crash Count2]]/$K$88</f>
        <v>#REF!</v>
      </c>
      <c r="M63" s="86" t="str">
        <f>VLOOKUP(PCF_Severity[[#This Row],[Crash Cause]],PCF[[#Headers],[#Data]],4,FALSE)</f>
        <v>Non-Motorist illegally in roadway</v>
      </c>
    </row>
    <row r="64" spans="2:13" ht="30" customHeight="1" x14ac:dyDescent="0.25">
      <c r="B64" t="s">
        <v>102</v>
      </c>
      <c r="C64" s="71" t="e">
        <f ca="1">SUM(COUNTIFS(INDIRECT("Collision!"&amp;Cause!$C$3&amp;":"&amp;Cause!$C$3),$B64,INDIRECT("Collision!"&amp;Severity!$C$3&amp;":"&amp;Severity!$C$3),C$50), COUNTIFS(INDIRECT("Collision!"&amp;Cause!$G$3&amp;":"&amp;Cause!$G$3),$B64,INDIRECT("Collision!"&amp;Severity!$C$3&amp;":"&amp;Severity!$C$3),C$50), COUNTIFS(INDIRECT("Collision!"&amp;Cause!$G$4&amp;":"&amp;Cause!$G$4),$B64,INDIRECT("Collision!"&amp;Severity!$C$3&amp;":"&amp;Severity!$C$3),C$50))</f>
        <v>#REF!</v>
      </c>
      <c r="D64" s="71" t="e">
        <f ca="1">SUM(COUNTIFS(INDIRECT("Collision!"&amp;Cause!$C$3&amp;":"&amp;Cause!$C$3),$B64,INDIRECT("Collision!"&amp;Severity!$C$3&amp;":"&amp;Severity!$C$3),D$50), COUNTIFS(INDIRECT("Collision!"&amp;Cause!$G$3&amp;":"&amp;Cause!$G$3),$B64,INDIRECT("Collision!"&amp;Severity!$C$3&amp;":"&amp;Severity!$C$3),D$50), COUNTIFS(INDIRECT("Collision!"&amp;Cause!$G$4&amp;":"&amp;Cause!$G$4),$B64,INDIRECT("Collision!"&amp;Severity!$C$3&amp;":"&amp;Severity!$C$3),D$50))</f>
        <v>#REF!</v>
      </c>
      <c r="E64" s="71" t="e">
        <f t="array" aca="1" ref="E64" ca="1">SUM(COUNTIFS(INDIRECT("Collision!"&amp;Cause!$C$3&amp;":"&amp;Cause!$C$3),$B64,INDIRECT("Collision!"&amp;Severity!$C$3&amp;":"&amp;Severity!$C$3),{"Moderate Injury","Minor Injury"}), COUNTIFS(INDIRECT("Collision!"&amp;Cause!$G$3&amp;":"&amp;Cause!$G$3),$B64,INDIRECT("Collision!"&amp;Severity!$C$3&amp;":"&amp;Severity!$C$3),{"Moderate Injury","Minor Injury"}), COUNTIFS(INDIRECT("Collision!"&amp;Cause!$G$4&amp;":"&amp;Cause!$G$4),$B64,INDIRECT("Collision!"&amp;Severity!$C$3&amp;":"&amp;Severity!$C$3),{"Moderate Injury","Minor Injury"}))</f>
        <v>#REF!</v>
      </c>
      <c r="F64" s="71" t="e">
        <f ca="1">SUM(COUNTIFS(INDIRECT("Collision!"&amp;Cause!$C$3&amp;":"&amp;Cause!$C$3),$B64,INDIRECT("Collision!"&amp;Severity!$C$3&amp;":"&amp;Severity!$C$3),F$50), COUNTIFS(INDIRECT("Collision!"&amp;Cause!$G$3&amp;":"&amp;Cause!$G$3),$B64,INDIRECT("Collision!"&amp;Severity!$C$3&amp;":"&amp;Severity!$C$3),F$50), COUNTIFS(INDIRECT("Collision!"&amp;Cause!$G$4&amp;":"&amp;Cause!$G$4),$B64,INDIRECT("Collision!"&amp;Severity!$C$3&amp;":"&amp;Severity!$C$3),F$50))</f>
        <v>#REF!</v>
      </c>
      <c r="G64" s="71" t="e">
        <f t="shared" ca="1" si="0"/>
        <v>#REF!</v>
      </c>
      <c r="H64" s="69" t="e">
        <f t="shared" ca="1" si="1"/>
        <v>#REF!</v>
      </c>
      <c r="I64" s="71" t="e">
        <f t="shared" ca="1" si="2"/>
        <v>#REF!</v>
      </c>
      <c r="J64" s="69" t="e">
        <f ca="1">IF(G64=0,0,PCF_Severity[[#This Row],[Crash Count]]/$I$88)</f>
        <v>#REF!</v>
      </c>
      <c r="K64" t="e">
        <f ca="1">SUM(PCF_Severity[[#This Row],[Severe Injury]:[Other Injury]])</f>
        <v>#REF!</v>
      </c>
      <c r="L64" s="69" t="e">
        <f ca="1">PCF_Severity[[#This Row],[Crash Count2]]/$K$88</f>
        <v>#REF!</v>
      </c>
      <c r="M64" s="86" t="str">
        <f>VLOOKUP(PCF_Severity[[#This Row],[Crash Cause]],PCF[[#Headers],[#Data]],4,FALSE)</f>
        <v>Mechanical defect - other than
represented by codes 21, 22, or 25</v>
      </c>
    </row>
    <row r="65" spans="2:13" x14ac:dyDescent="0.25">
      <c r="B65" t="s">
        <v>113</v>
      </c>
      <c r="C65" s="71" t="e">
        <f ca="1">SUM(COUNTIFS(INDIRECT("Collision!"&amp;Cause!$C$3&amp;":"&amp;Cause!$C$3),$B65,INDIRECT("Collision!"&amp;Severity!$C$3&amp;":"&amp;Severity!$C$3),C$50), COUNTIFS(INDIRECT("Collision!"&amp;Cause!$G$3&amp;":"&amp;Cause!$G$3),$B65,INDIRECT("Collision!"&amp;Severity!$C$3&amp;":"&amp;Severity!$C$3),C$50), COUNTIFS(INDIRECT("Collision!"&amp;Cause!$G$4&amp;":"&amp;Cause!$G$4),$B65,INDIRECT("Collision!"&amp;Severity!$C$3&amp;":"&amp;Severity!$C$3),C$50))</f>
        <v>#REF!</v>
      </c>
      <c r="D65" s="71" t="e">
        <f ca="1">SUM(COUNTIFS(INDIRECT("Collision!"&amp;Cause!$C$3&amp;":"&amp;Cause!$C$3),$B65,INDIRECT("Collision!"&amp;Severity!$C$3&amp;":"&amp;Severity!$C$3),D$50), COUNTIFS(INDIRECT("Collision!"&amp;Cause!$G$3&amp;":"&amp;Cause!$G$3),$B65,INDIRECT("Collision!"&amp;Severity!$C$3&amp;":"&amp;Severity!$C$3),D$50), COUNTIFS(INDIRECT("Collision!"&amp;Cause!$G$4&amp;":"&amp;Cause!$G$4),$B65,INDIRECT("Collision!"&amp;Severity!$C$3&amp;":"&amp;Severity!$C$3),D$50))</f>
        <v>#REF!</v>
      </c>
      <c r="E65" s="71" t="e">
        <f t="array" aca="1" ref="E65" ca="1">SUM(COUNTIFS(INDIRECT("Collision!"&amp;Cause!$C$3&amp;":"&amp;Cause!$C$3),$B65,INDIRECT("Collision!"&amp;Severity!$C$3&amp;":"&amp;Severity!$C$3),{"Moderate Injury","Minor Injury"}), COUNTIFS(INDIRECT("Collision!"&amp;Cause!$G$3&amp;":"&amp;Cause!$G$3),$B65,INDIRECT("Collision!"&amp;Severity!$C$3&amp;":"&amp;Severity!$C$3),{"Moderate Injury","Minor Injury"}), COUNTIFS(INDIRECT("Collision!"&amp;Cause!$G$4&amp;":"&amp;Cause!$G$4),$B65,INDIRECT("Collision!"&amp;Severity!$C$3&amp;":"&amp;Severity!$C$3),{"Moderate Injury","Minor Injury"}))</f>
        <v>#REF!</v>
      </c>
      <c r="F65" s="71" t="e">
        <f ca="1">SUM(COUNTIFS(INDIRECT("Collision!"&amp;Cause!$C$3&amp;":"&amp;Cause!$C$3),$B65,INDIRECT("Collision!"&amp;Severity!$C$3&amp;":"&amp;Severity!$C$3),F$50), COUNTIFS(INDIRECT("Collision!"&amp;Cause!$G$3&amp;":"&amp;Cause!$G$3),$B65,INDIRECT("Collision!"&amp;Severity!$C$3&amp;":"&amp;Severity!$C$3),F$50), COUNTIFS(INDIRECT("Collision!"&amp;Cause!$G$4&amp;":"&amp;Cause!$G$4),$B65,INDIRECT("Collision!"&amp;Severity!$C$3&amp;":"&amp;Severity!$C$3),F$50))</f>
        <v>#REF!</v>
      </c>
      <c r="G65" s="71" t="e">
        <f t="shared" ca="1" si="0"/>
        <v>#REF!</v>
      </c>
      <c r="H65" s="69" t="e">
        <f t="shared" ca="1" si="1"/>
        <v>#REF!</v>
      </c>
      <c r="I65" s="71" t="e">
        <f t="shared" ca="1" si="2"/>
        <v>#REF!</v>
      </c>
      <c r="J65" s="69" t="e">
        <f ca="1">IF(G65=0,0,PCF_Severity[[#This Row],[Crash Count]]/$I$88)</f>
        <v>#REF!</v>
      </c>
      <c r="K65" t="e">
        <f ca="1">SUM(PCF_Severity[[#This Row],[Severe Injury]:[Other Injury]])</f>
        <v>#REF!</v>
      </c>
      <c r="L65" s="69" t="e">
        <f ca="1">PCF_Severity[[#This Row],[Crash Count2]]/$K$88</f>
        <v>#REF!</v>
      </c>
      <c r="M65" s="86" t="str">
        <f>VLOOKUP(PCF_Severity[[#This Row],[Crash Cause]],PCF[[#Headers],[#Data]],4,FALSE)</f>
        <v>Inadequate or no brakes</v>
      </c>
    </row>
    <row r="66" spans="2:13" ht="30" customHeight="1" x14ac:dyDescent="0.25">
      <c r="B66" t="s">
        <v>110</v>
      </c>
      <c r="C66" s="71" t="e">
        <f ca="1">SUM(COUNTIFS(INDIRECT("Collision!"&amp;Cause!$C$3&amp;":"&amp;Cause!$C$3),$B66,INDIRECT("Collision!"&amp;Severity!$C$3&amp;":"&amp;Severity!$C$3),C$50), COUNTIFS(INDIRECT("Collision!"&amp;Cause!$G$3&amp;":"&amp;Cause!$G$3),$B66,INDIRECT("Collision!"&amp;Severity!$C$3&amp;":"&amp;Severity!$C$3),C$50), COUNTIFS(INDIRECT("Collision!"&amp;Cause!$G$4&amp;":"&amp;Cause!$G$4),$B66,INDIRECT("Collision!"&amp;Severity!$C$3&amp;":"&amp;Severity!$C$3),C$50))</f>
        <v>#REF!</v>
      </c>
      <c r="D66" s="71" t="e">
        <f ca="1">SUM(COUNTIFS(INDIRECT("Collision!"&amp;Cause!$C$3&amp;":"&amp;Cause!$C$3),$B66,INDIRECT("Collision!"&amp;Severity!$C$3&amp;":"&amp;Severity!$C$3),D$50), COUNTIFS(INDIRECT("Collision!"&amp;Cause!$G$3&amp;":"&amp;Cause!$G$3),$B66,INDIRECT("Collision!"&amp;Severity!$C$3&amp;":"&amp;Severity!$C$3),D$50), COUNTIFS(INDIRECT("Collision!"&amp;Cause!$G$4&amp;":"&amp;Cause!$G$4),$B66,INDIRECT("Collision!"&amp;Severity!$C$3&amp;":"&amp;Severity!$C$3),D$50))</f>
        <v>#REF!</v>
      </c>
      <c r="E66" s="71" t="e">
        <f t="array" aca="1" ref="E66" ca="1">SUM(COUNTIFS(INDIRECT("Collision!"&amp;Cause!$C$3&amp;":"&amp;Cause!$C$3),$B66,INDIRECT("Collision!"&amp;Severity!$C$3&amp;":"&amp;Severity!$C$3),{"Moderate Injury","Minor Injury"}), COUNTIFS(INDIRECT("Collision!"&amp;Cause!$G$3&amp;":"&amp;Cause!$G$3),$B66,INDIRECT("Collision!"&amp;Severity!$C$3&amp;":"&amp;Severity!$C$3),{"Moderate Injury","Minor Injury"}), COUNTIFS(INDIRECT("Collision!"&amp;Cause!$G$4&amp;":"&amp;Cause!$G$4),$B66,INDIRECT("Collision!"&amp;Severity!$C$3&amp;":"&amp;Severity!$C$3),{"Moderate Injury","Minor Injury"}))</f>
        <v>#REF!</v>
      </c>
      <c r="F66" s="71" t="e">
        <f ca="1">SUM(COUNTIFS(INDIRECT("Collision!"&amp;Cause!$C$3&amp;":"&amp;Cause!$C$3),$B66,INDIRECT("Collision!"&amp;Severity!$C$3&amp;":"&amp;Severity!$C$3),F$50), COUNTIFS(INDIRECT("Collision!"&amp;Cause!$G$3&amp;":"&amp;Cause!$G$3),$B66,INDIRECT("Collision!"&amp;Severity!$C$3&amp;":"&amp;Severity!$C$3),F$50), COUNTIFS(INDIRECT("Collision!"&amp;Cause!$G$4&amp;":"&amp;Cause!$G$4),$B66,INDIRECT("Collision!"&amp;Severity!$C$3&amp;":"&amp;Severity!$C$3),F$50))</f>
        <v>#REF!</v>
      </c>
      <c r="G66" s="71" t="e">
        <f t="shared" ca="1" si="0"/>
        <v>#REF!</v>
      </c>
      <c r="H66" s="69" t="e">
        <f t="shared" ca="1" si="1"/>
        <v>#REF!</v>
      </c>
      <c r="I66" s="71" t="e">
        <f t="shared" ca="1" si="2"/>
        <v>#REF!</v>
      </c>
      <c r="J66" s="69" t="e">
        <f ca="1">IF(G66=0,0,PCF_Severity[[#This Row],[Crash Count]]/$I$88)</f>
        <v>#REF!</v>
      </c>
      <c r="K66" t="e">
        <f ca="1">SUM(PCF_Severity[[#This Row],[Severe Injury]:[Other Injury]])</f>
        <v>#REF!</v>
      </c>
      <c r="L66" s="69" t="e">
        <f ca="1">PCF_Severity[[#This Row],[Crash Count2]]/$K$88</f>
        <v>#REF!</v>
      </c>
      <c r="M66" s="86" t="str">
        <f>VLOOKUP(PCF_Severity[[#This Row],[Crash Cause]],PCF[[#Headers],[#Data]],4,FALSE)</f>
        <v>Not visible: dark / non-reflective clothing</v>
      </c>
    </row>
    <row r="67" spans="2:13" x14ac:dyDescent="0.25">
      <c r="B67" t="s">
        <v>116</v>
      </c>
      <c r="C67" s="71" t="e">
        <f ca="1">SUM(COUNTIFS(INDIRECT("Collision!"&amp;Cause!$C$3&amp;":"&amp;Cause!$C$3),$B67,INDIRECT("Collision!"&amp;Severity!$C$3&amp;":"&amp;Severity!$C$3),C$50), COUNTIFS(INDIRECT("Collision!"&amp;Cause!$G$3&amp;":"&amp;Cause!$G$3),$B67,INDIRECT("Collision!"&amp;Severity!$C$3&amp;":"&amp;Severity!$C$3),C$50), COUNTIFS(INDIRECT("Collision!"&amp;Cause!$G$4&amp;":"&amp;Cause!$G$4),$B67,INDIRECT("Collision!"&amp;Severity!$C$3&amp;":"&amp;Severity!$C$3),C$50))</f>
        <v>#REF!</v>
      </c>
      <c r="D67" s="71" t="e">
        <f ca="1">SUM(COUNTIFS(INDIRECT("Collision!"&amp;Cause!$C$3&amp;":"&amp;Cause!$C$3),$B67,INDIRECT("Collision!"&amp;Severity!$C$3&amp;":"&amp;Severity!$C$3),D$50), COUNTIFS(INDIRECT("Collision!"&amp;Cause!$G$3&amp;":"&amp;Cause!$G$3),$B67,INDIRECT("Collision!"&amp;Severity!$C$3&amp;":"&amp;Severity!$C$3),D$50), COUNTIFS(INDIRECT("Collision!"&amp;Cause!$G$4&amp;":"&amp;Cause!$G$4),$B67,INDIRECT("Collision!"&amp;Severity!$C$3&amp;":"&amp;Severity!$C$3),D$50))</f>
        <v>#REF!</v>
      </c>
      <c r="E67" s="71" t="e">
        <f t="array" aca="1" ref="E67" ca="1">SUM(COUNTIFS(INDIRECT("Collision!"&amp;Cause!$C$3&amp;":"&amp;Cause!$C$3),$B67,INDIRECT("Collision!"&amp;Severity!$C$3&amp;":"&amp;Severity!$C$3),{"Moderate Injury","Minor Injury"}), COUNTIFS(INDIRECT("Collision!"&amp;Cause!$G$3&amp;":"&amp;Cause!$G$3),$B67,INDIRECT("Collision!"&amp;Severity!$C$3&amp;":"&amp;Severity!$C$3),{"Moderate Injury","Minor Injury"}), COUNTIFS(INDIRECT("Collision!"&amp;Cause!$G$4&amp;":"&amp;Cause!$G$4),$B67,INDIRECT("Collision!"&amp;Severity!$C$3&amp;":"&amp;Severity!$C$3),{"Moderate Injury","Minor Injury"}))</f>
        <v>#REF!</v>
      </c>
      <c r="F67" s="71" t="e">
        <f ca="1">SUM(COUNTIFS(INDIRECT("Collision!"&amp;Cause!$C$3&amp;":"&amp;Cause!$C$3),$B67,INDIRECT("Collision!"&amp;Severity!$C$3&amp;":"&amp;Severity!$C$3),F$50), COUNTIFS(INDIRECT("Collision!"&amp;Cause!$G$3&amp;":"&amp;Cause!$G$3),$B67,INDIRECT("Collision!"&amp;Severity!$C$3&amp;":"&amp;Severity!$C$3),F$50), COUNTIFS(INDIRECT("Collision!"&amp;Cause!$G$4&amp;":"&amp;Cause!$G$4),$B67,INDIRECT("Collision!"&amp;Severity!$C$3&amp;":"&amp;Severity!$C$3),F$50))</f>
        <v>#REF!</v>
      </c>
      <c r="G67" s="71" t="e">
        <f t="shared" ca="1" si="0"/>
        <v>#REF!</v>
      </c>
      <c r="H67" s="69" t="e">
        <f t="shared" ca="1" si="1"/>
        <v>#REF!</v>
      </c>
      <c r="I67" s="71" t="e">
        <f t="shared" ca="1" si="2"/>
        <v>#REF!</v>
      </c>
      <c r="J67" s="69" t="e">
        <f ca="1">IF(G67=0,0,PCF_Severity[[#This Row],[Crash Count]]/$I$88)</f>
        <v>#REF!</v>
      </c>
      <c r="K67" t="e">
        <f ca="1">SUM(PCF_Severity[[#This Row],[Severe Injury]:[Other Injury]])</f>
        <v>#REF!</v>
      </c>
      <c r="L67" s="69" t="e">
        <f ca="1">PCF_Severity[[#This Row],[Crash Count2]]/$K$88</f>
        <v>#REF!</v>
      </c>
      <c r="M67" s="86" t="str">
        <f>VLOOKUP(PCF_Severity[[#This Row],[Crash Cause]],PCF[[#Headers],[#Data]],4,FALSE)</f>
        <v>Phantom / non-contact vehicle</v>
      </c>
    </row>
    <row r="68" spans="2:13" x14ac:dyDescent="0.25">
      <c r="B68" t="s">
        <v>108</v>
      </c>
      <c r="C68" s="71" t="e">
        <f ca="1">SUM(COUNTIFS(INDIRECT("Collision!"&amp;Cause!$C$3&amp;":"&amp;Cause!$C$3),$B68,INDIRECT("Collision!"&amp;Severity!$C$3&amp;":"&amp;Severity!$C$3),C$50), COUNTIFS(INDIRECT("Collision!"&amp;Cause!$G$3&amp;":"&amp;Cause!$G$3),$B68,INDIRECT("Collision!"&amp;Severity!$C$3&amp;":"&amp;Severity!$C$3),C$50), COUNTIFS(INDIRECT("Collision!"&amp;Cause!$G$4&amp;":"&amp;Cause!$G$4),$B68,INDIRECT("Collision!"&amp;Severity!$C$3&amp;":"&amp;Severity!$C$3),C$50))</f>
        <v>#REF!</v>
      </c>
      <c r="D68" s="71" t="e">
        <f ca="1">SUM(COUNTIFS(INDIRECT("Collision!"&amp;Cause!$C$3&amp;":"&amp;Cause!$C$3),$B68,INDIRECT("Collision!"&amp;Severity!$C$3&amp;":"&amp;Severity!$C$3),D$50), COUNTIFS(INDIRECT("Collision!"&amp;Cause!$G$3&amp;":"&amp;Cause!$G$3),$B68,INDIRECT("Collision!"&amp;Severity!$C$3&amp;":"&amp;Severity!$C$3),D$50), COUNTIFS(INDIRECT("Collision!"&amp;Cause!$G$4&amp;":"&amp;Cause!$G$4),$B68,INDIRECT("Collision!"&amp;Severity!$C$3&amp;":"&amp;Severity!$C$3),D$50))</f>
        <v>#REF!</v>
      </c>
      <c r="E68" s="71" t="e">
        <f t="array" aca="1" ref="E68" ca="1">SUM(COUNTIFS(INDIRECT("Collision!"&amp;Cause!$C$3&amp;":"&amp;Cause!$C$3),$B68,INDIRECT("Collision!"&amp;Severity!$C$3&amp;":"&amp;Severity!$C$3),{"Moderate Injury","Minor Injury"}), COUNTIFS(INDIRECT("Collision!"&amp;Cause!$G$3&amp;":"&amp;Cause!$G$3),$B68,INDIRECT("Collision!"&amp;Severity!$C$3&amp;":"&amp;Severity!$C$3),{"Moderate Injury","Minor Injury"}), COUNTIFS(INDIRECT("Collision!"&amp;Cause!$G$4&amp;":"&amp;Cause!$G$4),$B68,INDIRECT("Collision!"&amp;Severity!$C$3&amp;":"&amp;Severity!$C$3),{"Moderate Injury","Minor Injury"}))</f>
        <v>#REF!</v>
      </c>
      <c r="F68" s="71" t="e">
        <f ca="1">SUM(COUNTIFS(INDIRECT("Collision!"&amp;Cause!$C$3&amp;":"&amp;Cause!$C$3),$B68,INDIRECT("Collision!"&amp;Severity!$C$3&amp;":"&amp;Severity!$C$3),F$50), COUNTIFS(INDIRECT("Collision!"&amp;Cause!$G$3&amp;":"&amp;Cause!$G$3),$B68,INDIRECT("Collision!"&amp;Severity!$C$3&amp;":"&amp;Severity!$C$3),F$50), COUNTIFS(INDIRECT("Collision!"&amp;Cause!$G$4&amp;":"&amp;Cause!$G$4),$B68,INDIRECT("Collision!"&amp;Severity!$C$3&amp;":"&amp;Severity!$C$3),F$50))</f>
        <v>#REF!</v>
      </c>
      <c r="G68" s="71" t="e">
        <f t="shared" ca="1" si="0"/>
        <v>#REF!</v>
      </c>
      <c r="H68" s="69" t="e">
        <f t="shared" ca="1" si="1"/>
        <v>#REF!</v>
      </c>
      <c r="I68" s="71" t="e">
        <f t="shared" ca="1" si="2"/>
        <v>#REF!</v>
      </c>
      <c r="J68" s="82" t="e">
        <f ca="1">IF(G68=0,0,PCF_Severity[[#This Row],[Crash Count]]/$I$88)</f>
        <v>#REF!</v>
      </c>
      <c r="K68" t="e">
        <f ca="1">SUM(PCF_Severity[[#This Row],[Severe Injury]:[Other Injury]])</f>
        <v>#REF!</v>
      </c>
      <c r="L68" s="69" t="e">
        <f ca="1">PCF_Severity[[#This Row],[Crash Count2]]/$K$88</f>
        <v>#REF!</v>
      </c>
      <c r="M68" s="86" t="str">
        <f>VLOOKUP(PCF_Severity[[#This Row],[Crash Cause]],PCF[[#Headers],[#Data]],4,FALSE)</f>
        <v>Physical Illness</v>
      </c>
    </row>
    <row r="69" spans="2:13" x14ac:dyDescent="0.25">
      <c r="B69" t="s">
        <v>98</v>
      </c>
      <c r="C69" s="71" t="e">
        <f ca="1">SUM(COUNTIFS(INDIRECT("Collision!"&amp;Cause!$C$3&amp;":"&amp;Cause!$C$3),$B69,INDIRECT("Collision!"&amp;Severity!$C$3&amp;":"&amp;Severity!$C$3),C$50), COUNTIFS(INDIRECT("Collision!"&amp;Cause!$G$3&amp;":"&amp;Cause!$G$3),$B69,INDIRECT("Collision!"&amp;Severity!$C$3&amp;":"&amp;Severity!$C$3),C$50), COUNTIFS(INDIRECT("Collision!"&amp;Cause!$G$4&amp;":"&amp;Cause!$G$4),$B69,INDIRECT("Collision!"&amp;Severity!$C$3&amp;":"&amp;Severity!$C$3),C$50))</f>
        <v>#REF!</v>
      </c>
      <c r="D69" s="71" t="e">
        <f ca="1">SUM(COUNTIFS(INDIRECT("Collision!"&amp;Cause!$C$3&amp;":"&amp;Cause!$C$3),$B69,INDIRECT("Collision!"&amp;Severity!$C$3&amp;":"&amp;Severity!$C$3),D$50), COUNTIFS(INDIRECT("Collision!"&amp;Cause!$G$3&amp;":"&amp;Cause!$G$3),$B69,INDIRECT("Collision!"&amp;Severity!$C$3&amp;":"&amp;Severity!$C$3),D$50), COUNTIFS(INDIRECT("Collision!"&amp;Cause!$G$4&amp;":"&amp;Cause!$G$4),$B69,INDIRECT("Collision!"&amp;Severity!$C$3&amp;":"&amp;Severity!$C$3),D$50))</f>
        <v>#REF!</v>
      </c>
      <c r="E69" s="71" t="e">
        <f t="array" aca="1" ref="E69" ca="1">SUM(COUNTIFS(INDIRECT("Collision!"&amp;Cause!$C$3&amp;":"&amp;Cause!$C$3),$B69,INDIRECT("Collision!"&amp;Severity!$C$3&amp;":"&amp;Severity!$C$3),{"Moderate Injury","Minor Injury"}), COUNTIFS(INDIRECT("Collision!"&amp;Cause!$G$3&amp;":"&amp;Cause!$G$3),$B69,INDIRECT("Collision!"&amp;Severity!$C$3&amp;":"&amp;Severity!$C$3),{"Moderate Injury","Minor Injury"}), COUNTIFS(INDIRECT("Collision!"&amp;Cause!$G$4&amp;":"&amp;Cause!$G$4),$B69,INDIRECT("Collision!"&amp;Severity!$C$3&amp;":"&amp;Severity!$C$3),{"Moderate Injury","Minor Injury"}))</f>
        <v>#REF!</v>
      </c>
      <c r="F69" s="71" t="e">
        <f ca="1">SUM(COUNTIFS(INDIRECT("Collision!"&amp;Cause!$C$3&amp;":"&amp;Cause!$C$3),$B69,INDIRECT("Collision!"&amp;Severity!$C$3&amp;":"&amp;Severity!$C$3),F$50), COUNTIFS(INDIRECT("Collision!"&amp;Cause!$G$3&amp;":"&amp;Cause!$G$3),$B69,INDIRECT("Collision!"&amp;Severity!$C$3&amp;":"&amp;Severity!$C$3),F$50), COUNTIFS(INDIRECT("Collision!"&amp;Cause!$G$4&amp;":"&amp;Cause!$G$4),$B69,INDIRECT("Collision!"&amp;Severity!$C$3&amp;":"&amp;Severity!$C$3),F$50))</f>
        <v>#REF!</v>
      </c>
      <c r="G69" s="71" t="e">
        <f t="shared" ca="1" si="0"/>
        <v>#REF!</v>
      </c>
      <c r="H69" s="69" t="e">
        <f t="shared" ca="1" si="1"/>
        <v>#REF!</v>
      </c>
      <c r="I69" s="71" t="e">
        <f t="shared" ca="1" si="2"/>
        <v>#REF!</v>
      </c>
      <c r="J69" s="82" t="e">
        <f ca="1">IF(G69=0,0,PCF_Severity[[#This Row],[Crash Count]]/$I$88)</f>
        <v>#REF!</v>
      </c>
      <c r="K69" t="e">
        <f ca="1">SUM(PCF_Severity[[#This Row],[Severe Injury]:[Other Injury]])</f>
        <v>#REF!</v>
      </c>
      <c r="L69" s="69" t="e">
        <f ca="1">PCF_Severity[[#This Row],[Crash Count2]]/$K$88</f>
        <v>#REF!</v>
      </c>
      <c r="M69" s="86" t="str">
        <f>VLOOKUP(PCF_Severity[[#This Row],[Crash Cause]],PCF[[#Headers],[#Data]],4,FALSE)</f>
        <v>Improper overtaking</v>
      </c>
    </row>
    <row r="70" spans="2:13" ht="30" customHeight="1" x14ac:dyDescent="0.25">
      <c r="B70" t="s">
        <v>123</v>
      </c>
      <c r="C70" s="71" t="e">
        <f ca="1">SUM(COUNTIFS(INDIRECT("Collision!"&amp;Cause!$C$3&amp;":"&amp;Cause!$C$3),$B70,INDIRECT("Collision!"&amp;Severity!$C$3&amp;":"&amp;Severity!$C$3),C$50), COUNTIFS(INDIRECT("Collision!"&amp;Cause!$G$3&amp;":"&amp;Cause!$G$3),$B70,INDIRECT("Collision!"&amp;Severity!$C$3&amp;":"&amp;Severity!$C$3),C$50), COUNTIFS(INDIRECT("Collision!"&amp;Cause!$G$4&amp;":"&amp;Cause!$G$4),$B70,INDIRECT("Collision!"&amp;Severity!$C$3&amp;":"&amp;Severity!$C$3),C$50))</f>
        <v>#REF!</v>
      </c>
      <c r="D70" s="71" t="e">
        <f ca="1">SUM(COUNTIFS(INDIRECT("Collision!"&amp;Cause!$C$3&amp;":"&amp;Cause!$C$3),$B70,INDIRECT("Collision!"&amp;Severity!$C$3&amp;":"&amp;Severity!$C$3),D$50), COUNTIFS(INDIRECT("Collision!"&amp;Cause!$G$3&amp;":"&amp;Cause!$G$3),$B70,INDIRECT("Collision!"&amp;Severity!$C$3&amp;":"&amp;Severity!$C$3),D$50), COUNTIFS(INDIRECT("Collision!"&amp;Cause!$G$4&amp;":"&amp;Cause!$G$4),$B70,INDIRECT("Collision!"&amp;Severity!$C$3&amp;":"&amp;Severity!$C$3),D$50))</f>
        <v>#REF!</v>
      </c>
      <c r="E70" s="71" t="e">
        <f t="array" aca="1" ref="E70" ca="1">SUM(COUNTIFS(INDIRECT("Collision!"&amp;Cause!$C$3&amp;":"&amp;Cause!$C$3),$B70,INDIRECT("Collision!"&amp;Severity!$C$3&amp;":"&amp;Severity!$C$3),{"Moderate Injury","Minor Injury"}), COUNTIFS(INDIRECT("Collision!"&amp;Cause!$G$3&amp;":"&amp;Cause!$G$3),$B70,INDIRECT("Collision!"&amp;Severity!$C$3&amp;":"&amp;Severity!$C$3),{"Moderate Injury","Minor Injury"}), COUNTIFS(INDIRECT("Collision!"&amp;Cause!$G$4&amp;":"&amp;Cause!$G$4),$B70,INDIRECT("Collision!"&amp;Severity!$C$3&amp;":"&amp;Severity!$C$3),{"Moderate Injury","Minor Injury"}))</f>
        <v>#REF!</v>
      </c>
      <c r="F70" s="71" t="e">
        <f ca="1">SUM(COUNTIFS(INDIRECT("Collision!"&amp;Cause!$C$3&amp;":"&amp;Cause!$C$3),$B70,INDIRECT("Collision!"&amp;Severity!$C$3&amp;":"&amp;Severity!$C$3),F$50), COUNTIFS(INDIRECT("Collision!"&amp;Cause!$G$3&amp;":"&amp;Cause!$G$3),$B70,INDIRECT("Collision!"&amp;Severity!$C$3&amp;":"&amp;Severity!$C$3),F$50), COUNTIFS(INDIRECT("Collision!"&amp;Cause!$G$4&amp;":"&amp;Cause!$G$4),$B70,INDIRECT("Collision!"&amp;Severity!$C$3&amp;":"&amp;Severity!$C$3),F$50))</f>
        <v>#REF!</v>
      </c>
      <c r="G70" s="71" t="e">
        <f t="shared" ca="1" si="0"/>
        <v>#REF!</v>
      </c>
      <c r="H70" s="69" t="e">
        <f t="shared" ca="1" si="1"/>
        <v>#REF!</v>
      </c>
      <c r="I70" s="71" t="e">
        <f t="shared" ca="1" si="2"/>
        <v>#REF!</v>
      </c>
      <c r="J70" s="69" t="e">
        <f ca="1">IF(G70=0,0,PCF_Severity[[#This Row],[Crash Count]]/$I$88)</f>
        <v>#REF!</v>
      </c>
      <c r="K70" t="e">
        <f ca="1">SUM(PCF_Severity[[#This Row],[Severe Injury]:[Other Injury]])</f>
        <v>#REF!</v>
      </c>
      <c r="L70" s="69" t="e">
        <f ca="1">PCF_Severity[[#This Row],[Crash Count2]]/$K$88</f>
        <v>#REF!</v>
      </c>
      <c r="M70" s="86" t="str">
        <f>VLOOKUP(PCF_Severity[[#This Row],[Crash Cause]],PCF[[#Headers],[#Data]],4,FALSE)</f>
        <v>Reckless Driving (Per PAR or self-reported)</v>
      </c>
    </row>
    <row r="71" spans="2:13" x14ac:dyDescent="0.25">
      <c r="B71" t="s">
        <v>96</v>
      </c>
      <c r="C71" s="71" t="e">
        <f ca="1">SUM(COUNTIFS(INDIRECT("Collision!"&amp;Cause!$C$3&amp;":"&amp;Cause!$C$3),$B71,INDIRECT("Collision!"&amp;Severity!$C$3&amp;":"&amp;Severity!$C$3),C$50), COUNTIFS(INDIRECT("Collision!"&amp;Cause!$G$3&amp;":"&amp;Cause!$G$3),$B71,INDIRECT("Collision!"&amp;Severity!$C$3&amp;":"&amp;Severity!$C$3),C$50), COUNTIFS(INDIRECT("Collision!"&amp;Cause!$G$4&amp;":"&amp;Cause!$G$4),$B71,INDIRECT("Collision!"&amp;Severity!$C$3&amp;":"&amp;Severity!$C$3),C$50))</f>
        <v>#REF!</v>
      </c>
      <c r="D71" s="71" t="e">
        <f ca="1">SUM(COUNTIFS(INDIRECT("Collision!"&amp;Cause!$C$3&amp;":"&amp;Cause!$C$3),$B71,INDIRECT("Collision!"&amp;Severity!$C$3&amp;":"&amp;Severity!$C$3),D$50), COUNTIFS(INDIRECT("Collision!"&amp;Cause!$G$3&amp;":"&amp;Cause!$G$3),$B71,INDIRECT("Collision!"&amp;Severity!$C$3&amp;":"&amp;Severity!$C$3),D$50), COUNTIFS(INDIRECT("Collision!"&amp;Cause!$G$4&amp;":"&amp;Cause!$G$4),$B71,INDIRECT("Collision!"&amp;Severity!$C$3&amp;":"&amp;Severity!$C$3),D$50))</f>
        <v>#REF!</v>
      </c>
      <c r="E71" s="71" t="e">
        <f t="array" aca="1" ref="E71" ca="1">SUM(COUNTIFS(INDIRECT("Collision!"&amp;Cause!$C$3&amp;":"&amp;Cause!$C$3),$B71,INDIRECT("Collision!"&amp;Severity!$C$3&amp;":"&amp;Severity!$C$3),{"Moderate Injury","Minor Injury"}), COUNTIFS(INDIRECT("Collision!"&amp;Cause!$G$3&amp;":"&amp;Cause!$G$3),$B71,INDIRECT("Collision!"&amp;Severity!$C$3&amp;":"&amp;Severity!$C$3),{"Moderate Injury","Minor Injury"}), COUNTIFS(INDIRECT("Collision!"&amp;Cause!$G$4&amp;":"&amp;Cause!$G$4),$B71,INDIRECT("Collision!"&amp;Severity!$C$3&amp;":"&amp;Severity!$C$3),{"Moderate Injury","Minor Injury"}))</f>
        <v>#REF!</v>
      </c>
      <c r="F71" s="71" t="e">
        <f ca="1">SUM(COUNTIFS(INDIRECT("Collision!"&amp;Cause!$C$3&amp;":"&amp;Cause!$C$3),$B71,INDIRECT("Collision!"&amp;Severity!$C$3&amp;":"&amp;Severity!$C$3),F$50), COUNTIFS(INDIRECT("Collision!"&amp;Cause!$G$3&amp;":"&amp;Cause!$G$3),$B71,INDIRECT("Collision!"&amp;Severity!$C$3&amp;":"&amp;Severity!$C$3),F$50), COUNTIFS(INDIRECT("Collision!"&amp;Cause!$G$4&amp;":"&amp;Cause!$G$4),$B71,INDIRECT("Collision!"&amp;Severity!$C$3&amp;":"&amp;Severity!$C$3),F$50))</f>
        <v>#REF!</v>
      </c>
      <c r="G71" s="71" t="e">
        <f t="shared" ca="1" si="0"/>
        <v>#REF!</v>
      </c>
      <c r="H71" s="69" t="e">
        <f t="shared" ca="1" si="1"/>
        <v>#REF!</v>
      </c>
      <c r="I71" s="71" t="e">
        <f t="shared" ca="1" si="2"/>
        <v>#REF!</v>
      </c>
      <c r="J71" s="69" t="e">
        <f ca="1">IF(G71=0,0,PCF_Severity[[#This Row],[Crash Count]]/$I$88)</f>
        <v>#REF!</v>
      </c>
      <c r="K71" t="e">
        <f ca="1">SUM(PCF_Severity[[#This Row],[Severe Injury]:[Other Injury]])</f>
        <v>#REF!</v>
      </c>
      <c r="L71" s="69" t="e">
        <f ca="1">PCF_Severity[[#This Row],[Crash Count2]]/$K$88</f>
        <v>#REF!</v>
      </c>
      <c r="M71" s="86" t="str">
        <f>VLOOKUP(PCF_Severity[[#This Row],[Crash Cause]],PCF[[#Headers],[#Data]],4,FALSE)</f>
        <v>Disregarded traffic signal</v>
      </c>
    </row>
    <row r="72" spans="2:13" x14ac:dyDescent="0.25">
      <c r="B72" t="s">
        <v>126</v>
      </c>
      <c r="C72" s="71" t="e">
        <f ca="1">SUM(COUNTIFS(INDIRECT("Collision!"&amp;Cause!$C$3&amp;":"&amp;Cause!$C$3),$B72,INDIRECT("Collision!"&amp;Severity!$C$3&amp;":"&amp;Severity!$C$3),C$50), COUNTIFS(INDIRECT("Collision!"&amp;Cause!$G$3&amp;":"&amp;Cause!$G$3),$B72,INDIRECT("Collision!"&amp;Severity!$C$3&amp;":"&amp;Severity!$C$3),C$50), COUNTIFS(INDIRECT("Collision!"&amp;Cause!$G$4&amp;":"&amp;Cause!$G$4),$B72,INDIRECT("Collision!"&amp;Severity!$C$3&amp;":"&amp;Severity!$C$3),C$50))</f>
        <v>#REF!</v>
      </c>
      <c r="D72" s="71" t="e">
        <f ca="1">SUM(COUNTIFS(INDIRECT("Collision!"&amp;Cause!$C$3&amp;":"&amp;Cause!$C$3),$B72,INDIRECT("Collision!"&amp;Severity!$C$3&amp;":"&amp;Severity!$C$3),D$50), COUNTIFS(INDIRECT("Collision!"&amp;Cause!$G$3&amp;":"&amp;Cause!$G$3),$B72,INDIRECT("Collision!"&amp;Severity!$C$3&amp;":"&amp;Severity!$C$3),D$50), COUNTIFS(INDIRECT("Collision!"&amp;Cause!$G$4&amp;":"&amp;Cause!$G$4),$B72,INDIRECT("Collision!"&amp;Severity!$C$3&amp;":"&amp;Severity!$C$3),D$50))</f>
        <v>#REF!</v>
      </c>
      <c r="E72" s="71" t="e">
        <f t="array" aca="1" ref="E72" ca="1">SUM(COUNTIFS(INDIRECT("Collision!"&amp;Cause!$C$3&amp;":"&amp;Cause!$C$3),$B72,INDIRECT("Collision!"&amp;Severity!$C$3&amp;":"&amp;Severity!$C$3),{"Moderate Injury","Minor Injury"}), COUNTIFS(INDIRECT("Collision!"&amp;Cause!$G$3&amp;":"&amp;Cause!$G$3),$B72,INDIRECT("Collision!"&amp;Severity!$C$3&amp;":"&amp;Severity!$C$3),{"Moderate Injury","Minor Injury"}), COUNTIFS(INDIRECT("Collision!"&amp;Cause!$G$4&amp;":"&amp;Cause!$G$4),$B72,INDIRECT("Collision!"&amp;Severity!$C$3&amp;":"&amp;Severity!$C$3),{"Moderate Injury","Minor Injury"}))</f>
        <v>#REF!</v>
      </c>
      <c r="F72" s="71" t="e">
        <f ca="1">SUM(COUNTIFS(INDIRECT("Collision!"&amp;Cause!$C$3&amp;":"&amp;Cause!$C$3),$B72,INDIRECT("Collision!"&amp;Severity!$C$3&amp;":"&amp;Severity!$C$3),F$50), COUNTIFS(INDIRECT("Collision!"&amp;Cause!$G$3&amp;":"&amp;Cause!$G$3),$B72,INDIRECT("Collision!"&amp;Severity!$C$3&amp;":"&amp;Severity!$C$3),F$50), COUNTIFS(INDIRECT("Collision!"&amp;Cause!$G$4&amp;":"&amp;Cause!$G$4),$B72,INDIRECT("Collision!"&amp;Severity!$C$3&amp;":"&amp;Severity!$C$3),F$50))</f>
        <v>#REF!</v>
      </c>
      <c r="G72" s="71" t="e">
        <f t="shared" ca="1" si="0"/>
        <v>#REF!</v>
      </c>
      <c r="H72" s="69" t="e">
        <f t="shared" ca="1" si="1"/>
        <v>#REF!</v>
      </c>
      <c r="I72" s="71" t="e">
        <f t="shared" ca="1" si="2"/>
        <v>#REF!</v>
      </c>
      <c r="J72" s="69" t="e">
        <f ca="1">IF(G72=0,0,PCF_Severity[[#This Row],[Crash Count]]/$I$88)</f>
        <v>#REF!</v>
      </c>
      <c r="K72" t="e">
        <f ca="1">SUM(PCF_Severity[[#This Row],[Severe Injury]:[Other Injury]])</f>
        <v>#REF!</v>
      </c>
      <c r="L72" s="69" t="e">
        <f ca="1">PCF_Severity[[#This Row],[Crash Count2]]/$K$88</f>
        <v>#REF!</v>
      </c>
      <c r="M72" s="86" t="str">
        <f>VLOOKUP(PCF_Severity[[#This Row],[Crash Cause]],PCF[[#Headers],[#Data]],4,FALSE)</f>
        <v>View Obscured</v>
      </c>
    </row>
    <row r="73" spans="2:13" x14ac:dyDescent="0.25">
      <c r="B73" t="s">
        <v>103</v>
      </c>
      <c r="C73" s="71" t="e">
        <f ca="1">SUM(COUNTIFS(INDIRECT("Collision!"&amp;Cause!$C$3&amp;":"&amp;Cause!$C$3),$B73,INDIRECT("Collision!"&amp;Severity!$C$3&amp;":"&amp;Severity!$C$3),C$50), COUNTIFS(INDIRECT("Collision!"&amp;Cause!$G$3&amp;":"&amp;Cause!$G$3),$B73,INDIRECT("Collision!"&amp;Severity!$C$3&amp;":"&amp;Severity!$C$3),C$50), COUNTIFS(INDIRECT("Collision!"&amp;Cause!$G$4&amp;":"&amp;Cause!$G$4),$B73,INDIRECT("Collision!"&amp;Severity!$C$3&amp;":"&amp;Severity!$C$3),C$50))</f>
        <v>#REF!</v>
      </c>
      <c r="D73" s="71" t="e">
        <f ca="1">SUM(COUNTIFS(INDIRECT("Collision!"&amp;Cause!$C$3&amp;":"&amp;Cause!$C$3),$B73,INDIRECT("Collision!"&amp;Severity!$C$3&amp;":"&amp;Severity!$C$3),D$50), COUNTIFS(INDIRECT("Collision!"&amp;Cause!$G$3&amp;":"&amp;Cause!$G$3),$B73,INDIRECT("Collision!"&amp;Severity!$C$3&amp;":"&amp;Severity!$C$3),D$50), COUNTIFS(INDIRECT("Collision!"&amp;Cause!$G$4&amp;":"&amp;Cause!$G$4),$B73,INDIRECT("Collision!"&amp;Severity!$C$3&amp;":"&amp;Severity!$C$3),D$50))</f>
        <v>#REF!</v>
      </c>
      <c r="E73" s="71" t="e">
        <f t="array" aca="1" ref="E73" ca="1">SUM(COUNTIFS(INDIRECT("Collision!"&amp;Cause!$C$3&amp;":"&amp;Cause!$C$3),$B73,INDIRECT("Collision!"&amp;Severity!$C$3&amp;":"&amp;Severity!$C$3),{"Moderate Injury","Minor Injury"}), COUNTIFS(INDIRECT("Collision!"&amp;Cause!$G$3&amp;":"&amp;Cause!$G$3),$B73,INDIRECT("Collision!"&amp;Severity!$C$3&amp;":"&amp;Severity!$C$3),{"Moderate Injury","Minor Injury"}), COUNTIFS(INDIRECT("Collision!"&amp;Cause!$G$4&amp;":"&amp;Cause!$G$4),$B73,INDIRECT("Collision!"&amp;Severity!$C$3&amp;":"&amp;Severity!$C$3),{"Moderate Injury","Minor Injury"}))</f>
        <v>#REF!</v>
      </c>
      <c r="F73" s="71" t="e">
        <f ca="1">SUM(COUNTIFS(INDIRECT("Collision!"&amp;Cause!$C$3&amp;":"&amp;Cause!$C$3),$B73,INDIRECT("Collision!"&amp;Severity!$C$3&amp;":"&amp;Severity!$C$3),F$50), COUNTIFS(INDIRECT("Collision!"&amp;Cause!$G$3&amp;":"&amp;Cause!$G$3),$B73,INDIRECT("Collision!"&amp;Severity!$C$3&amp;":"&amp;Severity!$C$3),F$50), COUNTIFS(INDIRECT("Collision!"&amp;Cause!$G$4&amp;":"&amp;Cause!$G$4),$B73,INDIRECT("Collision!"&amp;Severity!$C$3&amp;":"&amp;Severity!$C$3),F$50))</f>
        <v>#REF!</v>
      </c>
      <c r="G73" s="71" t="e">
        <f t="shared" ca="1" si="0"/>
        <v>#REF!</v>
      </c>
      <c r="H73" s="69" t="e">
        <f t="shared" ca="1" si="1"/>
        <v>#REF!</v>
      </c>
      <c r="I73" s="71" t="e">
        <f t="shared" ca="1" si="2"/>
        <v>#REF!</v>
      </c>
      <c r="J73" s="82" t="e">
        <f ca="1">IF(G73=0,0,PCF_Severity[[#This Row],[Crash Count]]/$I$88)</f>
        <v>#REF!</v>
      </c>
      <c r="K73" t="e">
        <f ca="1">SUM(PCF_Severity[[#This Row],[Severe Injury]:[Other Injury]])</f>
        <v>#REF!</v>
      </c>
      <c r="L73" s="69" t="e">
        <f ca="1">PCF_Severity[[#This Row],[Crash Count2]]/$K$88</f>
        <v>#REF!</v>
      </c>
      <c r="M73" s="86" t="str">
        <f>VLOOKUP(PCF_Severity[[#This Row],[Crash Cause]],PCF[[#Headers],[#Data]],4,FALSE)</f>
        <v>*Other (Not improper driving)</v>
      </c>
    </row>
    <row r="74" spans="2:13" x14ac:dyDescent="0.25">
      <c r="B74" t="s">
        <v>104</v>
      </c>
      <c r="C74" s="71" t="e">
        <f ca="1">SUM(COUNTIFS(INDIRECT("Collision!"&amp;Cause!$C$3&amp;":"&amp;Cause!$C$3),$B74,INDIRECT("Collision!"&amp;Severity!$C$3&amp;":"&amp;Severity!$C$3),C$50), COUNTIFS(INDIRECT("Collision!"&amp;Cause!$G$3&amp;":"&amp;Cause!$G$3),$B74,INDIRECT("Collision!"&amp;Severity!$C$3&amp;":"&amp;Severity!$C$3),C$50), COUNTIFS(INDIRECT("Collision!"&amp;Cause!$G$4&amp;":"&amp;Cause!$G$4),$B74,INDIRECT("Collision!"&amp;Severity!$C$3&amp;":"&amp;Severity!$C$3),C$50))</f>
        <v>#REF!</v>
      </c>
      <c r="D74" s="71" t="e">
        <f ca="1">SUM(COUNTIFS(INDIRECT("Collision!"&amp;Cause!$C$3&amp;":"&amp;Cause!$C$3),$B74,INDIRECT("Collision!"&amp;Severity!$C$3&amp;":"&amp;Severity!$C$3),D$50), COUNTIFS(INDIRECT("Collision!"&amp;Cause!$G$3&amp;":"&amp;Cause!$G$3),$B74,INDIRECT("Collision!"&amp;Severity!$C$3&amp;":"&amp;Severity!$C$3),D$50), COUNTIFS(INDIRECT("Collision!"&amp;Cause!$G$4&amp;":"&amp;Cause!$G$4),$B74,INDIRECT("Collision!"&amp;Severity!$C$3&amp;":"&amp;Severity!$C$3),D$50))</f>
        <v>#REF!</v>
      </c>
      <c r="E74" s="71" t="e">
        <f t="array" aca="1" ref="E74" ca="1">SUM(COUNTIFS(INDIRECT("Collision!"&amp;Cause!$C$3&amp;":"&amp;Cause!$C$3),$B74,INDIRECT("Collision!"&amp;Severity!$C$3&amp;":"&amp;Severity!$C$3),{"Moderate Injury","Minor Injury"}), COUNTIFS(INDIRECT("Collision!"&amp;Cause!$G$3&amp;":"&amp;Cause!$G$3),$B74,INDIRECT("Collision!"&amp;Severity!$C$3&amp;":"&amp;Severity!$C$3),{"Moderate Injury","Minor Injury"}), COUNTIFS(INDIRECT("Collision!"&amp;Cause!$G$4&amp;":"&amp;Cause!$G$4),$B74,INDIRECT("Collision!"&amp;Severity!$C$3&amp;":"&amp;Severity!$C$3),{"Moderate Injury","Minor Injury"}))</f>
        <v>#REF!</v>
      </c>
      <c r="F74" s="71" t="e">
        <f ca="1">SUM(COUNTIFS(INDIRECT("Collision!"&amp;Cause!$C$3&amp;":"&amp;Cause!$C$3),$B74,INDIRECT("Collision!"&amp;Severity!$C$3&amp;":"&amp;Severity!$C$3),F$50), COUNTIFS(INDIRECT("Collision!"&amp;Cause!$G$3&amp;":"&amp;Cause!$G$3),$B74,INDIRECT("Collision!"&amp;Severity!$C$3&amp;":"&amp;Severity!$C$3),F$50), COUNTIFS(INDIRECT("Collision!"&amp;Cause!$G$4&amp;":"&amp;Cause!$G$4),$B74,INDIRECT("Collision!"&amp;Severity!$C$3&amp;":"&amp;Severity!$C$3),F$50))</f>
        <v>#REF!</v>
      </c>
      <c r="G74" s="71" t="e">
        <f t="shared" ca="1" si="0"/>
        <v>#REF!</v>
      </c>
      <c r="H74" s="69" t="e">
        <f t="shared" ca="1" si="1"/>
        <v>#REF!</v>
      </c>
      <c r="I74" s="71" t="e">
        <f t="shared" ca="1" si="2"/>
        <v>#REF!</v>
      </c>
      <c r="J74" s="82" t="e">
        <f ca="1">IF(G74=0,"-",PCF_Severity[[#This Row],[Crash Count]]/$I$88)</f>
        <v>#REF!</v>
      </c>
      <c r="K74" t="e">
        <f ca="1">SUM(PCF_Severity[[#This Row],[Severe Injury]:[Other Injury]])</f>
        <v>#REF!</v>
      </c>
      <c r="L74" s="69" t="e">
        <f ca="1">PCF_Severity[[#This Row],[Crash Count2]]/$K$88</f>
        <v>#REF!</v>
      </c>
      <c r="M74" s="86" t="str">
        <f>VLOOKUP(PCF_Severity[[#This Row],[Crash Cause]],PCF[[#Headers],[#Data]],4,FALSE)</f>
        <v>Improper change of traffic lanes</v>
      </c>
    </row>
    <row r="75" spans="2:13" x14ac:dyDescent="0.25">
      <c r="B75" t="s">
        <v>95</v>
      </c>
      <c r="C75" s="71" t="e">
        <f ca="1">SUM(COUNTIFS(INDIRECT("Collision!"&amp;Cause!$C$3&amp;":"&amp;Cause!$C$3),$B75,INDIRECT("Collision!"&amp;Severity!$C$3&amp;":"&amp;Severity!$C$3),C$50), COUNTIFS(INDIRECT("Collision!"&amp;Cause!$G$3&amp;":"&amp;Cause!$G$3),$B75,INDIRECT("Collision!"&amp;Severity!$C$3&amp;":"&amp;Severity!$C$3),C$50), COUNTIFS(INDIRECT("Collision!"&amp;Cause!$G$4&amp;":"&amp;Cause!$G$4),$B75,INDIRECT("Collision!"&amp;Severity!$C$3&amp;":"&amp;Severity!$C$3),C$50))</f>
        <v>#REF!</v>
      </c>
      <c r="D75" s="71" t="e">
        <f ca="1">SUM(COUNTIFS(INDIRECT("Collision!"&amp;Cause!$C$3&amp;":"&amp;Cause!$C$3),$B75,INDIRECT("Collision!"&amp;Severity!$C$3&amp;":"&amp;Severity!$C$3),D$50), COUNTIFS(INDIRECT("Collision!"&amp;Cause!$G$3&amp;":"&amp;Cause!$G$3),$B75,INDIRECT("Collision!"&amp;Severity!$C$3&amp;":"&amp;Severity!$C$3),D$50), COUNTIFS(INDIRECT("Collision!"&amp;Cause!$G$4&amp;":"&amp;Cause!$G$4),$B75,INDIRECT("Collision!"&amp;Severity!$C$3&amp;":"&amp;Severity!$C$3),D$50))</f>
        <v>#REF!</v>
      </c>
      <c r="E75" s="71" t="e">
        <f t="array" aca="1" ref="E75" ca="1">SUM(COUNTIFS(INDIRECT("Collision!"&amp;Cause!$C$3&amp;":"&amp;Cause!$C$3),$B75,INDIRECT("Collision!"&amp;Severity!$C$3&amp;":"&amp;Severity!$C$3),{"Moderate Injury","Minor Injury"}), COUNTIFS(INDIRECT("Collision!"&amp;Cause!$G$3&amp;":"&amp;Cause!$G$3),$B75,INDIRECT("Collision!"&amp;Severity!$C$3&amp;":"&amp;Severity!$C$3),{"Moderate Injury","Minor Injury"}), COUNTIFS(INDIRECT("Collision!"&amp;Cause!$G$4&amp;":"&amp;Cause!$G$4),$B75,INDIRECT("Collision!"&amp;Severity!$C$3&amp;":"&amp;Severity!$C$3),{"Moderate Injury","Minor Injury"}))</f>
        <v>#REF!</v>
      </c>
      <c r="F75" s="71" t="e">
        <f ca="1">SUM(COUNTIFS(INDIRECT("Collision!"&amp;Cause!$C$3&amp;":"&amp;Cause!$C$3),$B75,INDIRECT("Collision!"&amp;Severity!$C$3&amp;":"&amp;Severity!$C$3),F$50), COUNTIFS(INDIRECT("Collision!"&amp;Cause!$G$3&amp;":"&amp;Cause!$G$3),$B75,INDIRECT("Collision!"&amp;Severity!$C$3&amp;":"&amp;Severity!$C$3),F$50), COUNTIFS(INDIRECT("Collision!"&amp;Cause!$G$4&amp;":"&amp;Cause!$G$4),$B75,INDIRECT("Collision!"&amp;Severity!$C$3&amp;":"&amp;Severity!$C$3),F$50))</f>
        <v>#REF!</v>
      </c>
      <c r="G75" s="71" t="e">
        <f t="shared" ca="1" si="0"/>
        <v>#REF!</v>
      </c>
      <c r="H75" s="69" t="e">
        <f t="shared" ca="1" si="1"/>
        <v>#REF!</v>
      </c>
      <c r="I75" s="71" t="e">
        <f t="shared" ca="1" si="2"/>
        <v>#REF!</v>
      </c>
      <c r="J75" s="82" t="e">
        <f ca="1">IF(G75=0,0,PCF_Severity[[#This Row],[Crash Count]]/$I$88)</f>
        <v>#REF!</v>
      </c>
      <c r="K75" t="e">
        <f ca="1">SUM(PCF_Severity[[#This Row],[Severe Injury]:[Other Injury]])</f>
        <v>#REF!</v>
      </c>
      <c r="L75" s="69" t="e">
        <f ca="1">PCF_Severity[[#This Row],[Crash Count2]]/$K$88</f>
        <v>#REF!</v>
      </c>
      <c r="M75" s="86" t="str">
        <f>VLOOKUP(PCF_Severity[[#This Row],[Crash Cause]],PCF[[#Headers],[#Data]],4,FALSE)</f>
        <v>Passed stop sign or red flasher</v>
      </c>
    </row>
    <row r="76" spans="2:13" x14ac:dyDescent="0.25">
      <c r="B76" t="s">
        <v>107</v>
      </c>
      <c r="C76" s="71" t="e">
        <f ca="1">SUM(COUNTIFS(INDIRECT("Collision!"&amp;Cause!$C$3&amp;":"&amp;Cause!$C$3),$B76,INDIRECT("Collision!"&amp;Severity!$C$3&amp;":"&amp;Severity!$C$3),C$50), COUNTIFS(INDIRECT("Collision!"&amp;Cause!$G$3&amp;":"&amp;Cause!$G$3),$B76,INDIRECT("Collision!"&amp;Severity!$C$3&amp;":"&amp;Severity!$C$3),C$50), COUNTIFS(INDIRECT("Collision!"&amp;Cause!$G$4&amp;":"&amp;Cause!$G$4),$B76,INDIRECT("Collision!"&amp;Severity!$C$3&amp;":"&amp;Severity!$C$3),C$50))</f>
        <v>#REF!</v>
      </c>
      <c r="D76" s="71" t="e">
        <f ca="1">SUM(COUNTIFS(INDIRECT("Collision!"&amp;Cause!$C$3&amp;":"&amp;Cause!$C$3),$B76,INDIRECT("Collision!"&amp;Severity!$C$3&amp;":"&amp;Severity!$C$3),D$50), COUNTIFS(INDIRECT("Collision!"&amp;Cause!$G$3&amp;":"&amp;Cause!$G$3),$B76,INDIRECT("Collision!"&amp;Severity!$C$3&amp;":"&amp;Severity!$C$3),D$50), COUNTIFS(INDIRECT("Collision!"&amp;Cause!$G$4&amp;":"&amp;Cause!$G$4),$B76,INDIRECT("Collision!"&amp;Severity!$C$3&amp;":"&amp;Severity!$C$3),D$50))</f>
        <v>#REF!</v>
      </c>
      <c r="E76" s="71" t="e">
        <f t="array" aca="1" ref="E76" ca="1">SUM(COUNTIFS(INDIRECT("Collision!"&amp;Cause!$C$3&amp;":"&amp;Cause!$C$3),$B76,INDIRECT("Collision!"&amp;Severity!$C$3&amp;":"&amp;Severity!$C$3),{"Moderate Injury","Minor Injury"}), COUNTIFS(INDIRECT("Collision!"&amp;Cause!$G$3&amp;":"&amp;Cause!$G$3),$B76,INDIRECT("Collision!"&amp;Severity!$C$3&amp;":"&amp;Severity!$C$3),{"Moderate Injury","Minor Injury"}), COUNTIFS(INDIRECT("Collision!"&amp;Cause!$G$4&amp;":"&amp;Cause!$G$4),$B76,INDIRECT("Collision!"&amp;Severity!$C$3&amp;":"&amp;Severity!$C$3),{"Moderate Injury","Minor Injury"}))</f>
        <v>#REF!</v>
      </c>
      <c r="F76" s="71" t="e">
        <f ca="1">SUM(COUNTIFS(INDIRECT("Collision!"&amp;Cause!$C$3&amp;":"&amp;Cause!$C$3),$B76,INDIRECT("Collision!"&amp;Severity!$C$3&amp;":"&amp;Severity!$C$3),F$50), COUNTIFS(INDIRECT("Collision!"&amp;Cause!$G$3&amp;":"&amp;Cause!$G$3),$B76,INDIRECT("Collision!"&amp;Severity!$C$3&amp;":"&amp;Severity!$C$3),F$50), COUNTIFS(INDIRECT("Collision!"&amp;Cause!$G$4&amp;":"&amp;Cause!$G$4),$B76,INDIRECT("Collision!"&amp;Severity!$C$3&amp;":"&amp;Severity!$C$3),F$50))</f>
        <v>#REF!</v>
      </c>
      <c r="G76" s="71" t="e">
        <f t="shared" ca="1" si="0"/>
        <v>#REF!</v>
      </c>
      <c r="H76" s="69" t="e">
        <f t="shared" ca="1" si="1"/>
        <v>#REF!</v>
      </c>
      <c r="I76" s="71" t="e">
        <f t="shared" ca="1" si="2"/>
        <v>#REF!</v>
      </c>
      <c r="J76" s="69" t="e">
        <f ca="1">IF(G76=0,0,PCF_Severity[[#This Row],[Crash Count]]/$I$88)</f>
        <v>#REF!</v>
      </c>
      <c r="K76" t="e">
        <f ca="1">SUM(PCF_Severity[[#This Row],[Severe Injury]:[Other Injury]])</f>
        <v>#REF!</v>
      </c>
      <c r="L76" s="69" t="e">
        <f ca="1">PCF_Severity[[#This Row],[Crash Count2]]/$K$88</f>
        <v>#REF!</v>
      </c>
      <c r="M76" s="86" t="str">
        <f>VLOOKUP(PCF_Severity[[#This Row],[Crash Cause]],PCF[[#Headers],[#Data]],4,FALSE)</f>
        <v>Driver drowsy / fatigued / sleepy</v>
      </c>
    </row>
    <row r="77" spans="2:13" x14ac:dyDescent="0.25">
      <c r="B77" t="s">
        <v>120</v>
      </c>
      <c r="C77" s="71" t="e">
        <f ca="1">SUM(COUNTIFS(INDIRECT("Collision!"&amp;Cause!$C$3&amp;":"&amp;Cause!$C$3),$B77,INDIRECT("Collision!"&amp;Severity!$C$3&amp;":"&amp;Severity!$C$3),C$50), COUNTIFS(INDIRECT("Collision!"&amp;Cause!$G$3&amp;":"&amp;Cause!$G$3),$B77,INDIRECT("Collision!"&amp;Severity!$C$3&amp;":"&amp;Severity!$C$3),C$50), COUNTIFS(INDIRECT("Collision!"&amp;Cause!$G$4&amp;":"&amp;Cause!$G$4),$B77,INDIRECT("Collision!"&amp;Severity!$C$3&amp;":"&amp;Severity!$C$3),C$50))</f>
        <v>#REF!</v>
      </c>
      <c r="D77" s="71" t="e">
        <f ca="1">SUM(COUNTIFS(INDIRECT("Collision!"&amp;Cause!$C$3&amp;":"&amp;Cause!$C$3),$B77,INDIRECT("Collision!"&amp;Severity!$C$3&amp;":"&amp;Severity!$C$3),D$50), COUNTIFS(INDIRECT("Collision!"&amp;Cause!$G$3&amp;":"&amp;Cause!$G$3),$B77,INDIRECT("Collision!"&amp;Severity!$C$3&amp;":"&amp;Severity!$C$3),D$50), COUNTIFS(INDIRECT("Collision!"&amp;Cause!$G$4&amp;":"&amp;Cause!$G$4),$B77,INDIRECT("Collision!"&amp;Severity!$C$3&amp;":"&amp;Severity!$C$3),D$50))</f>
        <v>#REF!</v>
      </c>
      <c r="E77" s="71" t="e">
        <f t="array" aca="1" ref="E77" ca="1">SUM(COUNTIFS(INDIRECT("Collision!"&amp;Cause!$C$3&amp;":"&amp;Cause!$C$3),$B77,INDIRECT("Collision!"&amp;Severity!$C$3&amp;":"&amp;Severity!$C$3),{"Moderate Injury","Minor Injury"}), COUNTIFS(INDIRECT("Collision!"&amp;Cause!$G$3&amp;":"&amp;Cause!$G$3),$B77,INDIRECT("Collision!"&amp;Severity!$C$3&amp;":"&amp;Severity!$C$3),{"Moderate Injury","Minor Injury"}), COUNTIFS(INDIRECT("Collision!"&amp;Cause!$G$4&amp;":"&amp;Cause!$G$4),$B77,INDIRECT("Collision!"&amp;Severity!$C$3&amp;":"&amp;Severity!$C$3),{"Moderate Injury","Minor Injury"}))</f>
        <v>#REF!</v>
      </c>
      <c r="F77" s="71" t="e">
        <f ca="1">SUM(COUNTIFS(INDIRECT("Collision!"&amp;Cause!$C$3&amp;":"&amp;Cause!$C$3),$B77,INDIRECT("Collision!"&amp;Severity!$C$3&amp;":"&amp;Severity!$C$3),F$50), COUNTIFS(INDIRECT("Collision!"&amp;Cause!$G$3&amp;":"&amp;Cause!$G$3),$B77,INDIRECT("Collision!"&amp;Severity!$C$3&amp;":"&amp;Severity!$C$3),F$50), COUNTIFS(INDIRECT("Collision!"&amp;Cause!$G$4&amp;":"&amp;Cause!$G$4),$B77,INDIRECT("Collision!"&amp;Severity!$C$3&amp;":"&amp;Severity!$C$3),F$50))</f>
        <v>#REF!</v>
      </c>
      <c r="G77" s="71" t="e">
        <f t="shared" ca="1" si="0"/>
        <v>#REF!</v>
      </c>
      <c r="H77" s="69" t="e">
        <f t="shared" ca="1" si="1"/>
        <v>#REF!</v>
      </c>
      <c r="I77" s="71" t="e">
        <f t="shared" ca="1" si="2"/>
        <v>#REF!</v>
      </c>
      <c r="J77" s="69" t="e">
        <f ca="1">IF(G77=0,0,PCF_Severity[[#This Row],[Crash Count]]/$I$88)</f>
        <v>#REF!</v>
      </c>
      <c r="K77" t="e">
        <f ca="1">SUM(PCF_Severity[[#This Row],[Severe Injury]:[Other Injury]])</f>
        <v>#REF!</v>
      </c>
      <c r="L77" s="69" t="e">
        <f ca="1">PCF_Severity[[#This Row],[Crash Count2]]/$K$88</f>
        <v>#REF!</v>
      </c>
      <c r="M77" s="86" t="str">
        <f>VLOOKUP(PCF_Severity[[#This Row],[Crash Cause]],PCF[[#Headers],[#Data]],4,FALSE)</f>
        <v>Driving in excess of posted speed</v>
      </c>
    </row>
    <row r="78" spans="2:13" ht="45" customHeight="1" x14ac:dyDescent="0.25">
      <c r="B78" t="s">
        <v>97</v>
      </c>
      <c r="C78" s="71" t="e">
        <f ca="1">SUM(COUNTIFS(INDIRECT("Collision!"&amp;Cause!$C$3&amp;":"&amp;Cause!$C$3),$B78,INDIRECT("Collision!"&amp;Severity!$C$3&amp;":"&amp;Severity!$C$3),C$50), COUNTIFS(INDIRECT("Collision!"&amp;Cause!$G$3&amp;":"&amp;Cause!$G$3),$B78,INDIRECT("Collision!"&amp;Severity!$C$3&amp;":"&amp;Severity!$C$3),C$50), COUNTIFS(INDIRECT("Collision!"&amp;Cause!$G$4&amp;":"&amp;Cause!$G$4),$B78,INDIRECT("Collision!"&amp;Severity!$C$3&amp;":"&amp;Severity!$C$3),C$50))</f>
        <v>#REF!</v>
      </c>
      <c r="D78" s="71" t="e">
        <f ca="1">SUM(COUNTIFS(INDIRECT("Collision!"&amp;Cause!$C$3&amp;":"&amp;Cause!$C$3),$B78,INDIRECT("Collision!"&amp;Severity!$C$3&amp;":"&amp;Severity!$C$3),D$50), COUNTIFS(INDIRECT("Collision!"&amp;Cause!$G$3&amp;":"&amp;Cause!$G$3),$B78,INDIRECT("Collision!"&amp;Severity!$C$3&amp;":"&amp;Severity!$C$3),D$50), COUNTIFS(INDIRECT("Collision!"&amp;Cause!$G$4&amp;":"&amp;Cause!$G$4),$B78,INDIRECT("Collision!"&amp;Severity!$C$3&amp;":"&amp;Severity!$C$3),D$50))</f>
        <v>#REF!</v>
      </c>
      <c r="E78" s="71" t="e">
        <f t="array" aca="1" ref="E78" ca="1">SUM(COUNTIFS(INDIRECT("Collision!"&amp;Cause!$C$3&amp;":"&amp;Cause!$C$3),$B78,INDIRECT("Collision!"&amp;Severity!$C$3&amp;":"&amp;Severity!$C$3),{"Moderate Injury","Minor Injury"}), COUNTIFS(INDIRECT("Collision!"&amp;Cause!$G$3&amp;":"&amp;Cause!$G$3),$B78,INDIRECT("Collision!"&amp;Severity!$C$3&amp;":"&amp;Severity!$C$3),{"Moderate Injury","Minor Injury"}), COUNTIFS(INDIRECT("Collision!"&amp;Cause!$G$4&amp;":"&amp;Cause!$G$4),$B78,INDIRECT("Collision!"&amp;Severity!$C$3&amp;":"&amp;Severity!$C$3),{"Moderate Injury","Minor Injury"}))</f>
        <v>#REF!</v>
      </c>
      <c r="F78" s="71" t="e">
        <f ca="1">SUM(COUNTIFS(INDIRECT("Collision!"&amp;Cause!$C$3&amp;":"&amp;Cause!$C$3),$B78,INDIRECT("Collision!"&amp;Severity!$C$3&amp;":"&amp;Severity!$C$3),F$50), COUNTIFS(INDIRECT("Collision!"&amp;Cause!$G$3&amp;":"&amp;Cause!$G$3),$B78,INDIRECT("Collision!"&amp;Severity!$C$3&amp;":"&amp;Severity!$C$3),F$50), COUNTIFS(INDIRECT("Collision!"&amp;Cause!$G$4&amp;":"&amp;Cause!$G$4),$B78,INDIRECT("Collision!"&amp;Severity!$C$3&amp;":"&amp;Severity!$C$3),F$50))</f>
        <v>#REF!</v>
      </c>
      <c r="G78" s="71" t="e">
        <f t="shared" ca="1" si="0"/>
        <v>#REF!</v>
      </c>
      <c r="H78" s="69" t="e">
        <f t="shared" ca="1" si="1"/>
        <v>#REF!</v>
      </c>
      <c r="I78" s="71" t="e">
        <f t="shared" ca="1" si="2"/>
        <v>#REF!</v>
      </c>
      <c r="J78" s="82" t="e">
        <f ca="1">IF(G78=0,0,PCF_Severity[[#This Row],[Crash Count]]/$I$88)</f>
        <v>#REF!</v>
      </c>
      <c r="K78" t="e">
        <f ca="1">SUM(PCF_Severity[[#This Row],[Severe Injury]:[Other Injury]])</f>
        <v>#REF!</v>
      </c>
      <c r="L78" s="69" t="e">
        <f ca="1">PCF_Severity[[#This Row],[Crash Count2]]/$K$88</f>
        <v>#REF!</v>
      </c>
      <c r="M78" s="86" t="str">
        <f>VLOOKUP(PCF_Severity[[#This Row],[Crash Cause]],PCF[[#Headers],[#Data]],4,FALSE)</f>
        <v>*Drove left of center on two-way road; 
straddling the center line</v>
      </c>
    </row>
    <row r="79" spans="2:13" x14ac:dyDescent="0.25">
      <c r="B79" t="s">
        <v>101</v>
      </c>
      <c r="C79" s="71" t="e">
        <f ca="1">SUM(COUNTIFS(INDIRECT("Collision!"&amp;Cause!$C$3&amp;":"&amp;Cause!$C$3),$B79,INDIRECT("Collision!"&amp;Severity!$C$3&amp;":"&amp;Severity!$C$3),C$50), COUNTIFS(INDIRECT("Collision!"&amp;Cause!$G$3&amp;":"&amp;Cause!$G$3),$B79,INDIRECT("Collision!"&amp;Severity!$C$3&amp;":"&amp;Severity!$C$3),C$50), COUNTIFS(INDIRECT("Collision!"&amp;Cause!$G$4&amp;":"&amp;Cause!$G$4),$B79,INDIRECT("Collision!"&amp;Severity!$C$3&amp;":"&amp;Severity!$C$3),C$50))</f>
        <v>#REF!</v>
      </c>
      <c r="D79" s="71" t="e">
        <f ca="1">SUM(COUNTIFS(INDIRECT("Collision!"&amp;Cause!$C$3&amp;":"&amp;Cause!$C$3),$B79,INDIRECT("Collision!"&amp;Severity!$C$3&amp;":"&amp;Severity!$C$3),D$50), COUNTIFS(INDIRECT("Collision!"&amp;Cause!$G$3&amp;":"&amp;Cause!$G$3),$B79,INDIRECT("Collision!"&amp;Severity!$C$3&amp;":"&amp;Severity!$C$3),D$50), COUNTIFS(INDIRECT("Collision!"&amp;Cause!$G$4&amp;":"&amp;Cause!$G$4),$B79,INDIRECT("Collision!"&amp;Severity!$C$3&amp;":"&amp;Severity!$C$3),D$50))</f>
        <v>#REF!</v>
      </c>
      <c r="E79" s="71" t="e">
        <f t="array" aca="1" ref="E79" ca="1">SUM(COUNTIFS(INDIRECT("Collision!"&amp;Cause!$C$3&amp;":"&amp;Cause!$C$3),$B79,INDIRECT("Collision!"&amp;Severity!$C$3&amp;":"&amp;Severity!$C$3),{"Moderate Injury","Minor Injury"}), COUNTIFS(INDIRECT("Collision!"&amp;Cause!$G$3&amp;":"&amp;Cause!$G$3),$B79,INDIRECT("Collision!"&amp;Severity!$C$3&amp;":"&amp;Severity!$C$3),{"Moderate Injury","Minor Injury"}), COUNTIFS(INDIRECT("Collision!"&amp;Cause!$G$4&amp;":"&amp;Cause!$G$4),$B79,INDIRECT("Collision!"&amp;Severity!$C$3&amp;":"&amp;Severity!$C$3),{"Moderate Injury","Minor Injury"}))</f>
        <v>#REF!</v>
      </c>
      <c r="F79" s="71" t="e">
        <f ca="1">SUM(COUNTIFS(INDIRECT("Collision!"&amp;Cause!$C$3&amp;":"&amp;Cause!$C$3),$B79,INDIRECT("Collision!"&amp;Severity!$C$3&amp;":"&amp;Severity!$C$3),F$50), COUNTIFS(INDIRECT("Collision!"&amp;Cause!$G$3&amp;":"&amp;Cause!$G$3),$B79,INDIRECT("Collision!"&amp;Severity!$C$3&amp;":"&amp;Severity!$C$3),F$50), COUNTIFS(INDIRECT("Collision!"&amp;Cause!$G$4&amp;":"&amp;Cause!$G$4),$B79,INDIRECT("Collision!"&amp;Severity!$C$3&amp;":"&amp;Severity!$C$3),F$50))</f>
        <v>#REF!</v>
      </c>
      <c r="G79" s="71" t="e">
        <f t="shared" ca="1" si="0"/>
        <v>#REF!</v>
      </c>
      <c r="H79" s="69" t="e">
        <f t="shared" ca="1" si="1"/>
        <v>#REF!</v>
      </c>
      <c r="I79" s="71" t="e">
        <f t="shared" ca="1" si="2"/>
        <v>#REF!</v>
      </c>
      <c r="J79" s="82" t="e">
        <f ca="1">IF(G79=0,0,PCF_Severity[[#This Row],[Crash Count]]/$I$88)</f>
        <v>#REF!</v>
      </c>
      <c r="K79" t="e">
        <f ca="1">SUM(PCF_Severity[[#This Row],[Severe Injury]:[Other Injury]])</f>
        <v>#REF!</v>
      </c>
      <c r="L79" s="69" t="e">
        <f ca="1">PCF_Severity[[#This Row],[Crash Count2]]/$K$88</f>
        <v>#REF!</v>
      </c>
      <c r="M79" s="86" t="str">
        <f>VLOOKUP(PCF_Severity[[#This Row],[Crash Cause]],PCF[[#Headers],[#Data]],4,FALSE)</f>
        <v>*Other improper driving</v>
      </c>
    </row>
    <row r="80" spans="2:13" ht="30" customHeight="1" x14ac:dyDescent="0.25">
      <c r="B80" t="s">
        <v>122</v>
      </c>
      <c r="C80" s="71" t="e">
        <f ca="1">SUM(COUNTIFS(INDIRECT("Collision!"&amp;Cause!$C$3&amp;":"&amp;Cause!$C$3),$B80,INDIRECT("Collision!"&amp;Severity!$C$3&amp;":"&amp;Severity!$C$3),C$50), COUNTIFS(INDIRECT("Collision!"&amp;Cause!$G$3&amp;":"&amp;Cause!$G$3),$B80,INDIRECT("Collision!"&amp;Severity!$C$3&amp;":"&amp;Severity!$C$3),C$50), COUNTIFS(INDIRECT("Collision!"&amp;Cause!$G$4&amp;":"&amp;Cause!$G$4),$B80,INDIRECT("Collision!"&amp;Severity!$C$3&amp;":"&amp;Severity!$C$3),C$50))</f>
        <v>#REF!</v>
      </c>
      <c r="D80" s="71" t="e">
        <f ca="1">SUM(COUNTIFS(INDIRECT("Collision!"&amp;Cause!$C$3&amp;":"&amp;Cause!$C$3),$B80,INDIRECT("Collision!"&amp;Severity!$C$3&amp;":"&amp;Severity!$C$3),D$50), COUNTIFS(INDIRECT("Collision!"&amp;Cause!$G$3&amp;":"&amp;Cause!$G$3),$B80,INDIRECT("Collision!"&amp;Severity!$C$3&amp;":"&amp;Severity!$C$3),D$50), COUNTIFS(INDIRECT("Collision!"&amp;Cause!$G$4&amp;":"&amp;Cause!$G$4),$B80,INDIRECT("Collision!"&amp;Severity!$C$3&amp;":"&amp;Severity!$C$3),D$50))</f>
        <v>#REF!</v>
      </c>
      <c r="E80" s="71" t="e">
        <f t="array" aca="1" ref="E80" ca="1">SUM(COUNTIFS(INDIRECT("Collision!"&amp;Cause!$C$3&amp;":"&amp;Cause!$C$3),$B80,INDIRECT("Collision!"&amp;Severity!$C$3&amp;":"&amp;Severity!$C$3),{"Moderate Injury","Minor Injury"}), COUNTIFS(INDIRECT("Collision!"&amp;Cause!$G$3&amp;":"&amp;Cause!$G$3),$B80,INDIRECT("Collision!"&amp;Severity!$C$3&amp;":"&amp;Severity!$C$3),{"Moderate Injury","Minor Injury"}), COUNTIFS(INDIRECT("Collision!"&amp;Cause!$G$4&amp;":"&amp;Cause!$G$4),$B80,INDIRECT("Collision!"&amp;Severity!$C$3&amp;":"&amp;Severity!$C$3),{"Moderate Injury","Minor Injury"}))</f>
        <v>#REF!</v>
      </c>
      <c r="F80" s="71" t="e">
        <f ca="1">SUM(COUNTIFS(INDIRECT("Collision!"&amp;Cause!$C$3&amp;":"&amp;Cause!$C$3),$B80,INDIRECT("Collision!"&amp;Severity!$C$3&amp;":"&amp;Severity!$C$3),F$50), COUNTIFS(INDIRECT("Collision!"&amp;Cause!$G$3&amp;":"&amp;Cause!$G$3),$B80,INDIRECT("Collision!"&amp;Severity!$C$3&amp;":"&amp;Severity!$C$3),F$50), COUNTIFS(INDIRECT("Collision!"&amp;Cause!$G$4&amp;":"&amp;Cause!$G$4),$B80,INDIRECT("Collision!"&amp;Severity!$C$3&amp;":"&amp;Severity!$C$3),F$50))</f>
        <v>#REF!</v>
      </c>
      <c r="G80" s="71" t="e">
        <f t="shared" ca="1" si="0"/>
        <v>#REF!</v>
      </c>
      <c r="H80" s="69" t="e">
        <f t="shared" ca="1" si="1"/>
        <v>#REF!</v>
      </c>
      <c r="I80" s="71" t="e">
        <f t="shared" ca="1" si="2"/>
        <v>#REF!</v>
      </c>
      <c r="J80" s="69" t="e">
        <f ca="1">IF(G80=0,0,PCF_Severity[[#This Row],[Crash Count]]/$I$88)</f>
        <v>#REF!</v>
      </c>
      <c r="K80" t="e">
        <f ca="1">SUM(PCF_Severity[[#This Row],[Severe Injury]:[Other Injury]])</f>
        <v>#REF!</v>
      </c>
      <c r="L80" s="69" t="e">
        <f ca="1">PCF_Severity[[#This Row],[Crash Count2]]/$K$88</f>
        <v>#REF!</v>
      </c>
      <c r="M80" s="86" t="str">
        <f>VLOOKUP(PCF_Severity[[#This Row],[Crash Cause]],PCF[[#Headers],[#Data]],4,FALSE)</f>
        <v>Careless Driving (Per PAR or self-reported)</v>
      </c>
    </row>
    <row r="81" spans="2:13" x14ac:dyDescent="0.25">
      <c r="B81" t="s">
        <v>100</v>
      </c>
      <c r="C81" s="71" t="e">
        <f ca="1">SUM(COUNTIFS(INDIRECT("Collision!"&amp;Cause!$C$3&amp;":"&amp;Cause!$C$3),$B81,INDIRECT("Collision!"&amp;Severity!$C$3&amp;":"&amp;Severity!$C$3),C$50), COUNTIFS(INDIRECT("Collision!"&amp;Cause!$G$3&amp;":"&amp;Cause!$G$3),$B81,INDIRECT("Collision!"&amp;Severity!$C$3&amp;":"&amp;Severity!$C$3),C$50), COUNTIFS(INDIRECT("Collision!"&amp;Cause!$G$4&amp;":"&amp;Cause!$G$4),$B81,INDIRECT("Collision!"&amp;Severity!$C$3&amp;":"&amp;Severity!$C$3),C$50))</f>
        <v>#REF!</v>
      </c>
      <c r="D81" s="71" t="e">
        <f ca="1">SUM(COUNTIFS(INDIRECT("Collision!"&amp;Cause!$C$3&amp;":"&amp;Cause!$C$3),$B81,INDIRECT("Collision!"&amp;Severity!$C$3&amp;":"&amp;Severity!$C$3),D$50), COUNTIFS(INDIRECT("Collision!"&amp;Cause!$G$3&amp;":"&amp;Cause!$G$3),$B81,INDIRECT("Collision!"&amp;Severity!$C$3&amp;":"&amp;Severity!$C$3),D$50), COUNTIFS(INDIRECT("Collision!"&amp;Cause!$G$4&amp;":"&amp;Cause!$G$4),$B81,INDIRECT("Collision!"&amp;Severity!$C$3&amp;":"&amp;Severity!$C$3),D$50))</f>
        <v>#REF!</v>
      </c>
      <c r="E81" s="71" t="e">
        <f t="array" aca="1" ref="E81" ca="1">SUM(COUNTIFS(INDIRECT("Collision!"&amp;Cause!$C$3&amp;":"&amp;Cause!$C$3),$B81,INDIRECT("Collision!"&amp;Severity!$C$3&amp;":"&amp;Severity!$C$3),{"Moderate Injury","Minor Injury"}), COUNTIFS(INDIRECT("Collision!"&amp;Cause!$G$3&amp;":"&amp;Cause!$G$3),$B81,INDIRECT("Collision!"&amp;Severity!$C$3&amp;":"&amp;Severity!$C$3),{"Moderate Injury","Minor Injury"}), COUNTIFS(INDIRECT("Collision!"&amp;Cause!$G$4&amp;":"&amp;Cause!$G$4),$B81,INDIRECT("Collision!"&amp;Severity!$C$3&amp;":"&amp;Severity!$C$3),{"Moderate Injury","Minor Injury"}))</f>
        <v>#REF!</v>
      </c>
      <c r="F81" s="71" t="e">
        <f ca="1">SUM(COUNTIFS(INDIRECT("Collision!"&amp;Cause!$C$3&amp;":"&amp;Cause!$C$3),$B81,INDIRECT("Collision!"&amp;Severity!$C$3&amp;":"&amp;Severity!$C$3),F$50), COUNTIFS(INDIRECT("Collision!"&amp;Cause!$G$3&amp;":"&amp;Cause!$G$3),$B81,INDIRECT("Collision!"&amp;Severity!$C$3&amp;":"&amp;Severity!$C$3),F$50), COUNTIFS(INDIRECT("Collision!"&amp;Cause!$G$4&amp;":"&amp;Cause!$G$4),$B81,INDIRECT("Collision!"&amp;Severity!$C$3&amp;":"&amp;Severity!$C$3),F$50))</f>
        <v>#REF!</v>
      </c>
      <c r="G81" s="71" t="e">
        <f t="shared" ca="1" si="0"/>
        <v>#REF!</v>
      </c>
      <c r="H81" s="69" t="e">
        <f t="shared" ca="1" si="1"/>
        <v>#REF!</v>
      </c>
      <c r="I81" s="71" t="e">
        <f t="shared" ca="1" si="2"/>
        <v>#REF!</v>
      </c>
      <c r="J81" s="69" t="e">
        <f ca="1">IF(G81=0,0,PCF_Severity[[#This Row],[Crash Count]]/$I$88)</f>
        <v>#REF!</v>
      </c>
      <c r="K81" t="e">
        <f ca="1">SUM(PCF_Severity[[#This Row],[Severe Injury]:[Other Injury]])</f>
        <v>#REF!</v>
      </c>
      <c r="L81" s="69" t="e">
        <f ca="1">PCF_Severity[[#This Row],[Crash Count2]]/$K$88</f>
        <v>#REF!</v>
      </c>
      <c r="M81" s="86" t="str">
        <f>VLOOKUP(PCF_Severity[[#This Row],[Crash Cause]],PCF[[#Headers],[#Data]],4,FALSE)</f>
        <v>Made improper turn</v>
      </c>
    </row>
    <row r="82" spans="2:13" x14ac:dyDescent="0.25">
      <c r="B82" t="s">
        <v>99</v>
      </c>
      <c r="C82" s="71" t="e">
        <f ca="1">SUM(COUNTIFS(INDIRECT("Collision!"&amp;Cause!$C$3&amp;":"&amp;Cause!$C$3),$B82,INDIRECT("Collision!"&amp;Severity!$C$3&amp;":"&amp;Severity!$C$3),C$50), COUNTIFS(INDIRECT("Collision!"&amp;Cause!$G$3&amp;":"&amp;Cause!$G$3),$B82,INDIRECT("Collision!"&amp;Severity!$C$3&amp;":"&amp;Severity!$C$3),C$50), COUNTIFS(INDIRECT("Collision!"&amp;Cause!$G$4&amp;":"&amp;Cause!$G$4),$B82,INDIRECT("Collision!"&amp;Severity!$C$3&amp;":"&amp;Severity!$C$3),C$50))</f>
        <v>#REF!</v>
      </c>
      <c r="D82" s="71" t="e">
        <f ca="1">SUM(COUNTIFS(INDIRECT("Collision!"&amp;Cause!$C$3&amp;":"&amp;Cause!$C$3),$B82,INDIRECT("Collision!"&amp;Severity!$C$3&amp;":"&amp;Severity!$C$3),D$50), COUNTIFS(INDIRECT("Collision!"&amp;Cause!$G$3&amp;":"&amp;Cause!$G$3),$B82,INDIRECT("Collision!"&amp;Severity!$C$3&amp;":"&amp;Severity!$C$3),D$50), COUNTIFS(INDIRECT("Collision!"&amp;Cause!$G$4&amp;":"&amp;Cause!$G$4),$B82,INDIRECT("Collision!"&amp;Severity!$C$3&amp;":"&amp;Severity!$C$3),D$50))</f>
        <v>#REF!</v>
      </c>
      <c r="E82" s="71" t="e">
        <f t="array" aca="1" ref="E82" ca="1">SUM(COUNTIFS(INDIRECT("Collision!"&amp;Cause!$C$3&amp;":"&amp;Cause!$C$3),$B82,INDIRECT("Collision!"&amp;Severity!$C$3&amp;":"&amp;Severity!$C$3),{"Moderate Injury","Minor Injury"}), COUNTIFS(INDIRECT("Collision!"&amp;Cause!$G$3&amp;":"&amp;Cause!$G$3),$B82,INDIRECT("Collision!"&amp;Severity!$C$3&amp;":"&amp;Severity!$C$3),{"Moderate Injury","Minor Injury"}), COUNTIFS(INDIRECT("Collision!"&amp;Cause!$G$4&amp;":"&amp;Cause!$G$4),$B82,INDIRECT("Collision!"&amp;Severity!$C$3&amp;":"&amp;Severity!$C$3),{"Moderate Injury","Minor Injury"}))</f>
        <v>#REF!</v>
      </c>
      <c r="F82" s="71" t="e">
        <f ca="1">SUM(COUNTIFS(INDIRECT("Collision!"&amp;Cause!$C$3&amp;":"&amp;Cause!$C$3),$B82,INDIRECT("Collision!"&amp;Severity!$C$3&amp;":"&amp;Severity!$C$3),F$50), COUNTIFS(INDIRECT("Collision!"&amp;Cause!$G$3&amp;":"&amp;Cause!$G$3),$B82,INDIRECT("Collision!"&amp;Severity!$C$3&amp;":"&amp;Severity!$C$3),F$50), COUNTIFS(INDIRECT("Collision!"&amp;Cause!$G$4&amp;":"&amp;Cause!$G$4),$B82,INDIRECT("Collision!"&amp;Severity!$C$3&amp;":"&amp;Severity!$C$3),F$50))</f>
        <v>#REF!</v>
      </c>
      <c r="G82" s="71" t="e">
        <f t="shared" ca="1" si="0"/>
        <v>#REF!</v>
      </c>
      <c r="H82" s="69" t="e">
        <f t="shared" ca="1" si="1"/>
        <v>#REF!</v>
      </c>
      <c r="I82" s="71" t="e">
        <f t="shared" ca="1" si="2"/>
        <v>#REF!</v>
      </c>
      <c r="J82" s="82" t="e">
        <f ca="1">IF(G82=0,0,PCF_Severity[[#This Row],[Crash Count]]/$I$88)</f>
        <v>#REF!</v>
      </c>
      <c r="K82" t="e">
        <f ca="1">SUM(PCF_Severity[[#This Row],[Severe Injury]:[Other Injury]])</f>
        <v>#REF!</v>
      </c>
      <c r="L82" s="69" t="e">
        <f ca="1">PCF_Severity[[#This Row],[Crash Count2]]/$K$88</f>
        <v>#REF!</v>
      </c>
      <c r="M82" s="86" t="str">
        <f>VLOOKUP(PCF_Severity[[#This Row],[Crash Cause]],PCF[[#Headers],[#Data]],4,FALSE)</f>
        <v>Followed too closely</v>
      </c>
    </row>
    <row r="83" spans="2:13" x14ac:dyDescent="0.25">
      <c r="B83" t="s">
        <v>117</v>
      </c>
      <c r="C83" s="71" t="e">
        <f ca="1">SUM(COUNTIFS(INDIRECT("Collision!"&amp;Cause!$C$3&amp;":"&amp;Cause!$C$3),$B83,INDIRECT("Collision!"&amp;Severity!$C$3&amp;":"&amp;Severity!$C$3),C$50), COUNTIFS(INDIRECT("Collision!"&amp;Cause!$G$3&amp;":"&amp;Cause!$G$3),$B83,INDIRECT("Collision!"&amp;Severity!$C$3&amp;":"&amp;Severity!$C$3),C$50), COUNTIFS(INDIRECT("Collision!"&amp;Cause!$G$4&amp;":"&amp;Cause!$G$4),$B83,INDIRECT("Collision!"&amp;Severity!$C$3&amp;":"&amp;Severity!$C$3),C$50))</f>
        <v>#REF!</v>
      </c>
      <c r="D83" s="71" t="e">
        <f ca="1">SUM(COUNTIFS(INDIRECT("Collision!"&amp;Cause!$C$3&amp;":"&amp;Cause!$C$3),$B83,INDIRECT("Collision!"&amp;Severity!$C$3&amp;":"&amp;Severity!$C$3),D$50), COUNTIFS(INDIRECT("Collision!"&amp;Cause!$G$3&amp;":"&amp;Cause!$G$3),$B83,INDIRECT("Collision!"&amp;Severity!$C$3&amp;":"&amp;Severity!$C$3),D$50), COUNTIFS(INDIRECT("Collision!"&amp;Cause!$G$4&amp;":"&amp;Cause!$G$4),$B83,INDIRECT("Collision!"&amp;Severity!$C$3&amp;":"&amp;Severity!$C$3),D$50))</f>
        <v>#REF!</v>
      </c>
      <c r="E83" s="71" t="e">
        <f t="array" aca="1" ref="E83" ca="1">SUM(COUNTIFS(INDIRECT("Collision!"&amp;Cause!$C$3&amp;":"&amp;Cause!$C$3),$B83,INDIRECT("Collision!"&amp;Severity!$C$3&amp;":"&amp;Severity!$C$3),{"Moderate Injury","Minor Injury"}), COUNTIFS(INDIRECT("Collision!"&amp;Cause!$G$3&amp;":"&amp;Cause!$G$3),$B83,INDIRECT("Collision!"&amp;Severity!$C$3&amp;":"&amp;Severity!$C$3),{"Moderate Injury","Minor Injury"}), COUNTIFS(INDIRECT("Collision!"&amp;Cause!$G$4&amp;":"&amp;Cause!$G$4),$B83,INDIRECT("Collision!"&amp;Severity!$C$3&amp;":"&amp;Severity!$C$3),{"Moderate Injury","Minor Injury"}))</f>
        <v>#REF!</v>
      </c>
      <c r="F83" s="71" t="e">
        <f ca="1">SUM(COUNTIFS(INDIRECT("Collision!"&amp;Cause!$C$3&amp;":"&amp;Cause!$C$3),$B83,INDIRECT("Collision!"&amp;Severity!$C$3&amp;":"&amp;Severity!$C$3),F$50), COUNTIFS(INDIRECT("Collision!"&amp;Cause!$G$3&amp;":"&amp;Cause!$G$3),$B83,INDIRECT("Collision!"&amp;Severity!$C$3&amp;":"&amp;Severity!$C$3),F$50), COUNTIFS(INDIRECT("Collision!"&amp;Cause!$G$4&amp;":"&amp;Cause!$G$4),$B83,INDIRECT("Collision!"&amp;Severity!$C$3&amp;":"&amp;Severity!$C$3),F$50))</f>
        <v>#REF!</v>
      </c>
      <c r="G83" s="71" t="e">
        <f t="shared" ca="1" si="0"/>
        <v>#REF!</v>
      </c>
      <c r="H83" s="69" t="e">
        <f t="shared" ca="1" si="1"/>
        <v>#REF!</v>
      </c>
      <c r="I83" s="71" t="e">
        <f t="shared" ca="1" si="2"/>
        <v>#REF!</v>
      </c>
      <c r="J83" s="69" t="e">
        <f ca="1">IF(G83=0,0,PCF_Severity[[#This Row],[Crash Count]]/$I$88)</f>
        <v>#REF!</v>
      </c>
      <c r="K83" t="e">
        <f ca="1">SUM(PCF_Severity[[#This Row],[Severe Injury]:[Other Injury]])</f>
        <v>#REF!</v>
      </c>
      <c r="L83" s="69" t="e">
        <f ca="1">PCF_Severity[[#This Row],[Crash Count2]]/$K$88</f>
        <v>#REF!</v>
      </c>
      <c r="M83" s="86" t="str">
        <f>VLOOKUP(PCF_Severity[[#This Row],[Crash Cause]],PCF[[#Headers],[#Data]],4,FALSE)</f>
        <v>Inattention</v>
      </c>
    </row>
    <row r="84" spans="2:13" ht="30" customHeight="1" x14ac:dyDescent="0.25">
      <c r="B84" t="s">
        <v>93</v>
      </c>
      <c r="C84" s="71" t="e">
        <f ca="1">SUM(COUNTIFS(INDIRECT("Collision!"&amp;Cause!$C$3&amp;":"&amp;Cause!$C$3),$B84,INDIRECT("Collision!"&amp;Severity!$C$3&amp;":"&amp;Severity!$C$3),C$50), COUNTIFS(INDIRECT("Collision!"&amp;Cause!$G$3&amp;":"&amp;Cause!$G$3),$B84,INDIRECT("Collision!"&amp;Severity!$C$3&amp;":"&amp;Severity!$C$3),C$50), COUNTIFS(INDIRECT("Collision!"&amp;Cause!$G$4&amp;":"&amp;Cause!$G$4),$B84,INDIRECT("Collision!"&amp;Severity!$C$3&amp;":"&amp;Severity!$C$3),C$50))</f>
        <v>#REF!</v>
      </c>
      <c r="D84" s="71" t="e">
        <f ca="1">SUM(COUNTIFS(INDIRECT("Collision!"&amp;Cause!$C$3&amp;":"&amp;Cause!$C$3),$B84,INDIRECT("Collision!"&amp;Severity!$C$3&amp;":"&amp;Severity!$C$3),D$50), COUNTIFS(INDIRECT("Collision!"&amp;Cause!$G$3&amp;":"&amp;Cause!$G$3),$B84,INDIRECT("Collision!"&amp;Severity!$C$3&amp;":"&amp;Severity!$C$3),D$50), COUNTIFS(INDIRECT("Collision!"&amp;Cause!$G$4&amp;":"&amp;Cause!$G$4),$B84,INDIRECT("Collision!"&amp;Severity!$C$3&amp;":"&amp;Severity!$C$3),D$50))</f>
        <v>#REF!</v>
      </c>
      <c r="E84" s="71" t="e">
        <f t="array" aca="1" ref="E84" ca="1">SUM(COUNTIFS(INDIRECT("Collision!"&amp;Cause!$C$3&amp;":"&amp;Cause!$C$3),$B84,INDIRECT("Collision!"&amp;Severity!$C$3&amp;":"&amp;Severity!$C$3),{"Moderate Injury","Minor Injury"}), COUNTIFS(INDIRECT("Collision!"&amp;Cause!$G$3&amp;":"&amp;Cause!$G$3),$B84,INDIRECT("Collision!"&amp;Severity!$C$3&amp;":"&amp;Severity!$C$3),{"Moderate Injury","Minor Injury"}), COUNTIFS(INDIRECT("Collision!"&amp;Cause!$G$4&amp;":"&amp;Cause!$G$4),$B84,INDIRECT("Collision!"&amp;Severity!$C$3&amp;":"&amp;Severity!$C$3),{"Moderate Injury","Minor Injury"}))</f>
        <v>#REF!</v>
      </c>
      <c r="F84" s="71" t="e">
        <f ca="1">SUM(COUNTIFS(INDIRECT("Collision!"&amp;Cause!$C$3&amp;":"&amp;Cause!$C$3),$B84,INDIRECT("Collision!"&amp;Severity!$C$3&amp;":"&amp;Severity!$C$3),F$50), COUNTIFS(INDIRECT("Collision!"&amp;Cause!$G$3&amp;":"&amp;Cause!$G$3),$B84,INDIRECT("Collision!"&amp;Severity!$C$3&amp;":"&amp;Severity!$C$3),F$50), COUNTIFS(INDIRECT("Collision!"&amp;Cause!$G$4&amp;":"&amp;Cause!$G$4),$B84,INDIRECT("Collision!"&amp;Severity!$C$3&amp;":"&amp;Severity!$C$3),F$50))</f>
        <v>#REF!</v>
      </c>
      <c r="G84" s="71" t="e">
        <f t="shared" ca="1" si="0"/>
        <v>#REF!</v>
      </c>
      <c r="H84" s="69" t="e">
        <f t="shared" ca="1" si="1"/>
        <v>#REF!</v>
      </c>
      <c r="I84" s="71" t="e">
        <f t="shared" ca="1" si="2"/>
        <v>#REF!</v>
      </c>
      <c r="J84" s="82" t="e">
        <f ca="1">IF(G84=0,0,PCF_Severity[[#This Row],[Crash Count]]/$I$88)</f>
        <v>#REF!</v>
      </c>
      <c r="K84" t="e">
        <f ca="1">SUM(PCF_Severity[[#This Row],[Severe Injury]:[Other Injury]])</f>
        <v>#REF!</v>
      </c>
      <c r="L84" s="69" t="e">
        <f ca="1">PCF_Severity[[#This Row],[Crash Count2]]/$K$88</f>
        <v>#REF!</v>
      </c>
      <c r="M84" s="86" t="str">
        <f>VLOOKUP(PCF_Severity[[#This Row],[Crash Cause]],PCF[[#Headers],[#Data]],4,FALSE)</f>
        <v>Speed too fast for conditions
(Not exceeding limit)</v>
      </c>
    </row>
    <row r="85" spans="2:13" x14ac:dyDescent="0.25">
      <c r="B85" t="s">
        <v>119</v>
      </c>
      <c r="C85" s="71" t="e">
        <f ca="1">SUM(COUNTIFS(INDIRECT("Collision!"&amp;Cause!$C$3&amp;":"&amp;Cause!$C$3),$B85,INDIRECT("Collision!"&amp;Severity!$C$3&amp;":"&amp;Severity!$C$3),C$50), COUNTIFS(INDIRECT("Collision!"&amp;Cause!$G$3&amp;":"&amp;Cause!$G$3),$B85,INDIRECT("Collision!"&amp;Severity!$C$3&amp;":"&amp;Severity!$C$3),C$50), COUNTIFS(INDIRECT("Collision!"&amp;Cause!$G$4&amp;":"&amp;Cause!$G$4),$B85,INDIRECT("Collision!"&amp;Severity!$C$3&amp;":"&amp;Severity!$C$3),C$50))</f>
        <v>#REF!</v>
      </c>
      <c r="D85" s="71" t="e">
        <f ca="1">SUM(COUNTIFS(INDIRECT("Collision!"&amp;Cause!$C$3&amp;":"&amp;Cause!$C$3),$B85,INDIRECT("Collision!"&amp;Severity!$C$3&amp;":"&amp;Severity!$C$3),D$50), COUNTIFS(INDIRECT("Collision!"&amp;Cause!$G$3&amp;":"&amp;Cause!$G$3),$B85,INDIRECT("Collision!"&amp;Severity!$C$3&amp;":"&amp;Severity!$C$3),D$50), COUNTIFS(INDIRECT("Collision!"&amp;Cause!$G$4&amp;":"&amp;Cause!$G$4),$B85,INDIRECT("Collision!"&amp;Severity!$C$3&amp;":"&amp;Severity!$C$3),D$50))</f>
        <v>#REF!</v>
      </c>
      <c r="E85" s="71" t="e">
        <f t="array" aca="1" ref="E85" ca="1">SUM(COUNTIFS(INDIRECT("Collision!"&amp;Cause!$C$3&amp;":"&amp;Cause!$C$3),$B85,INDIRECT("Collision!"&amp;Severity!$C$3&amp;":"&amp;Severity!$C$3),{"Moderate Injury","Minor Injury"}), COUNTIFS(INDIRECT("Collision!"&amp;Cause!$G$3&amp;":"&amp;Cause!$G$3),$B85,INDIRECT("Collision!"&amp;Severity!$C$3&amp;":"&amp;Severity!$C$3),{"Moderate Injury","Minor Injury"}), COUNTIFS(INDIRECT("Collision!"&amp;Cause!$G$4&amp;":"&amp;Cause!$G$4),$B85,INDIRECT("Collision!"&amp;Severity!$C$3&amp;":"&amp;Severity!$C$3),{"Moderate Injury","Minor Injury"}))</f>
        <v>#REF!</v>
      </c>
      <c r="F85" s="71" t="e">
        <f ca="1">SUM(COUNTIFS(INDIRECT("Collision!"&amp;Cause!$C$3&amp;":"&amp;Cause!$C$3),$B85,INDIRECT("Collision!"&amp;Severity!$C$3&amp;":"&amp;Severity!$C$3),F$50), COUNTIFS(INDIRECT("Collision!"&amp;Cause!$G$3&amp;":"&amp;Cause!$G$3),$B85,INDIRECT("Collision!"&amp;Severity!$C$3&amp;":"&amp;Severity!$C$3),F$50), COUNTIFS(INDIRECT("Collision!"&amp;Cause!$G$4&amp;":"&amp;Cause!$G$4),$B85,INDIRECT("Collision!"&amp;Severity!$C$3&amp;":"&amp;Severity!$C$3),F$50))</f>
        <v>#REF!</v>
      </c>
      <c r="G85" s="71" t="e">
        <f t="shared" ca="1" si="0"/>
        <v>#REF!</v>
      </c>
      <c r="H85" s="69" t="e">
        <f t="shared" ca="1" si="1"/>
        <v>#REF!</v>
      </c>
      <c r="I85" s="71" t="e">
        <f t="shared" ca="1" si="2"/>
        <v>#REF!</v>
      </c>
      <c r="J85" s="69" t="e">
        <f ca="1">IF(G85=0,0,PCF_Severity[[#This Row],[Crash Count]]/$I$88)</f>
        <v>#REF!</v>
      </c>
      <c r="K85" t="e">
        <f ca="1">SUM(PCF_Severity[[#This Row],[Severe Injury]:[Other Injury]])</f>
        <v>#REF!</v>
      </c>
      <c r="L85" s="69" t="e">
        <f ca="1">PCF_Severity[[#This Row],[Crash Count2]]/$K$88</f>
        <v>#REF!</v>
      </c>
      <c r="M85" s="86" t="str">
        <f>VLOOKUP(PCF_Severity[[#This Row],[Crash Cause]],PCF[[#Headers],[#Data]],4,FALSE)</f>
        <v>Failed to avoid vehicle ahead</v>
      </c>
    </row>
    <row r="86" spans="2:13" x14ac:dyDescent="0.25">
      <c r="B86" t="s">
        <v>94</v>
      </c>
      <c r="C86" s="71" t="e">
        <f ca="1">SUM(COUNTIFS(INDIRECT("Collision!"&amp;Cause!$C$3&amp;":"&amp;Cause!$C$3),$B86,INDIRECT("Collision!"&amp;Severity!$C$3&amp;":"&amp;Severity!$C$3),C$50), COUNTIFS(INDIRECT("Collision!"&amp;Cause!$G$3&amp;":"&amp;Cause!$G$3),$B86,INDIRECT("Collision!"&amp;Severity!$C$3&amp;":"&amp;Severity!$C$3),C$50), COUNTIFS(INDIRECT("Collision!"&amp;Cause!$G$4&amp;":"&amp;Cause!$G$4),$B86,INDIRECT("Collision!"&amp;Severity!$C$3&amp;":"&amp;Severity!$C$3),C$50))</f>
        <v>#REF!</v>
      </c>
      <c r="D86" s="71" t="e">
        <f ca="1">SUM(COUNTIFS(INDIRECT("Collision!"&amp;Cause!$C$3&amp;":"&amp;Cause!$C$3),$B86,INDIRECT("Collision!"&amp;Severity!$C$3&amp;":"&amp;Severity!$C$3),D$50), COUNTIFS(INDIRECT("Collision!"&amp;Cause!$G$3&amp;":"&amp;Cause!$G$3),$B86,INDIRECT("Collision!"&amp;Severity!$C$3&amp;":"&amp;Severity!$C$3),D$50), COUNTIFS(INDIRECT("Collision!"&amp;Cause!$G$4&amp;":"&amp;Cause!$G$4),$B86,INDIRECT("Collision!"&amp;Severity!$C$3&amp;":"&amp;Severity!$C$3),D$50))</f>
        <v>#REF!</v>
      </c>
      <c r="E86" s="71" t="e">
        <f t="array" aca="1" ref="E86" ca="1">SUM(COUNTIFS(INDIRECT("Collision!"&amp;Cause!$C$3&amp;":"&amp;Cause!$C$3),$B86,INDIRECT("Collision!"&amp;Severity!$C$3&amp;":"&amp;Severity!$C$3),{"Moderate Injury","Minor Injury"}), COUNTIFS(INDIRECT("Collision!"&amp;Cause!$G$3&amp;":"&amp;Cause!$G$3),$B86,INDIRECT("Collision!"&amp;Severity!$C$3&amp;":"&amp;Severity!$C$3),{"Moderate Injury","Minor Injury"}), COUNTIFS(INDIRECT("Collision!"&amp;Cause!$G$4&amp;":"&amp;Cause!$G$4),$B86,INDIRECT("Collision!"&amp;Severity!$C$3&amp;":"&amp;Severity!$C$3),{"Moderate Injury","Minor Injury"}))</f>
        <v>#REF!</v>
      </c>
      <c r="F86" s="71" t="e">
        <f ca="1">SUM(COUNTIFS(INDIRECT("Collision!"&amp;Cause!$C$3&amp;":"&amp;Cause!$C$3),$B86,INDIRECT("Collision!"&amp;Severity!$C$3&amp;":"&amp;Severity!$C$3),F$50), COUNTIFS(INDIRECT("Collision!"&amp;Cause!$G$3&amp;":"&amp;Cause!$G$3),$B86,INDIRECT("Collision!"&amp;Severity!$C$3&amp;":"&amp;Severity!$C$3),F$50), COUNTIFS(INDIRECT("Collision!"&amp;Cause!$G$4&amp;":"&amp;Cause!$G$4),$B86,INDIRECT("Collision!"&amp;Severity!$C$3&amp;":"&amp;Severity!$C$3),F$50))</f>
        <v>#REF!</v>
      </c>
      <c r="G86" s="71" t="e">
        <f t="shared" ca="1" si="0"/>
        <v>#REF!</v>
      </c>
      <c r="H86" s="69" t="e">
        <f t="shared" ca="1" si="1"/>
        <v>#REF!</v>
      </c>
      <c r="I86" s="71" t="e">
        <f t="shared" ca="1" si="2"/>
        <v>#REF!</v>
      </c>
      <c r="J86" s="82" t="e">
        <f ca="1">IF(G86=0,0,PCF_Severity[[#This Row],[Crash Count]]/$I$88)</f>
        <v>#REF!</v>
      </c>
      <c r="K86" t="e">
        <f ca="1">SUM(PCF_Severity[[#This Row],[Severe Injury]:[Other Injury]])</f>
        <v>#REF!</v>
      </c>
      <c r="L86" s="69" t="e">
        <f ca="1">PCF_Severity[[#This Row],[Crash Count2]]/$K$88</f>
        <v>#REF!</v>
      </c>
      <c r="M86" s="86" t="str">
        <f>VLOOKUP(PCF_Severity[[#This Row],[Crash Cause]],PCF[[#Headers],[#Data]],4,FALSE)</f>
        <v>Did not yield right-of-way</v>
      </c>
    </row>
    <row r="87" spans="2:13" x14ac:dyDescent="0.25">
      <c r="B87" t="s">
        <v>53</v>
      </c>
      <c r="C87" t="e">
        <f ca="1">SUBTOTAL(109,PCF_Severity[Fatal])</f>
        <v>#REF!</v>
      </c>
      <c r="D87" t="e">
        <f ca="1">SUBTOTAL(109,PCF_Severity[Severe Injury])</f>
        <v>#REF!</v>
      </c>
      <c r="E87" t="e">
        <f ca="1">SUBTOTAL(109,PCF_Severity[Other Injury])</f>
        <v>#REF!</v>
      </c>
      <c r="F87" t="e">
        <f ca="1">SUBTOTAL(109,PCF_Severity[PDO])</f>
        <v>#REF!</v>
      </c>
      <c r="G87" t="e">
        <f ca="1">SUBTOTAL(109,PCF_Severity[Total])</f>
        <v>#REF!</v>
      </c>
      <c r="H87" s="82" t="e">
        <f ca="1">SUBTOTAL(109,PCF_Severity[Crash Share])</f>
        <v>#REF!</v>
      </c>
      <c r="I87" t="e">
        <f ca="1">SUBTOTAL(109,PCF_Severity[Crash Count])</f>
        <v>#REF!</v>
      </c>
      <c r="J87" s="82" t="e">
        <f ca="1">SUBTOTAL(109,PCF_Severity[Crash Share2])</f>
        <v>#REF!</v>
      </c>
      <c r="K87" t="e">
        <f ca="1">SUBTOTAL(109,PCF_Severity[Crash Count2])</f>
        <v>#REF!</v>
      </c>
      <c r="L87" s="82" t="e">
        <f ca="1">SUBTOTAL(109,PCF_Severity[Crash Share3])</f>
        <v>#REF!</v>
      </c>
    </row>
    <row r="88" spans="2:13" x14ac:dyDescent="0.25">
      <c r="B88" s="80" t="s">
        <v>128</v>
      </c>
      <c r="C88" s="80" t="e">
        <f ca="1">Type_Severity[[#Totals],[Fatal]]</f>
        <v>#REF!</v>
      </c>
      <c r="D88" s="80" t="e">
        <f ca="1">Type_Severity[[#Totals],[Severe Injury]]</f>
        <v>#REF!</v>
      </c>
      <c r="E88" s="80" t="e">
        <f ca="1">Type_Severity[[#Totals],[Other Injury]]</f>
        <v>#REF!</v>
      </c>
      <c r="F88" s="80" t="e">
        <f ca="1">Type_Severity[[#Totals],[PDO]]</f>
        <v>#REF!</v>
      </c>
      <c r="G88" s="80" t="e">
        <f ca="1">Type_Severity[[#Totals],[Total]]</f>
        <v>#REF!</v>
      </c>
      <c r="H88" s="81"/>
      <c r="I88" s="80" t="e">
        <f ca="1">SUM(C88:D88)</f>
        <v>#REF!</v>
      </c>
      <c r="J88" s="81"/>
      <c r="K88" s="80" t="e">
        <f ca="1">SUM(D88:F88)</f>
        <v>#REF!</v>
      </c>
      <c r="L88" s="81"/>
      <c r="M88" s="80"/>
    </row>
    <row r="90" spans="2:13" x14ac:dyDescent="0.25">
      <c r="B90" s="106"/>
      <c r="C90" s="105"/>
      <c r="D90" s="105"/>
      <c r="E90" s="105"/>
    </row>
    <row r="149" spans="2:6" x14ac:dyDescent="0.25">
      <c r="B149" s="77" t="s">
        <v>145</v>
      </c>
    </row>
    <row r="150" spans="2:6" x14ac:dyDescent="0.25">
      <c r="B150" s="11" t="s">
        <v>146</v>
      </c>
      <c r="C150" s="108" t="s">
        <v>109</v>
      </c>
      <c r="D150" s="105"/>
      <c r="E150" s="105"/>
    </row>
    <row r="152" spans="2:6" x14ac:dyDescent="0.25">
      <c r="B152" s="39" t="s">
        <v>138</v>
      </c>
      <c r="C152" s="104" t="str">
        <f>C150</f>
        <v>Non-Motorist illegally in roadway</v>
      </c>
      <c r="D152" s="105"/>
      <c r="E152" s="104" t="s">
        <v>44</v>
      </c>
      <c r="F152" s="105"/>
    </row>
    <row r="153" spans="2:6" x14ac:dyDescent="0.25">
      <c r="B153" s="5" t="s">
        <v>45</v>
      </c>
      <c r="C153" s="5" t="s">
        <v>46</v>
      </c>
      <c r="D153" s="5" t="s">
        <v>47</v>
      </c>
      <c r="E153" s="8" t="s">
        <v>59</v>
      </c>
      <c r="F153" s="9" t="s">
        <v>60</v>
      </c>
    </row>
    <row r="154" spans="2:6" x14ac:dyDescent="0.25">
      <c r="B154" t="s">
        <v>48</v>
      </c>
      <c r="C154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4" s="69" t="e">
        <f ca="1">C154/Dynamic_Type20[[#Totals],[Crash Count]]</f>
        <v>#REF!</v>
      </c>
      <c r="E154" t="e">
        <f ca="1">VLOOKUP(Dynamic_Type20[[#This Row],[Crash Severity]],Severity[[#Headers],[#Data]],2,FALSE)</f>
        <v>#REF!</v>
      </c>
      <c r="F154" s="69" t="e">
        <f ca="1">E154/Dynamic_Type20[[#Totals],[Crash Count2]]</f>
        <v>#REF!</v>
      </c>
    </row>
    <row r="155" spans="2:6" x14ac:dyDescent="0.25">
      <c r="B155" t="s">
        <v>49</v>
      </c>
      <c r="C155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5" s="69" t="e">
        <f ca="1">C155/Dynamic_Type20[[#Totals],[Crash Count]]</f>
        <v>#REF!</v>
      </c>
      <c r="E155" t="e">
        <f ca="1">VLOOKUP(Dynamic_Type20[[#This Row],[Crash Severity]],Severity[[#Headers],[#Data]],2,FALSE)</f>
        <v>#REF!</v>
      </c>
      <c r="F155" s="69" t="e">
        <f ca="1">E155/Dynamic_Type20[[#Totals],[Crash Count2]]</f>
        <v>#REF!</v>
      </c>
    </row>
    <row r="156" spans="2:6" x14ac:dyDescent="0.25">
      <c r="B156" t="s">
        <v>50</v>
      </c>
      <c r="C156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6" s="69" t="e">
        <f ca="1">C156/Dynamic_Type20[[#Totals],[Crash Count]]</f>
        <v>#REF!</v>
      </c>
      <c r="E156" t="e">
        <f ca="1">VLOOKUP(Dynamic_Type20[[#This Row],[Crash Severity]],Severity[[#Headers],[#Data]],2,FALSE)</f>
        <v>#REF!</v>
      </c>
      <c r="F156" s="69" t="e">
        <f ca="1">E156/Dynamic_Type20[[#Totals],[Crash Count2]]</f>
        <v>#REF!</v>
      </c>
    </row>
    <row r="157" spans="2:6" x14ac:dyDescent="0.25">
      <c r="B157" t="s">
        <v>51</v>
      </c>
      <c r="C157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7" s="69" t="e">
        <f ca="1">C157/Dynamic_Type20[[#Totals],[Crash Count]]</f>
        <v>#REF!</v>
      </c>
      <c r="E157" t="e">
        <f ca="1">VLOOKUP(Dynamic_Type20[[#This Row],[Crash Severity]],Severity[[#Headers],[#Data]],2,FALSE)</f>
        <v>#REF!</v>
      </c>
      <c r="F157" s="69" t="e">
        <f ca="1">E157/Dynamic_Type20[[#Totals],[Crash Count2]]</f>
        <v>#REF!</v>
      </c>
    </row>
    <row r="158" spans="2:6" x14ac:dyDescent="0.25">
      <c r="B158" t="s">
        <v>52</v>
      </c>
      <c r="C158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8" s="69" t="e">
        <f ca="1">C158/Dynamic_Type20[[#Totals],[Crash Count]]</f>
        <v>#REF!</v>
      </c>
      <c r="E158" t="e">
        <f ca="1">VLOOKUP(Dynamic_Type20[[#This Row],[Crash Severity]],Severity[[#Headers],[#Data]],2,FALSE)</f>
        <v>#REF!</v>
      </c>
      <c r="F158" s="69" t="e">
        <f ca="1">E158/Dynamic_Type20[[#Totals],[Crash Count2]]</f>
        <v>#REF!</v>
      </c>
    </row>
    <row r="159" spans="2:6" x14ac:dyDescent="0.25">
      <c r="B159" t="s">
        <v>53</v>
      </c>
      <c r="C159" t="e">
        <f ca="1">SUBTOTAL(109,Dynamic_Type20[Crash Count])</f>
        <v>#REF!</v>
      </c>
      <c r="D159" s="82" t="e">
        <f ca="1">SUBTOTAL(109,Dynamic_Type20[Crash Share])</f>
        <v>#REF!</v>
      </c>
      <c r="E159" t="e">
        <f ca="1">SUBTOTAL(109,Dynamic_Type20[Crash Count2])</f>
        <v>#REF!</v>
      </c>
      <c r="F159" s="82" t="e">
        <f ca="1">SUBTOTAL(109,Dynamic_Type20[Crash Share2])</f>
        <v>#REF!</v>
      </c>
    </row>
  </sheetData>
  <mergeCells count="8">
    <mergeCell ref="I49:J49"/>
    <mergeCell ref="K49:L49"/>
    <mergeCell ref="B90:E90"/>
    <mergeCell ref="B6:D6"/>
    <mergeCell ref="C152:D152"/>
    <mergeCell ref="E152:F152"/>
    <mergeCell ref="C150:E150"/>
    <mergeCell ref="B49:E49"/>
  </mergeCells>
  <dataValidations disablePrompts="1" count="1">
    <dataValidation type="list" showInputMessage="1" showErrorMessage="1" sqref="C150" xr:uid="{00000000-0002-0000-0300-000000000000}">
      <formula1>$B$8:$B$43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Q354"/>
  <sheetViews>
    <sheetView topLeftCell="A199" zoomScale="85" zoomScaleNormal="85" workbookViewId="0">
      <selection activeCell="M149" sqref="M149"/>
    </sheetView>
  </sheetViews>
  <sheetFormatPr defaultRowHeight="15" x14ac:dyDescent="0.25"/>
  <cols>
    <col min="1" max="1" width="3.140625" customWidth="1"/>
    <col min="2" max="2" width="30.28515625" customWidth="1"/>
    <col min="3" max="3" width="13.5703125" customWidth="1"/>
    <col min="4" max="4" width="16.5703125" bestFit="1" customWidth="1"/>
    <col min="5" max="5" width="103.5703125" bestFit="1" customWidth="1"/>
    <col min="6" max="6" width="16.7109375" customWidth="1"/>
    <col min="7" max="7" width="9.7109375" bestFit="1" customWidth="1"/>
    <col min="8" max="8" width="15.28515625" bestFit="1" customWidth="1"/>
    <col min="9" max="9" width="15.7109375" bestFit="1" customWidth="1"/>
    <col min="10" max="10" width="16.28515625" bestFit="1" customWidth="1"/>
    <col min="11" max="11" width="16.7109375" bestFit="1" customWidth="1"/>
    <col min="12" max="12" width="16.28515625" bestFit="1" customWidth="1"/>
    <col min="13" max="13" width="34.140625" customWidth="1"/>
    <col min="14" max="22" width="9.140625" customWidth="1"/>
  </cols>
  <sheetData>
    <row r="2" spans="2:8" x14ac:dyDescent="0.25">
      <c r="B2" s="80" t="s">
        <v>41</v>
      </c>
      <c r="G2" s="78">
        <f>C3</f>
        <v>0</v>
      </c>
    </row>
    <row r="3" spans="2:8" x14ac:dyDescent="0.25">
      <c r="B3" s="95" t="s">
        <v>147</v>
      </c>
      <c r="C3" s="76">
        <f>COI!E5</f>
        <v>0</v>
      </c>
      <c r="G3" s="79" t="str">
        <f>IF(RIGHT($G2,1)="Z", CHAR(CODE(LEFT(G2,1))+1),LEFT(G2,1))&amp;CHAR(65+MOD(CODE(RIGHT(G2,1))+1-65,26))</f>
        <v>0K</v>
      </c>
      <c r="H3" s="78"/>
    </row>
    <row r="4" spans="2:8" x14ac:dyDescent="0.25">
      <c r="B4" s="95"/>
      <c r="C4" s="37"/>
      <c r="G4" s="79" t="str">
        <f>IF(RIGHT($G3,1)="Z", CHAR(CODE(LEFT(G3,1))+1),LEFT(G3,1))&amp;CHAR(65+MOD(CODE(RIGHT(G3,1))+1-65,26))</f>
        <v>0L</v>
      </c>
      <c r="H4" s="79"/>
    </row>
    <row r="5" spans="2:8" x14ac:dyDescent="0.25">
      <c r="B5" s="77" t="s">
        <v>148</v>
      </c>
      <c r="C5" s="37"/>
    </row>
    <row r="6" spans="2:8" x14ac:dyDescent="0.25">
      <c r="B6" s="95"/>
      <c r="C6" s="37"/>
    </row>
    <row r="7" spans="2:8" x14ac:dyDescent="0.25">
      <c r="B7" s="107" t="s">
        <v>44</v>
      </c>
      <c r="C7" s="105"/>
      <c r="D7" s="105"/>
    </row>
    <row r="8" spans="2:8" x14ac:dyDescent="0.25">
      <c r="B8" s="5" t="s">
        <v>149</v>
      </c>
      <c r="C8" s="5" t="s">
        <v>46</v>
      </c>
      <c r="D8" s="5" t="s">
        <v>47</v>
      </c>
      <c r="E8" s="5" t="s">
        <v>71</v>
      </c>
    </row>
    <row r="9" spans="2:8" x14ac:dyDescent="0.25">
      <c r="B9" t="s">
        <v>150</v>
      </c>
      <c r="C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" s="69" t="e">
        <f ca="1">PCF_3[[#This Row],[Crash Count]]/$C$143</f>
        <v>#REF!</v>
      </c>
      <c r="E9" t="s">
        <v>150</v>
      </c>
    </row>
    <row r="10" spans="2:8" x14ac:dyDescent="0.25">
      <c r="B10" t="s">
        <v>151</v>
      </c>
      <c r="C1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" s="69" t="e">
        <f ca="1">PCF_3[[#This Row],[Crash Count]]/$C$143</f>
        <v>#REF!</v>
      </c>
      <c r="E10" t="s">
        <v>151</v>
      </c>
    </row>
    <row r="11" spans="2:8" x14ac:dyDescent="0.25">
      <c r="B11" t="s">
        <v>152</v>
      </c>
      <c r="C1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" s="69" t="e">
        <f ca="1">PCF_3[[#This Row],[Crash Count]]/$C$143</f>
        <v>#REF!</v>
      </c>
      <c r="E11" t="s">
        <v>152</v>
      </c>
    </row>
    <row r="12" spans="2:8" x14ac:dyDescent="0.25">
      <c r="B12" t="s">
        <v>153</v>
      </c>
      <c r="C1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" s="69" t="e">
        <f ca="1">PCF_3[[#This Row],[Crash Count]]/$C$143</f>
        <v>#REF!</v>
      </c>
      <c r="E12" t="s">
        <v>153</v>
      </c>
    </row>
    <row r="13" spans="2:8" x14ac:dyDescent="0.25">
      <c r="B13" t="s">
        <v>154</v>
      </c>
      <c r="C1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" s="69" t="e">
        <f ca="1">PCF_3[[#This Row],[Crash Count]]/$C$143</f>
        <v>#REF!</v>
      </c>
      <c r="E13" t="s">
        <v>154</v>
      </c>
    </row>
    <row r="14" spans="2:8" x14ac:dyDescent="0.25">
      <c r="B14" t="s">
        <v>155</v>
      </c>
      <c r="C1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4" s="69" t="e">
        <f ca="1">PCF_3[[#This Row],[Crash Count]]/$C$143</f>
        <v>#REF!</v>
      </c>
      <c r="E14" t="s">
        <v>155</v>
      </c>
    </row>
    <row r="15" spans="2:8" x14ac:dyDescent="0.25">
      <c r="B15" t="s">
        <v>156</v>
      </c>
      <c r="C1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5" s="69" t="e">
        <f ca="1">PCF_3[[#This Row],[Crash Count]]/$C$143</f>
        <v>#REF!</v>
      </c>
      <c r="E15" t="s">
        <v>156</v>
      </c>
    </row>
    <row r="16" spans="2:8" x14ac:dyDescent="0.25">
      <c r="B16" t="s">
        <v>157</v>
      </c>
      <c r="C1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6" s="69" t="e">
        <f ca="1">PCF_3[[#This Row],[Crash Count]]/$C$143</f>
        <v>#REF!</v>
      </c>
      <c r="E16" t="s">
        <v>157</v>
      </c>
    </row>
    <row r="17" spans="2:5" x14ac:dyDescent="0.25">
      <c r="B17" t="s">
        <v>158</v>
      </c>
      <c r="C1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7" s="69" t="e">
        <f ca="1">PCF_3[[#This Row],[Crash Count]]/$C$143</f>
        <v>#REF!</v>
      </c>
      <c r="E17" t="s">
        <v>158</v>
      </c>
    </row>
    <row r="18" spans="2:5" x14ac:dyDescent="0.25">
      <c r="B18" t="s">
        <v>159</v>
      </c>
      <c r="C1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8" s="69" t="e">
        <f ca="1">PCF_3[[#This Row],[Crash Count]]/$C$143</f>
        <v>#REF!</v>
      </c>
      <c r="E18" t="s">
        <v>159</v>
      </c>
    </row>
    <row r="19" spans="2:5" x14ac:dyDescent="0.25">
      <c r="B19" t="s">
        <v>160</v>
      </c>
      <c r="C1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9" s="69" t="e">
        <f ca="1">PCF_3[[#This Row],[Crash Count]]/$C$143</f>
        <v>#REF!</v>
      </c>
      <c r="E19" t="s">
        <v>160</v>
      </c>
    </row>
    <row r="20" spans="2:5" x14ac:dyDescent="0.25">
      <c r="B20" t="s">
        <v>161</v>
      </c>
      <c r="C2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0" s="69" t="e">
        <f ca="1">PCF_3[[#This Row],[Crash Count]]/$C$143</f>
        <v>#REF!</v>
      </c>
      <c r="E20" t="s">
        <v>161</v>
      </c>
    </row>
    <row r="21" spans="2:5" x14ac:dyDescent="0.25">
      <c r="B21" t="s">
        <v>162</v>
      </c>
      <c r="C2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1" s="69" t="e">
        <f ca="1">PCF_3[[#This Row],[Crash Count]]/$C$143</f>
        <v>#REF!</v>
      </c>
      <c r="E21" t="s">
        <v>162</v>
      </c>
    </row>
    <row r="22" spans="2:5" x14ac:dyDescent="0.25">
      <c r="B22" t="s">
        <v>163</v>
      </c>
      <c r="C2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2" s="69" t="e">
        <f ca="1">PCF_3[[#This Row],[Crash Count]]/$C$143</f>
        <v>#REF!</v>
      </c>
      <c r="E22" t="s">
        <v>163</v>
      </c>
    </row>
    <row r="23" spans="2:5" x14ac:dyDescent="0.25">
      <c r="B23" t="s">
        <v>164</v>
      </c>
      <c r="C2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3" s="69" t="e">
        <f ca="1">PCF_3[[#This Row],[Crash Count]]/$C$143</f>
        <v>#REF!</v>
      </c>
      <c r="E23" t="s">
        <v>164</v>
      </c>
    </row>
    <row r="24" spans="2:5" x14ac:dyDescent="0.25">
      <c r="B24" t="s">
        <v>165</v>
      </c>
      <c r="C2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4" s="69" t="e">
        <f ca="1">PCF_3[[#This Row],[Crash Count]]/$C$143</f>
        <v>#REF!</v>
      </c>
      <c r="E24" t="s">
        <v>165</v>
      </c>
    </row>
    <row r="25" spans="2:5" x14ac:dyDescent="0.25">
      <c r="B25" t="s">
        <v>166</v>
      </c>
      <c r="C2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5" s="69" t="e">
        <f ca="1">PCF_3[[#This Row],[Crash Count]]/$C$143</f>
        <v>#REF!</v>
      </c>
      <c r="E25" t="s">
        <v>166</v>
      </c>
    </row>
    <row r="26" spans="2:5" x14ac:dyDescent="0.25">
      <c r="B26" t="s">
        <v>167</v>
      </c>
      <c r="C2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6" s="69" t="e">
        <f ca="1">PCF_3[[#This Row],[Crash Count]]/$C$143</f>
        <v>#REF!</v>
      </c>
      <c r="E26" t="s">
        <v>167</v>
      </c>
    </row>
    <row r="27" spans="2:5" x14ac:dyDescent="0.25">
      <c r="B27" t="s">
        <v>168</v>
      </c>
      <c r="C2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7" s="69" t="e">
        <f ca="1">PCF_3[[#This Row],[Crash Count]]/$C$143</f>
        <v>#REF!</v>
      </c>
      <c r="E27" t="s">
        <v>168</v>
      </c>
    </row>
    <row r="28" spans="2:5" x14ac:dyDescent="0.25">
      <c r="B28" t="s">
        <v>169</v>
      </c>
      <c r="C2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8" s="69" t="e">
        <f ca="1">PCF_3[[#This Row],[Crash Count]]/$C$143</f>
        <v>#REF!</v>
      </c>
      <c r="E28" t="s">
        <v>169</v>
      </c>
    </row>
    <row r="29" spans="2:5" x14ac:dyDescent="0.25">
      <c r="B29" t="s">
        <v>170</v>
      </c>
      <c r="C2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9" s="69" t="e">
        <f ca="1">PCF_3[[#This Row],[Crash Count]]/$C$143</f>
        <v>#REF!</v>
      </c>
      <c r="E29" t="s">
        <v>170</v>
      </c>
    </row>
    <row r="30" spans="2:5" x14ac:dyDescent="0.25">
      <c r="B30" t="s">
        <v>171</v>
      </c>
      <c r="C3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0" s="69" t="e">
        <f ca="1">PCF_3[[#This Row],[Crash Count]]/$C$143</f>
        <v>#REF!</v>
      </c>
      <c r="E30" t="s">
        <v>171</v>
      </c>
    </row>
    <row r="31" spans="2:5" x14ac:dyDescent="0.25">
      <c r="B31" t="s">
        <v>172</v>
      </c>
      <c r="C3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1" s="69" t="e">
        <f ca="1">PCF_3[[#This Row],[Crash Count]]/$C$143</f>
        <v>#REF!</v>
      </c>
      <c r="E31" t="s">
        <v>172</v>
      </c>
    </row>
    <row r="32" spans="2:5" x14ac:dyDescent="0.25">
      <c r="B32" t="s">
        <v>173</v>
      </c>
      <c r="C3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2" s="69" t="e">
        <f ca="1">PCF_3[[#This Row],[Crash Count]]/$C$143</f>
        <v>#REF!</v>
      </c>
      <c r="E32" t="s">
        <v>173</v>
      </c>
    </row>
    <row r="33" spans="2:5" x14ac:dyDescent="0.25">
      <c r="B33" t="s">
        <v>174</v>
      </c>
      <c r="C3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3" s="69" t="e">
        <f ca="1">PCF_3[[#This Row],[Crash Count]]/$C$143</f>
        <v>#REF!</v>
      </c>
      <c r="E33" t="s">
        <v>174</v>
      </c>
    </row>
    <row r="34" spans="2:5" x14ac:dyDescent="0.25">
      <c r="B34" t="s">
        <v>175</v>
      </c>
      <c r="C3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4" s="69" t="e">
        <f ca="1">PCF_3[[#This Row],[Crash Count]]/$C$143</f>
        <v>#REF!</v>
      </c>
      <c r="E34" t="s">
        <v>175</v>
      </c>
    </row>
    <row r="35" spans="2:5" x14ac:dyDescent="0.25">
      <c r="B35" t="s">
        <v>176</v>
      </c>
      <c r="C3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5" s="69" t="e">
        <f ca="1">PCF_3[[#This Row],[Crash Count]]/$C$143</f>
        <v>#REF!</v>
      </c>
      <c r="E35" t="s">
        <v>176</v>
      </c>
    </row>
    <row r="36" spans="2:5" x14ac:dyDescent="0.25">
      <c r="B36" t="s">
        <v>177</v>
      </c>
      <c r="C3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6" s="69" t="e">
        <f ca="1">PCF_3[[#This Row],[Crash Count]]/$C$143</f>
        <v>#REF!</v>
      </c>
      <c r="E36" t="s">
        <v>177</v>
      </c>
    </row>
    <row r="37" spans="2:5" x14ac:dyDescent="0.25">
      <c r="B37" t="s">
        <v>115</v>
      </c>
      <c r="C3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7" s="69" t="e">
        <f ca="1">PCF_3[[#This Row],[Crash Count]]/$C$143</f>
        <v>#REF!</v>
      </c>
      <c r="E37" t="s">
        <v>115</v>
      </c>
    </row>
    <row r="38" spans="2:5" x14ac:dyDescent="0.25">
      <c r="B38" t="s">
        <v>178</v>
      </c>
      <c r="C3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8" s="69" t="e">
        <f ca="1">PCF_3[[#This Row],[Crash Count]]/$C$143</f>
        <v>#REF!</v>
      </c>
      <c r="E38" t="s">
        <v>178</v>
      </c>
    </row>
    <row r="39" spans="2:5" x14ac:dyDescent="0.25">
      <c r="B39" t="s">
        <v>179</v>
      </c>
      <c r="C3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9" s="69" t="e">
        <f ca="1">PCF_3[[#This Row],[Crash Count]]/$C$143</f>
        <v>#REF!</v>
      </c>
      <c r="E39" t="s">
        <v>179</v>
      </c>
    </row>
    <row r="40" spans="2:5" x14ac:dyDescent="0.25">
      <c r="B40" t="s">
        <v>180</v>
      </c>
      <c r="C4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0" s="69" t="e">
        <f ca="1">PCF_3[[#This Row],[Crash Count]]/$C$143</f>
        <v>#REF!</v>
      </c>
      <c r="E40" t="s">
        <v>180</v>
      </c>
    </row>
    <row r="41" spans="2:5" x14ac:dyDescent="0.25">
      <c r="B41" t="s">
        <v>181</v>
      </c>
      <c r="C4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1" s="69" t="e">
        <f ca="1">PCF_3[[#This Row],[Crash Count]]/$C$143</f>
        <v>#REF!</v>
      </c>
      <c r="E41" t="s">
        <v>181</v>
      </c>
    </row>
    <row r="42" spans="2:5" x14ac:dyDescent="0.25">
      <c r="B42" t="s">
        <v>182</v>
      </c>
      <c r="C4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2" s="69" t="e">
        <f ca="1">PCF_3[[#This Row],[Crash Count]]/$C$143</f>
        <v>#REF!</v>
      </c>
      <c r="E42" t="s">
        <v>182</v>
      </c>
    </row>
    <row r="43" spans="2:5" x14ac:dyDescent="0.25">
      <c r="B43" t="s">
        <v>183</v>
      </c>
      <c r="C4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3" s="69" t="e">
        <f ca="1">PCF_3[[#This Row],[Crash Count]]/$C$143</f>
        <v>#REF!</v>
      </c>
      <c r="E43" t="s">
        <v>183</v>
      </c>
    </row>
    <row r="44" spans="2:5" x14ac:dyDescent="0.25">
      <c r="B44" t="s">
        <v>184</v>
      </c>
      <c r="C4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4" s="69" t="e">
        <f ca="1">PCF_3[[#This Row],[Crash Count]]/$C$143</f>
        <v>#REF!</v>
      </c>
      <c r="E44" t="s">
        <v>184</v>
      </c>
    </row>
    <row r="45" spans="2:5" x14ac:dyDescent="0.25">
      <c r="B45" t="s">
        <v>185</v>
      </c>
      <c r="C4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5" s="69" t="e">
        <f ca="1">PCF_3[[#This Row],[Crash Count]]/$C$143</f>
        <v>#REF!</v>
      </c>
      <c r="E45" t="s">
        <v>185</v>
      </c>
    </row>
    <row r="46" spans="2:5" x14ac:dyDescent="0.25">
      <c r="B46" t="s">
        <v>186</v>
      </c>
      <c r="C4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6" s="69" t="e">
        <f ca="1">PCF_3[[#This Row],[Crash Count]]/$C$143</f>
        <v>#REF!</v>
      </c>
      <c r="E46" t="s">
        <v>186</v>
      </c>
    </row>
    <row r="47" spans="2:5" x14ac:dyDescent="0.25">
      <c r="B47" t="s">
        <v>187</v>
      </c>
      <c r="C4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7" s="69" t="e">
        <f ca="1">PCF_3[[#This Row],[Crash Count]]/$C$143</f>
        <v>#REF!</v>
      </c>
      <c r="E47" t="s">
        <v>187</v>
      </c>
    </row>
    <row r="48" spans="2:5" x14ac:dyDescent="0.25">
      <c r="B48" t="s">
        <v>188</v>
      </c>
      <c r="C4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8" s="69" t="e">
        <f ca="1">PCF_3[[#This Row],[Crash Count]]/$C$143</f>
        <v>#REF!</v>
      </c>
      <c r="E48" t="s">
        <v>188</v>
      </c>
    </row>
    <row r="49" spans="2:5" x14ac:dyDescent="0.25">
      <c r="B49" t="s">
        <v>189</v>
      </c>
      <c r="C4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9" s="69" t="e">
        <f ca="1">PCF_3[[#This Row],[Crash Count]]/$C$143</f>
        <v>#REF!</v>
      </c>
      <c r="E49" t="s">
        <v>189</v>
      </c>
    </row>
    <row r="50" spans="2:5" x14ac:dyDescent="0.25">
      <c r="B50" t="s">
        <v>190</v>
      </c>
      <c r="C5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0" s="69" t="e">
        <f ca="1">PCF_3[[#This Row],[Crash Count]]/$C$143</f>
        <v>#REF!</v>
      </c>
      <c r="E50" t="s">
        <v>190</v>
      </c>
    </row>
    <row r="51" spans="2:5" x14ac:dyDescent="0.25">
      <c r="B51" t="s">
        <v>191</v>
      </c>
      <c r="C5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1" s="69" t="e">
        <f ca="1">PCF_3[[#This Row],[Crash Count]]/$C$143</f>
        <v>#REF!</v>
      </c>
      <c r="E51" t="s">
        <v>191</v>
      </c>
    </row>
    <row r="52" spans="2:5" x14ac:dyDescent="0.25">
      <c r="B52" t="s">
        <v>192</v>
      </c>
      <c r="C5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2" s="69" t="e">
        <f ca="1">PCF_3[[#This Row],[Crash Count]]/$C$143</f>
        <v>#REF!</v>
      </c>
      <c r="E52" t="s">
        <v>192</v>
      </c>
    </row>
    <row r="53" spans="2:5" x14ac:dyDescent="0.25">
      <c r="B53" t="s">
        <v>193</v>
      </c>
      <c r="C5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3" s="69" t="e">
        <f ca="1">PCF_3[[#This Row],[Crash Count]]/$C$143</f>
        <v>#REF!</v>
      </c>
      <c r="E53" t="s">
        <v>193</v>
      </c>
    </row>
    <row r="54" spans="2:5" x14ac:dyDescent="0.25">
      <c r="B54" t="s">
        <v>194</v>
      </c>
      <c r="C5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4" s="69" t="e">
        <f ca="1">PCF_3[[#This Row],[Crash Count]]/$C$143</f>
        <v>#REF!</v>
      </c>
      <c r="E54" t="s">
        <v>194</v>
      </c>
    </row>
    <row r="55" spans="2:5" x14ac:dyDescent="0.25">
      <c r="B55" t="s">
        <v>195</v>
      </c>
      <c r="C5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5" s="69" t="e">
        <f ca="1">PCF_3[[#This Row],[Crash Count]]/$C$143</f>
        <v>#REF!</v>
      </c>
      <c r="E55" t="s">
        <v>195</v>
      </c>
    </row>
    <row r="56" spans="2:5" x14ac:dyDescent="0.25">
      <c r="B56" t="s">
        <v>196</v>
      </c>
      <c r="C5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6" s="69" t="e">
        <f ca="1">PCF_3[[#This Row],[Crash Count]]/$C$143</f>
        <v>#REF!</v>
      </c>
      <c r="E56" t="s">
        <v>196</v>
      </c>
    </row>
    <row r="57" spans="2:5" x14ac:dyDescent="0.25">
      <c r="B57" t="s">
        <v>197</v>
      </c>
      <c r="C5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7" s="69" t="e">
        <f ca="1">PCF_3[[#This Row],[Crash Count]]/$C$143</f>
        <v>#REF!</v>
      </c>
      <c r="E57" t="s">
        <v>197</v>
      </c>
    </row>
    <row r="58" spans="2:5" x14ac:dyDescent="0.25">
      <c r="B58" t="s">
        <v>198</v>
      </c>
      <c r="C5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8" s="69" t="e">
        <f ca="1">PCF_3[[#This Row],[Crash Count]]/$C$143</f>
        <v>#REF!</v>
      </c>
      <c r="E58" t="s">
        <v>198</v>
      </c>
    </row>
    <row r="59" spans="2:5" x14ac:dyDescent="0.25">
      <c r="B59" t="s">
        <v>199</v>
      </c>
      <c r="C5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9" s="69" t="e">
        <f ca="1">PCF_3[[#This Row],[Crash Count]]/$C$143</f>
        <v>#REF!</v>
      </c>
      <c r="E59" t="s">
        <v>199</v>
      </c>
    </row>
    <row r="60" spans="2:5" x14ac:dyDescent="0.25">
      <c r="B60" t="s">
        <v>200</v>
      </c>
      <c r="C6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0" s="69" t="e">
        <f ca="1">PCF_3[[#This Row],[Crash Count]]/$C$143</f>
        <v>#REF!</v>
      </c>
      <c r="E60" t="s">
        <v>200</v>
      </c>
    </row>
    <row r="61" spans="2:5" x14ac:dyDescent="0.25">
      <c r="B61" t="s">
        <v>201</v>
      </c>
      <c r="C6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1" s="69" t="e">
        <f ca="1">PCF_3[[#This Row],[Crash Count]]/$C$143</f>
        <v>#REF!</v>
      </c>
      <c r="E61" t="s">
        <v>201</v>
      </c>
    </row>
    <row r="62" spans="2:5" x14ac:dyDescent="0.25">
      <c r="B62" t="s">
        <v>202</v>
      </c>
      <c r="C6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2" s="69" t="e">
        <f ca="1">PCF_3[[#This Row],[Crash Count]]/$C$143</f>
        <v>#REF!</v>
      </c>
      <c r="E62" t="s">
        <v>202</v>
      </c>
    </row>
    <row r="63" spans="2:5" x14ac:dyDescent="0.25">
      <c r="B63" t="s">
        <v>203</v>
      </c>
      <c r="C6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3" s="69" t="e">
        <f ca="1">PCF_3[[#This Row],[Crash Count]]/$C$143</f>
        <v>#REF!</v>
      </c>
      <c r="E63" t="s">
        <v>203</v>
      </c>
    </row>
    <row r="64" spans="2:5" x14ac:dyDescent="0.25">
      <c r="B64" t="s">
        <v>204</v>
      </c>
      <c r="C6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4" s="69" t="e">
        <f ca="1">PCF_3[[#This Row],[Crash Count]]/$C$143</f>
        <v>#REF!</v>
      </c>
      <c r="E64" t="s">
        <v>204</v>
      </c>
    </row>
    <row r="65" spans="2:5" x14ac:dyDescent="0.25">
      <c r="B65" t="s">
        <v>205</v>
      </c>
      <c r="C6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5" s="69" t="e">
        <f ca="1">PCF_3[[#This Row],[Crash Count]]/$C$143</f>
        <v>#REF!</v>
      </c>
      <c r="E65" t="s">
        <v>205</v>
      </c>
    </row>
    <row r="66" spans="2:5" x14ac:dyDescent="0.25">
      <c r="B66" t="s">
        <v>206</v>
      </c>
      <c r="C6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6" s="69" t="e">
        <f ca="1">PCF_3[[#This Row],[Crash Count]]/$C$143</f>
        <v>#REF!</v>
      </c>
      <c r="E66" t="s">
        <v>206</v>
      </c>
    </row>
    <row r="67" spans="2:5" x14ac:dyDescent="0.25">
      <c r="B67" t="s">
        <v>207</v>
      </c>
      <c r="C6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7" s="69" t="e">
        <f ca="1">PCF_3[[#This Row],[Crash Count]]/$C$143</f>
        <v>#REF!</v>
      </c>
      <c r="E67" t="s">
        <v>207</v>
      </c>
    </row>
    <row r="68" spans="2:5" x14ac:dyDescent="0.25">
      <c r="B68" t="s">
        <v>208</v>
      </c>
      <c r="C6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8" s="69" t="e">
        <f ca="1">PCF_3[[#This Row],[Crash Count]]/$C$143</f>
        <v>#REF!</v>
      </c>
      <c r="E68" t="s">
        <v>208</v>
      </c>
    </row>
    <row r="69" spans="2:5" x14ac:dyDescent="0.25">
      <c r="B69" t="s">
        <v>209</v>
      </c>
      <c r="C6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9" s="69" t="e">
        <f ca="1">PCF_3[[#This Row],[Crash Count]]/$C$143</f>
        <v>#REF!</v>
      </c>
      <c r="E69" t="s">
        <v>209</v>
      </c>
    </row>
    <row r="70" spans="2:5" x14ac:dyDescent="0.25">
      <c r="B70" t="s">
        <v>210</v>
      </c>
      <c r="C7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0" s="69" t="e">
        <f ca="1">PCF_3[[#This Row],[Crash Count]]/$C$143</f>
        <v>#REF!</v>
      </c>
      <c r="E70" t="s">
        <v>210</v>
      </c>
    </row>
    <row r="71" spans="2:5" x14ac:dyDescent="0.25">
      <c r="B71" t="s">
        <v>211</v>
      </c>
      <c r="C7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1" s="69" t="e">
        <f ca="1">PCF_3[[#This Row],[Crash Count]]/$C$143</f>
        <v>#REF!</v>
      </c>
      <c r="E71" t="s">
        <v>211</v>
      </c>
    </row>
    <row r="72" spans="2:5" x14ac:dyDescent="0.25">
      <c r="B72" t="s">
        <v>212</v>
      </c>
      <c r="C7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2" s="69" t="e">
        <f ca="1">PCF_3[[#This Row],[Crash Count]]/$C$143</f>
        <v>#REF!</v>
      </c>
      <c r="E72" t="s">
        <v>212</v>
      </c>
    </row>
    <row r="73" spans="2:5" x14ac:dyDescent="0.25">
      <c r="B73" t="s">
        <v>213</v>
      </c>
      <c r="C7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3" s="69" t="e">
        <f ca="1">PCF_3[[#This Row],[Crash Count]]/$C$143</f>
        <v>#REF!</v>
      </c>
      <c r="E73" t="s">
        <v>213</v>
      </c>
    </row>
    <row r="74" spans="2:5" x14ac:dyDescent="0.25">
      <c r="B74" t="s">
        <v>214</v>
      </c>
      <c r="C7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4" s="69" t="e">
        <f ca="1">PCF_3[[#This Row],[Crash Count]]/$C$143</f>
        <v>#REF!</v>
      </c>
      <c r="E74" t="s">
        <v>214</v>
      </c>
    </row>
    <row r="75" spans="2:5" x14ac:dyDescent="0.25">
      <c r="B75" t="s">
        <v>215</v>
      </c>
      <c r="C7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5" s="69" t="e">
        <f ca="1">PCF_3[[#This Row],[Crash Count]]/$C$143</f>
        <v>#REF!</v>
      </c>
      <c r="E75" t="s">
        <v>215</v>
      </c>
    </row>
    <row r="76" spans="2:5" x14ac:dyDescent="0.25">
      <c r="B76" t="s">
        <v>216</v>
      </c>
      <c r="C7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6" s="69" t="e">
        <f ca="1">PCF_3[[#This Row],[Crash Count]]/$C$143</f>
        <v>#REF!</v>
      </c>
      <c r="E76" t="s">
        <v>216</v>
      </c>
    </row>
    <row r="77" spans="2:5" x14ac:dyDescent="0.25">
      <c r="B77" t="s">
        <v>217</v>
      </c>
      <c r="C7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7" s="69" t="e">
        <f ca="1">PCF_3[[#This Row],[Crash Count]]/$C$143</f>
        <v>#REF!</v>
      </c>
      <c r="E77" t="s">
        <v>217</v>
      </c>
    </row>
    <row r="78" spans="2:5" x14ac:dyDescent="0.25">
      <c r="B78" t="s">
        <v>218</v>
      </c>
      <c r="C7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8" s="69" t="e">
        <f ca="1">PCF_3[[#This Row],[Crash Count]]/$C$143</f>
        <v>#REF!</v>
      </c>
      <c r="E78" t="s">
        <v>218</v>
      </c>
    </row>
    <row r="79" spans="2:5" x14ac:dyDescent="0.25">
      <c r="B79" t="s">
        <v>219</v>
      </c>
      <c r="C7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9" s="69" t="e">
        <f ca="1">PCF_3[[#This Row],[Crash Count]]/$C$143</f>
        <v>#REF!</v>
      </c>
      <c r="E79" t="s">
        <v>219</v>
      </c>
    </row>
    <row r="80" spans="2:5" x14ac:dyDescent="0.25">
      <c r="B80" t="s">
        <v>220</v>
      </c>
      <c r="C8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0" s="69" t="e">
        <f ca="1">PCF_3[[#This Row],[Crash Count]]/$C$143</f>
        <v>#REF!</v>
      </c>
      <c r="E80" t="s">
        <v>220</v>
      </c>
    </row>
    <row r="81" spans="2:5" x14ac:dyDescent="0.25">
      <c r="B81" t="s">
        <v>221</v>
      </c>
      <c r="C8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1" s="69" t="e">
        <f ca="1">PCF_3[[#This Row],[Crash Count]]/$C$143</f>
        <v>#REF!</v>
      </c>
      <c r="E81" t="s">
        <v>221</v>
      </c>
    </row>
    <row r="82" spans="2:5" x14ac:dyDescent="0.25">
      <c r="B82" t="s">
        <v>222</v>
      </c>
      <c r="C8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2" s="69" t="e">
        <f ca="1">PCF_3[[#This Row],[Crash Count]]/$C$143</f>
        <v>#REF!</v>
      </c>
      <c r="E82" t="s">
        <v>222</v>
      </c>
    </row>
    <row r="83" spans="2:5" x14ac:dyDescent="0.25">
      <c r="B83" t="s">
        <v>223</v>
      </c>
      <c r="C8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3" s="69" t="e">
        <f ca="1">PCF_3[[#This Row],[Crash Count]]/$C$143</f>
        <v>#REF!</v>
      </c>
      <c r="E83" t="s">
        <v>223</v>
      </c>
    </row>
    <row r="84" spans="2:5" x14ac:dyDescent="0.25">
      <c r="B84" t="s">
        <v>224</v>
      </c>
      <c r="C8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4" s="69" t="e">
        <f ca="1">PCF_3[[#This Row],[Crash Count]]/$C$143</f>
        <v>#REF!</v>
      </c>
      <c r="E84" t="s">
        <v>224</v>
      </c>
    </row>
    <row r="85" spans="2:5" x14ac:dyDescent="0.25">
      <c r="B85" t="s">
        <v>225</v>
      </c>
      <c r="C8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5" s="69" t="e">
        <f ca="1">PCF_3[[#This Row],[Crash Count]]/$C$143</f>
        <v>#REF!</v>
      </c>
      <c r="E85" t="s">
        <v>225</v>
      </c>
    </row>
    <row r="86" spans="2:5" x14ac:dyDescent="0.25">
      <c r="B86" t="s">
        <v>226</v>
      </c>
      <c r="C8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6" s="69" t="e">
        <f ca="1">PCF_3[[#This Row],[Crash Count]]/$C$143</f>
        <v>#REF!</v>
      </c>
      <c r="E86" t="s">
        <v>226</v>
      </c>
    </row>
    <row r="87" spans="2:5" x14ac:dyDescent="0.25">
      <c r="B87" t="s">
        <v>227</v>
      </c>
      <c r="C8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7" s="69" t="e">
        <f ca="1">PCF_3[[#This Row],[Crash Count]]/$C$143</f>
        <v>#REF!</v>
      </c>
      <c r="E87" t="s">
        <v>227</v>
      </c>
    </row>
    <row r="88" spans="2:5" x14ac:dyDescent="0.25">
      <c r="B88" t="s">
        <v>228</v>
      </c>
      <c r="C8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8" s="69" t="e">
        <f ca="1">PCF_3[[#This Row],[Crash Count]]/$C$143</f>
        <v>#REF!</v>
      </c>
      <c r="E88" t="s">
        <v>228</v>
      </c>
    </row>
    <row r="89" spans="2:5" x14ac:dyDescent="0.25">
      <c r="B89" t="s">
        <v>229</v>
      </c>
      <c r="C8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9" s="69" t="e">
        <f ca="1">PCF_3[[#This Row],[Crash Count]]/$C$143</f>
        <v>#REF!</v>
      </c>
      <c r="E89" t="s">
        <v>229</v>
      </c>
    </row>
    <row r="90" spans="2:5" x14ac:dyDescent="0.25">
      <c r="B90" t="s">
        <v>230</v>
      </c>
      <c r="C9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0" s="69" t="e">
        <f ca="1">PCF_3[[#This Row],[Crash Count]]/$C$143</f>
        <v>#REF!</v>
      </c>
      <c r="E90" t="s">
        <v>230</v>
      </c>
    </row>
    <row r="91" spans="2:5" x14ac:dyDescent="0.25">
      <c r="B91" t="s">
        <v>231</v>
      </c>
      <c r="C9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1" s="69" t="e">
        <f ca="1">PCF_3[[#This Row],[Crash Count]]/$C$143</f>
        <v>#REF!</v>
      </c>
      <c r="E91" t="s">
        <v>231</v>
      </c>
    </row>
    <row r="92" spans="2:5" x14ac:dyDescent="0.25">
      <c r="B92" t="s">
        <v>232</v>
      </c>
      <c r="C9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2" s="69" t="e">
        <f ca="1">PCF_3[[#This Row],[Crash Count]]/$C$143</f>
        <v>#REF!</v>
      </c>
      <c r="E92" t="s">
        <v>232</v>
      </c>
    </row>
    <row r="93" spans="2:5" x14ac:dyDescent="0.25">
      <c r="B93" t="s">
        <v>233</v>
      </c>
      <c r="C9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3" s="69" t="e">
        <f ca="1">PCF_3[[#This Row],[Crash Count]]/$C$143</f>
        <v>#REF!</v>
      </c>
      <c r="E93" t="s">
        <v>233</v>
      </c>
    </row>
    <row r="94" spans="2:5" x14ac:dyDescent="0.25">
      <c r="B94" t="s">
        <v>234</v>
      </c>
      <c r="C9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4" s="69" t="e">
        <f ca="1">PCF_3[[#This Row],[Crash Count]]/$C$143</f>
        <v>#REF!</v>
      </c>
      <c r="E94" t="s">
        <v>234</v>
      </c>
    </row>
    <row r="95" spans="2:5" x14ac:dyDescent="0.25">
      <c r="B95" t="s">
        <v>235</v>
      </c>
      <c r="C9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5" s="69" t="e">
        <f ca="1">PCF_3[[#This Row],[Crash Count]]/$C$143</f>
        <v>#REF!</v>
      </c>
      <c r="E95" t="s">
        <v>235</v>
      </c>
    </row>
    <row r="96" spans="2:5" x14ac:dyDescent="0.25">
      <c r="B96" t="s">
        <v>236</v>
      </c>
      <c r="C9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6" s="69" t="e">
        <f ca="1">PCF_3[[#This Row],[Crash Count]]/$C$143</f>
        <v>#REF!</v>
      </c>
      <c r="E96" t="s">
        <v>236</v>
      </c>
    </row>
    <row r="97" spans="2:5" x14ac:dyDescent="0.25">
      <c r="B97" t="s">
        <v>237</v>
      </c>
      <c r="C9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7" s="69" t="e">
        <f ca="1">PCF_3[[#This Row],[Crash Count]]/$C$143</f>
        <v>#REF!</v>
      </c>
      <c r="E97" t="s">
        <v>237</v>
      </c>
    </row>
    <row r="98" spans="2:5" x14ac:dyDescent="0.25">
      <c r="B98" t="s">
        <v>238</v>
      </c>
      <c r="C9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8" s="69" t="e">
        <f ca="1">PCF_3[[#This Row],[Crash Count]]/$C$143</f>
        <v>#REF!</v>
      </c>
      <c r="E98" t="s">
        <v>238</v>
      </c>
    </row>
    <row r="99" spans="2:5" x14ac:dyDescent="0.25">
      <c r="B99" t="s">
        <v>239</v>
      </c>
      <c r="C9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9" s="69" t="e">
        <f ca="1">PCF_3[[#This Row],[Crash Count]]/$C$143</f>
        <v>#REF!</v>
      </c>
      <c r="E99" t="s">
        <v>239</v>
      </c>
    </row>
    <row r="100" spans="2:5" x14ac:dyDescent="0.25">
      <c r="B100" t="s">
        <v>240</v>
      </c>
      <c r="C10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0" s="69" t="e">
        <f ca="1">PCF_3[[#This Row],[Crash Count]]/$C$143</f>
        <v>#REF!</v>
      </c>
      <c r="E100" t="s">
        <v>240</v>
      </c>
    </row>
    <row r="101" spans="2:5" x14ac:dyDescent="0.25">
      <c r="B101" t="s">
        <v>241</v>
      </c>
      <c r="C10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1" s="69" t="e">
        <f ca="1">PCF_3[[#This Row],[Crash Count]]/$C$143</f>
        <v>#REF!</v>
      </c>
      <c r="E101" t="s">
        <v>241</v>
      </c>
    </row>
    <row r="102" spans="2:5" x14ac:dyDescent="0.25">
      <c r="B102" t="s">
        <v>242</v>
      </c>
      <c r="C10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2" s="69" t="e">
        <f ca="1">PCF_3[[#This Row],[Crash Count]]/$C$143</f>
        <v>#REF!</v>
      </c>
      <c r="E102" t="s">
        <v>242</v>
      </c>
    </row>
    <row r="103" spans="2:5" x14ac:dyDescent="0.25">
      <c r="B103" t="s">
        <v>243</v>
      </c>
      <c r="C10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3" s="69" t="e">
        <f ca="1">PCF_3[[#This Row],[Crash Count]]/$C$143</f>
        <v>#REF!</v>
      </c>
      <c r="E103" t="s">
        <v>243</v>
      </c>
    </row>
    <row r="104" spans="2:5" x14ac:dyDescent="0.25">
      <c r="B104" t="s">
        <v>244</v>
      </c>
      <c r="C10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4" s="69" t="e">
        <f ca="1">PCF_3[[#This Row],[Crash Count]]/$C$143</f>
        <v>#REF!</v>
      </c>
      <c r="E104" t="s">
        <v>244</v>
      </c>
    </row>
    <row r="105" spans="2:5" x14ac:dyDescent="0.25">
      <c r="B105" t="s">
        <v>245</v>
      </c>
      <c r="C10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5" s="69" t="e">
        <f ca="1">PCF_3[[#This Row],[Crash Count]]/$C$143</f>
        <v>#REF!</v>
      </c>
      <c r="E105" t="s">
        <v>245</v>
      </c>
    </row>
    <row r="106" spans="2:5" x14ac:dyDescent="0.25">
      <c r="B106" t="s">
        <v>246</v>
      </c>
      <c r="C10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6" s="69" t="e">
        <f ca="1">PCF_3[[#This Row],[Crash Count]]/$C$143</f>
        <v>#REF!</v>
      </c>
      <c r="E106" t="s">
        <v>246</v>
      </c>
    </row>
    <row r="107" spans="2:5" x14ac:dyDescent="0.25">
      <c r="B107" t="s">
        <v>247</v>
      </c>
      <c r="C10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7" s="69" t="e">
        <f ca="1">PCF_3[[#This Row],[Crash Count]]/$C$143</f>
        <v>#REF!</v>
      </c>
      <c r="E107" t="s">
        <v>247</v>
      </c>
    </row>
    <row r="108" spans="2:5" x14ac:dyDescent="0.25">
      <c r="B108" t="s">
        <v>248</v>
      </c>
      <c r="C10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8" s="69" t="e">
        <f ca="1">PCF_3[[#This Row],[Crash Count]]/$C$143</f>
        <v>#REF!</v>
      </c>
      <c r="E108" t="s">
        <v>248</v>
      </c>
    </row>
    <row r="109" spans="2:5" x14ac:dyDescent="0.25">
      <c r="B109" t="s">
        <v>249</v>
      </c>
      <c r="C10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9" s="69" t="e">
        <f ca="1">PCF_3[[#This Row],[Crash Count]]/$C$143</f>
        <v>#REF!</v>
      </c>
      <c r="E109" t="s">
        <v>249</v>
      </c>
    </row>
    <row r="110" spans="2:5" x14ac:dyDescent="0.25">
      <c r="B110" t="s">
        <v>250</v>
      </c>
      <c r="C11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0" s="69" t="e">
        <f ca="1">PCF_3[[#This Row],[Crash Count]]/$C$143</f>
        <v>#REF!</v>
      </c>
      <c r="E110" t="s">
        <v>250</v>
      </c>
    </row>
    <row r="111" spans="2:5" x14ac:dyDescent="0.25">
      <c r="B111" t="s">
        <v>251</v>
      </c>
      <c r="C11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1" s="69" t="e">
        <f ca="1">PCF_3[[#This Row],[Crash Count]]/$C$143</f>
        <v>#REF!</v>
      </c>
      <c r="E111" t="s">
        <v>251</v>
      </c>
    </row>
    <row r="112" spans="2:5" x14ac:dyDescent="0.25">
      <c r="B112" t="s">
        <v>252</v>
      </c>
      <c r="C11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2" s="69" t="e">
        <f ca="1">PCF_3[[#This Row],[Crash Count]]/$C$143</f>
        <v>#REF!</v>
      </c>
      <c r="E112" t="s">
        <v>252</v>
      </c>
    </row>
    <row r="113" spans="2:5" x14ac:dyDescent="0.25">
      <c r="B113" t="s">
        <v>253</v>
      </c>
      <c r="C11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3" s="69" t="e">
        <f ca="1">PCF_3[[#This Row],[Crash Count]]/$C$143</f>
        <v>#REF!</v>
      </c>
      <c r="E113" t="s">
        <v>253</v>
      </c>
    </row>
    <row r="114" spans="2:5" x14ac:dyDescent="0.25">
      <c r="B114" t="s">
        <v>254</v>
      </c>
      <c r="C11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4" s="69" t="e">
        <f ca="1">PCF_3[[#This Row],[Crash Count]]/$C$143</f>
        <v>#REF!</v>
      </c>
      <c r="E114" t="s">
        <v>254</v>
      </c>
    </row>
    <row r="115" spans="2:5" x14ac:dyDescent="0.25">
      <c r="B115" t="s">
        <v>255</v>
      </c>
      <c r="C11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5" s="69" t="e">
        <f ca="1">PCF_3[[#This Row],[Crash Count]]/$C$143</f>
        <v>#REF!</v>
      </c>
      <c r="E115" t="s">
        <v>255</v>
      </c>
    </row>
    <row r="116" spans="2:5" x14ac:dyDescent="0.25">
      <c r="B116" t="s">
        <v>256</v>
      </c>
      <c r="C11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6" s="69" t="e">
        <f ca="1">PCF_3[[#This Row],[Crash Count]]/$C$143</f>
        <v>#REF!</v>
      </c>
      <c r="E116" t="s">
        <v>256</v>
      </c>
    </row>
    <row r="117" spans="2:5" x14ac:dyDescent="0.25">
      <c r="B117" t="s">
        <v>257</v>
      </c>
      <c r="C11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7" s="69" t="e">
        <f ca="1">PCF_3[[#This Row],[Crash Count]]/$C$143</f>
        <v>#REF!</v>
      </c>
      <c r="E117" t="s">
        <v>257</v>
      </c>
    </row>
    <row r="118" spans="2:5" x14ac:dyDescent="0.25">
      <c r="B118" t="s">
        <v>258</v>
      </c>
      <c r="C11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8" s="69" t="e">
        <f ca="1">PCF_3[[#This Row],[Crash Count]]/$C$143</f>
        <v>#REF!</v>
      </c>
      <c r="E118" t="s">
        <v>258</v>
      </c>
    </row>
    <row r="119" spans="2:5" x14ac:dyDescent="0.25">
      <c r="B119" t="s">
        <v>259</v>
      </c>
      <c r="C11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9" s="69" t="e">
        <f ca="1">PCF_3[[#This Row],[Crash Count]]/$C$143</f>
        <v>#REF!</v>
      </c>
      <c r="E119" t="s">
        <v>259</v>
      </c>
    </row>
    <row r="120" spans="2:5" x14ac:dyDescent="0.25">
      <c r="B120" t="s">
        <v>260</v>
      </c>
      <c r="C12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0" s="69" t="e">
        <f ca="1">PCF_3[[#This Row],[Crash Count]]/$C$143</f>
        <v>#REF!</v>
      </c>
      <c r="E120" t="s">
        <v>260</v>
      </c>
    </row>
    <row r="121" spans="2:5" x14ac:dyDescent="0.25">
      <c r="B121" t="s">
        <v>261</v>
      </c>
      <c r="C12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1" s="69" t="e">
        <f ca="1">PCF_3[[#This Row],[Crash Count]]/$C$143</f>
        <v>#REF!</v>
      </c>
      <c r="E121" t="s">
        <v>261</v>
      </c>
    </row>
    <row r="122" spans="2:5" x14ac:dyDescent="0.25">
      <c r="B122" t="s">
        <v>262</v>
      </c>
      <c r="C12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2" s="69" t="e">
        <f ca="1">PCF_3[[#This Row],[Crash Count]]/$C$143</f>
        <v>#REF!</v>
      </c>
      <c r="E122" t="s">
        <v>262</v>
      </c>
    </row>
    <row r="123" spans="2:5" x14ac:dyDescent="0.25">
      <c r="B123" t="s">
        <v>263</v>
      </c>
      <c r="C12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3" s="69" t="e">
        <f ca="1">PCF_3[[#This Row],[Crash Count]]/$C$143</f>
        <v>#REF!</v>
      </c>
      <c r="E123" t="s">
        <v>263</v>
      </c>
    </row>
    <row r="124" spans="2:5" x14ac:dyDescent="0.25">
      <c r="B124" t="s">
        <v>264</v>
      </c>
      <c r="C12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4" s="69" t="e">
        <f ca="1">PCF_3[[#This Row],[Crash Count]]/$C$143</f>
        <v>#REF!</v>
      </c>
      <c r="E124" t="s">
        <v>264</v>
      </c>
    </row>
    <row r="125" spans="2:5" x14ac:dyDescent="0.25">
      <c r="B125" t="s">
        <v>265</v>
      </c>
      <c r="C12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5" s="69" t="e">
        <f ca="1">PCF_3[[#This Row],[Crash Count]]/$C$143</f>
        <v>#REF!</v>
      </c>
      <c r="E125" t="s">
        <v>265</v>
      </c>
    </row>
    <row r="126" spans="2:5" x14ac:dyDescent="0.25">
      <c r="B126" t="s">
        <v>266</v>
      </c>
      <c r="C12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6" s="69" t="e">
        <f ca="1">PCF_3[[#This Row],[Crash Count]]/$C$143</f>
        <v>#REF!</v>
      </c>
      <c r="E126" t="s">
        <v>266</v>
      </c>
    </row>
    <row r="127" spans="2:5" x14ac:dyDescent="0.25">
      <c r="B127" t="s">
        <v>267</v>
      </c>
      <c r="C12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7" s="69" t="e">
        <f ca="1">PCF_3[[#This Row],[Crash Count]]/$C$143</f>
        <v>#REF!</v>
      </c>
      <c r="E127" t="s">
        <v>267</v>
      </c>
    </row>
    <row r="128" spans="2:5" x14ac:dyDescent="0.25">
      <c r="B128" t="s">
        <v>268</v>
      </c>
      <c r="C12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8" s="69" t="e">
        <f ca="1">PCF_3[[#This Row],[Crash Count]]/$C$143</f>
        <v>#REF!</v>
      </c>
      <c r="E128" t="s">
        <v>268</v>
      </c>
    </row>
    <row r="129" spans="2:5" x14ac:dyDescent="0.25">
      <c r="B129" t="s">
        <v>269</v>
      </c>
      <c r="C12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9" s="69" t="e">
        <f ca="1">PCF_3[[#This Row],[Crash Count]]/$C$143</f>
        <v>#REF!</v>
      </c>
      <c r="E129" t="s">
        <v>269</v>
      </c>
    </row>
    <row r="130" spans="2:5" x14ac:dyDescent="0.25">
      <c r="B130" t="s">
        <v>270</v>
      </c>
      <c r="C13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0" s="69" t="e">
        <f ca="1">PCF_3[[#This Row],[Crash Count]]/$C$143</f>
        <v>#REF!</v>
      </c>
      <c r="E130" t="s">
        <v>270</v>
      </c>
    </row>
    <row r="131" spans="2:5" x14ac:dyDescent="0.25">
      <c r="B131" t="s">
        <v>271</v>
      </c>
      <c r="C13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1" s="69" t="e">
        <f ca="1">PCF_3[[#This Row],[Crash Count]]/$C$143</f>
        <v>#REF!</v>
      </c>
      <c r="E131" t="s">
        <v>271</v>
      </c>
    </row>
    <row r="132" spans="2:5" x14ac:dyDescent="0.25">
      <c r="B132" t="s">
        <v>272</v>
      </c>
      <c r="C13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2" s="69" t="e">
        <f ca="1">PCF_3[[#This Row],[Crash Count]]/$C$143</f>
        <v>#REF!</v>
      </c>
      <c r="E132" t="s">
        <v>272</v>
      </c>
    </row>
    <row r="133" spans="2:5" x14ac:dyDescent="0.25">
      <c r="B133" t="s">
        <v>273</v>
      </c>
      <c r="C13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3" s="69" t="e">
        <f ca="1">PCF_3[[#This Row],[Crash Count]]/$C$143</f>
        <v>#REF!</v>
      </c>
      <c r="E133" t="s">
        <v>273</v>
      </c>
    </row>
    <row r="134" spans="2:5" x14ac:dyDescent="0.25">
      <c r="B134" t="s">
        <v>274</v>
      </c>
      <c r="C13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4" s="69" t="e">
        <f ca="1">PCF_3[[#This Row],[Crash Count]]/$C$143</f>
        <v>#REF!</v>
      </c>
      <c r="E134" t="s">
        <v>274</v>
      </c>
    </row>
    <row r="135" spans="2:5" x14ac:dyDescent="0.25">
      <c r="B135" t="s">
        <v>275</v>
      </c>
      <c r="C13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5" s="69" t="e">
        <f ca="1">PCF_3[[#This Row],[Crash Count]]/$C$143</f>
        <v>#REF!</v>
      </c>
      <c r="E135" t="s">
        <v>275</v>
      </c>
    </row>
    <row r="136" spans="2:5" x14ac:dyDescent="0.25">
      <c r="B136" t="s">
        <v>276</v>
      </c>
      <c r="C13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6" s="69" t="e">
        <f ca="1">PCF_3[[#This Row],[Crash Count]]/$C$143</f>
        <v>#REF!</v>
      </c>
      <c r="E136" t="s">
        <v>276</v>
      </c>
    </row>
    <row r="137" spans="2:5" x14ac:dyDescent="0.25">
      <c r="B137" t="s">
        <v>277</v>
      </c>
      <c r="C13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7" s="69" t="e">
        <f ca="1">PCF_3[[#This Row],[Crash Count]]/$C$143</f>
        <v>#REF!</v>
      </c>
      <c r="E137" t="s">
        <v>277</v>
      </c>
    </row>
    <row r="138" spans="2:5" x14ac:dyDescent="0.25">
      <c r="B138" t="s">
        <v>278</v>
      </c>
      <c r="C13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8" s="69" t="e">
        <f ca="1">PCF_3[[#This Row],[Crash Count]]/$C$143</f>
        <v>#REF!</v>
      </c>
      <c r="E138" t="s">
        <v>278</v>
      </c>
    </row>
    <row r="139" spans="2:5" x14ac:dyDescent="0.25">
      <c r="B139" t="s">
        <v>279</v>
      </c>
      <c r="C13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9" s="69" t="e">
        <f ca="1">PCF_3[[#This Row],[Crash Count]]/$C$143</f>
        <v>#REF!</v>
      </c>
      <c r="E139" t="s">
        <v>279</v>
      </c>
    </row>
    <row r="140" spans="2:5" x14ac:dyDescent="0.25">
      <c r="B140" t="s">
        <v>280</v>
      </c>
      <c r="C14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40" s="69" t="e">
        <f ca="1">PCF_3[[#This Row],[Crash Count]]/$C$143</f>
        <v>#REF!</v>
      </c>
      <c r="E140" t="s">
        <v>280</v>
      </c>
    </row>
    <row r="141" spans="2:5" x14ac:dyDescent="0.25">
      <c r="B141" t="s">
        <v>281</v>
      </c>
      <c r="C14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41" s="69" t="e">
        <f ca="1">PCF_3[[#This Row],[Crash Count]]/$C$143</f>
        <v>#REF!</v>
      </c>
      <c r="E141" t="s">
        <v>281</v>
      </c>
    </row>
    <row r="142" spans="2:5" x14ac:dyDescent="0.25">
      <c r="B142" s="86" t="s">
        <v>53</v>
      </c>
      <c r="C142" t="e">
        <f ca="1">SUBTOTAL(109,PCF_3[Crash Count])</f>
        <v>#REF!</v>
      </c>
      <c r="D142" s="82" t="e">
        <f ca="1">SUBTOTAL(109,PCF_3[Crash Share])</f>
        <v>#REF!</v>
      </c>
      <c r="E142" s="86"/>
    </row>
    <row r="143" spans="2:5" x14ac:dyDescent="0.25">
      <c r="B143" s="83" t="s">
        <v>128</v>
      </c>
      <c r="C143" s="80" t="e">
        <f ca="1">Severity[[#Totals],[Crash Count]]</f>
        <v>#REF!</v>
      </c>
      <c r="D143" s="82"/>
      <c r="E143" s="86"/>
    </row>
    <row r="145" spans="2:17" x14ac:dyDescent="0.25">
      <c r="B145" s="77" t="s">
        <v>282</v>
      </c>
    </row>
    <row r="146" spans="2:17" x14ac:dyDescent="0.25">
      <c r="B146" s="80"/>
    </row>
    <row r="147" spans="2:17" x14ac:dyDescent="0.25">
      <c r="B147" s="106" t="s">
        <v>283</v>
      </c>
      <c r="C147" s="105"/>
      <c r="D147" s="105"/>
      <c r="E147" s="105"/>
      <c r="I147" s="104" t="s">
        <v>88</v>
      </c>
      <c r="J147" s="105"/>
      <c r="K147" s="104" t="s">
        <v>87</v>
      </c>
      <c r="L147" s="105"/>
    </row>
    <row r="148" spans="2:17" x14ac:dyDescent="0.25">
      <c r="B148" s="5" t="s">
        <v>149</v>
      </c>
      <c r="C148" s="5" t="s">
        <v>48</v>
      </c>
      <c r="D148" s="5" t="s">
        <v>49</v>
      </c>
      <c r="E148" s="5" t="s">
        <v>135</v>
      </c>
      <c r="F148" s="5" t="s">
        <v>52</v>
      </c>
      <c r="G148" s="5" t="s">
        <v>53</v>
      </c>
      <c r="H148" s="5" t="s">
        <v>47</v>
      </c>
      <c r="I148" s="5" t="s">
        <v>46</v>
      </c>
      <c r="J148" s="5" t="s">
        <v>60</v>
      </c>
      <c r="K148" s="8" t="s">
        <v>59</v>
      </c>
      <c r="L148" s="9" t="s">
        <v>64</v>
      </c>
      <c r="M148" s="12" t="s">
        <v>71</v>
      </c>
    </row>
    <row r="149" spans="2:17" ht="30" customHeight="1" x14ac:dyDescent="0.25">
      <c r="B149" t="s">
        <v>150</v>
      </c>
      <c r="C149" s="71" t="e">
        <f ca="1">SUM(COUNTIFS(INDIRECT("Collision!"&amp;Event!$C$3&amp;":"&amp;Event!$C$3),$B149,INDIRECT("Collision!"&amp;Severity!$C$3&amp;":"&amp;Severity!$C$3),C$148), COUNTIFS(INDIRECT("Collision!"&amp;Event!$G$3&amp;":"&amp;Event!$G$3),$B149,INDIRECT("Collision!"&amp;Severity!$C$3&amp;":"&amp;Severity!$C$3),C$148), COUNTIFS(INDIRECT("Collision!"&amp;Event!$G$4&amp;":"&amp;Event!$G$4),$B149,INDIRECT("Collision!"&amp;Severity!$C$3&amp;":"&amp;Severity!$C$3),C$148))</f>
        <v>#REF!</v>
      </c>
      <c r="D149" s="71" t="e">
        <f ca="1">SUM(COUNTIFS(INDIRECT("Collision!"&amp;Event!$C$3&amp;":"&amp;Event!$C$3),$B149,INDIRECT("Collision!"&amp;Severity!$C$3&amp;":"&amp;Severity!$C$3),D$148), COUNTIFS(INDIRECT("Collision!"&amp;Event!$G$3&amp;":"&amp;Event!$G$3),$B149,INDIRECT("Collision!"&amp;Severity!$C$3&amp;":"&amp;Severity!$C$3),D$148), COUNTIFS(INDIRECT("Collision!"&amp;Event!$G$4&amp;":"&amp;Event!$G$4),$B149,INDIRECT("Collision!"&amp;Severity!$C$3&amp;":"&amp;Severity!$C$3),D$148))</f>
        <v>#REF!</v>
      </c>
      <c r="E149" s="71" t="e">
        <f t="array" aca="1" ref="E149" ca="1">SUM(COUNTIFS(INDIRECT("Collision!"&amp;Event!$C$3&amp;":"&amp;Event!$C$3),$B149,INDIRECT("Collision!"&amp;Severity!$C$3&amp;":"&amp;Severity!$C$3),{"Moderate Injury","Minor Injury"}), COUNTIFS(INDIRECT("Collision!"&amp;Event!$G$3&amp;":"&amp;Event!$G$3),$B149,INDIRECT("Collision!"&amp;Severity!$C$3&amp;":"&amp;Severity!$C$3),{"Moderate Injury","Minor Injury"}), COUNTIFS(INDIRECT("Collision!"&amp;Event!$G$4&amp;":"&amp;Event!$G$4),$B149,INDIRECT("Collision!"&amp;Severity!$C$3&amp;":"&amp;Severity!$C$3),{"Moderate Injury","Minor Injury"}))</f>
        <v>#REF!</v>
      </c>
      <c r="F149" s="71" t="e">
        <f ca="1">SUM(COUNTIFS(INDIRECT("Collision!"&amp;Event!$C$3&amp;":"&amp;Event!$C$3),$B149,INDIRECT("Collision!"&amp;Severity!$C$3&amp;":"&amp;Severity!$C$3),F$148), COUNTIFS(INDIRECT("Collision!"&amp;Event!$G$3&amp;":"&amp;Event!$G$3),$B149,INDIRECT("Collision!"&amp;Severity!$C$3&amp;":"&amp;Severity!$C$3),F$148), COUNTIFS(INDIRECT("Collision!"&amp;Event!$G$4&amp;":"&amp;Event!$G$4),$B149,INDIRECT("Collision!"&amp;Severity!$C$3&amp;":"&amp;Severity!$C$3),F$148))</f>
        <v>#REF!</v>
      </c>
      <c r="G149" s="71" t="e">
        <f t="shared" ref="G149:G180" ca="1" si="0">SUM(C149:F149)</f>
        <v>#REF!</v>
      </c>
      <c r="H149" s="69" t="e">
        <f t="shared" ref="H149:H180" ca="1" si="1">G149/$G$283</f>
        <v>#REF!</v>
      </c>
      <c r="I149" s="71" t="e">
        <f t="shared" ref="I149:I180" ca="1" si="2">SUM(D149,C149)</f>
        <v>#REF!</v>
      </c>
      <c r="J149" s="82" t="e">
        <f ca="1">IF(G149=0,0,PCF_Severity2[[#This Row],[Crash Count]]/$I$283)</f>
        <v>#REF!</v>
      </c>
      <c r="K149" t="e">
        <f ca="1">SUM(PCF_Severity2[[#This Row],[Severe Injury]:[Other Injury]])</f>
        <v>#REF!</v>
      </c>
      <c r="L149" s="69" t="e">
        <f ca="1">PCF_Severity2[[#This Row],[Crash Count2]]/$K$283</f>
        <v>#REF!</v>
      </c>
      <c r="M149" s="86" t="str">
        <f>VLOOKUP(PCF_Severity2[[#This Row],[Crash Event]],PCF_3[[#Headers],[#Data]],4,FALSE)</f>
        <v xml:space="preserve">None applicable at this level </v>
      </c>
      <c r="Q149" s="84"/>
    </row>
    <row r="150" spans="2:17" ht="30" x14ac:dyDescent="0.25">
      <c r="B150" t="s">
        <v>156</v>
      </c>
      <c r="C150" s="71" t="e">
        <f ca="1">SUM(COUNTIFS(INDIRECT("Collision!"&amp;Event!$C$3&amp;":"&amp;Event!$C$3),$B150,INDIRECT("Collision!"&amp;Severity!$C$3&amp;":"&amp;Severity!$C$3),C$148), COUNTIFS(INDIRECT("Collision!"&amp;Event!$G$3&amp;":"&amp;Event!$G$3),$B150,INDIRECT("Collision!"&amp;Severity!$C$3&amp;":"&amp;Severity!$C$3),C$148), COUNTIFS(INDIRECT("Collision!"&amp;Event!$G$4&amp;":"&amp;Event!$G$4),$B150,INDIRECT("Collision!"&amp;Severity!$C$3&amp;":"&amp;Severity!$C$3),C$148))</f>
        <v>#REF!</v>
      </c>
      <c r="D150" s="71" t="e">
        <f ca="1">SUM(COUNTIFS(INDIRECT("Collision!"&amp;Event!$C$3&amp;":"&amp;Event!$C$3),$B150,INDIRECT("Collision!"&amp;Severity!$C$3&amp;":"&amp;Severity!$C$3),D$148), COUNTIFS(INDIRECT("Collision!"&amp;Event!$G$3&amp;":"&amp;Event!$G$3),$B150,INDIRECT("Collision!"&amp;Severity!$C$3&amp;":"&amp;Severity!$C$3),D$148), COUNTIFS(INDIRECT("Collision!"&amp;Event!$G$4&amp;":"&amp;Event!$G$4),$B150,INDIRECT("Collision!"&amp;Severity!$C$3&amp;":"&amp;Severity!$C$3),D$148))</f>
        <v>#REF!</v>
      </c>
      <c r="E150" s="71" t="e">
        <f t="array" aca="1" ref="E150" ca="1">SUM(COUNTIFS(INDIRECT("Collision!"&amp;Event!$C$3&amp;":"&amp;Event!$C$3),$B150,INDIRECT("Collision!"&amp;Severity!$C$3&amp;":"&amp;Severity!$C$3),{"Moderate Injury","Minor Injury"}), COUNTIFS(INDIRECT("Collision!"&amp;Event!$G$3&amp;":"&amp;Event!$G$3),$B150,INDIRECT("Collision!"&amp;Severity!$C$3&amp;":"&amp;Severity!$C$3),{"Moderate Injury","Minor Injury"}), COUNTIFS(INDIRECT("Collision!"&amp;Event!$G$4&amp;":"&amp;Event!$G$4),$B150,INDIRECT("Collision!"&amp;Severity!$C$3&amp;":"&amp;Severity!$C$3),{"Moderate Injury","Minor Injury"}))</f>
        <v>#REF!</v>
      </c>
      <c r="F150" s="71" t="e">
        <f ca="1">SUM(COUNTIFS(INDIRECT("Collision!"&amp;Event!$C$3&amp;":"&amp;Event!$C$3),$B150,INDIRECT("Collision!"&amp;Severity!$C$3&amp;":"&amp;Severity!$C$3),F$148), COUNTIFS(INDIRECT("Collision!"&amp;Event!$G$3&amp;":"&amp;Event!$G$3),$B150,INDIRECT("Collision!"&amp;Severity!$C$3&amp;":"&amp;Severity!$C$3),F$148), COUNTIFS(INDIRECT("Collision!"&amp;Event!$G$4&amp;":"&amp;Event!$G$4),$B150,INDIRECT("Collision!"&amp;Severity!$C$3&amp;":"&amp;Severity!$C$3),F$148))</f>
        <v>#REF!</v>
      </c>
      <c r="G150" s="71" t="e">
        <f t="shared" ca="1" si="0"/>
        <v>#REF!</v>
      </c>
      <c r="H150" s="69" t="e">
        <f t="shared" ca="1" si="1"/>
        <v>#REF!</v>
      </c>
      <c r="I150" s="71" t="e">
        <f t="shared" ca="1" si="2"/>
        <v>#REF!</v>
      </c>
      <c r="J150" s="69" t="e">
        <f ca="1">IF(G150=0,0,PCF_Severity2[[#This Row],[Crash Count]]/$I$283)</f>
        <v>#REF!</v>
      </c>
      <c r="K150" t="e">
        <f ca="1">SUM(PCF_Severity2[[#This Row],[Severe Injury]:[Other Injury]])</f>
        <v>#REF!</v>
      </c>
      <c r="L150" s="69" t="e">
        <f ca="1">PCF_Severity2[[#This Row],[Crash Count2]]/$K$283</f>
        <v>#REF!</v>
      </c>
      <c r="M150" s="86" t="str">
        <f>VLOOKUP(PCF_Severity2[[#This Row],[Crash Event]],PCF_3[[#Headers],[#Data]],4,FALSE)</f>
        <v>Pedal-cyclist indirectly involved (Not struck)</v>
      </c>
      <c r="Q150" s="84"/>
    </row>
    <row r="151" spans="2:17" x14ac:dyDescent="0.25">
      <c r="B151" t="s">
        <v>157</v>
      </c>
      <c r="C151" s="71" t="e">
        <f ca="1">SUM(COUNTIFS(INDIRECT("Collision!"&amp;Event!$C$3&amp;":"&amp;Event!$C$3),$B151,INDIRECT("Collision!"&amp;Severity!$C$3&amp;":"&amp;Severity!$C$3),C$148), COUNTIFS(INDIRECT("Collision!"&amp;Event!$G$3&amp;":"&amp;Event!$G$3),$B151,INDIRECT("Collision!"&amp;Severity!$C$3&amp;":"&amp;Severity!$C$3),C$148), COUNTIFS(INDIRECT("Collision!"&amp;Event!$G$4&amp;":"&amp;Event!$G$4),$B151,INDIRECT("Collision!"&amp;Severity!$C$3&amp;":"&amp;Severity!$C$3),C$148))</f>
        <v>#REF!</v>
      </c>
      <c r="D151" s="71" t="e">
        <f ca="1">SUM(COUNTIFS(INDIRECT("Collision!"&amp;Event!$C$3&amp;":"&amp;Event!$C$3),$B151,INDIRECT("Collision!"&amp;Severity!$C$3&amp;":"&amp;Severity!$C$3),D$148), COUNTIFS(INDIRECT("Collision!"&amp;Event!$G$3&amp;":"&amp;Event!$G$3),$B151,INDIRECT("Collision!"&amp;Severity!$C$3&amp;":"&amp;Severity!$C$3),D$148), COUNTIFS(INDIRECT("Collision!"&amp;Event!$G$4&amp;":"&amp;Event!$G$4),$B151,INDIRECT("Collision!"&amp;Severity!$C$3&amp;":"&amp;Severity!$C$3),D$148))</f>
        <v>#REF!</v>
      </c>
      <c r="E151" s="71" t="e">
        <f t="array" aca="1" ref="E151" ca="1">SUM(COUNTIFS(INDIRECT("Collision!"&amp;Event!$C$3&amp;":"&amp;Event!$C$3),$B151,INDIRECT("Collision!"&amp;Severity!$C$3&amp;":"&amp;Severity!$C$3),{"Moderate Injury","Minor Injury"}), COUNTIFS(INDIRECT("Collision!"&amp;Event!$G$3&amp;":"&amp;Event!$G$3),$B151,INDIRECT("Collision!"&amp;Severity!$C$3&amp;":"&amp;Severity!$C$3),{"Moderate Injury","Minor Injury"}), COUNTIFS(INDIRECT("Collision!"&amp;Event!$G$4&amp;":"&amp;Event!$G$4),$B151,INDIRECT("Collision!"&amp;Severity!$C$3&amp;":"&amp;Severity!$C$3),{"Moderate Injury","Minor Injury"}))</f>
        <v>#REF!</v>
      </c>
      <c r="F151" s="71" t="e">
        <f ca="1">SUM(COUNTIFS(INDIRECT("Collision!"&amp;Event!$C$3&amp;":"&amp;Event!$C$3),$B151,INDIRECT("Collision!"&amp;Severity!$C$3&amp;":"&amp;Severity!$C$3),F$148), COUNTIFS(INDIRECT("Collision!"&amp;Event!$G$3&amp;":"&amp;Event!$G$3),$B151,INDIRECT("Collision!"&amp;Severity!$C$3&amp;":"&amp;Severity!$C$3),F$148), COUNTIFS(INDIRECT("Collision!"&amp;Event!$G$4&amp;":"&amp;Event!$G$4),$B151,INDIRECT("Collision!"&amp;Severity!$C$3&amp;":"&amp;Severity!$C$3),F$148))</f>
        <v>#REF!</v>
      </c>
      <c r="G151" s="71" t="e">
        <f t="shared" ca="1" si="0"/>
        <v>#REF!</v>
      </c>
      <c r="H151" s="69" t="e">
        <f t="shared" ca="1" si="1"/>
        <v>#REF!</v>
      </c>
      <c r="I151" s="71" t="e">
        <f t="shared" ca="1" si="2"/>
        <v>#REF!</v>
      </c>
      <c r="J151" s="82" t="e">
        <f ca="1">IF(G151=0,0,PCF_Severity2[[#This Row],[Crash Count]]/$I$283)</f>
        <v>#REF!</v>
      </c>
      <c r="K151" t="e">
        <f ca="1">SUM(PCF_Severity2[[#This Row],[Severe Injury]:[Other Injury]])</f>
        <v>#REF!</v>
      </c>
      <c r="L151" s="69" t="e">
        <f ca="1">PCF_Severity2[[#This Row],[Crash Count2]]/$K$283</f>
        <v>#REF!</v>
      </c>
      <c r="M151" s="86" t="str">
        <f>VLOOKUP(PCF_Severity2[[#This Row],[Crash Event]],PCF_3[[#Headers],[#Data]],4,FALSE)</f>
        <v>Hitchhiker (Soliciting a ride)</v>
      </c>
      <c r="Q151" s="84"/>
    </row>
    <row r="152" spans="2:17" ht="30" x14ac:dyDescent="0.25">
      <c r="B152" t="s">
        <v>158</v>
      </c>
      <c r="C152" s="71" t="e">
        <f ca="1">SUM(COUNTIFS(INDIRECT("Collision!"&amp;Event!$C$3&amp;":"&amp;Event!$C$3),$B152,INDIRECT("Collision!"&amp;Severity!$C$3&amp;":"&amp;Severity!$C$3),C$148), COUNTIFS(INDIRECT("Collision!"&amp;Event!$G$3&amp;":"&amp;Event!$G$3),$B152,INDIRECT("Collision!"&amp;Severity!$C$3&amp;":"&amp;Severity!$C$3),C$148), COUNTIFS(INDIRECT("Collision!"&amp;Event!$G$4&amp;":"&amp;Event!$G$4),$B152,INDIRECT("Collision!"&amp;Severity!$C$3&amp;":"&amp;Severity!$C$3),C$148))</f>
        <v>#REF!</v>
      </c>
      <c r="D152" s="71" t="e">
        <f ca="1">SUM(COUNTIFS(INDIRECT("Collision!"&amp;Event!$C$3&amp;":"&amp;Event!$C$3),$B152,INDIRECT("Collision!"&amp;Severity!$C$3&amp;":"&amp;Severity!$C$3),D$148), COUNTIFS(INDIRECT("Collision!"&amp;Event!$G$3&amp;":"&amp;Event!$G$3),$B152,INDIRECT("Collision!"&amp;Severity!$C$3&amp;":"&amp;Severity!$C$3),D$148), COUNTIFS(INDIRECT("Collision!"&amp;Event!$G$4&amp;":"&amp;Event!$G$4),$B152,INDIRECT("Collision!"&amp;Severity!$C$3&amp;":"&amp;Severity!$C$3),D$148))</f>
        <v>#REF!</v>
      </c>
      <c r="E152" s="71" t="e">
        <f t="array" aca="1" ref="E152" ca="1">SUM(COUNTIFS(INDIRECT("Collision!"&amp;Event!$C$3&amp;":"&amp;Event!$C$3),$B152,INDIRECT("Collision!"&amp;Severity!$C$3&amp;":"&amp;Severity!$C$3),{"Moderate Injury","Minor Injury"}), COUNTIFS(INDIRECT("Collision!"&amp;Event!$G$3&amp;":"&amp;Event!$G$3),$B152,INDIRECT("Collision!"&amp;Severity!$C$3&amp;":"&amp;Severity!$C$3),{"Moderate Injury","Minor Injury"}), COUNTIFS(INDIRECT("Collision!"&amp;Event!$G$4&amp;":"&amp;Event!$G$4),$B152,INDIRECT("Collision!"&amp;Severity!$C$3&amp;":"&amp;Severity!$C$3),{"Moderate Injury","Minor Injury"}))</f>
        <v>#REF!</v>
      </c>
      <c r="F152" s="71" t="e">
        <f ca="1">SUM(COUNTIFS(INDIRECT("Collision!"&amp;Event!$C$3&amp;":"&amp;Event!$C$3),$B152,INDIRECT("Collision!"&amp;Severity!$C$3&amp;":"&amp;Severity!$C$3),F$148), COUNTIFS(INDIRECT("Collision!"&amp;Event!$G$3&amp;":"&amp;Event!$G$3),$B152,INDIRECT("Collision!"&amp;Severity!$C$3&amp;":"&amp;Severity!$C$3),F$148), COUNTIFS(INDIRECT("Collision!"&amp;Event!$G$4&amp;":"&amp;Event!$G$4),$B152,INDIRECT("Collision!"&amp;Severity!$C$3&amp;":"&amp;Severity!$C$3),F$148))</f>
        <v>#REF!</v>
      </c>
      <c r="G152" s="71" t="e">
        <f t="shared" ca="1" si="0"/>
        <v>#REF!</v>
      </c>
      <c r="H152" s="69" t="e">
        <f t="shared" ca="1" si="1"/>
        <v>#REF!</v>
      </c>
      <c r="I152" s="71" t="e">
        <f t="shared" ca="1" si="2"/>
        <v>#REF!</v>
      </c>
      <c r="J152" s="82" t="e">
        <f ca="1">IF(G152=0,0,PCF_Severity2[[#This Row],[Crash Count]]/$I$283)</f>
        <v>#REF!</v>
      </c>
      <c r="K152" t="e">
        <f ca="1">SUM(PCF_Severity2[[#This Row],[Severe Injury]:[Other Injury]])</f>
        <v>#REF!</v>
      </c>
      <c r="L152" s="69" t="e">
        <f ca="1">PCF_Severity2[[#This Row],[Crash Count2]]/$K$283</f>
        <v>#REF!</v>
      </c>
      <c r="M152" s="86" t="str">
        <f>VLOOKUP(PCF_Severity2[[#This Row],[Crash Event]],PCF_3[[#Headers],[#Data]],4,FALSE)</f>
        <v>Passenger or non-motorist being towed or pushed on conveyance</v>
      </c>
      <c r="Q152" s="84"/>
    </row>
    <row r="153" spans="2:17" ht="45" x14ac:dyDescent="0.25">
      <c r="B153" t="s">
        <v>159</v>
      </c>
      <c r="C153" s="71" t="e">
        <f ca="1">SUM(COUNTIFS(INDIRECT("Collision!"&amp;Event!$C$3&amp;":"&amp;Event!$C$3),$B153,INDIRECT("Collision!"&amp;Severity!$C$3&amp;":"&amp;Severity!$C$3),C$148), COUNTIFS(INDIRECT("Collision!"&amp;Event!$G$3&amp;":"&amp;Event!$G$3),$B153,INDIRECT("Collision!"&amp;Severity!$C$3&amp;":"&amp;Severity!$C$3),C$148), COUNTIFS(INDIRECT("Collision!"&amp;Event!$G$4&amp;":"&amp;Event!$G$4),$B153,INDIRECT("Collision!"&amp;Severity!$C$3&amp;":"&amp;Severity!$C$3),C$148))</f>
        <v>#REF!</v>
      </c>
      <c r="D153" s="71" t="e">
        <f ca="1">SUM(COUNTIFS(INDIRECT("Collision!"&amp;Event!$C$3&amp;":"&amp;Event!$C$3),$B153,INDIRECT("Collision!"&amp;Severity!$C$3&amp;":"&amp;Severity!$C$3),D$148), COUNTIFS(INDIRECT("Collision!"&amp;Event!$G$3&amp;":"&amp;Event!$G$3),$B153,INDIRECT("Collision!"&amp;Severity!$C$3&amp;":"&amp;Severity!$C$3),D$148), COUNTIFS(INDIRECT("Collision!"&amp;Event!$G$4&amp;":"&amp;Event!$G$4),$B153,INDIRECT("Collision!"&amp;Severity!$C$3&amp;":"&amp;Severity!$C$3),D$148))</f>
        <v>#REF!</v>
      </c>
      <c r="E153" s="71" t="e">
        <f t="array" aca="1" ref="E153" ca="1">SUM(COUNTIFS(INDIRECT("Collision!"&amp;Event!$C$3&amp;":"&amp;Event!$C$3),$B153,INDIRECT("Collision!"&amp;Severity!$C$3&amp;":"&amp;Severity!$C$3),{"Moderate Injury","Minor Injury"}), COUNTIFS(INDIRECT("Collision!"&amp;Event!$G$3&amp;":"&amp;Event!$G$3),$B153,INDIRECT("Collision!"&amp;Severity!$C$3&amp;":"&amp;Severity!$C$3),{"Moderate Injury","Minor Injury"}), COUNTIFS(INDIRECT("Collision!"&amp;Event!$G$4&amp;":"&amp;Event!$G$4),$B153,INDIRECT("Collision!"&amp;Severity!$C$3&amp;":"&amp;Severity!$C$3),{"Moderate Injury","Minor Injury"}))</f>
        <v>#REF!</v>
      </c>
      <c r="F153" s="71" t="e">
        <f ca="1">SUM(COUNTIFS(INDIRECT("Collision!"&amp;Event!$C$3&amp;":"&amp;Event!$C$3),$B153,INDIRECT("Collision!"&amp;Severity!$C$3&amp;":"&amp;Severity!$C$3),F$148), COUNTIFS(INDIRECT("Collision!"&amp;Event!$G$3&amp;":"&amp;Event!$G$3),$B153,INDIRECT("Collision!"&amp;Severity!$C$3&amp;":"&amp;Severity!$C$3),F$148), COUNTIFS(INDIRECT("Collision!"&amp;Event!$G$4&amp;":"&amp;Event!$G$4),$B153,INDIRECT("Collision!"&amp;Severity!$C$3&amp;":"&amp;Severity!$C$3),F$148))</f>
        <v>#REF!</v>
      </c>
      <c r="G153" s="71" t="e">
        <f t="shared" ca="1" si="0"/>
        <v>#REF!</v>
      </c>
      <c r="H153" s="69" t="e">
        <f t="shared" ca="1" si="1"/>
        <v>#REF!</v>
      </c>
      <c r="I153" s="71" t="e">
        <f t="shared" ca="1" si="2"/>
        <v>#REF!</v>
      </c>
      <c r="J153" s="69" t="e">
        <f ca="1">IF(G153=0,0,PCF_Severity2[[#This Row],[Crash Count]]/$I$283)</f>
        <v>#REF!</v>
      </c>
      <c r="K153" t="e">
        <f ca="1">SUM(PCF_Severity2[[#This Row],[Severe Injury]:[Other Injury]])</f>
        <v>#REF!</v>
      </c>
      <c r="L153" s="69" t="e">
        <f ca="1">PCF_Severity2[[#This Row],[Crash Count2]]/$K$283</f>
        <v>#REF!</v>
      </c>
      <c r="M153" s="86" t="str">
        <f>VLOOKUP(PCF_Severity2[[#This Row],[Crash Event]],PCF_3[[#Headers],[#Data]],4,FALSE)</f>
        <v>Actively getting on or off stopped or parked vehicle (must have physical contact with vehicle)</v>
      </c>
      <c r="Q153" s="84"/>
    </row>
    <row r="154" spans="2:17" x14ac:dyDescent="0.25">
      <c r="B154" t="s">
        <v>161</v>
      </c>
      <c r="C154" s="71" t="e">
        <f ca="1">SUM(COUNTIFS(INDIRECT("Collision!"&amp;Event!$C$3&amp;":"&amp;Event!$C$3),$B154,INDIRECT("Collision!"&amp;Severity!$C$3&amp;":"&amp;Severity!$C$3),C$148), COUNTIFS(INDIRECT("Collision!"&amp;Event!$G$3&amp;":"&amp;Event!$G$3),$B154,INDIRECT("Collision!"&amp;Severity!$C$3&amp;":"&amp;Severity!$C$3),C$148), COUNTIFS(INDIRECT("Collision!"&amp;Event!$G$4&amp;":"&amp;Event!$G$4),$B154,INDIRECT("Collision!"&amp;Severity!$C$3&amp;":"&amp;Severity!$C$3),C$148))</f>
        <v>#REF!</v>
      </c>
      <c r="D154" s="71" t="e">
        <f ca="1">SUM(COUNTIFS(INDIRECT("Collision!"&amp;Event!$C$3&amp;":"&amp;Event!$C$3),$B154,INDIRECT("Collision!"&amp;Severity!$C$3&amp;":"&amp;Severity!$C$3),D$148), COUNTIFS(INDIRECT("Collision!"&amp;Event!$G$3&amp;":"&amp;Event!$G$3),$B154,INDIRECT("Collision!"&amp;Severity!$C$3&amp;":"&amp;Severity!$C$3),D$148), COUNTIFS(INDIRECT("Collision!"&amp;Event!$G$4&amp;":"&amp;Event!$G$4),$B154,INDIRECT("Collision!"&amp;Severity!$C$3&amp;":"&amp;Severity!$C$3),D$148))</f>
        <v>#REF!</v>
      </c>
      <c r="E154" s="71" t="e">
        <f t="array" aca="1" ref="E154" ca="1">SUM(COUNTIFS(INDIRECT("Collision!"&amp;Event!$C$3&amp;":"&amp;Event!$C$3),$B154,INDIRECT("Collision!"&amp;Severity!$C$3&amp;":"&amp;Severity!$C$3),{"Moderate Injury","Minor Injury"}), COUNTIFS(INDIRECT("Collision!"&amp;Event!$G$3&amp;":"&amp;Event!$G$3),$B154,INDIRECT("Collision!"&amp;Severity!$C$3&amp;":"&amp;Severity!$C$3),{"Moderate Injury","Minor Injury"}), COUNTIFS(INDIRECT("Collision!"&amp;Event!$G$4&amp;":"&amp;Event!$G$4),$B154,INDIRECT("Collision!"&amp;Severity!$C$3&amp;":"&amp;Severity!$C$3),{"Moderate Injury","Minor Injury"}))</f>
        <v>#REF!</v>
      </c>
      <c r="F154" s="71" t="e">
        <f ca="1">SUM(COUNTIFS(INDIRECT("Collision!"&amp;Event!$C$3&amp;":"&amp;Event!$C$3),$B154,INDIRECT("Collision!"&amp;Severity!$C$3&amp;":"&amp;Severity!$C$3),F$148), COUNTIFS(INDIRECT("Collision!"&amp;Event!$G$3&amp;":"&amp;Event!$G$3),$B154,INDIRECT("Collision!"&amp;Severity!$C$3&amp;":"&amp;Severity!$C$3),F$148), COUNTIFS(INDIRECT("Collision!"&amp;Event!$G$4&amp;":"&amp;Event!$G$4),$B154,INDIRECT("Collision!"&amp;Severity!$C$3&amp;":"&amp;Severity!$C$3),F$148))</f>
        <v>#REF!</v>
      </c>
      <c r="G154" s="71" t="e">
        <f t="shared" ca="1" si="0"/>
        <v>#REF!</v>
      </c>
      <c r="H154" s="69" t="e">
        <f t="shared" ca="1" si="1"/>
        <v>#REF!</v>
      </c>
      <c r="I154" s="71" t="e">
        <f t="shared" ca="1" si="2"/>
        <v>#REF!</v>
      </c>
      <c r="J154" s="82" t="e">
        <f ca="1">IF(G154=0,0,PCF_Severity2[[#This Row],[Crash Count]]/$I$283)</f>
        <v>#REF!</v>
      </c>
      <c r="K154" t="e">
        <f ca="1">SUM(PCF_Severity2[[#This Row],[Severe Injury]:[Other Injury]])</f>
        <v>#REF!</v>
      </c>
      <c r="L154" s="69" t="e">
        <f ca="1">PCF_Severity2[[#This Row],[Crash Count2]]/$K$283</f>
        <v>#REF!</v>
      </c>
      <c r="M154" s="86" t="str">
        <f>VLOOKUP(PCF_Severity2[[#This Row],[Crash Event]],PCF_3[[#Headers],[#Data]],4,FALSE)</f>
        <v>Vehicle being pushed</v>
      </c>
      <c r="Q154" s="84"/>
    </row>
    <row r="155" spans="2:17" ht="30" x14ac:dyDescent="0.25">
      <c r="B155" t="s">
        <v>162</v>
      </c>
      <c r="C155" s="71" t="e">
        <f ca="1">SUM(COUNTIFS(INDIRECT("Collision!"&amp;Event!$C$3&amp;":"&amp;Event!$C$3),$B155,INDIRECT("Collision!"&amp;Severity!$C$3&amp;":"&amp;Severity!$C$3),C$148), COUNTIFS(INDIRECT("Collision!"&amp;Event!$G$3&amp;":"&amp;Event!$G$3),$B155,INDIRECT("Collision!"&amp;Severity!$C$3&amp;":"&amp;Severity!$C$3),C$148), COUNTIFS(INDIRECT("Collision!"&amp;Event!$G$4&amp;":"&amp;Event!$G$4),$B155,INDIRECT("Collision!"&amp;Severity!$C$3&amp;":"&amp;Severity!$C$3),C$148))</f>
        <v>#REF!</v>
      </c>
      <c r="D155" s="71" t="e">
        <f ca="1">SUM(COUNTIFS(INDIRECT("Collision!"&amp;Event!$C$3&amp;":"&amp;Event!$C$3),$B155,INDIRECT("Collision!"&amp;Severity!$C$3&amp;":"&amp;Severity!$C$3),D$148), COUNTIFS(INDIRECT("Collision!"&amp;Event!$G$3&amp;":"&amp;Event!$G$3),$B155,INDIRECT("Collision!"&amp;Severity!$C$3&amp;":"&amp;Severity!$C$3),D$148), COUNTIFS(INDIRECT("Collision!"&amp;Event!$G$4&amp;":"&amp;Event!$G$4),$B155,INDIRECT("Collision!"&amp;Severity!$C$3&amp;":"&amp;Severity!$C$3),D$148))</f>
        <v>#REF!</v>
      </c>
      <c r="E155" s="71" t="e">
        <f t="array" aca="1" ref="E155" ca="1">SUM(COUNTIFS(INDIRECT("Collision!"&amp;Event!$C$3&amp;":"&amp;Event!$C$3),$B155,INDIRECT("Collision!"&amp;Severity!$C$3&amp;":"&amp;Severity!$C$3),{"Moderate Injury","Minor Injury"}), COUNTIFS(INDIRECT("Collision!"&amp;Event!$G$3&amp;":"&amp;Event!$G$3),$B155,INDIRECT("Collision!"&amp;Severity!$C$3&amp;":"&amp;Severity!$C$3),{"Moderate Injury","Minor Injury"}), COUNTIFS(INDIRECT("Collision!"&amp;Event!$G$4&amp;":"&amp;Event!$G$4),$B155,INDIRECT("Collision!"&amp;Severity!$C$3&amp;":"&amp;Severity!$C$3),{"Moderate Injury","Minor Injury"}))</f>
        <v>#REF!</v>
      </c>
      <c r="F155" s="71" t="e">
        <f ca="1">SUM(COUNTIFS(INDIRECT("Collision!"&amp;Event!$C$3&amp;":"&amp;Event!$C$3),$B155,INDIRECT("Collision!"&amp;Severity!$C$3&amp;":"&amp;Severity!$C$3),F$148), COUNTIFS(INDIRECT("Collision!"&amp;Event!$G$3&amp;":"&amp;Event!$G$3),$B155,INDIRECT("Collision!"&amp;Severity!$C$3&amp;":"&amp;Severity!$C$3),F$148), COUNTIFS(INDIRECT("Collision!"&amp;Event!$G$4&amp;":"&amp;Event!$G$4),$B155,INDIRECT("Collision!"&amp;Severity!$C$3&amp;":"&amp;Severity!$C$3),F$148))</f>
        <v>#REF!</v>
      </c>
      <c r="G155" s="71" t="e">
        <f t="shared" ca="1" si="0"/>
        <v>#REF!</v>
      </c>
      <c r="H155" s="69" t="e">
        <f t="shared" ca="1" si="1"/>
        <v>#REF!</v>
      </c>
      <c r="I155" s="71" t="e">
        <f t="shared" ca="1" si="2"/>
        <v>#REF!</v>
      </c>
      <c r="J155" s="69" t="e">
        <f ca="1">IF(G155=0,0,PCF_Severity2[[#This Row],[Crash Count]]/$I$283)</f>
        <v>#REF!</v>
      </c>
      <c r="K155" t="e">
        <f ca="1">SUM(PCF_Severity2[[#This Row],[Severe Injury]:[Other Injury]])</f>
        <v>#REF!</v>
      </c>
      <c r="L155" s="69" t="e">
        <f ca="1">PCF_Severity2[[#This Row],[Crash Count2]]/$K$283</f>
        <v>#REF!</v>
      </c>
      <c r="M155" s="86" t="str">
        <f>VLOOKUP(PCF_Severity2[[#This Row],[Crash Event]],PCF_3[[#Headers],[#Data]],4,FALSE)</f>
        <v>Vehicle towed or had been towing another vehicle</v>
      </c>
      <c r="Q155" s="84"/>
    </row>
    <row r="156" spans="2:17" ht="30" customHeight="1" x14ac:dyDescent="0.25">
      <c r="B156" t="s">
        <v>164</v>
      </c>
      <c r="C156" s="71" t="e">
        <f ca="1">SUM(COUNTIFS(INDIRECT("Collision!"&amp;Event!$C$3&amp;":"&amp;Event!$C$3),$B156,INDIRECT("Collision!"&amp;Severity!$C$3&amp;":"&amp;Severity!$C$3),C$148), COUNTIFS(INDIRECT("Collision!"&amp;Event!$G$3&amp;":"&amp;Event!$G$3),$B156,INDIRECT("Collision!"&amp;Severity!$C$3&amp;":"&amp;Severity!$C$3),C$148), COUNTIFS(INDIRECT("Collision!"&amp;Event!$G$4&amp;":"&amp;Event!$G$4),$B156,INDIRECT("Collision!"&amp;Severity!$C$3&amp;":"&amp;Severity!$C$3),C$148))</f>
        <v>#REF!</v>
      </c>
      <c r="D156" s="71" t="e">
        <f ca="1">SUM(COUNTIFS(INDIRECT("Collision!"&amp;Event!$C$3&amp;":"&amp;Event!$C$3),$B156,INDIRECT("Collision!"&amp;Severity!$C$3&amp;":"&amp;Severity!$C$3),D$148), COUNTIFS(INDIRECT("Collision!"&amp;Event!$G$3&amp;":"&amp;Event!$G$3),$B156,INDIRECT("Collision!"&amp;Severity!$C$3&amp;":"&amp;Severity!$C$3),D$148), COUNTIFS(INDIRECT("Collision!"&amp;Event!$G$4&amp;":"&amp;Event!$G$4),$B156,INDIRECT("Collision!"&amp;Severity!$C$3&amp;":"&amp;Severity!$C$3),D$148))</f>
        <v>#REF!</v>
      </c>
      <c r="E156" s="71" t="e">
        <f t="array" aca="1" ref="E156" ca="1">SUM(COUNTIFS(INDIRECT("Collision!"&amp;Event!$C$3&amp;":"&amp;Event!$C$3),$B156,INDIRECT("Collision!"&amp;Severity!$C$3&amp;":"&amp;Severity!$C$3),{"Moderate Injury","Minor Injury"}), COUNTIFS(INDIRECT("Collision!"&amp;Event!$G$3&amp;":"&amp;Event!$G$3),$B156,INDIRECT("Collision!"&amp;Severity!$C$3&amp;":"&amp;Severity!$C$3),{"Moderate Injury","Minor Injury"}), COUNTIFS(INDIRECT("Collision!"&amp;Event!$G$4&amp;":"&amp;Event!$G$4),$B156,INDIRECT("Collision!"&amp;Severity!$C$3&amp;":"&amp;Severity!$C$3),{"Moderate Injury","Minor Injury"}))</f>
        <v>#REF!</v>
      </c>
      <c r="F156" s="71" t="e">
        <f ca="1">SUM(COUNTIFS(INDIRECT("Collision!"&amp;Event!$C$3&amp;":"&amp;Event!$C$3),$B156,INDIRECT("Collision!"&amp;Severity!$C$3&amp;":"&amp;Severity!$C$3),F$148), COUNTIFS(INDIRECT("Collision!"&amp;Event!$G$3&amp;":"&amp;Event!$G$3),$B156,INDIRECT("Collision!"&amp;Severity!$C$3&amp;":"&amp;Severity!$C$3),F$148), COUNTIFS(INDIRECT("Collision!"&amp;Event!$G$4&amp;":"&amp;Event!$G$4),$B156,INDIRECT("Collision!"&amp;Severity!$C$3&amp;":"&amp;Severity!$C$3),F$148))</f>
        <v>#REF!</v>
      </c>
      <c r="G156" s="71" t="e">
        <f t="shared" ca="1" si="0"/>
        <v>#REF!</v>
      </c>
      <c r="H156" s="69" t="e">
        <f t="shared" ca="1" si="1"/>
        <v>#REF!</v>
      </c>
      <c r="I156" s="71" t="e">
        <f t="shared" ca="1" si="2"/>
        <v>#REF!</v>
      </c>
      <c r="J156" s="69" t="e">
        <f ca="1">IF(G156=0,0,PCF_Severity2[[#This Row],[Crash Count]]/$I$283)</f>
        <v>#REF!</v>
      </c>
      <c r="K156" t="e">
        <f ca="1">SUM(PCF_Severity2[[#This Row],[Severe Injury]:[Other Injury]])</f>
        <v>#REF!</v>
      </c>
      <c r="L156" s="69" t="e">
        <f ca="1">PCF_Severity2[[#This Row],[Crash Count2]]/$K$283</f>
        <v>#REF!</v>
      </c>
      <c r="M156" s="86" t="str">
        <f>VLOOKUP(PCF_Severity2[[#This Row],[Crash Event]],PCF_3[[#Headers],[#Data]],4,FALSE)</f>
        <v>Vehicle set in motion by non-driver (Child released brakes, etc.)</v>
      </c>
      <c r="Q156" s="84"/>
    </row>
    <row r="157" spans="2:17" x14ac:dyDescent="0.25">
      <c r="B157" t="s">
        <v>166</v>
      </c>
      <c r="C157" s="71" t="e">
        <f ca="1">SUM(COUNTIFS(INDIRECT("Collision!"&amp;Event!$C$3&amp;":"&amp;Event!$C$3),$B157,INDIRECT("Collision!"&amp;Severity!$C$3&amp;":"&amp;Severity!$C$3),C$148), COUNTIFS(INDIRECT("Collision!"&amp;Event!$G$3&amp;":"&amp;Event!$G$3),$B157,INDIRECT("Collision!"&amp;Severity!$C$3&amp;":"&amp;Severity!$C$3),C$148), COUNTIFS(INDIRECT("Collision!"&amp;Event!$G$4&amp;":"&amp;Event!$G$4),$B157,INDIRECT("Collision!"&amp;Severity!$C$3&amp;":"&amp;Severity!$C$3),C$148))</f>
        <v>#REF!</v>
      </c>
      <c r="D157" s="71" t="e">
        <f ca="1">SUM(COUNTIFS(INDIRECT("Collision!"&amp;Event!$C$3&amp;":"&amp;Event!$C$3),$B157,INDIRECT("Collision!"&amp;Severity!$C$3&amp;":"&amp;Severity!$C$3),D$148), COUNTIFS(INDIRECT("Collision!"&amp;Event!$G$3&amp;":"&amp;Event!$G$3),$B157,INDIRECT("Collision!"&amp;Severity!$C$3&amp;":"&amp;Severity!$C$3),D$148), COUNTIFS(INDIRECT("Collision!"&amp;Event!$G$4&amp;":"&amp;Event!$G$4),$B157,INDIRECT("Collision!"&amp;Severity!$C$3&amp;":"&amp;Severity!$C$3),D$148))</f>
        <v>#REF!</v>
      </c>
      <c r="E157" s="71" t="e">
        <f t="array" aca="1" ref="E157" ca="1">SUM(COUNTIFS(INDIRECT("Collision!"&amp;Event!$C$3&amp;":"&amp;Event!$C$3),$B157,INDIRECT("Collision!"&amp;Severity!$C$3&amp;":"&amp;Severity!$C$3),{"Moderate Injury","Minor Injury"}), COUNTIFS(INDIRECT("Collision!"&amp;Event!$G$3&amp;":"&amp;Event!$G$3),$B157,INDIRECT("Collision!"&amp;Severity!$C$3&amp;":"&amp;Severity!$C$3),{"Moderate Injury","Minor Injury"}), COUNTIFS(INDIRECT("Collision!"&amp;Event!$G$4&amp;":"&amp;Event!$G$4),$B157,INDIRECT("Collision!"&amp;Severity!$C$3&amp;":"&amp;Severity!$C$3),{"Moderate Injury","Minor Injury"}))</f>
        <v>#REF!</v>
      </c>
      <c r="F157" s="71" t="e">
        <f ca="1">SUM(COUNTIFS(INDIRECT("Collision!"&amp;Event!$C$3&amp;":"&amp;Event!$C$3),$B157,INDIRECT("Collision!"&amp;Severity!$C$3&amp;":"&amp;Severity!$C$3),F$148), COUNTIFS(INDIRECT("Collision!"&amp;Event!$G$3&amp;":"&amp;Event!$G$3),$B157,INDIRECT("Collision!"&amp;Severity!$C$3&amp;":"&amp;Severity!$C$3),F$148), COUNTIFS(INDIRECT("Collision!"&amp;Event!$G$4&amp;":"&amp;Event!$G$4),$B157,INDIRECT("Collision!"&amp;Severity!$C$3&amp;":"&amp;Severity!$C$3),F$148))</f>
        <v>#REF!</v>
      </c>
      <c r="G157" s="71" t="e">
        <f t="shared" ca="1" si="0"/>
        <v>#REF!</v>
      </c>
      <c r="H157" s="69" t="e">
        <f t="shared" ca="1" si="1"/>
        <v>#REF!</v>
      </c>
      <c r="I157" s="71" t="e">
        <f t="shared" ca="1" si="2"/>
        <v>#REF!</v>
      </c>
      <c r="J157" s="69" t="e">
        <f ca="1">IF(G157=0,0,PCF_Severity2[[#This Row],[Crash Count]]/$I$283)</f>
        <v>#REF!</v>
      </c>
      <c r="K157" t="e">
        <f ca="1">SUM(PCF_Severity2[[#This Row],[Severe Injury]:[Other Injury]])</f>
        <v>#REF!</v>
      </c>
      <c r="L157" s="69" t="e">
        <f ca="1">PCF_Severity2[[#This Row],[Crash Count2]]/$K$283</f>
        <v>#REF!</v>
      </c>
      <c r="M157" s="86" t="str">
        <f>VLOOKUP(PCF_Severity2[[#This Row],[Crash Event]],PCF_3[[#Headers],[#Data]],4,FALSE)</f>
        <v>At or on light-rail right-of-way</v>
      </c>
      <c r="Q157" s="84"/>
    </row>
    <row r="158" spans="2:17" x14ac:dyDescent="0.25">
      <c r="B158" t="s">
        <v>167</v>
      </c>
      <c r="C158" s="71" t="e">
        <f ca="1">SUM(COUNTIFS(INDIRECT("Collision!"&amp;Event!$C$3&amp;":"&amp;Event!$C$3),$B158,INDIRECT("Collision!"&amp;Severity!$C$3&amp;":"&amp;Severity!$C$3),C$148), COUNTIFS(INDIRECT("Collision!"&amp;Event!$G$3&amp;":"&amp;Event!$G$3),$B158,INDIRECT("Collision!"&amp;Severity!$C$3&amp;":"&amp;Severity!$C$3),C$148), COUNTIFS(INDIRECT("Collision!"&amp;Event!$G$4&amp;":"&amp;Event!$G$4),$B158,INDIRECT("Collision!"&amp;Severity!$C$3&amp;":"&amp;Severity!$C$3),C$148))</f>
        <v>#REF!</v>
      </c>
      <c r="D158" s="71" t="e">
        <f ca="1">SUM(COUNTIFS(INDIRECT("Collision!"&amp;Event!$C$3&amp;":"&amp;Event!$C$3),$B158,INDIRECT("Collision!"&amp;Severity!$C$3&amp;":"&amp;Severity!$C$3),D$148), COUNTIFS(INDIRECT("Collision!"&amp;Event!$G$3&amp;":"&amp;Event!$G$3),$B158,INDIRECT("Collision!"&amp;Severity!$C$3&amp;":"&amp;Severity!$C$3),D$148), COUNTIFS(INDIRECT("Collision!"&amp;Event!$G$4&amp;":"&amp;Event!$G$4),$B158,INDIRECT("Collision!"&amp;Severity!$C$3&amp;":"&amp;Severity!$C$3),D$148))</f>
        <v>#REF!</v>
      </c>
      <c r="E158" s="71" t="e">
        <f t="array" aca="1" ref="E158" ca="1">SUM(COUNTIFS(INDIRECT("Collision!"&amp;Event!$C$3&amp;":"&amp;Event!$C$3),$B158,INDIRECT("Collision!"&amp;Severity!$C$3&amp;":"&amp;Severity!$C$3),{"Moderate Injury","Minor Injury"}), COUNTIFS(INDIRECT("Collision!"&amp;Event!$G$3&amp;":"&amp;Event!$G$3),$B158,INDIRECT("Collision!"&amp;Severity!$C$3&amp;":"&amp;Severity!$C$3),{"Moderate Injury","Minor Injury"}), COUNTIFS(INDIRECT("Collision!"&amp;Event!$G$4&amp;":"&amp;Event!$G$4),$B158,INDIRECT("Collision!"&amp;Severity!$C$3&amp;":"&amp;Severity!$C$3),{"Moderate Injury","Minor Injury"}))</f>
        <v>#REF!</v>
      </c>
      <c r="F158" s="71" t="e">
        <f ca="1">SUM(COUNTIFS(INDIRECT("Collision!"&amp;Event!$C$3&amp;":"&amp;Event!$C$3),$B158,INDIRECT("Collision!"&amp;Severity!$C$3&amp;":"&amp;Severity!$C$3),F$148), COUNTIFS(INDIRECT("Collision!"&amp;Event!$G$3&amp;":"&amp;Event!$G$3),$B158,INDIRECT("Collision!"&amp;Severity!$C$3&amp;":"&amp;Severity!$C$3),F$148), COUNTIFS(INDIRECT("Collision!"&amp;Event!$G$4&amp;":"&amp;Event!$G$4),$B158,INDIRECT("Collision!"&amp;Severity!$C$3&amp;":"&amp;Severity!$C$3),F$148))</f>
        <v>#REF!</v>
      </c>
      <c r="G158" s="71" t="e">
        <f t="shared" ca="1" si="0"/>
        <v>#REF!</v>
      </c>
      <c r="H158" s="69" t="e">
        <f t="shared" ca="1" si="1"/>
        <v>#REF!</v>
      </c>
      <c r="I158" s="71" t="e">
        <f t="shared" ca="1" si="2"/>
        <v>#REF!</v>
      </c>
      <c r="J158" s="82" t="e">
        <f ca="1">IF(G158=0,0,PCF_Severity2[[#This Row],[Crash Count]]/$I$283)</f>
        <v>#REF!</v>
      </c>
      <c r="K158" t="e">
        <f ca="1">SUM(PCF_Severity2[[#This Row],[Severe Injury]:[Other Injury]])</f>
        <v>#REF!</v>
      </c>
      <c r="L158" s="69" t="e">
        <f ca="1">PCF_Severity2[[#This Row],[Crash Count2]]/$K$283</f>
        <v>#REF!</v>
      </c>
      <c r="M158" s="86" t="str">
        <f>VLOOKUP(PCF_Severity2[[#This Row],[Crash Event]],PCF_3[[#Headers],[#Data]],4,FALSE)</f>
        <v>Train struck vehicle</v>
      </c>
      <c r="Q158" s="84"/>
    </row>
    <row r="159" spans="2:17" x14ac:dyDescent="0.25">
      <c r="B159" t="s">
        <v>168</v>
      </c>
      <c r="C159" s="71" t="e">
        <f ca="1">SUM(COUNTIFS(INDIRECT("Collision!"&amp;Event!$C$3&amp;":"&amp;Event!$C$3),$B159,INDIRECT("Collision!"&amp;Severity!$C$3&amp;":"&amp;Severity!$C$3),C$148), COUNTIFS(INDIRECT("Collision!"&amp;Event!$G$3&amp;":"&amp;Event!$G$3),$B159,INDIRECT("Collision!"&amp;Severity!$C$3&amp;":"&amp;Severity!$C$3),C$148), COUNTIFS(INDIRECT("Collision!"&amp;Event!$G$4&amp;":"&amp;Event!$G$4),$B159,INDIRECT("Collision!"&amp;Severity!$C$3&amp;":"&amp;Severity!$C$3),C$148))</f>
        <v>#REF!</v>
      </c>
      <c r="D159" s="71" t="e">
        <f ca="1">SUM(COUNTIFS(INDIRECT("Collision!"&amp;Event!$C$3&amp;":"&amp;Event!$C$3),$B159,INDIRECT("Collision!"&amp;Severity!$C$3&amp;":"&amp;Severity!$C$3),D$148), COUNTIFS(INDIRECT("Collision!"&amp;Event!$G$3&amp;":"&amp;Event!$G$3),$B159,INDIRECT("Collision!"&amp;Severity!$C$3&amp;":"&amp;Severity!$C$3),D$148), COUNTIFS(INDIRECT("Collision!"&amp;Event!$G$4&amp;":"&amp;Event!$G$4),$B159,INDIRECT("Collision!"&amp;Severity!$C$3&amp;":"&amp;Severity!$C$3),D$148))</f>
        <v>#REF!</v>
      </c>
      <c r="E159" s="71" t="e">
        <f t="array" aca="1" ref="E159" ca="1">SUM(COUNTIFS(INDIRECT("Collision!"&amp;Event!$C$3&amp;":"&amp;Event!$C$3),$B159,INDIRECT("Collision!"&amp;Severity!$C$3&amp;":"&amp;Severity!$C$3),{"Moderate Injury","Minor Injury"}), COUNTIFS(INDIRECT("Collision!"&amp;Event!$G$3&amp;":"&amp;Event!$G$3),$B159,INDIRECT("Collision!"&amp;Severity!$C$3&amp;":"&amp;Severity!$C$3),{"Moderate Injury","Minor Injury"}), COUNTIFS(INDIRECT("Collision!"&amp;Event!$G$4&amp;":"&amp;Event!$G$4),$B159,INDIRECT("Collision!"&amp;Severity!$C$3&amp;":"&amp;Severity!$C$3),{"Moderate Injury","Minor Injury"}))</f>
        <v>#REF!</v>
      </c>
      <c r="F159" s="71" t="e">
        <f ca="1">SUM(COUNTIFS(INDIRECT("Collision!"&amp;Event!$C$3&amp;":"&amp;Event!$C$3),$B159,INDIRECT("Collision!"&amp;Severity!$C$3&amp;":"&amp;Severity!$C$3),F$148), COUNTIFS(INDIRECT("Collision!"&amp;Event!$G$3&amp;":"&amp;Event!$G$3),$B159,INDIRECT("Collision!"&amp;Severity!$C$3&amp;":"&amp;Severity!$C$3),F$148), COUNTIFS(INDIRECT("Collision!"&amp;Event!$G$4&amp;":"&amp;Event!$G$4),$B159,INDIRECT("Collision!"&amp;Severity!$C$3&amp;":"&amp;Severity!$C$3),F$148))</f>
        <v>#REF!</v>
      </c>
      <c r="G159" s="71" t="e">
        <f t="shared" ca="1" si="0"/>
        <v>#REF!</v>
      </c>
      <c r="H159" s="69" t="e">
        <f t="shared" ca="1" si="1"/>
        <v>#REF!</v>
      </c>
      <c r="I159" s="71" t="e">
        <f t="shared" ca="1" si="2"/>
        <v>#REF!</v>
      </c>
      <c r="J159" s="82" t="e">
        <f ca="1">IF(G159=0,0,PCF_Severity2[[#This Row],[Crash Count]]/$I$283)</f>
        <v>#REF!</v>
      </c>
      <c r="K159" t="e">
        <f ca="1">SUM(PCF_Severity2[[#This Row],[Severe Injury]:[Other Injury]])</f>
        <v>#REF!</v>
      </c>
      <c r="L159" s="69" t="e">
        <f ca="1">PCF_Severity2[[#This Row],[Crash Count2]]/$K$283</f>
        <v>#REF!</v>
      </c>
      <c r="M159" s="86" t="str">
        <f>VLOOKUP(PCF_Severity2[[#This Row],[Crash Event]],PCF_3[[#Headers],[#Data]],4,FALSE)</f>
        <v>Vehicle struck train</v>
      </c>
      <c r="Q159" s="84"/>
    </row>
    <row r="160" spans="2:17" ht="30" x14ac:dyDescent="0.25">
      <c r="B160" t="s">
        <v>169</v>
      </c>
      <c r="C160" s="71" t="e">
        <f ca="1">SUM(COUNTIFS(INDIRECT("Collision!"&amp;Event!$C$3&amp;":"&amp;Event!$C$3),$B160,INDIRECT("Collision!"&amp;Severity!$C$3&amp;":"&amp;Severity!$C$3),C$148), COUNTIFS(INDIRECT("Collision!"&amp;Event!$G$3&amp;":"&amp;Event!$G$3),$B160,INDIRECT("Collision!"&amp;Severity!$C$3&amp;":"&amp;Severity!$C$3),C$148), COUNTIFS(INDIRECT("Collision!"&amp;Event!$G$4&amp;":"&amp;Event!$G$4),$B160,INDIRECT("Collision!"&amp;Severity!$C$3&amp;":"&amp;Severity!$C$3),C$148))</f>
        <v>#REF!</v>
      </c>
      <c r="D160" s="71" t="e">
        <f ca="1">SUM(COUNTIFS(INDIRECT("Collision!"&amp;Event!$C$3&amp;":"&amp;Event!$C$3),$B160,INDIRECT("Collision!"&amp;Severity!$C$3&amp;":"&amp;Severity!$C$3),D$148), COUNTIFS(INDIRECT("Collision!"&amp;Event!$G$3&amp;":"&amp;Event!$G$3),$B160,INDIRECT("Collision!"&amp;Severity!$C$3&amp;":"&amp;Severity!$C$3),D$148), COUNTIFS(INDIRECT("Collision!"&amp;Event!$G$4&amp;":"&amp;Event!$G$4),$B160,INDIRECT("Collision!"&amp;Severity!$C$3&amp;":"&amp;Severity!$C$3),D$148))</f>
        <v>#REF!</v>
      </c>
      <c r="E160" s="71" t="e">
        <f t="array" aca="1" ref="E160" ca="1">SUM(COUNTIFS(INDIRECT("Collision!"&amp;Event!$C$3&amp;":"&amp;Event!$C$3),$B160,INDIRECT("Collision!"&amp;Severity!$C$3&amp;":"&amp;Severity!$C$3),{"Moderate Injury","Minor Injury"}), COUNTIFS(INDIRECT("Collision!"&amp;Event!$G$3&amp;":"&amp;Event!$G$3),$B160,INDIRECT("Collision!"&amp;Severity!$C$3&amp;":"&amp;Severity!$C$3),{"Moderate Injury","Minor Injury"}), COUNTIFS(INDIRECT("Collision!"&amp;Event!$G$4&amp;":"&amp;Event!$G$4),$B160,INDIRECT("Collision!"&amp;Severity!$C$3&amp;":"&amp;Severity!$C$3),{"Moderate Injury","Minor Injury"}))</f>
        <v>#REF!</v>
      </c>
      <c r="F160" s="71" t="e">
        <f ca="1">SUM(COUNTIFS(INDIRECT("Collision!"&amp;Event!$C$3&amp;":"&amp;Event!$C$3),$B160,INDIRECT("Collision!"&amp;Severity!$C$3&amp;":"&amp;Severity!$C$3),F$148), COUNTIFS(INDIRECT("Collision!"&amp;Event!$G$3&amp;":"&amp;Event!$G$3),$B160,INDIRECT("Collision!"&amp;Severity!$C$3&amp;":"&amp;Severity!$C$3),F$148), COUNTIFS(INDIRECT("Collision!"&amp;Event!$G$4&amp;":"&amp;Event!$G$4),$B160,INDIRECT("Collision!"&amp;Severity!$C$3&amp;":"&amp;Severity!$C$3),F$148))</f>
        <v>#REF!</v>
      </c>
      <c r="G160" s="71" t="e">
        <f t="shared" ca="1" si="0"/>
        <v>#REF!</v>
      </c>
      <c r="H160" s="69" t="e">
        <f t="shared" ca="1" si="1"/>
        <v>#REF!</v>
      </c>
      <c r="I160" s="71" t="e">
        <f t="shared" ca="1" si="2"/>
        <v>#REF!</v>
      </c>
      <c r="J160" s="69" t="e">
        <f ca="1">IF(G160=0,0,PCF_Severity2[[#This Row],[Crash Count]]/$I$283)</f>
        <v>#REF!</v>
      </c>
      <c r="K160" t="e">
        <f ca="1">SUM(PCF_Severity2[[#This Row],[Severe Injury]:[Other Injury]])</f>
        <v>#REF!</v>
      </c>
      <c r="L160" s="69" t="e">
        <f ca="1">PCF_Severity2[[#This Row],[Crash Count2]]/$K$283</f>
        <v>#REF!</v>
      </c>
      <c r="M160" s="86" t="str">
        <f>VLOOKUP(PCF_Severity2[[#This Row],[Crash Event]],PCF_3[[#Headers],[#Data]],4,FALSE)</f>
        <v>Vehicle struck railroad car on roadway</v>
      </c>
      <c r="Q160" s="84"/>
    </row>
    <row r="161" spans="2:17" ht="30" customHeight="1" x14ac:dyDescent="0.25">
      <c r="B161" t="s">
        <v>176</v>
      </c>
      <c r="C161" s="71" t="e">
        <f ca="1">SUM(COUNTIFS(INDIRECT("Collision!"&amp;Event!$C$3&amp;":"&amp;Event!$C$3),$B161,INDIRECT("Collision!"&amp;Severity!$C$3&amp;":"&amp;Severity!$C$3),C$148), COUNTIFS(INDIRECT("Collision!"&amp;Event!$G$3&amp;":"&amp;Event!$G$3),$B161,INDIRECT("Collision!"&amp;Severity!$C$3&amp;":"&amp;Severity!$C$3),C$148), COUNTIFS(INDIRECT("Collision!"&amp;Event!$G$4&amp;":"&amp;Event!$G$4),$B161,INDIRECT("Collision!"&amp;Severity!$C$3&amp;":"&amp;Severity!$C$3),C$148))</f>
        <v>#REF!</v>
      </c>
      <c r="D161" s="71" t="e">
        <f ca="1">SUM(COUNTIFS(INDIRECT("Collision!"&amp;Event!$C$3&amp;":"&amp;Event!$C$3),$B161,INDIRECT("Collision!"&amp;Severity!$C$3&amp;":"&amp;Severity!$C$3),D$148), COUNTIFS(INDIRECT("Collision!"&amp;Event!$G$3&amp;":"&amp;Event!$G$3),$B161,INDIRECT("Collision!"&amp;Severity!$C$3&amp;":"&amp;Severity!$C$3),D$148), COUNTIFS(INDIRECT("Collision!"&amp;Event!$G$4&amp;":"&amp;Event!$G$4),$B161,INDIRECT("Collision!"&amp;Severity!$C$3&amp;":"&amp;Severity!$C$3),D$148))</f>
        <v>#REF!</v>
      </c>
      <c r="E161" s="71" t="e">
        <f t="array" aca="1" ref="E161" ca="1">SUM(COUNTIFS(INDIRECT("Collision!"&amp;Event!$C$3&amp;":"&amp;Event!$C$3),$B161,INDIRECT("Collision!"&amp;Severity!$C$3&amp;":"&amp;Severity!$C$3),{"Moderate Injury","Minor Injury"}), COUNTIFS(INDIRECT("Collision!"&amp;Event!$G$3&amp;":"&amp;Event!$G$3),$B161,INDIRECT("Collision!"&amp;Severity!$C$3&amp;":"&amp;Severity!$C$3),{"Moderate Injury","Minor Injury"}), COUNTIFS(INDIRECT("Collision!"&amp;Event!$G$4&amp;":"&amp;Event!$G$4),$B161,INDIRECT("Collision!"&amp;Severity!$C$3&amp;":"&amp;Severity!$C$3),{"Moderate Injury","Minor Injury"}))</f>
        <v>#REF!</v>
      </c>
      <c r="F161" s="71" t="e">
        <f ca="1">SUM(COUNTIFS(INDIRECT("Collision!"&amp;Event!$C$3&amp;":"&amp;Event!$C$3),$B161,INDIRECT("Collision!"&amp;Severity!$C$3&amp;":"&amp;Severity!$C$3),F$148), COUNTIFS(INDIRECT("Collision!"&amp;Event!$G$3&amp;":"&amp;Event!$G$3),$B161,INDIRECT("Collision!"&amp;Severity!$C$3&amp;":"&amp;Severity!$C$3),F$148), COUNTIFS(INDIRECT("Collision!"&amp;Event!$G$4&amp;":"&amp;Event!$G$4),$B161,INDIRECT("Collision!"&amp;Severity!$C$3&amp;":"&amp;Severity!$C$3),F$148))</f>
        <v>#REF!</v>
      </c>
      <c r="G161" s="71" t="e">
        <f t="shared" ca="1" si="0"/>
        <v>#REF!</v>
      </c>
      <c r="H161" s="69" t="e">
        <f t="shared" ca="1" si="1"/>
        <v>#REF!</v>
      </c>
      <c r="I161" s="71" t="e">
        <f t="shared" ca="1" si="2"/>
        <v>#REF!</v>
      </c>
      <c r="J161" s="69" t="e">
        <f ca="1">IF(G161=0,0,PCF_Severity2[[#This Row],[Crash Count]]/$I$283)</f>
        <v>#REF!</v>
      </c>
      <c r="K161" t="e">
        <f ca="1">SUM(PCF_Severity2[[#This Row],[Severe Injury]:[Other Injury]])</f>
        <v>#REF!</v>
      </c>
      <c r="L161" s="69" t="e">
        <f ca="1">PCF_Severity2[[#This Row],[Crash Count2]]/$K$283</f>
        <v>#REF!</v>
      </c>
      <c r="M161" s="86" t="str">
        <f>VLOOKUP(PCF_Severity2[[#This Row],[Crash Event]],PCF_3[[#Headers],[#Data]],4,FALSE)</f>
        <v>Hood flew up</v>
      </c>
      <c r="Q161" s="84"/>
    </row>
    <row r="162" spans="2:17" x14ac:dyDescent="0.25">
      <c r="B162" t="s">
        <v>181</v>
      </c>
      <c r="C162" s="71" t="e">
        <f ca="1">SUM(COUNTIFS(INDIRECT("Collision!"&amp;Event!$C$3&amp;":"&amp;Event!$C$3),$B162,INDIRECT("Collision!"&amp;Severity!$C$3&amp;":"&amp;Severity!$C$3),C$148), COUNTIFS(INDIRECT("Collision!"&amp;Event!$G$3&amp;":"&amp;Event!$G$3),$B162,INDIRECT("Collision!"&amp;Severity!$C$3&amp;":"&amp;Severity!$C$3),C$148), COUNTIFS(INDIRECT("Collision!"&amp;Event!$G$4&amp;":"&amp;Event!$G$4),$B162,INDIRECT("Collision!"&amp;Severity!$C$3&amp;":"&amp;Severity!$C$3),C$148))</f>
        <v>#REF!</v>
      </c>
      <c r="D162" s="71" t="e">
        <f ca="1">SUM(COUNTIFS(INDIRECT("Collision!"&amp;Event!$C$3&amp;":"&amp;Event!$C$3),$B162,INDIRECT("Collision!"&amp;Severity!$C$3&amp;":"&amp;Severity!$C$3),D$148), COUNTIFS(INDIRECT("Collision!"&amp;Event!$G$3&amp;":"&amp;Event!$G$3),$B162,INDIRECT("Collision!"&amp;Severity!$C$3&amp;":"&amp;Severity!$C$3),D$148), COUNTIFS(INDIRECT("Collision!"&amp;Event!$G$4&amp;":"&amp;Event!$G$4),$B162,INDIRECT("Collision!"&amp;Severity!$C$3&amp;":"&amp;Severity!$C$3),D$148))</f>
        <v>#REF!</v>
      </c>
      <c r="E162" s="71" t="e">
        <f t="array" aca="1" ref="E162" ca="1">SUM(COUNTIFS(INDIRECT("Collision!"&amp;Event!$C$3&amp;":"&amp;Event!$C$3),$B162,INDIRECT("Collision!"&amp;Severity!$C$3&amp;":"&amp;Severity!$C$3),{"Moderate Injury","Minor Injury"}), COUNTIFS(INDIRECT("Collision!"&amp;Event!$G$3&amp;":"&amp;Event!$G$3),$B162,INDIRECT("Collision!"&amp;Severity!$C$3&amp;":"&amp;Severity!$C$3),{"Moderate Injury","Minor Injury"}), COUNTIFS(INDIRECT("Collision!"&amp;Event!$G$4&amp;":"&amp;Event!$G$4),$B162,INDIRECT("Collision!"&amp;Severity!$C$3&amp;":"&amp;Severity!$C$3),{"Moderate Injury","Minor Injury"}))</f>
        <v>#REF!</v>
      </c>
      <c r="F162" s="71" t="e">
        <f ca="1">SUM(COUNTIFS(INDIRECT("Collision!"&amp;Event!$C$3&amp;":"&amp;Event!$C$3),$B162,INDIRECT("Collision!"&amp;Severity!$C$3&amp;":"&amp;Severity!$C$3),F$148), COUNTIFS(INDIRECT("Collision!"&amp;Event!$G$3&amp;":"&amp;Event!$G$3),$B162,INDIRECT("Collision!"&amp;Severity!$C$3&amp;":"&amp;Severity!$C$3),F$148), COUNTIFS(INDIRECT("Collision!"&amp;Event!$G$4&amp;":"&amp;Event!$G$4),$B162,INDIRECT("Collision!"&amp;Severity!$C$3&amp;":"&amp;Severity!$C$3),F$148))</f>
        <v>#REF!</v>
      </c>
      <c r="G162" s="71" t="e">
        <f t="shared" ca="1" si="0"/>
        <v>#REF!</v>
      </c>
      <c r="H162" s="69" t="e">
        <f t="shared" ca="1" si="1"/>
        <v>#REF!</v>
      </c>
      <c r="I162" s="71" t="e">
        <f t="shared" ca="1" si="2"/>
        <v>#REF!</v>
      </c>
      <c r="J162" s="69" t="e">
        <f ca="1">IF(G162=0,0,PCF_Severity2[[#This Row],[Crash Count]]/$I$283)</f>
        <v>#REF!</v>
      </c>
      <c r="K162" t="e">
        <f ca="1">SUM(PCF_Severity2[[#This Row],[Severe Injury]:[Other Injury]])</f>
        <v>#REF!</v>
      </c>
      <c r="L162" s="69" t="e">
        <f ca="1">PCF_Severity2[[#This Row],[Crash Count2]]/$K$283</f>
        <v>#REF!</v>
      </c>
      <c r="M162" s="86" t="str">
        <f>VLOOKUP(PCF_Severity2[[#This Row],[Crash Event]],PCF_3[[#Headers],[#Data]],4,FALSE)</f>
        <v>Horse and rider</v>
      </c>
      <c r="Q162" s="84"/>
    </row>
    <row r="163" spans="2:17" x14ac:dyDescent="0.25">
      <c r="B163" t="s">
        <v>184</v>
      </c>
      <c r="C163" s="71" t="e">
        <f ca="1">SUM(COUNTIFS(INDIRECT("Collision!"&amp;Event!$C$3&amp;":"&amp;Event!$C$3),$B163,INDIRECT("Collision!"&amp;Severity!$C$3&amp;":"&amp;Severity!$C$3),C$148), COUNTIFS(INDIRECT("Collision!"&amp;Event!$G$3&amp;":"&amp;Event!$G$3),$B163,INDIRECT("Collision!"&amp;Severity!$C$3&amp;":"&amp;Severity!$C$3),C$148), COUNTIFS(INDIRECT("Collision!"&amp;Event!$G$4&amp;":"&amp;Event!$G$4),$B163,INDIRECT("Collision!"&amp;Severity!$C$3&amp;":"&amp;Severity!$C$3),C$148))</f>
        <v>#REF!</v>
      </c>
      <c r="D163" s="71" t="e">
        <f ca="1">SUM(COUNTIFS(INDIRECT("Collision!"&amp;Event!$C$3&amp;":"&amp;Event!$C$3),$B163,INDIRECT("Collision!"&amp;Severity!$C$3&amp;":"&amp;Severity!$C$3),D$148), COUNTIFS(INDIRECT("Collision!"&amp;Event!$G$3&amp;":"&amp;Event!$G$3),$B163,INDIRECT("Collision!"&amp;Severity!$C$3&amp;":"&amp;Severity!$C$3),D$148), COUNTIFS(INDIRECT("Collision!"&amp;Event!$G$4&amp;":"&amp;Event!$G$4),$B163,INDIRECT("Collision!"&amp;Severity!$C$3&amp;":"&amp;Severity!$C$3),D$148))</f>
        <v>#REF!</v>
      </c>
      <c r="E163" s="71" t="e">
        <f t="array" aca="1" ref="E163" ca="1">SUM(COUNTIFS(INDIRECT("Collision!"&amp;Event!$C$3&amp;":"&amp;Event!$C$3),$B163,INDIRECT("Collision!"&amp;Severity!$C$3&amp;":"&amp;Severity!$C$3),{"Moderate Injury","Minor Injury"}), COUNTIFS(INDIRECT("Collision!"&amp;Event!$G$3&amp;":"&amp;Event!$G$3),$B163,INDIRECT("Collision!"&amp;Severity!$C$3&amp;":"&amp;Severity!$C$3),{"Moderate Injury","Minor Injury"}), COUNTIFS(INDIRECT("Collision!"&amp;Event!$G$4&amp;":"&amp;Event!$G$4),$B163,INDIRECT("Collision!"&amp;Severity!$C$3&amp;":"&amp;Severity!$C$3),{"Moderate Injury","Minor Injury"}))</f>
        <v>#REF!</v>
      </c>
      <c r="F163" s="71" t="e">
        <f ca="1">SUM(COUNTIFS(INDIRECT("Collision!"&amp;Event!$C$3&amp;":"&amp;Event!$C$3),$B163,INDIRECT("Collision!"&amp;Severity!$C$3&amp;":"&amp;Severity!$C$3),F$148), COUNTIFS(INDIRECT("Collision!"&amp;Event!$G$3&amp;":"&amp;Event!$G$3),$B163,INDIRECT("Collision!"&amp;Severity!$C$3&amp;":"&amp;Severity!$C$3),F$148), COUNTIFS(INDIRECT("Collision!"&amp;Event!$G$4&amp;":"&amp;Event!$G$4),$B163,INDIRECT("Collision!"&amp;Severity!$C$3&amp;":"&amp;Severity!$C$3),F$148))</f>
        <v>#REF!</v>
      </c>
      <c r="G163" s="71" t="e">
        <f t="shared" ca="1" si="0"/>
        <v>#REF!</v>
      </c>
      <c r="H163" s="69" t="e">
        <f t="shared" ca="1" si="1"/>
        <v>#REF!</v>
      </c>
      <c r="I163" s="71" t="e">
        <f t="shared" ca="1" si="2"/>
        <v>#REF!</v>
      </c>
      <c r="J163" s="69" t="e">
        <f ca="1">IF(G163=0,0,PCF_Severity2[[#This Row],[Crash Count]]/$I$283)</f>
        <v>#REF!</v>
      </c>
      <c r="K163" t="e">
        <f ca="1">SUM(PCF_Severity2[[#This Row],[Severe Injury]:[Other Injury]])</f>
        <v>#REF!</v>
      </c>
      <c r="L163" s="69" t="e">
        <f ca="1">PCF_Severity2[[#This Row],[Crash Count2]]/$K$283</f>
        <v>#REF!</v>
      </c>
      <c r="M163" s="86" t="str">
        <f>VLOOKUP(PCF_Severity2[[#This Row],[Crash Event]],PCF_3[[#Headers],[#Data]],4,FALSE)</f>
        <v>Animal-drawn vehicle</v>
      </c>
      <c r="Q163" s="84"/>
    </row>
    <row r="164" spans="2:17" x14ac:dyDescent="0.25">
      <c r="B164" t="s">
        <v>186</v>
      </c>
      <c r="C164" s="71" t="e">
        <f ca="1">SUM(COUNTIFS(INDIRECT("Collision!"&amp;Event!$C$3&amp;":"&amp;Event!$C$3),$B164,INDIRECT("Collision!"&amp;Severity!$C$3&amp;":"&amp;Severity!$C$3),C$148), COUNTIFS(INDIRECT("Collision!"&amp;Event!$G$3&amp;":"&amp;Event!$G$3),$B164,INDIRECT("Collision!"&amp;Severity!$C$3&amp;":"&amp;Severity!$C$3),C$148), COUNTIFS(INDIRECT("Collision!"&amp;Event!$G$4&amp;":"&amp;Event!$G$4),$B164,INDIRECT("Collision!"&amp;Severity!$C$3&amp;":"&amp;Severity!$C$3),C$148))</f>
        <v>#REF!</v>
      </c>
      <c r="D164" s="71" t="e">
        <f ca="1">SUM(COUNTIFS(INDIRECT("Collision!"&amp;Event!$C$3&amp;":"&amp;Event!$C$3),$B164,INDIRECT("Collision!"&amp;Severity!$C$3&amp;":"&amp;Severity!$C$3),D$148), COUNTIFS(INDIRECT("Collision!"&amp;Event!$G$3&amp;":"&amp;Event!$G$3),$B164,INDIRECT("Collision!"&amp;Severity!$C$3&amp;":"&amp;Severity!$C$3),D$148), COUNTIFS(INDIRECT("Collision!"&amp;Event!$G$4&amp;":"&amp;Event!$G$4),$B164,INDIRECT("Collision!"&amp;Severity!$C$3&amp;":"&amp;Severity!$C$3),D$148))</f>
        <v>#REF!</v>
      </c>
      <c r="E164" s="71" t="e">
        <f t="array" aca="1" ref="E164" ca="1">SUM(COUNTIFS(INDIRECT("Collision!"&amp;Event!$C$3&amp;":"&amp;Event!$C$3),$B164,INDIRECT("Collision!"&amp;Severity!$C$3&amp;":"&amp;Severity!$C$3),{"Moderate Injury","Minor Injury"}), COUNTIFS(INDIRECT("Collision!"&amp;Event!$G$3&amp;":"&amp;Event!$G$3),$B164,INDIRECT("Collision!"&amp;Severity!$C$3&amp;":"&amp;Severity!$C$3),{"Moderate Injury","Minor Injury"}), COUNTIFS(INDIRECT("Collision!"&amp;Event!$G$4&amp;":"&amp;Event!$G$4),$B164,INDIRECT("Collision!"&amp;Severity!$C$3&amp;":"&amp;Severity!$C$3),{"Moderate Injury","Minor Injury"}))</f>
        <v>#REF!</v>
      </c>
      <c r="F164" s="71" t="e">
        <f ca="1">SUM(COUNTIFS(INDIRECT("Collision!"&amp;Event!$C$3&amp;":"&amp;Event!$C$3),$B164,INDIRECT("Collision!"&amp;Severity!$C$3&amp;":"&amp;Severity!$C$3),F$148), COUNTIFS(INDIRECT("Collision!"&amp;Event!$G$3&amp;":"&amp;Event!$G$3),$B164,INDIRECT("Collision!"&amp;Severity!$C$3&amp;":"&amp;Severity!$C$3),F$148), COUNTIFS(INDIRECT("Collision!"&amp;Event!$G$4&amp;":"&amp;Event!$G$4),$B164,INDIRECT("Collision!"&amp;Severity!$C$3&amp;":"&amp;Severity!$C$3),F$148))</f>
        <v>#REF!</v>
      </c>
      <c r="G164" s="71" t="e">
        <f t="shared" ca="1" si="0"/>
        <v>#REF!</v>
      </c>
      <c r="H164" s="69" t="e">
        <f t="shared" ca="1" si="1"/>
        <v>#REF!</v>
      </c>
      <c r="I164" s="71" t="e">
        <f t="shared" ca="1" si="2"/>
        <v>#REF!</v>
      </c>
      <c r="J164" s="69" t="e">
        <f ca="1">IF(G164=0,0,PCF_Severity2[[#This Row],[Crash Count]]/$I$283)</f>
        <v>#REF!</v>
      </c>
      <c r="K164" t="e">
        <f ca="1">SUM(PCF_Severity2[[#This Row],[Severe Injury]:[Other Injury]])</f>
        <v>#REF!</v>
      </c>
      <c r="L164" s="69" t="e">
        <f ca="1">PCF_Severity2[[#This Row],[Crash Count2]]/$K$283</f>
        <v>#REF!</v>
      </c>
      <c r="M164" s="86" t="str">
        <f>VLOOKUP(PCF_Severity2[[#This Row],[Crash Event]],PCF_3[[#Headers],[#Data]],4,FALSE)</f>
        <v>*Impact attenuator</v>
      </c>
      <c r="Q164" s="84"/>
    </row>
    <row r="165" spans="2:17" x14ac:dyDescent="0.25">
      <c r="B165" t="s">
        <v>187</v>
      </c>
      <c r="C165" s="71" t="e">
        <f ca="1">SUM(COUNTIFS(INDIRECT("Collision!"&amp;Event!$C$3&amp;":"&amp;Event!$C$3),$B165,INDIRECT("Collision!"&amp;Severity!$C$3&amp;":"&amp;Severity!$C$3),C$148), COUNTIFS(INDIRECT("Collision!"&amp;Event!$G$3&amp;":"&amp;Event!$G$3),$B165,INDIRECT("Collision!"&amp;Severity!$C$3&amp;":"&amp;Severity!$C$3),C$148), COUNTIFS(INDIRECT("Collision!"&amp;Event!$G$4&amp;":"&amp;Event!$G$4),$B165,INDIRECT("Collision!"&amp;Severity!$C$3&amp;":"&amp;Severity!$C$3),C$148))</f>
        <v>#REF!</v>
      </c>
      <c r="D165" s="71" t="e">
        <f ca="1">SUM(COUNTIFS(INDIRECT("Collision!"&amp;Event!$C$3&amp;":"&amp;Event!$C$3),$B165,INDIRECT("Collision!"&amp;Severity!$C$3&amp;":"&amp;Severity!$C$3),D$148), COUNTIFS(INDIRECT("Collision!"&amp;Event!$G$3&amp;":"&amp;Event!$G$3),$B165,INDIRECT("Collision!"&amp;Severity!$C$3&amp;":"&amp;Severity!$C$3),D$148), COUNTIFS(INDIRECT("Collision!"&amp;Event!$G$4&amp;":"&amp;Event!$G$4),$B165,INDIRECT("Collision!"&amp;Severity!$C$3&amp;":"&amp;Severity!$C$3),D$148))</f>
        <v>#REF!</v>
      </c>
      <c r="E165" s="71" t="e">
        <f t="array" aca="1" ref="E165" ca="1">SUM(COUNTIFS(INDIRECT("Collision!"&amp;Event!$C$3&amp;":"&amp;Event!$C$3),$B165,INDIRECT("Collision!"&amp;Severity!$C$3&amp;":"&amp;Severity!$C$3),{"Moderate Injury","Minor Injury"}), COUNTIFS(INDIRECT("Collision!"&amp;Event!$G$3&amp;":"&amp;Event!$G$3),$B165,INDIRECT("Collision!"&amp;Severity!$C$3&amp;":"&amp;Severity!$C$3),{"Moderate Injury","Minor Injury"}), COUNTIFS(INDIRECT("Collision!"&amp;Event!$G$4&amp;":"&amp;Event!$G$4),$B165,INDIRECT("Collision!"&amp;Severity!$C$3&amp;":"&amp;Severity!$C$3),{"Moderate Injury","Minor Injury"}))</f>
        <v>#REF!</v>
      </c>
      <c r="F165" s="71" t="e">
        <f ca="1">SUM(COUNTIFS(INDIRECT("Collision!"&amp;Event!$C$3&amp;":"&amp;Event!$C$3),$B165,INDIRECT("Collision!"&amp;Severity!$C$3&amp;":"&amp;Severity!$C$3),F$148), COUNTIFS(INDIRECT("Collision!"&amp;Event!$G$3&amp;":"&amp;Event!$G$3),$B165,INDIRECT("Collision!"&amp;Severity!$C$3&amp;":"&amp;Severity!$C$3),F$148), COUNTIFS(INDIRECT("Collision!"&amp;Event!$G$4&amp;":"&amp;Event!$G$4),$B165,INDIRECT("Collision!"&amp;Severity!$C$3&amp;":"&amp;Severity!$C$3),F$148))</f>
        <v>#REF!</v>
      </c>
      <c r="G165" s="71" t="e">
        <f t="shared" ca="1" si="0"/>
        <v>#REF!</v>
      </c>
      <c r="H165" s="69" t="e">
        <f t="shared" ca="1" si="1"/>
        <v>#REF!</v>
      </c>
      <c r="I165" s="71" t="e">
        <f t="shared" ca="1" si="2"/>
        <v>#REF!</v>
      </c>
      <c r="J165" s="69" t="e">
        <f ca="1">IF(G165=0,0,PCF_Severity2[[#This Row],[Crash Count]]/$I$283)</f>
        <v>#REF!</v>
      </c>
      <c r="K165" t="e">
        <f ca="1">SUM(PCF_Severity2[[#This Row],[Severe Injury]:[Other Injury]])</f>
        <v>#REF!</v>
      </c>
      <c r="L165" s="69" t="e">
        <f ca="1">PCF_Severity2[[#This Row],[Crash Count2]]/$K$283</f>
        <v>#REF!</v>
      </c>
      <c r="M165" s="86" t="str">
        <f>VLOOKUP(PCF_Severity2[[#This Row],[Crash Event]],PCF_3[[#Headers],[#Data]],4,FALSE)</f>
        <v>Parking meter</v>
      </c>
      <c r="Q165" s="84"/>
    </row>
    <row r="166" spans="2:17" ht="30" customHeight="1" x14ac:dyDescent="0.25">
      <c r="B166" t="s">
        <v>189</v>
      </c>
      <c r="C166" s="71" t="e">
        <f ca="1">SUM(COUNTIFS(INDIRECT("Collision!"&amp;Event!$C$3&amp;":"&amp;Event!$C$3),$B166,INDIRECT("Collision!"&amp;Severity!$C$3&amp;":"&amp;Severity!$C$3),C$148), COUNTIFS(INDIRECT("Collision!"&amp;Event!$G$3&amp;":"&amp;Event!$G$3),$B166,INDIRECT("Collision!"&amp;Severity!$C$3&amp;":"&amp;Severity!$C$3),C$148), COUNTIFS(INDIRECT("Collision!"&amp;Event!$G$4&amp;":"&amp;Event!$G$4),$B166,INDIRECT("Collision!"&amp;Severity!$C$3&amp;":"&amp;Severity!$C$3),C$148))</f>
        <v>#REF!</v>
      </c>
      <c r="D166" s="71" t="e">
        <f ca="1">SUM(COUNTIFS(INDIRECT("Collision!"&amp;Event!$C$3&amp;":"&amp;Event!$C$3),$B166,INDIRECT("Collision!"&amp;Severity!$C$3&amp;":"&amp;Severity!$C$3),D$148), COUNTIFS(INDIRECT("Collision!"&amp;Event!$G$3&amp;":"&amp;Event!$G$3),$B166,INDIRECT("Collision!"&amp;Severity!$C$3&amp;":"&amp;Severity!$C$3),D$148), COUNTIFS(INDIRECT("Collision!"&amp;Event!$G$4&amp;":"&amp;Event!$G$4),$B166,INDIRECT("Collision!"&amp;Severity!$C$3&amp;":"&amp;Severity!$C$3),D$148))</f>
        <v>#REF!</v>
      </c>
      <c r="E166" s="71" t="e">
        <f t="array" aca="1" ref="E166" ca="1">SUM(COUNTIFS(INDIRECT("Collision!"&amp;Event!$C$3&amp;":"&amp;Event!$C$3),$B166,INDIRECT("Collision!"&amp;Severity!$C$3&amp;":"&amp;Severity!$C$3),{"Moderate Injury","Minor Injury"}), COUNTIFS(INDIRECT("Collision!"&amp;Event!$G$3&amp;":"&amp;Event!$G$3),$B166,INDIRECT("Collision!"&amp;Severity!$C$3&amp;":"&amp;Severity!$C$3),{"Moderate Injury","Minor Injury"}), COUNTIFS(INDIRECT("Collision!"&amp;Event!$G$4&amp;":"&amp;Event!$G$4),$B166,INDIRECT("Collision!"&amp;Severity!$C$3&amp;":"&amp;Severity!$C$3),{"Moderate Injury","Minor Injury"}))</f>
        <v>#REF!</v>
      </c>
      <c r="F166" s="71" t="e">
        <f ca="1">SUM(COUNTIFS(INDIRECT("Collision!"&amp;Event!$C$3&amp;":"&amp;Event!$C$3),$B166,INDIRECT("Collision!"&amp;Severity!$C$3&amp;":"&amp;Severity!$C$3),F$148), COUNTIFS(INDIRECT("Collision!"&amp;Event!$G$3&amp;":"&amp;Event!$G$3),$B166,INDIRECT("Collision!"&amp;Severity!$C$3&amp;":"&amp;Severity!$C$3),F$148), COUNTIFS(INDIRECT("Collision!"&amp;Event!$G$4&amp;":"&amp;Event!$G$4),$B166,INDIRECT("Collision!"&amp;Severity!$C$3&amp;":"&amp;Severity!$C$3),F$148))</f>
        <v>#REF!</v>
      </c>
      <c r="G166" s="71" t="e">
        <f t="shared" ca="1" si="0"/>
        <v>#REF!</v>
      </c>
      <c r="H166" s="69" t="e">
        <f t="shared" ca="1" si="1"/>
        <v>#REF!</v>
      </c>
      <c r="I166" s="71" t="e">
        <f t="shared" ca="1" si="2"/>
        <v>#REF!</v>
      </c>
      <c r="J166" s="69" t="e">
        <f ca="1">IF(G166=0,0,PCF_Severity2[[#This Row],[Crash Count]]/$I$283)</f>
        <v>#REF!</v>
      </c>
      <c r="K166" t="e">
        <f ca="1">SUM(PCF_Severity2[[#This Row],[Severe Injury]:[Other Injury]])</f>
        <v>#REF!</v>
      </c>
      <c r="L166" s="69" t="e">
        <f ca="1">PCF_Severity2[[#This Row],[Crash Count2]]/$K$283</f>
        <v>#REF!</v>
      </c>
      <c r="M166" s="86" t="str">
        <f>VLOOKUP(PCF_Severity2[[#This Row],[Crash Event]],PCF_3[[#Headers],[#Data]],4,FALSE)</f>
        <v>Jiggle bars or traffic snake for channelization</v>
      </c>
      <c r="Q166" s="84"/>
    </row>
    <row r="167" spans="2:17" x14ac:dyDescent="0.25">
      <c r="B167" t="s">
        <v>193</v>
      </c>
      <c r="C167" s="71" t="e">
        <f ca="1">SUM(COUNTIFS(INDIRECT("Collision!"&amp;Event!$C$3&amp;":"&amp;Event!$C$3),$B167,INDIRECT("Collision!"&amp;Severity!$C$3&amp;":"&amp;Severity!$C$3),C$148), COUNTIFS(INDIRECT("Collision!"&amp;Event!$G$3&amp;":"&amp;Event!$G$3),$B167,INDIRECT("Collision!"&amp;Severity!$C$3&amp;":"&amp;Severity!$C$3),C$148), COUNTIFS(INDIRECT("Collision!"&amp;Event!$G$4&amp;":"&amp;Event!$G$4),$B167,INDIRECT("Collision!"&amp;Severity!$C$3&amp;":"&amp;Severity!$C$3),C$148))</f>
        <v>#REF!</v>
      </c>
      <c r="D167" s="71" t="e">
        <f ca="1">SUM(COUNTIFS(INDIRECT("Collision!"&amp;Event!$C$3&amp;":"&amp;Event!$C$3),$B167,INDIRECT("Collision!"&amp;Severity!$C$3&amp;":"&amp;Severity!$C$3),D$148), COUNTIFS(INDIRECT("Collision!"&amp;Event!$G$3&amp;":"&amp;Event!$G$3),$B167,INDIRECT("Collision!"&amp;Severity!$C$3&amp;":"&amp;Severity!$C$3),D$148), COUNTIFS(INDIRECT("Collision!"&amp;Event!$G$4&amp;":"&amp;Event!$G$4),$B167,INDIRECT("Collision!"&amp;Severity!$C$3&amp;":"&amp;Severity!$C$3),D$148))</f>
        <v>#REF!</v>
      </c>
      <c r="E167" s="71" t="e">
        <f t="array" aca="1" ref="E167" ca="1">SUM(COUNTIFS(INDIRECT("Collision!"&amp;Event!$C$3&amp;":"&amp;Event!$C$3),$B167,INDIRECT("Collision!"&amp;Severity!$C$3&amp;":"&amp;Severity!$C$3),{"Moderate Injury","Minor Injury"}), COUNTIFS(INDIRECT("Collision!"&amp;Event!$G$3&amp;":"&amp;Event!$G$3),$B167,INDIRECT("Collision!"&amp;Severity!$C$3&amp;":"&amp;Severity!$C$3),{"Moderate Injury","Minor Injury"}), COUNTIFS(INDIRECT("Collision!"&amp;Event!$G$4&amp;":"&amp;Event!$G$4),$B167,INDIRECT("Collision!"&amp;Severity!$C$3&amp;":"&amp;Severity!$C$3),{"Moderate Injury","Minor Injury"}))</f>
        <v>#REF!</v>
      </c>
      <c r="F167" s="71" t="e">
        <f ca="1">SUM(COUNTIFS(INDIRECT("Collision!"&amp;Event!$C$3&amp;":"&amp;Event!$C$3),$B167,INDIRECT("Collision!"&amp;Severity!$C$3&amp;":"&amp;Severity!$C$3),F$148), COUNTIFS(INDIRECT("Collision!"&amp;Event!$G$3&amp;":"&amp;Event!$G$3),$B167,INDIRECT("Collision!"&amp;Severity!$C$3&amp;":"&amp;Severity!$C$3),F$148), COUNTIFS(INDIRECT("Collision!"&amp;Event!$G$4&amp;":"&amp;Event!$G$4),$B167,INDIRECT("Collision!"&amp;Severity!$C$3&amp;":"&amp;Severity!$C$3),F$148))</f>
        <v>#REF!</v>
      </c>
      <c r="G167" s="71" t="e">
        <f t="shared" ca="1" si="0"/>
        <v>#REF!</v>
      </c>
      <c r="H167" s="69" t="e">
        <f t="shared" ca="1" si="1"/>
        <v>#REF!</v>
      </c>
      <c r="I167" s="71" t="e">
        <f t="shared" ca="1" si="2"/>
        <v>#REF!</v>
      </c>
      <c r="J167" s="69" t="e">
        <f ca="1">IF(G167=0,0,PCF_Severity2[[#This Row],[Crash Count]]/$I$283)</f>
        <v>#REF!</v>
      </c>
      <c r="K167" t="e">
        <f ca="1">SUM(PCF_Severity2[[#This Row],[Severe Injury]:[Other Injury]])</f>
        <v>#REF!</v>
      </c>
      <c r="L167" s="69" t="e">
        <f ca="1">PCF_Severity2[[#This Row],[Crash Count2]]/$K$283</f>
        <v>#REF!</v>
      </c>
      <c r="M167" s="86" t="str">
        <f>VLOOKUP(PCF_Severity2[[#This Row],[Crash Event]],PCF_3[[#Headers],[#Data]],4,FALSE)</f>
        <v>Retaining wall or tunnel wall</v>
      </c>
      <c r="Q167" s="84"/>
    </row>
    <row r="168" spans="2:17" x14ac:dyDescent="0.25">
      <c r="B168" t="s">
        <v>195</v>
      </c>
      <c r="C168" s="71" t="e">
        <f ca="1">SUM(COUNTIFS(INDIRECT("Collision!"&amp;Event!$C$3&amp;":"&amp;Event!$C$3),$B168,INDIRECT("Collision!"&amp;Severity!$C$3&amp;":"&amp;Severity!$C$3),C$148), COUNTIFS(INDIRECT("Collision!"&amp;Event!$G$3&amp;":"&amp;Event!$G$3),$B168,INDIRECT("Collision!"&amp;Severity!$C$3&amp;":"&amp;Severity!$C$3),C$148), COUNTIFS(INDIRECT("Collision!"&amp;Event!$G$4&amp;":"&amp;Event!$G$4),$B168,INDIRECT("Collision!"&amp;Severity!$C$3&amp;":"&amp;Severity!$C$3),C$148))</f>
        <v>#REF!</v>
      </c>
      <c r="D168" s="71" t="e">
        <f ca="1">SUM(COUNTIFS(INDIRECT("Collision!"&amp;Event!$C$3&amp;":"&amp;Event!$C$3),$B168,INDIRECT("Collision!"&amp;Severity!$C$3&amp;":"&amp;Severity!$C$3),D$148), COUNTIFS(INDIRECT("Collision!"&amp;Event!$G$3&amp;":"&amp;Event!$G$3),$B168,INDIRECT("Collision!"&amp;Severity!$C$3&amp;":"&amp;Severity!$C$3),D$148), COUNTIFS(INDIRECT("Collision!"&amp;Event!$G$4&amp;":"&amp;Event!$G$4),$B168,INDIRECT("Collision!"&amp;Severity!$C$3&amp;":"&amp;Severity!$C$3),D$148))</f>
        <v>#REF!</v>
      </c>
      <c r="E168" s="71" t="e">
        <f t="array" aca="1" ref="E168" ca="1">SUM(COUNTIFS(INDIRECT("Collision!"&amp;Event!$C$3&amp;":"&amp;Event!$C$3),$B168,INDIRECT("Collision!"&amp;Severity!$C$3&amp;":"&amp;Severity!$C$3),{"Moderate Injury","Minor Injury"}), COUNTIFS(INDIRECT("Collision!"&amp;Event!$G$3&amp;":"&amp;Event!$G$3),$B168,INDIRECT("Collision!"&amp;Severity!$C$3&amp;":"&amp;Severity!$C$3),{"Moderate Injury","Minor Injury"}), COUNTIFS(INDIRECT("Collision!"&amp;Event!$G$4&amp;":"&amp;Event!$G$4),$B168,INDIRECT("Collision!"&amp;Severity!$C$3&amp;":"&amp;Severity!$C$3),{"Moderate Injury","Minor Injury"}))</f>
        <v>#REF!</v>
      </c>
      <c r="F168" s="71" t="e">
        <f ca="1">SUM(COUNTIFS(INDIRECT("Collision!"&amp;Event!$C$3&amp;":"&amp;Event!$C$3),$B168,INDIRECT("Collision!"&amp;Severity!$C$3&amp;":"&amp;Severity!$C$3),F$148), COUNTIFS(INDIRECT("Collision!"&amp;Event!$G$3&amp;":"&amp;Event!$G$3),$B168,INDIRECT("Collision!"&amp;Severity!$C$3&amp;":"&amp;Severity!$C$3),F$148), COUNTIFS(INDIRECT("Collision!"&amp;Event!$G$4&amp;":"&amp;Event!$G$4),$B168,INDIRECT("Collision!"&amp;Severity!$C$3&amp;":"&amp;Severity!$C$3),F$148))</f>
        <v>#REF!</v>
      </c>
      <c r="G168" s="71" t="e">
        <f t="shared" ca="1" si="0"/>
        <v>#REF!</v>
      </c>
      <c r="H168" s="69" t="e">
        <f t="shared" ca="1" si="1"/>
        <v>#REF!</v>
      </c>
      <c r="I168" s="71" t="e">
        <f t="shared" ca="1" si="2"/>
        <v>#REF!</v>
      </c>
      <c r="J168" s="69" t="e">
        <f ca="1">IF(G168=0,0,PCF_Severity2[[#This Row],[Crash Count]]/$I$283)</f>
        <v>#REF!</v>
      </c>
      <c r="K168" t="e">
        <f ca="1">SUM(PCF_Severity2[[#This Row],[Severe Injury]:[Other Injury]])</f>
        <v>#REF!</v>
      </c>
      <c r="L168" s="69" t="e">
        <f ca="1">PCF_Severity2[[#This Row],[Crash Count2]]/$K$283</f>
        <v>#REF!</v>
      </c>
      <c r="M168" s="86" t="str">
        <f>VLOOKUP(PCF_Severity2[[#This Row],[Crash Event]],PCF_3[[#Headers],[#Data]],4,FALSE)</f>
        <v>*Bridge abutment (Approach ends)</v>
      </c>
      <c r="Q168" s="84"/>
    </row>
    <row r="169" spans="2:17" ht="30" x14ac:dyDescent="0.25">
      <c r="B169" t="s">
        <v>197</v>
      </c>
      <c r="C169" s="71" t="e">
        <f ca="1">SUM(COUNTIFS(INDIRECT("Collision!"&amp;Event!$C$3&amp;":"&amp;Event!$C$3),$B169,INDIRECT("Collision!"&amp;Severity!$C$3&amp;":"&amp;Severity!$C$3),C$148), COUNTIFS(INDIRECT("Collision!"&amp;Event!$G$3&amp;":"&amp;Event!$G$3),$B169,INDIRECT("Collision!"&amp;Severity!$C$3&amp;":"&amp;Severity!$C$3),C$148), COUNTIFS(INDIRECT("Collision!"&amp;Event!$G$4&amp;":"&amp;Event!$G$4),$B169,INDIRECT("Collision!"&amp;Severity!$C$3&amp;":"&amp;Severity!$C$3),C$148))</f>
        <v>#REF!</v>
      </c>
      <c r="D169" s="71" t="e">
        <f ca="1">SUM(COUNTIFS(INDIRECT("Collision!"&amp;Event!$C$3&amp;":"&amp;Event!$C$3),$B169,INDIRECT("Collision!"&amp;Severity!$C$3&amp;":"&amp;Severity!$C$3),D$148), COUNTIFS(INDIRECT("Collision!"&amp;Event!$G$3&amp;":"&amp;Event!$G$3),$B169,INDIRECT("Collision!"&amp;Severity!$C$3&amp;":"&amp;Severity!$C$3),D$148), COUNTIFS(INDIRECT("Collision!"&amp;Event!$G$4&amp;":"&amp;Event!$G$4),$B169,INDIRECT("Collision!"&amp;Severity!$C$3&amp;":"&amp;Severity!$C$3),D$148))</f>
        <v>#REF!</v>
      </c>
      <c r="E169" s="71" t="e">
        <f t="array" aca="1" ref="E169" ca="1">SUM(COUNTIFS(INDIRECT("Collision!"&amp;Event!$C$3&amp;":"&amp;Event!$C$3),$B169,INDIRECT("Collision!"&amp;Severity!$C$3&amp;":"&amp;Severity!$C$3),{"Moderate Injury","Minor Injury"}), COUNTIFS(INDIRECT("Collision!"&amp;Event!$G$3&amp;":"&amp;Event!$G$3),$B169,INDIRECT("Collision!"&amp;Severity!$C$3&amp;":"&amp;Severity!$C$3),{"Moderate Injury","Minor Injury"}), COUNTIFS(INDIRECT("Collision!"&amp;Event!$G$4&amp;":"&amp;Event!$G$4),$B169,INDIRECT("Collision!"&amp;Severity!$C$3&amp;":"&amp;Severity!$C$3),{"Moderate Injury","Minor Injury"}))</f>
        <v>#REF!</v>
      </c>
      <c r="F169" s="71" t="e">
        <f ca="1">SUM(COUNTIFS(INDIRECT("Collision!"&amp;Event!$C$3&amp;":"&amp;Event!$C$3),$B169,INDIRECT("Collision!"&amp;Severity!$C$3&amp;":"&amp;Severity!$C$3),F$148), COUNTIFS(INDIRECT("Collision!"&amp;Event!$G$3&amp;":"&amp;Event!$G$3),$B169,INDIRECT("Collision!"&amp;Severity!$C$3&amp;":"&amp;Severity!$C$3),F$148), COUNTIFS(INDIRECT("Collision!"&amp;Event!$G$4&amp;":"&amp;Event!$G$4),$B169,INDIRECT("Collision!"&amp;Severity!$C$3&amp;":"&amp;Severity!$C$3),F$148))</f>
        <v>#REF!</v>
      </c>
      <c r="G169" s="71" t="e">
        <f t="shared" ca="1" si="0"/>
        <v>#REF!</v>
      </c>
      <c r="H169" s="69" t="e">
        <f t="shared" ca="1" si="1"/>
        <v>#REF!</v>
      </c>
      <c r="I169" s="71" t="e">
        <f t="shared" ca="1" si="2"/>
        <v>#REF!</v>
      </c>
      <c r="J169" s="69" t="e">
        <f ca="1">IF(G169=0,0,PCF_Severity2[[#This Row],[Crash Count]]/$I$283)</f>
        <v>#REF!</v>
      </c>
      <c r="K169" t="e">
        <f ca="1">SUM(PCF_Severity2[[#This Row],[Severe Injury]:[Other Injury]])</f>
        <v>#REF!</v>
      </c>
      <c r="L169" s="69" t="e">
        <f ca="1">PCF_Severity2[[#This Row],[Crash Count2]]/$K$283</f>
        <v>#REF!</v>
      </c>
      <c r="M169" s="86" t="str">
        <f>VLOOKUP(PCF_Severity2[[#This Row],[Crash Event]],PCF_3[[#Headers],[#Data]],4,FALSE)</f>
        <v>*Bridge girder (horizontal bridge structure overhead)</v>
      </c>
      <c r="Q169" s="84"/>
    </row>
    <row r="170" spans="2:17" x14ac:dyDescent="0.25">
      <c r="B170" t="s">
        <v>198</v>
      </c>
      <c r="C170" s="71" t="e">
        <f ca="1">SUM(COUNTIFS(INDIRECT("Collision!"&amp;Event!$C$3&amp;":"&amp;Event!$C$3),$B170,INDIRECT("Collision!"&amp;Severity!$C$3&amp;":"&amp;Severity!$C$3),C$148), COUNTIFS(INDIRECT("Collision!"&amp;Event!$G$3&amp;":"&amp;Event!$G$3),$B170,INDIRECT("Collision!"&amp;Severity!$C$3&amp;":"&amp;Severity!$C$3),C$148), COUNTIFS(INDIRECT("Collision!"&amp;Event!$G$4&amp;":"&amp;Event!$G$4),$B170,INDIRECT("Collision!"&amp;Severity!$C$3&amp;":"&amp;Severity!$C$3),C$148))</f>
        <v>#REF!</v>
      </c>
      <c r="D170" s="71" t="e">
        <f ca="1">SUM(COUNTIFS(INDIRECT("Collision!"&amp;Event!$C$3&amp;":"&amp;Event!$C$3),$B170,INDIRECT("Collision!"&amp;Severity!$C$3&amp;":"&amp;Severity!$C$3),D$148), COUNTIFS(INDIRECT("Collision!"&amp;Event!$G$3&amp;":"&amp;Event!$G$3),$B170,INDIRECT("Collision!"&amp;Severity!$C$3&amp;":"&amp;Severity!$C$3),D$148), COUNTIFS(INDIRECT("Collision!"&amp;Event!$G$4&amp;":"&amp;Event!$G$4),$B170,INDIRECT("Collision!"&amp;Severity!$C$3&amp;":"&amp;Severity!$C$3),D$148))</f>
        <v>#REF!</v>
      </c>
      <c r="E170" s="71" t="e">
        <f t="array" aca="1" ref="E170" ca="1">SUM(COUNTIFS(INDIRECT("Collision!"&amp;Event!$C$3&amp;":"&amp;Event!$C$3),$B170,INDIRECT("Collision!"&amp;Severity!$C$3&amp;":"&amp;Severity!$C$3),{"Moderate Injury","Minor Injury"}), COUNTIFS(INDIRECT("Collision!"&amp;Event!$G$3&amp;":"&amp;Event!$G$3),$B170,INDIRECT("Collision!"&amp;Severity!$C$3&amp;":"&amp;Severity!$C$3),{"Moderate Injury","Minor Injury"}), COUNTIFS(INDIRECT("Collision!"&amp;Event!$G$4&amp;":"&amp;Event!$G$4),$B170,INDIRECT("Collision!"&amp;Severity!$C$3&amp;":"&amp;Severity!$C$3),{"Moderate Injury","Minor Injury"}))</f>
        <v>#REF!</v>
      </c>
      <c r="F170" s="71" t="e">
        <f ca="1">SUM(COUNTIFS(INDIRECT("Collision!"&amp;Event!$C$3&amp;":"&amp;Event!$C$3),$B170,INDIRECT("Collision!"&amp;Severity!$C$3&amp;":"&amp;Severity!$C$3),F$148), COUNTIFS(INDIRECT("Collision!"&amp;Event!$G$3&amp;":"&amp;Event!$G$3),$B170,INDIRECT("Collision!"&amp;Severity!$C$3&amp;":"&amp;Severity!$C$3),F$148), COUNTIFS(INDIRECT("Collision!"&amp;Event!$G$4&amp;":"&amp;Event!$G$4),$B170,INDIRECT("Collision!"&amp;Severity!$C$3&amp;":"&amp;Severity!$C$3),F$148))</f>
        <v>#REF!</v>
      </c>
      <c r="G170" s="71" t="e">
        <f t="shared" ca="1" si="0"/>
        <v>#REF!</v>
      </c>
      <c r="H170" s="69" t="e">
        <f t="shared" ca="1" si="1"/>
        <v>#REF!</v>
      </c>
      <c r="I170" s="71" t="e">
        <f t="shared" ca="1" si="2"/>
        <v>#REF!</v>
      </c>
      <c r="J170" s="69" t="e">
        <f ca="1">IF(G170=0,0,PCF_Severity2[[#This Row],[Crash Count]]/$I$283)</f>
        <v>#REF!</v>
      </c>
      <c r="K170" t="e">
        <f ca="1">SUM(PCF_Severity2[[#This Row],[Severe Injury]:[Other Injury]])</f>
        <v>#REF!</v>
      </c>
      <c r="L170" s="69" t="e">
        <f ca="1">PCF_Severity2[[#This Row],[Crash Count2]]/$K$283</f>
        <v>#REF!</v>
      </c>
      <c r="M170" s="86" t="str">
        <f>VLOOKUP(PCF_Severity2[[#This Row],[Crash Event]],PCF_3[[#Headers],[#Data]],4,FALSE)</f>
        <v>Traffic raised island</v>
      </c>
      <c r="Q170" s="84"/>
    </row>
    <row r="171" spans="2:17" ht="30" customHeight="1" x14ac:dyDescent="0.25">
      <c r="B171" t="s">
        <v>199</v>
      </c>
      <c r="C171" s="71" t="e">
        <f ca="1">SUM(COUNTIFS(INDIRECT("Collision!"&amp;Event!$C$3&amp;":"&amp;Event!$C$3),$B171,INDIRECT("Collision!"&amp;Severity!$C$3&amp;":"&amp;Severity!$C$3),C$148), COUNTIFS(INDIRECT("Collision!"&amp;Event!$G$3&amp;":"&amp;Event!$G$3),$B171,INDIRECT("Collision!"&amp;Severity!$C$3&amp;":"&amp;Severity!$C$3),C$148), COUNTIFS(INDIRECT("Collision!"&amp;Event!$G$4&amp;":"&amp;Event!$G$4),$B171,INDIRECT("Collision!"&amp;Severity!$C$3&amp;":"&amp;Severity!$C$3),C$148))</f>
        <v>#REF!</v>
      </c>
      <c r="D171" s="71" t="e">
        <f ca="1">SUM(COUNTIFS(INDIRECT("Collision!"&amp;Event!$C$3&amp;":"&amp;Event!$C$3),$B171,INDIRECT("Collision!"&amp;Severity!$C$3&amp;":"&amp;Severity!$C$3),D$148), COUNTIFS(INDIRECT("Collision!"&amp;Event!$G$3&amp;":"&amp;Event!$G$3),$B171,INDIRECT("Collision!"&amp;Severity!$C$3&amp;":"&amp;Severity!$C$3),D$148), COUNTIFS(INDIRECT("Collision!"&amp;Event!$G$4&amp;":"&amp;Event!$G$4),$B171,INDIRECT("Collision!"&amp;Severity!$C$3&amp;":"&amp;Severity!$C$3),D$148))</f>
        <v>#REF!</v>
      </c>
      <c r="E171" s="71" t="e">
        <f t="array" aca="1" ref="E171" ca="1">SUM(COUNTIFS(INDIRECT("Collision!"&amp;Event!$C$3&amp;":"&amp;Event!$C$3),$B171,INDIRECT("Collision!"&amp;Severity!$C$3&amp;":"&amp;Severity!$C$3),{"Moderate Injury","Minor Injury"}), COUNTIFS(INDIRECT("Collision!"&amp;Event!$G$3&amp;":"&amp;Event!$G$3),$B171,INDIRECT("Collision!"&amp;Severity!$C$3&amp;":"&amp;Severity!$C$3),{"Moderate Injury","Minor Injury"}), COUNTIFS(INDIRECT("Collision!"&amp;Event!$G$4&amp;":"&amp;Event!$G$4),$B171,INDIRECT("Collision!"&amp;Severity!$C$3&amp;":"&amp;Severity!$C$3),{"Moderate Injury","Minor Injury"}))</f>
        <v>#REF!</v>
      </c>
      <c r="F171" s="71" t="e">
        <f ca="1">SUM(COUNTIFS(INDIRECT("Collision!"&amp;Event!$C$3&amp;":"&amp;Event!$C$3),$B171,INDIRECT("Collision!"&amp;Severity!$C$3&amp;":"&amp;Severity!$C$3),F$148), COUNTIFS(INDIRECT("Collision!"&amp;Event!$G$3&amp;":"&amp;Event!$G$3),$B171,INDIRECT("Collision!"&amp;Severity!$C$3&amp;":"&amp;Severity!$C$3),F$148), COUNTIFS(INDIRECT("Collision!"&amp;Event!$G$4&amp;":"&amp;Event!$G$4),$B171,INDIRECT("Collision!"&amp;Severity!$C$3&amp;":"&amp;Severity!$C$3),F$148))</f>
        <v>#REF!</v>
      </c>
      <c r="G171" s="71" t="e">
        <f t="shared" ca="1" si="0"/>
        <v>#REF!</v>
      </c>
      <c r="H171" s="69" t="e">
        <f t="shared" ca="1" si="1"/>
        <v>#REF!</v>
      </c>
      <c r="I171" s="71" t="e">
        <f t="shared" ca="1" si="2"/>
        <v>#REF!</v>
      </c>
      <c r="J171" s="69" t="e">
        <f ca="1">IF(G171=0,0,PCF_Severity2[[#This Row],[Crash Count]]/$I$283)</f>
        <v>#REF!</v>
      </c>
      <c r="K171" t="e">
        <f ca="1">SUM(PCF_Severity2[[#This Row],[Severe Injury]:[Other Injury]])</f>
        <v>#REF!</v>
      </c>
      <c r="L171" s="69" t="e">
        <f ca="1">PCF_Severity2[[#This Row],[Crash Count2]]/$K$283</f>
        <v>#REF!</v>
      </c>
      <c r="M171" s="86" t="str">
        <f>VLOOKUP(PCF_Severity2[[#This Row],[Crash Event]],PCF_3[[#Headers],[#Data]],4,FALSE)</f>
        <v>*Gore</v>
      </c>
      <c r="Q171" s="84"/>
    </row>
    <row r="172" spans="2:17" x14ac:dyDescent="0.25">
      <c r="B172" t="s">
        <v>200</v>
      </c>
      <c r="C172" s="71" t="e">
        <f ca="1">SUM(COUNTIFS(INDIRECT("Collision!"&amp;Event!$C$3&amp;":"&amp;Event!$C$3),$B172,INDIRECT("Collision!"&amp;Severity!$C$3&amp;":"&amp;Severity!$C$3),C$148), COUNTIFS(INDIRECT("Collision!"&amp;Event!$G$3&amp;":"&amp;Event!$G$3),$B172,INDIRECT("Collision!"&amp;Severity!$C$3&amp;":"&amp;Severity!$C$3),C$148), COUNTIFS(INDIRECT("Collision!"&amp;Event!$G$4&amp;":"&amp;Event!$G$4),$B172,INDIRECT("Collision!"&amp;Severity!$C$3&amp;":"&amp;Severity!$C$3),C$148))</f>
        <v>#REF!</v>
      </c>
      <c r="D172" s="71" t="e">
        <f ca="1">SUM(COUNTIFS(INDIRECT("Collision!"&amp;Event!$C$3&amp;":"&amp;Event!$C$3),$B172,INDIRECT("Collision!"&amp;Severity!$C$3&amp;":"&amp;Severity!$C$3),D$148), COUNTIFS(INDIRECT("Collision!"&amp;Event!$G$3&amp;":"&amp;Event!$G$3),$B172,INDIRECT("Collision!"&amp;Severity!$C$3&amp;":"&amp;Severity!$C$3),D$148), COUNTIFS(INDIRECT("Collision!"&amp;Event!$G$4&amp;":"&amp;Event!$G$4),$B172,INDIRECT("Collision!"&amp;Severity!$C$3&amp;":"&amp;Severity!$C$3),D$148))</f>
        <v>#REF!</v>
      </c>
      <c r="E172" s="71" t="e">
        <f t="array" aca="1" ref="E172" ca="1">SUM(COUNTIFS(INDIRECT("Collision!"&amp;Event!$C$3&amp;":"&amp;Event!$C$3),$B172,INDIRECT("Collision!"&amp;Severity!$C$3&amp;":"&amp;Severity!$C$3),{"Moderate Injury","Minor Injury"}), COUNTIFS(INDIRECT("Collision!"&amp;Event!$G$3&amp;":"&amp;Event!$G$3),$B172,INDIRECT("Collision!"&amp;Severity!$C$3&amp;":"&amp;Severity!$C$3),{"Moderate Injury","Minor Injury"}), COUNTIFS(INDIRECT("Collision!"&amp;Event!$G$4&amp;":"&amp;Event!$G$4),$B172,INDIRECT("Collision!"&amp;Severity!$C$3&amp;":"&amp;Severity!$C$3),{"Moderate Injury","Minor Injury"}))</f>
        <v>#REF!</v>
      </c>
      <c r="F172" s="71" t="e">
        <f ca="1">SUM(COUNTIFS(INDIRECT("Collision!"&amp;Event!$C$3&amp;":"&amp;Event!$C$3),$B172,INDIRECT("Collision!"&amp;Severity!$C$3&amp;":"&amp;Severity!$C$3),F$148), COUNTIFS(INDIRECT("Collision!"&amp;Event!$G$3&amp;":"&amp;Event!$G$3),$B172,INDIRECT("Collision!"&amp;Severity!$C$3&amp;":"&amp;Severity!$C$3),F$148), COUNTIFS(INDIRECT("Collision!"&amp;Event!$G$4&amp;":"&amp;Event!$G$4),$B172,INDIRECT("Collision!"&amp;Severity!$C$3&amp;":"&amp;Severity!$C$3),F$148))</f>
        <v>#REF!</v>
      </c>
      <c r="G172" s="71" t="e">
        <f t="shared" ca="1" si="0"/>
        <v>#REF!</v>
      </c>
      <c r="H172" s="69" t="e">
        <f t="shared" ca="1" si="1"/>
        <v>#REF!</v>
      </c>
      <c r="I172" s="71" t="e">
        <f t="shared" ca="1" si="2"/>
        <v>#REF!</v>
      </c>
      <c r="J172" s="69" t="e">
        <f ca="1">IF(G172=0,0,PCF_Severity2[[#This Row],[Crash Count]]/$I$283)</f>
        <v>#REF!</v>
      </c>
      <c r="K172" t="e">
        <f ca="1">SUM(PCF_Severity2[[#This Row],[Severe Injury]:[Other Injury]])</f>
        <v>#REF!</v>
      </c>
      <c r="L172" s="69" t="e">
        <f ca="1">PCF_Severity2[[#This Row],[Crash Count2]]/$K$283</f>
        <v>#REF!</v>
      </c>
      <c r="M172" s="86" t="str">
        <f>VLOOKUP(PCF_Severity2[[#This Row],[Crash Event]],PCF_3[[#Headers],[#Data]],4,FALSE)</f>
        <v>Pole - type unknown</v>
      </c>
      <c r="Q172" s="84"/>
    </row>
    <row r="173" spans="2:17" x14ac:dyDescent="0.25">
      <c r="B173" t="s">
        <v>204</v>
      </c>
      <c r="C173" s="71" t="e">
        <f ca="1">SUM(COUNTIFS(INDIRECT("Collision!"&amp;Event!$C$3&amp;":"&amp;Event!$C$3),$B173,INDIRECT("Collision!"&amp;Severity!$C$3&amp;":"&amp;Severity!$C$3),C$148), COUNTIFS(INDIRECT("Collision!"&amp;Event!$G$3&amp;":"&amp;Event!$G$3),$B173,INDIRECT("Collision!"&amp;Severity!$C$3&amp;":"&amp;Severity!$C$3),C$148), COUNTIFS(INDIRECT("Collision!"&amp;Event!$G$4&amp;":"&amp;Event!$G$4),$B173,INDIRECT("Collision!"&amp;Severity!$C$3&amp;":"&amp;Severity!$C$3),C$148))</f>
        <v>#REF!</v>
      </c>
      <c r="D173" s="71" t="e">
        <f ca="1">SUM(COUNTIFS(INDIRECT("Collision!"&amp;Event!$C$3&amp;":"&amp;Event!$C$3),$B173,INDIRECT("Collision!"&amp;Severity!$C$3&amp;":"&amp;Severity!$C$3),D$148), COUNTIFS(INDIRECT("Collision!"&amp;Event!$G$3&amp;":"&amp;Event!$G$3),$B173,INDIRECT("Collision!"&amp;Severity!$C$3&amp;":"&amp;Severity!$C$3),D$148), COUNTIFS(INDIRECT("Collision!"&amp;Event!$G$4&amp;":"&amp;Event!$G$4),$B173,INDIRECT("Collision!"&amp;Severity!$C$3&amp;":"&amp;Severity!$C$3),D$148))</f>
        <v>#REF!</v>
      </c>
      <c r="E173" s="71" t="e">
        <f t="array" aca="1" ref="E173" ca="1">SUM(COUNTIFS(INDIRECT("Collision!"&amp;Event!$C$3&amp;":"&amp;Event!$C$3),$B173,INDIRECT("Collision!"&amp;Severity!$C$3&amp;":"&amp;Severity!$C$3),{"Moderate Injury","Minor Injury"}), COUNTIFS(INDIRECT("Collision!"&amp;Event!$G$3&amp;":"&amp;Event!$G$3),$B173,INDIRECT("Collision!"&amp;Severity!$C$3&amp;":"&amp;Severity!$C$3),{"Moderate Injury","Minor Injury"}), COUNTIFS(INDIRECT("Collision!"&amp;Event!$G$4&amp;":"&amp;Event!$G$4),$B173,INDIRECT("Collision!"&amp;Severity!$C$3&amp;":"&amp;Severity!$C$3),{"Moderate Injury","Minor Injury"}))</f>
        <v>#REF!</v>
      </c>
      <c r="F173" s="71" t="e">
        <f ca="1">SUM(COUNTIFS(INDIRECT("Collision!"&amp;Event!$C$3&amp;":"&amp;Event!$C$3),$B173,INDIRECT("Collision!"&amp;Severity!$C$3&amp;":"&amp;Severity!$C$3),F$148), COUNTIFS(INDIRECT("Collision!"&amp;Event!$G$3&amp;":"&amp;Event!$G$3),$B173,INDIRECT("Collision!"&amp;Severity!$C$3&amp;":"&amp;Severity!$C$3),F$148), COUNTIFS(INDIRECT("Collision!"&amp;Event!$G$4&amp;":"&amp;Event!$G$4),$B173,INDIRECT("Collision!"&amp;Severity!$C$3&amp;":"&amp;Severity!$C$3),F$148))</f>
        <v>#REF!</v>
      </c>
      <c r="G173" s="71" t="e">
        <f t="shared" ca="1" si="0"/>
        <v>#REF!</v>
      </c>
      <c r="H173" s="69" t="e">
        <f t="shared" ca="1" si="1"/>
        <v>#REF!</v>
      </c>
      <c r="I173" s="71" t="e">
        <f t="shared" ca="1" si="2"/>
        <v>#REF!</v>
      </c>
      <c r="J173" s="69" t="e">
        <f ca="1">IF(G173=0,0,PCF_Severity2[[#This Row],[Crash Count]]/$I$283)</f>
        <v>#REF!</v>
      </c>
      <c r="K173" t="e">
        <f ca="1">SUM(PCF_Severity2[[#This Row],[Severe Injury]:[Other Injury]])</f>
        <v>#REF!</v>
      </c>
      <c r="L173" s="69" t="e">
        <f ca="1">PCF_Severity2[[#This Row],[Crash Count2]]/$K$283</f>
        <v>#REF!</v>
      </c>
      <c r="M173" s="86" t="str">
        <f>VLOOKUP(PCF_Severity2[[#This Row],[Crash Event]],PCF_3[[#Headers],[#Data]],4,FALSE)</f>
        <v>Pole - sign bridge</v>
      </c>
      <c r="Q173" s="84"/>
    </row>
    <row r="174" spans="2:17" ht="30" x14ac:dyDescent="0.25">
      <c r="B174" t="s">
        <v>211</v>
      </c>
      <c r="C174" s="71" t="e">
        <f ca="1">SUM(COUNTIFS(INDIRECT("Collision!"&amp;Event!$C$3&amp;":"&amp;Event!$C$3),$B174,INDIRECT("Collision!"&amp;Severity!$C$3&amp;":"&amp;Severity!$C$3),C$148), COUNTIFS(INDIRECT("Collision!"&amp;Event!$G$3&amp;":"&amp;Event!$G$3),$B174,INDIRECT("Collision!"&amp;Severity!$C$3&amp;":"&amp;Severity!$C$3),C$148), COUNTIFS(INDIRECT("Collision!"&amp;Event!$G$4&amp;":"&amp;Event!$G$4),$B174,INDIRECT("Collision!"&amp;Severity!$C$3&amp;":"&amp;Severity!$C$3),C$148))</f>
        <v>#REF!</v>
      </c>
      <c r="D174" s="71" t="e">
        <f ca="1">SUM(COUNTIFS(INDIRECT("Collision!"&amp;Event!$C$3&amp;":"&amp;Event!$C$3),$B174,INDIRECT("Collision!"&amp;Severity!$C$3&amp;":"&amp;Severity!$C$3),D$148), COUNTIFS(INDIRECT("Collision!"&amp;Event!$G$3&amp;":"&amp;Event!$G$3),$B174,INDIRECT("Collision!"&amp;Severity!$C$3&amp;":"&amp;Severity!$C$3),D$148), COUNTIFS(INDIRECT("Collision!"&amp;Event!$G$4&amp;":"&amp;Event!$G$4),$B174,INDIRECT("Collision!"&amp;Severity!$C$3&amp;":"&amp;Severity!$C$3),D$148))</f>
        <v>#REF!</v>
      </c>
      <c r="E174" s="71" t="e">
        <f t="array" aca="1" ref="E174" ca="1">SUM(COUNTIFS(INDIRECT("Collision!"&amp;Event!$C$3&amp;":"&amp;Event!$C$3),$B174,INDIRECT("Collision!"&amp;Severity!$C$3&amp;":"&amp;Severity!$C$3),{"Moderate Injury","Minor Injury"}), COUNTIFS(INDIRECT("Collision!"&amp;Event!$G$3&amp;":"&amp;Event!$G$3),$B174,INDIRECT("Collision!"&amp;Severity!$C$3&amp;":"&amp;Severity!$C$3),{"Moderate Injury","Minor Injury"}), COUNTIFS(INDIRECT("Collision!"&amp;Event!$G$4&amp;":"&amp;Event!$G$4),$B174,INDIRECT("Collision!"&amp;Severity!$C$3&amp;":"&amp;Severity!$C$3),{"Moderate Injury","Minor Injury"}))</f>
        <v>#REF!</v>
      </c>
      <c r="F174" s="71" t="e">
        <f ca="1">SUM(COUNTIFS(INDIRECT("Collision!"&amp;Event!$C$3&amp;":"&amp;Event!$C$3),$B174,INDIRECT("Collision!"&amp;Severity!$C$3&amp;":"&amp;Severity!$C$3),F$148), COUNTIFS(INDIRECT("Collision!"&amp;Event!$G$3&amp;":"&amp;Event!$G$3),$B174,INDIRECT("Collision!"&amp;Severity!$C$3&amp;":"&amp;Severity!$C$3),F$148), COUNTIFS(INDIRECT("Collision!"&amp;Event!$G$4&amp;":"&amp;Event!$G$4),$B174,INDIRECT("Collision!"&amp;Severity!$C$3&amp;":"&amp;Severity!$C$3),F$148))</f>
        <v>#REF!</v>
      </c>
      <c r="G174" s="71" t="e">
        <f t="shared" ca="1" si="0"/>
        <v>#REF!</v>
      </c>
      <c r="H174" s="69" t="e">
        <f t="shared" ca="1" si="1"/>
        <v>#REF!</v>
      </c>
      <c r="I174" s="71" t="e">
        <f t="shared" ca="1" si="2"/>
        <v>#REF!</v>
      </c>
      <c r="J174" s="69" t="e">
        <f ca="1">IF(G174=0,0,PCF_Severity2[[#This Row],[Crash Count]]/$I$283)</f>
        <v>#REF!</v>
      </c>
      <c r="K174" t="e">
        <f ca="1">SUM(PCF_Severity2[[#This Row],[Severe Injury]:[Other Injury]])</f>
        <v>#REF!</v>
      </c>
      <c r="L174" s="69" t="e">
        <f ca="1">PCF_Severity2[[#This Row],[Crash Count2]]/$K$283</f>
        <v>#REF!</v>
      </c>
      <c r="M174" s="86" t="str">
        <f>VLOOKUP(PCF_Severity2[[#This Row],[Crash Event]],PCF_3[[#Headers],[#Data]],4,FALSE)</f>
        <v>Tree branch or other vegetation overhead, etc.</v>
      </c>
      <c r="Q174" s="84"/>
    </row>
    <row r="175" spans="2:17" ht="30" x14ac:dyDescent="0.25">
      <c r="B175" t="s">
        <v>214</v>
      </c>
      <c r="C175" s="71" t="e">
        <f ca="1">SUM(COUNTIFS(INDIRECT("Collision!"&amp;Event!$C$3&amp;":"&amp;Event!$C$3),$B175,INDIRECT("Collision!"&amp;Severity!$C$3&amp;":"&amp;Severity!$C$3),C$148), COUNTIFS(INDIRECT("Collision!"&amp;Event!$G$3&amp;":"&amp;Event!$G$3),$B175,INDIRECT("Collision!"&amp;Severity!$C$3&amp;":"&amp;Severity!$C$3),C$148), COUNTIFS(INDIRECT("Collision!"&amp;Event!$G$4&amp;":"&amp;Event!$G$4),$B175,INDIRECT("Collision!"&amp;Severity!$C$3&amp;":"&amp;Severity!$C$3),C$148))</f>
        <v>#REF!</v>
      </c>
      <c r="D175" s="71" t="e">
        <f ca="1">SUM(COUNTIFS(INDIRECT("Collision!"&amp;Event!$C$3&amp;":"&amp;Event!$C$3),$B175,INDIRECT("Collision!"&amp;Severity!$C$3&amp;":"&amp;Severity!$C$3),D$148), COUNTIFS(INDIRECT("Collision!"&amp;Event!$G$3&amp;":"&amp;Event!$G$3),$B175,INDIRECT("Collision!"&amp;Severity!$C$3&amp;":"&amp;Severity!$C$3),D$148), COUNTIFS(INDIRECT("Collision!"&amp;Event!$G$4&amp;":"&amp;Event!$G$4),$B175,INDIRECT("Collision!"&amp;Severity!$C$3&amp;":"&amp;Severity!$C$3),D$148))</f>
        <v>#REF!</v>
      </c>
      <c r="E175" s="71" t="e">
        <f t="array" aca="1" ref="E175" ca="1">SUM(COUNTIFS(INDIRECT("Collision!"&amp;Event!$C$3&amp;":"&amp;Event!$C$3),$B175,INDIRECT("Collision!"&amp;Severity!$C$3&amp;":"&amp;Severity!$C$3),{"Moderate Injury","Minor Injury"}), COUNTIFS(INDIRECT("Collision!"&amp;Event!$G$3&amp;":"&amp;Event!$G$3),$B175,INDIRECT("Collision!"&amp;Severity!$C$3&amp;":"&amp;Severity!$C$3),{"Moderate Injury","Minor Injury"}), COUNTIFS(INDIRECT("Collision!"&amp;Event!$G$4&amp;":"&amp;Event!$G$4),$B175,INDIRECT("Collision!"&amp;Severity!$C$3&amp;":"&amp;Severity!$C$3),{"Moderate Injury","Minor Injury"}))</f>
        <v>#REF!</v>
      </c>
      <c r="F175" s="71" t="e">
        <f ca="1">SUM(COUNTIFS(INDIRECT("Collision!"&amp;Event!$C$3&amp;":"&amp;Event!$C$3),$B175,INDIRECT("Collision!"&amp;Severity!$C$3&amp;":"&amp;Severity!$C$3),F$148), COUNTIFS(INDIRECT("Collision!"&amp;Event!$G$3&amp;":"&amp;Event!$G$3),$B175,INDIRECT("Collision!"&amp;Severity!$C$3&amp;":"&amp;Severity!$C$3),F$148), COUNTIFS(INDIRECT("Collision!"&amp;Event!$G$4&amp;":"&amp;Event!$G$4),$B175,INDIRECT("Collision!"&amp;Severity!$C$3&amp;":"&amp;Severity!$C$3),F$148))</f>
        <v>#REF!</v>
      </c>
      <c r="G175" s="71" t="e">
        <f t="shared" ca="1" si="0"/>
        <v>#REF!</v>
      </c>
      <c r="H175" s="69" t="e">
        <f t="shared" ca="1" si="1"/>
        <v>#REF!</v>
      </c>
      <c r="I175" s="71" t="e">
        <f t="shared" ca="1" si="2"/>
        <v>#REF!</v>
      </c>
      <c r="J175" s="69" t="e">
        <f ca="1">IF(G175=0,0,PCF_Severity2[[#This Row],[Crash Count]]/$I$283)</f>
        <v>#REF!</v>
      </c>
      <c r="K175" t="e">
        <f ca="1">SUM(PCF_Severity2[[#This Row],[Severe Injury]:[Other Injury]])</f>
        <v>#REF!</v>
      </c>
      <c r="L175" s="69" t="e">
        <f ca="1">PCF_Severity2[[#This Row],[Crash Count2]]/$K$283</f>
        <v>#REF!</v>
      </c>
      <c r="M175" s="86" t="str">
        <f>VLOOKUP(PCF_Severity2[[#This Row],[Crash Event]],PCF_3[[#Headers],[#Data]],4,FALSE)</f>
        <v>Permanent sign or barricade in/off road</v>
      </c>
      <c r="Q175" s="84"/>
    </row>
    <row r="176" spans="2:17" ht="30" customHeight="1" x14ac:dyDescent="0.25">
      <c r="B176" t="s">
        <v>215</v>
      </c>
      <c r="C176" s="71" t="e">
        <f ca="1">SUM(COUNTIFS(INDIRECT("Collision!"&amp;Event!$C$3&amp;":"&amp;Event!$C$3),$B176,INDIRECT("Collision!"&amp;Severity!$C$3&amp;":"&amp;Severity!$C$3),C$148), COUNTIFS(INDIRECT("Collision!"&amp;Event!$G$3&amp;":"&amp;Event!$G$3),$B176,INDIRECT("Collision!"&amp;Severity!$C$3&amp;":"&amp;Severity!$C$3),C$148), COUNTIFS(INDIRECT("Collision!"&amp;Event!$G$4&amp;":"&amp;Event!$G$4),$B176,INDIRECT("Collision!"&amp;Severity!$C$3&amp;":"&amp;Severity!$C$3),C$148))</f>
        <v>#REF!</v>
      </c>
      <c r="D176" s="71" t="e">
        <f ca="1">SUM(COUNTIFS(INDIRECT("Collision!"&amp;Event!$C$3&amp;":"&amp;Event!$C$3),$B176,INDIRECT("Collision!"&amp;Severity!$C$3&amp;":"&amp;Severity!$C$3),D$148), COUNTIFS(INDIRECT("Collision!"&amp;Event!$G$3&amp;":"&amp;Event!$G$3),$B176,INDIRECT("Collision!"&amp;Severity!$C$3&amp;":"&amp;Severity!$C$3),D$148), COUNTIFS(INDIRECT("Collision!"&amp;Event!$G$4&amp;":"&amp;Event!$G$4),$B176,INDIRECT("Collision!"&amp;Severity!$C$3&amp;":"&amp;Severity!$C$3),D$148))</f>
        <v>#REF!</v>
      </c>
      <c r="E176" s="71" t="e">
        <f t="array" aca="1" ref="E176" ca="1">SUM(COUNTIFS(INDIRECT("Collision!"&amp;Event!$C$3&amp;":"&amp;Event!$C$3),$B176,INDIRECT("Collision!"&amp;Severity!$C$3&amp;":"&amp;Severity!$C$3),{"Moderate Injury","Minor Injury"}), COUNTIFS(INDIRECT("Collision!"&amp;Event!$G$3&amp;":"&amp;Event!$G$3),$B176,INDIRECT("Collision!"&amp;Severity!$C$3&amp;":"&amp;Severity!$C$3),{"Moderate Injury","Minor Injury"}), COUNTIFS(INDIRECT("Collision!"&amp;Event!$G$4&amp;":"&amp;Event!$G$4),$B176,INDIRECT("Collision!"&amp;Severity!$C$3&amp;":"&amp;Severity!$C$3),{"Moderate Injury","Minor Injury"}))</f>
        <v>#REF!</v>
      </c>
      <c r="F176" s="71" t="e">
        <f ca="1">SUM(COUNTIFS(INDIRECT("Collision!"&amp;Event!$C$3&amp;":"&amp;Event!$C$3),$B176,INDIRECT("Collision!"&amp;Severity!$C$3&amp;":"&amp;Severity!$C$3),F$148), COUNTIFS(INDIRECT("Collision!"&amp;Event!$G$3&amp;":"&amp;Event!$G$3),$B176,INDIRECT("Collision!"&amp;Severity!$C$3&amp;":"&amp;Severity!$C$3),F$148), COUNTIFS(INDIRECT("Collision!"&amp;Event!$G$4&amp;":"&amp;Event!$G$4),$B176,INDIRECT("Collision!"&amp;Severity!$C$3&amp;":"&amp;Severity!$C$3),F$148))</f>
        <v>#REF!</v>
      </c>
      <c r="G176" s="71" t="e">
        <f t="shared" ca="1" si="0"/>
        <v>#REF!</v>
      </c>
      <c r="H176" s="69" t="e">
        <f t="shared" ca="1" si="1"/>
        <v>#REF!</v>
      </c>
      <c r="I176" s="71" t="e">
        <f t="shared" ca="1" si="2"/>
        <v>#REF!</v>
      </c>
      <c r="J176" s="69" t="e">
        <f ca="1">IF(G176=0,0,PCF_Severity2[[#This Row],[Crash Count]]/$I$283)</f>
        <v>#REF!</v>
      </c>
      <c r="K176" t="e">
        <f ca="1">SUM(PCF_Severity2[[#This Row],[Severe Injury]:[Other Injury]])</f>
        <v>#REF!</v>
      </c>
      <c r="L176" s="69" t="e">
        <f ca="1">PCF_Severity2[[#This Row],[Crash Count2]]/$K$283</f>
        <v>#REF!</v>
      </c>
      <c r="M176" s="86" t="str">
        <f>VLOOKUP(PCF_Severity2[[#This Row],[Crash Event]],PCF_3[[#Headers],[#Data]],4,FALSE)</f>
        <v>Slides, rocks off or on road, falling rocks</v>
      </c>
      <c r="Q176" s="84"/>
    </row>
    <row r="177" spans="2:17" ht="45" customHeight="1" x14ac:dyDescent="0.25">
      <c r="B177" t="s">
        <v>217</v>
      </c>
      <c r="C177" s="71" t="e">
        <f ca="1">SUM(COUNTIFS(INDIRECT("Collision!"&amp;Event!$C$3&amp;":"&amp;Event!$C$3),$B177,INDIRECT("Collision!"&amp;Severity!$C$3&amp;":"&amp;Severity!$C$3),C$148), COUNTIFS(INDIRECT("Collision!"&amp;Event!$G$3&amp;":"&amp;Event!$G$3),$B177,INDIRECT("Collision!"&amp;Severity!$C$3&amp;":"&amp;Severity!$C$3),C$148), COUNTIFS(INDIRECT("Collision!"&amp;Event!$G$4&amp;":"&amp;Event!$G$4),$B177,INDIRECT("Collision!"&amp;Severity!$C$3&amp;":"&amp;Severity!$C$3),C$148))</f>
        <v>#REF!</v>
      </c>
      <c r="D177" s="71" t="e">
        <f ca="1">SUM(COUNTIFS(INDIRECT("Collision!"&amp;Event!$C$3&amp;":"&amp;Event!$C$3),$B177,INDIRECT("Collision!"&amp;Severity!$C$3&amp;":"&amp;Severity!$C$3),D$148), COUNTIFS(INDIRECT("Collision!"&amp;Event!$G$3&amp;":"&amp;Event!$G$3),$B177,INDIRECT("Collision!"&amp;Severity!$C$3&amp;":"&amp;Severity!$C$3),D$148), COUNTIFS(INDIRECT("Collision!"&amp;Event!$G$4&amp;":"&amp;Event!$G$4),$B177,INDIRECT("Collision!"&amp;Severity!$C$3&amp;":"&amp;Severity!$C$3),D$148))</f>
        <v>#REF!</v>
      </c>
      <c r="E177" s="71" t="e">
        <f t="array" aca="1" ref="E177" ca="1">SUM(COUNTIFS(INDIRECT("Collision!"&amp;Event!$C$3&amp;":"&amp;Event!$C$3),$B177,INDIRECT("Collision!"&amp;Severity!$C$3&amp;":"&amp;Severity!$C$3),{"Moderate Injury","Minor Injury"}), COUNTIFS(INDIRECT("Collision!"&amp;Event!$G$3&amp;":"&amp;Event!$G$3),$B177,INDIRECT("Collision!"&amp;Severity!$C$3&amp;":"&amp;Severity!$C$3),{"Moderate Injury","Minor Injury"}), COUNTIFS(INDIRECT("Collision!"&amp;Event!$G$4&amp;":"&amp;Event!$G$4),$B177,INDIRECT("Collision!"&amp;Severity!$C$3&amp;":"&amp;Severity!$C$3),{"Moderate Injury","Minor Injury"}))</f>
        <v>#REF!</v>
      </c>
      <c r="F177" s="71" t="e">
        <f ca="1">SUM(COUNTIFS(INDIRECT("Collision!"&amp;Event!$C$3&amp;":"&amp;Event!$C$3),$B177,INDIRECT("Collision!"&amp;Severity!$C$3&amp;":"&amp;Severity!$C$3),F$148), COUNTIFS(INDIRECT("Collision!"&amp;Event!$G$3&amp;":"&amp;Event!$G$3),$B177,INDIRECT("Collision!"&amp;Severity!$C$3&amp;":"&amp;Severity!$C$3),F$148), COUNTIFS(INDIRECT("Collision!"&amp;Event!$G$4&amp;":"&amp;Event!$G$4),$B177,INDIRECT("Collision!"&amp;Severity!$C$3&amp;":"&amp;Severity!$C$3),F$148))</f>
        <v>#REF!</v>
      </c>
      <c r="G177" s="71" t="e">
        <f t="shared" ca="1" si="0"/>
        <v>#REF!</v>
      </c>
      <c r="H177" s="69" t="e">
        <f t="shared" ca="1" si="1"/>
        <v>#REF!</v>
      </c>
      <c r="I177" s="71" t="e">
        <f t="shared" ca="1" si="2"/>
        <v>#REF!</v>
      </c>
      <c r="J177" s="69" t="e">
        <f ca="1">IF(G177=0,0,PCF_Severity2[[#This Row],[Crash Count]]/$I$283)</f>
        <v>#REF!</v>
      </c>
      <c r="K177" t="e">
        <f ca="1">SUM(PCF_Severity2[[#This Row],[Severe Injury]:[Other Injury]])</f>
        <v>#REF!</v>
      </c>
      <c r="L177" s="69" t="e">
        <f ca="1">PCF_Severity2[[#This Row],[Crash Count2]]/$K$283</f>
        <v>#REF!</v>
      </c>
      <c r="M177" s="86" t="str">
        <f>VLOOKUP(PCF_Severity2[[#This Row],[Crash Event]],PCF_3[[#Headers],[#Data]],4,FALSE)</f>
        <v>Equipment working in/off road</v>
      </c>
      <c r="Q177" s="84"/>
    </row>
    <row r="178" spans="2:17" ht="30" x14ac:dyDescent="0.25">
      <c r="B178" t="s">
        <v>219</v>
      </c>
      <c r="C178" s="71" t="e">
        <f ca="1">SUM(COUNTIFS(INDIRECT("Collision!"&amp;Event!$C$3&amp;":"&amp;Event!$C$3),$B178,INDIRECT("Collision!"&amp;Severity!$C$3&amp;":"&amp;Severity!$C$3),C$148), COUNTIFS(INDIRECT("Collision!"&amp;Event!$G$3&amp;":"&amp;Event!$G$3),$B178,INDIRECT("Collision!"&amp;Severity!$C$3&amp;":"&amp;Severity!$C$3),C$148), COUNTIFS(INDIRECT("Collision!"&amp;Event!$G$4&amp;":"&amp;Event!$G$4),$B178,INDIRECT("Collision!"&amp;Severity!$C$3&amp;":"&amp;Severity!$C$3),C$148))</f>
        <v>#REF!</v>
      </c>
      <c r="D178" s="71" t="e">
        <f ca="1">SUM(COUNTIFS(INDIRECT("Collision!"&amp;Event!$C$3&amp;":"&amp;Event!$C$3),$B178,INDIRECT("Collision!"&amp;Severity!$C$3&amp;":"&amp;Severity!$C$3),D$148), COUNTIFS(INDIRECT("Collision!"&amp;Event!$G$3&amp;":"&amp;Event!$G$3),$B178,INDIRECT("Collision!"&amp;Severity!$C$3&amp;":"&amp;Severity!$C$3),D$148), COUNTIFS(INDIRECT("Collision!"&amp;Event!$G$4&amp;":"&amp;Event!$G$4),$B178,INDIRECT("Collision!"&amp;Severity!$C$3&amp;":"&amp;Severity!$C$3),D$148))</f>
        <v>#REF!</v>
      </c>
      <c r="E178" s="71" t="e">
        <f t="array" aca="1" ref="E178" ca="1">SUM(COUNTIFS(INDIRECT("Collision!"&amp;Event!$C$3&amp;":"&amp;Event!$C$3),$B178,INDIRECT("Collision!"&amp;Severity!$C$3&amp;":"&amp;Severity!$C$3),{"Moderate Injury","Minor Injury"}), COUNTIFS(INDIRECT("Collision!"&amp;Event!$G$3&amp;":"&amp;Event!$G$3),$B178,INDIRECT("Collision!"&amp;Severity!$C$3&amp;":"&amp;Severity!$C$3),{"Moderate Injury","Minor Injury"}), COUNTIFS(INDIRECT("Collision!"&amp;Event!$G$4&amp;":"&amp;Event!$G$4),$B178,INDIRECT("Collision!"&amp;Severity!$C$3&amp;":"&amp;Severity!$C$3),{"Moderate Injury","Minor Injury"}))</f>
        <v>#REF!</v>
      </c>
      <c r="F178" s="71" t="e">
        <f ca="1">SUM(COUNTIFS(INDIRECT("Collision!"&amp;Event!$C$3&amp;":"&amp;Event!$C$3),$B178,INDIRECT("Collision!"&amp;Severity!$C$3&amp;":"&amp;Severity!$C$3),F$148), COUNTIFS(INDIRECT("Collision!"&amp;Event!$G$3&amp;":"&amp;Event!$G$3),$B178,INDIRECT("Collision!"&amp;Severity!$C$3&amp;":"&amp;Severity!$C$3),F$148), COUNTIFS(INDIRECT("Collision!"&amp;Event!$G$4&amp;":"&amp;Event!$G$4),$B178,INDIRECT("Collision!"&amp;Severity!$C$3&amp;":"&amp;Severity!$C$3),F$148))</f>
        <v>#REF!</v>
      </c>
      <c r="G178" s="71" t="e">
        <f t="shared" ca="1" si="0"/>
        <v>#REF!</v>
      </c>
      <c r="H178" s="69" t="e">
        <f t="shared" ca="1" si="1"/>
        <v>#REF!</v>
      </c>
      <c r="I178" s="71" t="e">
        <f t="shared" ca="1" si="2"/>
        <v>#REF!</v>
      </c>
      <c r="J178" s="69" t="e">
        <f ca="1">IF(G178=0,0,PCF_Severity2[[#This Row],[Crash Count]]/$I$283)</f>
        <v>#REF!</v>
      </c>
      <c r="K178" t="e">
        <f ca="1">SUM(PCF_Severity2[[#This Row],[Severe Injury]:[Other Injury]])</f>
        <v>#REF!</v>
      </c>
      <c r="L178" s="69" t="e">
        <f ca="1">PCF_Severity2[[#This Row],[Crash Count2]]/$K$283</f>
        <v>#REF!</v>
      </c>
      <c r="M178" s="86" t="str">
        <f>VLOOKUP(PCF_Severity2[[#This Row],[Crash Event]],PCF_3[[#Headers],[#Data]],4,FALSE)</f>
        <v>Wrecker, street sweeper, snow plow or sanding equipment</v>
      </c>
      <c r="Q178" s="84"/>
    </row>
    <row r="179" spans="2:17" ht="30" customHeight="1" x14ac:dyDescent="0.25">
      <c r="B179" t="s">
        <v>223</v>
      </c>
      <c r="C179" s="71" t="e">
        <f ca="1">SUM(COUNTIFS(INDIRECT("Collision!"&amp;Event!$C$3&amp;":"&amp;Event!$C$3),$B179,INDIRECT("Collision!"&amp;Severity!$C$3&amp;":"&amp;Severity!$C$3),C$148), COUNTIFS(INDIRECT("Collision!"&amp;Event!$G$3&amp;":"&amp;Event!$G$3),$B179,INDIRECT("Collision!"&amp;Severity!$C$3&amp;":"&amp;Severity!$C$3),C$148), COUNTIFS(INDIRECT("Collision!"&amp;Event!$G$4&amp;":"&amp;Event!$G$4),$B179,INDIRECT("Collision!"&amp;Severity!$C$3&amp;":"&amp;Severity!$C$3),C$148))</f>
        <v>#REF!</v>
      </c>
      <c r="D179" s="71" t="e">
        <f ca="1">SUM(COUNTIFS(INDIRECT("Collision!"&amp;Event!$C$3&amp;":"&amp;Event!$C$3),$B179,INDIRECT("Collision!"&amp;Severity!$C$3&amp;":"&amp;Severity!$C$3),D$148), COUNTIFS(INDIRECT("Collision!"&amp;Event!$G$3&amp;":"&amp;Event!$G$3),$B179,INDIRECT("Collision!"&amp;Severity!$C$3&amp;":"&amp;Severity!$C$3),D$148), COUNTIFS(INDIRECT("Collision!"&amp;Event!$G$4&amp;":"&amp;Event!$G$4),$B179,INDIRECT("Collision!"&amp;Severity!$C$3&amp;":"&amp;Severity!$C$3),D$148))</f>
        <v>#REF!</v>
      </c>
      <c r="E179" s="71" t="e">
        <f t="array" aca="1" ref="E179" ca="1">SUM(COUNTIFS(INDIRECT("Collision!"&amp;Event!$C$3&amp;":"&amp;Event!$C$3),$B179,INDIRECT("Collision!"&amp;Severity!$C$3&amp;":"&amp;Severity!$C$3),{"Moderate Injury","Minor Injury"}), COUNTIFS(INDIRECT("Collision!"&amp;Event!$G$3&amp;":"&amp;Event!$G$3),$B179,INDIRECT("Collision!"&amp;Severity!$C$3&amp;":"&amp;Severity!$C$3),{"Moderate Injury","Minor Injury"}), COUNTIFS(INDIRECT("Collision!"&amp;Event!$G$4&amp;":"&amp;Event!$G$4),$B179,INDIRECT("Collision!"&amp;Severity!$C$3&amp;":"&amp;Severity!$C$3),{"Moderate Injury","Minor Injury"}))</f>
        <v>#REF!</v>
      </c>
      <c r="F179" s="71" t="e">
        <f ca="1">SUM(COUNTIFS(INDIRECT("Collision!"&amp;Event!$C$3&amp;":"&amp;Event!$C$3),$B179,INDIRECT("Collision!"&amp;Severity!$C$3&amp;":"&amp;Severity!$C$3),F$148), COUNTIFS(INDIRECT("Collision!"&amp;Event!$G$3&amp;":"&amp;Event!$G$3),$B179,INDIRECT("Collision!"&amp;Severity!$C$3&amp;":"&amp;Severity!$C$3),F$148), COUNTIFS(INDIRECT("Collision!"&amp;Event!$G$4&amp;":"&amp;Event!$G$4),$B179,INDIRECT("Collision!"&amp;Severity!$C$3&amp;":"&amp;Severity!$C$3),F$148))</f>
        <v>#REF!</v>
      </c>
      <c r="G179" s="71" t="e">
        <f t="shared" ca="1" si="0"/>
        <v>#REF!</v>
      </c>
      <c r="H179" s="69" t="e">
        <f t="shared" ca="1" si="1"/>
        <v>#REF!</v>
      </c>
      <c r="I179" s="71" t="e">
        <f t="shared" ca="1" si="2"/>
        <v>#REF!</v>
      </c>
      <c r="J179" s="69" t="e">
        <f ca="1">IF(G179=0,0,PCF_Severity2[[#This Row],[Crash Count]]/$I$283)</f>
        <v>#REF!</v>
      </c>
      <c r="K179" t="e">
        <f ca="1">SUM(PCF_Severity2[[#This Row],[Severe Injury]:[Other Injury]])</f>
        <v>#REF!</v>
      </c>
      <c r="L179" s="69" t="e">
        <f ca="1">PCF_Severity2[[#This Row],[Crash Count2]]/$K$283</f>
        <v>#REF!</v>
      </c>
      <c r="M179" s="86" t="str">
        <f>VLOOKUP(PCF_Severity2[[#This Row],[Crash Event]],PCF_3[[#Headers],[#Data]],4,FALSE)</f>
        <v>Bridge or road cave in</v>
      </c>
      <c r="Q179" s="84"/>
    </row>
    <row r="180" spans="2:17" x14ac:dyDescent="0.25">
      <c r="B180" t="s">
        <v>224</v>
      </c>
      <c r="C180" s="71" t="e">
        <f ca="1">SUM(COUNTIFS(INDIRECT("Collision!"&amp;Event!$C$3&amp;":"&amp;Event!$C$3),$B180,INDIRECT("Collision!"&amp;Severity!$C$3&amp;":"&amp;Severity!$C$3),C$148), COUNTIFS(INDIRECT("Collision!"&amp;Event!$G$3&amp;":"&amp;Event!$G$3),$B180,INDIRECT("Collision!"&amp;Severity!$C$3&amp;":"&amp;Severity!$C$3),C$148), COUNTIFS(INDIRECT("Collision!"&amp;Event!$G$4&amp;":"&amp;Event!$G$4),$B180,INDIRECT("Collision!"&amp;Severity!$C$3&amp;":"&amp;Severity!$C$3),C$148))</f>
        <v>#REF!</v>
      </c>
      <c r="D180" s="71" t="e">
        <f ca="1">SUM(COUNTIFS(INDIRECT("Collision!"&amp;Event!$C$3&amp;":"&amp;Event!$C$3),$B180,INDIRECT("Collision!"&amp;Severity!$C$3&amp;":"&amp;Severity!$C$3),D$148), COUNTIFS(INDIRECT("Collision!"&amp;Event!$G$3&amp;":"&amp;Event!$G$3),$B180,INDIRECT("Collision!"&amp;Severity!$C$3&amp;":"&amp;Severity!$C$3),D$148), COUNTIFS(INDIRECT("Collision!"&amp;Event!$G$4&amp;":"&amp;Event!$G$4),$B180,INDIRECT("Collision!"&amp;Severity!$C$3&amp;":"&amp;Severity!$C$3),D$148))</f>
        <v>#REF!</v>
      </c>
      <c r="E180" s="71" t="e">
        <f t="array" aca="1" ref="E180" ca="1">SUM(COUNTIFS(INDIRECT("Collision!"&amp;Event!$C$3&amp;":"&amp;Event!$C$3),$B180,INDIRECT("Collision!"&amp;Severity!$C$3&amp;":"&amp;Severity!$C$3),{"Moderate Injury","Minor Injury"}), COUNTIFS(INDIRECT("Collision!"&amp;Event!$G$3&amp;":"&amp;Event!$G$3),$B180,INDIRECT("Collision!"&amp;Severity!$C$3&amp;":"&amp;Severity!$C$3),{"Moderate Injury","Minor Injury"}), COUNTIFS(INDIRECT("Collision!"&amp;Event!$G$4&amp;":"&amp;Event!$G$4),$B180,INDIRECT("Collision!"&amp;Severity!$C$3&amp;":"&amp;Severity!$C$3),{"Moderate Injury","Minor Injury"}))</f>
        <v>#REF!</v>
      </c>
      <c r="F180" s="71" t="e">
        <f ca="1">SUM(COUNTIFS(INDIRECT("Collision!"&amp;Event!$C$3&amp;":"&amp;Event!$C$3),$B180,INDIRECT("Collision!"&amp;Severity!$C$3&amp;":"&amp;Severity!$C$3),F$148), COUNTIFS(INDIRECT("Collision!"&amp;Event!$G$3&amp;":"&amp;Event!$G$3),$B180,INDIRECT("Collision!"&amp;Severity!$C$3&amp;":"&amp;Severity!$C$3),F$148), COUNTIFS(INDIRECT("Collision!"&amp;Event!$G$4&amp;":"&amp;Event!$G$4),$B180,INDIRECT("Collision!"&amp;Severity!$C$3&amp;":"&amp;Severity!$C$3),F$148))</f>
        <v>#REF!</v>
      </c>
      <c r="G180" s="71" t="e">
        <f t="shared" ca="1" si="0"/>
        <v>#REF!</v>
      </c>
      <c r="H180" s="69" t="e">
        <f t="shared" ca="1" si="1"/>
        <v>#REF!</v>
      </c>
      <c r="I180" s="71" t="e">
        <f t="shared" ca="1" si="2"/>
        <v>#REF!</v>
      </c>
      <c r="J180" s="69" t="e">
        <f ca="1">IF(G180=0,0,PCF_Severity2[[#This Row],[Crash Count]]/$I$283)</f>
        <v>#REF!</v>
      </c>
      <c r="K180" t="e">
        <f ca="1">SUM(PCF_Severity2[[#This Row],[Severe Injury]:[Other Injury]])</f>
        <v>#REF!</v>
      </c>
      <c r="L180" s="69" t="e">
        <f ca="1">PCF_Severity2[[#This Row],[Crash Count2]]/$K$283</f>
        <v>#REF!</v>
      </c>
      <c r="M180" s="86" t="str">
        <f>VLOOKUP(PCF_Severity2[[#This Row],[Crash Event]],PCF_3[[#Headers],[#Data]],4,FALSE)</f>
        <v>High water</v>
      </c>
      <c r="Q180" s="84"/>
    </row>
    <row r="181" spans="2:17" x14ac:dyDescent="0.25">
      <c r="B181" t="s">
        <v>225</v>
      </c>
      <c r="C181" s="71" t="e">
        <f ca="1">SUM(COUNTIFS(INDIRECT("Collision!"&amp;Event!$C$3&amp;":"&amp;Event!$C$3),$B181,INDIRECT("Collision!"&amp;Severity!$C$3&amp;":"&amp;Severity!$C$3),C$148), COUNTIFS(INDIRECT("Collision!"&amp;Event!$G$3&amp;":"&amp;Event!$G$3),$B181,INDIRECT("Collision!"&amp;Severity!$C$3&amp;":"&amp;Severity!$C$3),C$148), COUNTIFS(INDIRECT("Collision!"&amp;Event!$G$4&amp;":"&amp;Event!$G$4),$B181,INDIRECT("Collision!"&amp;Severity!$C$3&amp;":"&amp;Severity!$C$3),C$148))</f>
        <v>#REF!</v>
      </c>
      <c r="D181" s="71" t="e">
        <f ca="1">SUM(COUNTIFS(INDIRECT("Collision!"&amp;Event!$C$3&amp;":"&amp;Event!$C$3),$B181,INDIRECT("Collision!"&amp;Severity!$C$3&amp;":"&amp;Severity!$C$3),D$148), COUNTIFS(INDIRECT("Collision!"&amp;Event!$G$3&amp;":"&amp;Event!$G$3),$B181,INDIRECT("Collision!"&amp;Severity!$C$3&amp;":"&amp;Severity!$C$3),D$148), COUNTIFS(INDIRECT("Collision!"&amp;Event!$G$4&amp;":"&amp;Event!$G$4),$B181,INDIRECT("Collision!"&amp;Severity!$C$3&amp;":"&amp;Severity!$C$3),D$148))</f>
        <v>#REF!</v>
      </c>
      <c r="E181" s="71" t="e">
        <f t="array" aca="1" ref="E181" ca="1">SUM(COUNTIFS(INDIRECT("Collision!"&amp;Event!$C$3&amp;":"&amp;Event!$C$3),$B181,INDIRECT("Collision!"&amp;Severity!$C$3&amp;":"&amp;Severity!$C$3),{"Moderate Injury","Minor Injury"}), COUNTIFS(INDIRECT("Collision!"&amp;Event!$G$3&amp;":"&amp;Event!$G$3),$B181,INDIRECT("Collision!"&amp;Severity!$C$3&amp;":"&amp;Severity!$C$3),{"Moderate Injury","Minor Injury"}), COUNTIFS(INDIRECT("Collision!"&amp;Event!$G$4&amp;":"&amp;Event!$G$4),$B181,INDIRECT("Collision!"&amp;Severity!$C$3&amp;":"&amp;Severity!$C$3),{"Moderate Injury","Minor Injury"}))</f>
        <v>#REF!</v>
      </c>
      <c r="F181" s="71" t="e">
        <f ca="1">SUM(COUNTIFS(INDIRECT("Collision!"&amp;Event!$C$3&amp;":"&amp;Event!$C$3),$B181,INDIRECT("Collision!"&amp;Severity!$C$3&amp;":"&amp;Severity!$C$3),F$148), COUNTIFS(INDIRECT("Collision!"&amp;Event!$G$3&amp;":"&amp;Event!$G$3),$B181,INDIRECT("Collision!"&amp;Severity!$C$3&amp;":"&amp;Severity!$C$3),F$148), COUNTIFS(INDIRECT("Collision!"&amp;Event!$G$4&amp;":"&amp;Event!$G$4),$B181,INDIRECT("Collision!"&amp;Severity!$C$3&amp;":"&amp;Severity!$C$3),F$148))</f>
        <v>#REF!</v>
      </c>
      <c r="G181" s="71" t="e">
        <f t="shared" ref="G181:G212" ca="1" si="3">SUM(C181:F181)</f>
        <v>#REF!</v>
      </c>
      <c r="H181" s="69" t="e">
        <f t="shared" ref="H181:H212" ca="1" si="4">G181/$G$283</f>
        <v>#REF!</v>
      </c>
      <c r="I181" s="71" t="e">
        <f t="shared" ref="I181:I212" ca="1" si="5">SUM(D181,C181)</f>
        <v>#REF!</v>
      </c>
      <c r="J181" s="69" t="e">
        <f ca="1">IF(G181=0,0,PCF_Severity2[[#This Row],[Crash Count]]/$I$283)</f>
        <v>#REF!</v>
      </c>
      <c r="K181" t="e">
        <f ca="1">SUM(PCF_Severity2[[#This Row],[Severe Injury]:[Other Injury]])</f>
        <v>#REF!</v>
      </c>
      <c r="L181" s="69" t="e">
        <f ca="1">PCF_Severity2[[#This Row],[Crash Count2]]/$K$283</f>
        <v>#REF!</v>
      </c>
      <c r="M181" s="86" t="str">
        <f>VLOOKUP(PCF_Severity2[[#This Row],[Crash Event]],PCF_3[[#Headers],[#Data]],4,FALSE)</f>
        <v>Snow bank</v>
      </c>
      <c r="Q181" s="84"/>
    </row>
    <row r="182" spans="2:17" ht="45" x14ac:dyDescent="0.25">
      <c r="B182" t="s">
        <v>229</v>
      </c>
      <c r="C182" s="71" t="e">
        <f ca="1">SUM(COUNTIFS(INDIRECT("Collision!"&amp;Event!$C$3&amp;":"&amp;Event!$C$3),$B182,INDIRECT("Collision!"&amp;Severity!$C$3&amp;":"&amp;Severity!$C$3),C$148), COUNTIFS(INDIRECT("Collision!"&amp;Event!$G$3&amp;":"&amp;Event!$G$3),$B182,INDIRECT("Collision!"&amp;Severity!$C$3&amp;":"&amp;Severity!$C$3),C$148), COUNTIFS(INDIRECT("Collision!"&amp;Event!$G$4&amp;":"&amp;Event!$G$4),$B182,INDIRECT("Collision!"&amp;Severity!$C$3&amp;":"&amp;Severity!$C$3),C$148))</f>
        <v>#REF!</v>
      </c>
      <c r="D182" s="71" t="e">
        <f ca="1">SUM(COUNTIFS(INDIRECT("Collision!"&amp;Event!$C$3&amp;":"&amp;Event!$C$3),$B182,INDIRECT("Collision!"&amp;Severity!$C$3&amp;":"&amp;Severity!$C$3),D$148), COUNTIFS(INDIRECT("Collision!"&amp;Event!$G$3&amp;":"&amp;Event!$G$3),$B182,INDIRECT("Collision!"&amp;Severity!$C$3&amp;":"&amp;Severity!$C$3),D$148), COUNTIFS(INDIRECT("Collision!"&amp;Event!$G$4&amp;":"&amp;Event!$G$4),$B182,INDIRECT("Collision!"&amp;Severity!$C$3&amp;":"&amp;Severity!$C$3),D$148))</f>
        <v>#REF!</v>
      </c>
      <c r="E182" s="71" t="e">
        <f t="array" aca="1" ref="E182" ca="1">SUM(COUNTIFS(INDIRECT("Collision!"&amp;Event!$C$3&amp;":"&amp;Event!$C$3),$B182,INDIRECT("Collision!"&amp;Severity!$C$3&amp;":"&amp;Severity!$C$3),{"Moderate Injury","Minor Injury"}), COUNTIFS(INDIRECT("Collision!"&amp;Event!$G$3&amp;":"&amp;Event!$G$3),$B182,INDIRECT("Collision!"&amp;Severity!$C$3&amp;":"&amp;Severity!$C$3),{"Moderate Injury","Minor Injury"}), COUNTIFS(INDIRECT("Collision!"&amp;Event!$G$4&amp;":"&amp;Event!$G$4),$B182,INDIRECT("Collision!"&amp;Severity!$C$3&amp;":"&amp;Severity!$C$3),{"Moderate Injury","Minor Injury"}))</f>
        <v>#REF!</v>
      </c>
      <c r="F182" s="71" t="e">
        <f ca="1">SUM(COUNTIFS(INDIRECT("Collision!"&amp;Event!$C$3&amp;":"&amp;Event!$C$3),$B182,INDIRECT("Collision!"&amp;Severity!$C$3&amp;":"&amp;Severity!$C$3),F$148), COUNTIFS(INDIRECT("Collision!"&amp;Event!$G$3&amp;":"&amp;Event!$G$3),$B182,INDIRECT("Collision!"&amp;Severity!$C$3&amp;":"&amp;Severity!$C$3),F$148), COUNTIFS(INDIRECT("Collision!"&amp;Event!$G$4&amp;":"&amp;Event!$G$4),$B182,INDIRECT("Collision!"&amp;Severity!$C$3&amp;":"&amp;Severity!$C$3),F$148))</f>
        <v>#REF!</v>
      </c>
      <c r="G182" s="71" t="e">
        <f t="shared" ca="1" si="3"/>
        <v>#REF!</v>
      </c>
      <c r="H182" s="69" t="e">
        <f t="shared" ca="1" si="4"/>
        <v>#REF!</v>
      </c>
      <c r="I182" s="71" t="e">
        <f t="shared" ca="1" si="5"/>
        <v>#REF!</v>
      </c>
      <c r="J182" s="69" t="e">
        <f ca="1">IF(G182=0,0,PCF_Severity2[[#This Row],[Crash Count]]/$I$283)</f>
        <v>#REF!</v>
      </c>
      <c r="K182" t="e">
        <f ca="1">SUM(PCF_Severity2[[#This Row],[Severe Injury]:[Other Injury]])</f>
        <v>#REF!</v>
      </c>
      <c r="L182" s="69" t="e">
        <f ca="1">PCF_Severity2[[#This Row],[Crash Count2]]/$K$283</f>
        <v>#REF!</v>
      </c>
      <c r="M182" s="86" t="str">
        <f>VLOOKUP(PCF_Severity2[[#This Row],[Crash Event]],PCF_3[[#Headers],[#Data]],4,FALSE)</f>
        <v>Struck by rock or other moving, falling or flying object  (Do not use with code 080)</v>
      </c>
      <c r="Q182" s="84"/>
    </row>
    <row r="183" spans="2:17" x14ac:dyDescent="0.25">
      <c r="B183" t="s">
        <v>233</v>
      </c>
      <c r="C183" s="71" t="e">
        <f ca="1">SUM(COUNTIFS(INDIRECT("Collision!"&amp;Event!$C$3&amp;":"&amp;Event!$C$3),$B183,INDIRECT("Collision!"&amp;Severity!$C$3&amp;":"&amp;Severity!$C$3),C$148), COUNTIFS(INDIRECT("Collision!"&amp;Event!$G$3&amp;":"&amp;Event!$G$3),$B183,INDIRECT("Collision!"&amp;Severity!$C$3&amp;":"&amp;Severity!$C$3),C$148), COUNTIFS(INDIRECT("Collision!"&amp;Event!$G$4&amp;":"&amp;Event!$G$4),$B183,INDIRECT("Collision!"&amp;Severity!$C$3&amp;":"&amp;Severity!$C$3),C$148))</f>
        <v>#REF!</v>
      </c>
      <c r="D183" s="71" t="e">
        <f ca="1">SUM(COUNTIFS(INDIRECT("Collision!"&amp;Event!$C$3&amp;":"&amp;Event!$C$3),$B183,INDIRECT("Collision!"&amp;Severity!$C$3&amp;":"&amp;Severity!$C$3),D$148), COUNTIFS(INDIRECT("Collision!"&amp;Event!$G$3&amp;":"&amp;Event!$G$3),$B183,INDIRECT("Collision!"&amp;Severity!$C$3&amp;":"&amp;Severity!$C$3),D$148), COUNTIFS(INDIRECT("Collision!"&amp;Event!$G$4&amp;":"&amp;Event!$G$4),$B183,INDIRECT("Collision!"&amp;Severity!$C$3&amp;":"&amp;Severity!$C$3),D$148))</f>
        <v>#REF!</v>
      </c>
      <c r="E183" s="71" t="e">
        <f t="array" aca="1" ref="E183" ca="1">SUM(COUNTIFS(INDIRECT("Collision!"&amp;Event!$C$3&amp;":"&amp;Event!$C$3),$B183,INDIRECT("Collision!"&amp;Severity!$C$3&amp;":"&amp;Severity!$C$3),{"Moderate Injury","Minor Injury"}), COUNTIFS(INDIRECT("Collision!"&amp;Event!$G$3&amp;":"&amp;Event!$G$3),$B183,INDIRECT("Collision!"&amp;Severity!$C$3&amp;":"&amp;Severity!$C$3),{"Moderate Injury","Minor Injury"}), COUNTIFS(INDIRECT("Collision!"&amp;Event!$G$4&amp;":"&amp;Event!$G$4),$B183,INDIRECT("Collision!"&amp;Severity!$C$3&amp;":"&amp;Severity!$C$3),{"Moderate Injury","Minor Injury"}))</f>
        <v>#REF!</v>
      </c>
      <c r="F183" s="71" t="e">
        <f ca="1">SUM(COUNTIFS(INDIRECT("Collision!"&amp;Event!$C$3&amp;":"&amp;Event!$C$3),$B183,INDIRECT("Collision!"&amp;Severity!$C$3&amp;":"&amp;Severity!$C$3),F$148), COUNTIFS(INDIRECT("Collision!"&amp;Event!$G$3&amp;":"&amp;Event!$G$3),$B183,INDIRECT("Collision!"&amp;Severity!$C$3&amp;":"&amp;Severity!$C$3),F$148), COUNTIFS(INDIRECT("Collision!"&amp;Event!$G$4&amp;":"&amp;Event!$G$4),$B183,INDIRECT("Collision!"&amp;Severity!$C$3&amp;":"&amp;Severity!$C$3),F$148))</f>
        <v>#REF!</v>
      </c>
      <c r="G183" s="71" t="e">
        <f t="shared" ca="1" si="3"/>
        <v>#REF!</v>
      </c>
      <c r="H183" s="69" t="e">
        <f t="shared" ca="1" si="4"/>
        <v>#REF!</v>
      </c>
      <c r="I183" s="71" t="e">
        <f t="shared" ca="1" si="5"/>
        <v>#REF!</v>
      </c>
      <c r="J183" s="69" t="e">
        <f ca="1">IF(G183=0,0,PCF_Severity2[[#This Row],[Crash Count]]/$I$283)</f>
        <v>#REF!</v>
      </c>
      <c r="K183" t="e">
        <f ca="1">SUM(PCF_Severity2[[#This Row],[Severe Injury]:[Other Injury]])</f>
        <v>#REF!</v>
      </c>
      <c r="L183" s="69" t="e">
        <f ca="1">PCF_Severity2[[#This Row],[Crash Count2]]/$K$283</f>
        <v>#REF!</v>
      </c>
      <c r="M183" s="86" t="str">
        <f>VLOOKUP(PCF_Severity2[[#This Row],[Crash Event]],PCF_3[[#Headers],[#Data]],4,FALSE)</f>
        <v>Wind gust</v>
      </c>
      <c r="Q183" s="84"/>
    </row>
    <row r="184" spans="2:17" x14ac:dyDescent="0.25">
      <c r="B184" t="s">
        <v>234</v>
      </c>
      <c r="C184" s="71" t="e">
        <f ca="1">SUM(COUNTIFS(INDIRECT("Collision!"&amp;Event!$C$3&amp;":"&amp;Event!$C$3),$B184,INDIRECT("Collision!"&amp;Severity!$C$3&amp;":"&amp;Severity!$C$3),C$148), COUNTIFS(INDIRECT("Collision!"&amp;Event!$G$3&amp;":"&amp;Event!$G$3),$B184,INDIRECT("Collision!"&amp;Severity!$C$3&amp;":"&amp;Severity!$C$3),C$148), COUNTIFS(INDIRECT("Collision!"&amp;Event!$G$4&amp;":"&amp;Event!$G$4),$B184,INDIRECT("Collision!"&amp;Severity!$C$3&amp;":"&amp;Severity!$C$3),C$148))</f>
        <v>#REF!</v>
      </c>
      <c r="D184" s="71" t="e">
        <f ca="1">SUM(COUNTIFS(INDIRECT("Collision!"&amp;Event!$C$3&amp;":"&amp;Event!$C$3),$B184,INDIRECT("Collision!"&amp;Severity!$C$3&amp;":"&amp;Severity!$C$3),D$148), COUNTIFS(INDIRECT("Collision!"&amp;Event!$G$3&amp;":"&amp;Event!$G$3),$B184,INDIRECT("Collision!"&amp;Severity!$C$3&amp;":"&amp;Severity!$C$3),D$148), COUNTIFS(INDIRECT("Collision!"&amp;Event!$G$4&amp;":"&amp;Event!$G$4),$B184,INDIRECT("Collision!"&amp;Severity!$C$3&amp;":"&amp;Severity!$C$3),D$148))</f>
        <v>#REF!</v>
      </c>
      <c r="E184" s="71" t="e">
        <f t="array" aca="1" ref="E184" ca="1">SUM(COUNTIFS(INDIRECT("Collision!"&amp;Event!$C$3&amp;":"&amp;Event!$C$3),$B184,INDIRECT("Collision!"&amp;Severity!$C$3&amp;":"&amp;Severity!$C$3),{"Moderate Injury","Minor Injury"}), COUNTIFS(INDIRECT("Collision!"&amp;Event!$G$3&amp;":"&amp;Event!$G$3),$B184,INDIRECT("Collision!"&amp;Severity!$C$3&amp;":"&amp;Severity!$C$3),{"Moderate Injury","Minor Injury"}), COUNTIFS(INDIRECT("Collision!"&amp;Event!$G$4&amp;":"&amp;Event!$G$4),$B184,INDIRECT("Collision!"&amp;Severity!$C$3&amp;":"&amp;Severity!$C$3),{"Moderate Injury","Minor Injury"}))</f>
        <v>#REF!</v>
      </c>
      <c r="F184" s="71" t="e">
        <f ca="1">SUM(COUNTIFS(INDIRECT("Collision!"&amp;Event!$C$3&amp;":"&amp;Event!$C$3),$B184,INDIRECT("Collision!"&amp;Severity!$C$3&amp;":"&amp;Severity!$C$3),F$148), COUNTIFS(INDIRECT("Collision!"&amp;Event!$G$3&amp;":"&amp;Event!$G$3),$B184,INDIRECT("Collision!"&amp;Severity!$C$3&amp;":"&amp;Severity!$C$3),F$148), COUNTIFS(INDIRECT("Collision!"&amp;Event!$G$4&amp;":"&amp;Event!$G$4),$B184,INDIRECT("Collision!"&amp;Severity!$C$3&amp;":"&amp;Severity!$C$3),F$148))</f>
        <v>#REF!</v>
      </c>
      <c r="G184" s="71" t="e">
        <f t="shared" ca="1" si="3"/>
        <v>#REF!</v>
      </c>
      <c r="H184" s="69" t="e">
        <f t="shared" ca="1" si="4"/>
        <v>#REF!</v>
      </c>
      <c r="I184" s="71" t="e">
        <f t="shared" ca="1" si="5"/>
        <v>#REF!</v>
      </c>
      <c r="J184" s="69" t="e">
        <f ca="1">IF(G184=0,0,PCF_Severity2[[#This Row],[Crash Count]]/$I$283)</f>
        <v>#REF!</v>
      </c>
      <c r="K184" t="e">
        <f ca="1">SUM(PCF_Severity2[[#This Row],[Severe Injury]:[Other Injury]])</f>
        <v>#REF!</v>
      </c>
      <c r="L184" s="69" t="e">
        <f ca="1">PCF_Severity2[[#This Row],[Crash Count2]]/$K$283</f>
        <v>#REF!</v>
      </c>
      <c r="M184" s="86" t="str">
        <f>VLOOKUP(PCF_Severity2[[#This Row],[Crash Event]],PCF_3[[#Headers],[#Data]],4,FALSE)</f>
        <v>Vehicle immersed in body of water</v>
      </c>
      <c r="Q184" s="84"/>
    </row>
    <row r="185" spans="2:17" x14ac:dyDescent="0.25">
      <c r="B185" t="s">
        <v>236</v>
      </c>
      <c r="C185" s="71" t="e">
        <f ca="1">SUM(COUNTIFS(INDIRECT("Collision!"&amp;Event!$C$3&amp;":"&amp;Event!$C$3),$B185,INDIRECT("Collision!"&amp;Severity!$C$3&amp;":"&amp;Severity!$C$3),C$148), COUNTIFS(INDIRECT("Collision!"&amp;Event!$G$3&amp;":"&amp;Event!$G$3),$B185,INDIRECT("Collision!"&amp;Severity!$C$3&amp;":"&amp;Severity!$C$3),C$148), COUNTIFS(INDIRECT("Collision!"&amp;Event!$G$4&amp;":"&amp;Event!$G$4),$B185,INDIRECT("Collision!"&amp;Severity!$C$3&amp;":"&amp;Severity!$C$3),C$148))</f>
        <v>#REF!</v>
      </c>
      <c r="D185" s="71" t="e">
        <f ca="1">SUM(COUNTIFS(INDIRECT("Collision!"&amp;Event!$C$3&amp;":"&amp;Event!$C$3),$B185,INDIRECT("Collision!"&amp;Severity!$C$3&amp;":"&amp;Severity!$C$3),D$148), COUNTIFS(INDIRECT("Collision!"&amp;Event!$G$3&amp;":"&amp;Event!$G$3),$B185,INDIRECT("Collision!"&amp;Severity!$C$3&amp;":"&amp;Severity!$C$3),D$148), COUNTIFS(INDIRECT("Collision!"&amp;Event!$G$4&amp;":"&amp;Event!$G$4),$B185,INDIRECT("Collision!"&amp;Severity!$C$3&amp;":"&amp;Severity!$C$3),D$148))</f>
        <v>#REF!</v>
      </c>
      <c r="E185" s="71" t="e">
        <f t="array" aca="1" ref="E185" ca="1">SUM(COUNTIFS(INDIRECT("Collision!"&amp;Event!$C$3&amp;":"&amp;Event!$C$3),$B185,INDIRECT("Collision!"&amp;Severity!$C$3&amp;":"&amp;Severity!$C$3),{"Moderate Injury","Minor Injury"}), COUNTIFS(INDIRECT("Collision!"&amp;Event!$G$3&amp;":"&amp;Event!$G$3),$B185,INDIRECT("Collision!"&amp;Severity!$C$3&amp;":"&amp;Severity!$C$3),{"Moderate Injury","Minor Injury"}), COUNTIFS(INDIRECT("Collision!"&amp;Event!$G$4&amp;":"&amp;Event!$G$4),$B185,INDIRECT("Collision!"&amp;Severity!$C$3&amp;":"&amp;Severity!$C$3),{"Moderate Injury","Minor Injury"}))</f>
        <v>#REF!</v>
      </c>
      <c r="F185" s="71" t="e">
        <f ca="1">SUM(COUNTIFS(INDIRECT("Collision!"&amp;Event!$C$3&amp;":"&amp;Event!$C$3),$B185,INDIRECT("Collision!"&amp;Severity!$C$3&amp;":"&amp;Severity!$C$3),F$148), COUNTIFS(INDIRECT("Collision!"&amp;Event!$G$3&amp;":"&amp;Event!$G$3),$B185,INDIRECT("Collision!"&amp;Severity!$C$3&amp;":"&amp;Severity!$C$3),F$148), COUNTIFS(INDIRECT("Collision!"&amp;Event!$G$4&amp;":"&amp;Event!$G$4),$B185,INDIRECT("Collision!"&amp;Severity!$C$3&amp;":"&amp;Severity!$C$3),F$148))</f>
        <v>#REF!</v>
      </c>
      <c r="G185" s="71" t="e">
        <f t="shared" ca="1" si="3"/>
        <v>#REF!</v>
      </c>
      <c r="H185" s="69" t="e">
        <f t="shared" ca="1" si="4"/>
        <v>#REF!</v>
      </c>
      <c r="I185" s="71" t="e">
        <f t="shared" ca="1" si="5"/>
        <v>#REF!</v>
      </c>
      <c r="J185" s="69" t="e">
        <f ca="1">IF(G185=0,0,PCF_Severity2[[#This Row],[Crash Count]]/$I$283)</f>
        <v>#REF!</v>
      </c>
      <c r="K185" t="e">
        <f ca="1">SUM(PCF_Severity2[[#This Row],[Severe Injury]:[Other Injury]])</f>
        <v>#REF!</v>
      </c>
      <c r="L185" s="69" t="e">
        <f ca="1">PCF_Severity2[[#This Row],[Crash Count2]]/$K$283</f>
        <v>#REF!</v>
      </c>
      <c r="M185" s="86" t="str">
        <f>VLOOKUP(PCF_Severity2[[#This Row],[Crash Event]],PCF_3[[#Headers],[#Data]],4,FALSE)</f>
        <v>Fence or building, etc.</v>
      </c>
      <c r="Q185" s="84"/>
    </row>
    <row r="186" spans="2:17" ht="30" x14ac:dyDescent="0.25">
      <c r="B186" t="s">
        <v>238</v>
      </c>
      <c r="C186" s="71" t="e">
        <f ca="1">SUM(COUNTIFS(INDIRECT("Collision!"&amp;Event!$C$3&amp;":"&amp;Event!$C$3),$B186,INDIRECT("Collision!"&amp;Severity!$C$3&amp;":"&amp;Severity!$C$3),C$148), COUNTIFS(INDIRECT("Collision!"&amp;Event!$G$3&amp;":"&amp;Event!$G$3),$B186,INDIRECT("Collision!"&amp;Severity!$C$3&amp;":"&amp;Severity!$C$3),C$148), COUNTIFS(INDIRECT("Collision!"&amp;Event!$G$4&amp;":"&amp;Event!$G$4),$B186,INDIRECT("Collision!"&amp;Severity!$C$3&amp;":"&amp;Severity!$C$3),C$148))</f>
        <v>#REF!</v>
      </c>
      <c r="D186" s="71" t="e">
        <f ca="1">SUM(COUNTIFS(INDIRECT("Collision!"&amp;Event!$C$3&amp;":"&amp;Event!$C$3),$B186,INDIRECT("Collision!"&amp;Severity!$C$3&amp;":"&amp;Severity!$C$3),D$148), COUNTIFS(INDIRECT("Collision!"&amp;Event!$G$3&amp;":"&amp;Event!$G$3),$B186,INDIRECT("Collision!"&amp;Severity!$C$3&amp;":"&amp;Severity!$C$3),D$148), COUNTIFS(INDIRECT("Collision!"&amp;Event!$G$4&amp;":"&amp;Event!$G$4),$B186,INDIRECT("Collision!"&amp;Severity!$C$3&amp;":"&amp;Severity!$C$3),D$148))</f>
        <v>#REF!</v>
      </c>
      <c r="E186" s="71" t="e">
        <f t="array" aca="1" ref="E186" ca="1">SUM(COUNTIFS(INDIRECT("Collision!"&amp;Event!$C$3&amp;":"&amp;Event!$C$3),$B186,INDIRECT("Collision!"&amp;Severity!$C$3&amp;":"&amp;Severity!$C$3),{"Moderate Injury","Minor Injury"}), COUNTIFS(INDIRECT("Collision!"&amp;Event!$G$3&amp;":"&amp;Event!$G$3),$B186,INDIRECT("Collision!"&amp;Severity!$C$3&amp;":"&amp;Severity!$C$3),{"Moderate Injury","Minor Injury"}), COUNTIFS(INDIRECT("Collision!"&amp;Event!$G$4&amp;":"&amp;Event!$G$4),$B186,INDIRECT("Collision!"&amp;Severity!$C$3&amp;":"&amp;Severity!$C$3),{"Moderate Injury","Minor Injury"}))</f>
        <v>#REF!</v>
      </c>
      <c r="F186" s="71" t="e">
        <f ca="1">SUM(COUNTIFS(INDIRECT("Collision!"&amp;Event!$C$3&amp;":"&amp;Event!$C$3),$B186,INDIRECT("Collision!"&amp;Severity!$C$3&amp;":"&amp;Severity!$C$3),F$148), COUNTIFS(INDIRECT("Collision!"&amp;Event!$G$3&amp;":"&amp;Event!$G$3),$B186,INDIRECT("Collision!"&amp;Severity!$C$3&amp;":"&amp;Severity!$C$3),F$148), COUNTIFS(INDIRECT("Collision!"&amp;Event!$G$4&amp;":"&amp;Event!$G$4),$B186,INDIRECT("Collision!"&amp;Severity!$C$3&amp;":"&amp;Severity!$C$3),F$148))</f>
        <v>#REF!</v>
      </c>
      <c r="G186" s="71" t="e">
        <f t="shared" ca="1" si="3"/>
        <v>#REF!</v>
      </c>
      <c r="H186" s="69" t="e">
        <f t="shared" ca="1" si="4"/>
        <v>#REF!</v>
      </c>
      <c r="I186" s="71" t="e">
        <f t="shared" ca="1" si="5"/>
        <v>#REF!</v>
      </c>
      <c r="J186" s="69" t="e">
        <f ca="1">IF(G186=0,0,PCF_Severity2[[#This Row],[Crash Count]]/$I$283)</f>
        <v>#REF!</v>
      </c>
      <c r="K186" t="e">
        <f ca="1">SUM(PCF_Severity2[[#This Row],[Severe Injury]:[Other Injury]])</f>
        <v>#REF!</v>
      </c>
      <c r="L186" s="69" t="e">
        <f ca="1">PCF_Severity2[[#This Row],[Crash Count2]]/$K$283</f>
        <v>#REF!</v>
      </c>
      <c r="M186" s="86" t="str">
        <f>VLOOKUP(PCF_Severity2[[#This Row],[Crash Event]],PCF_3[[#Headers],[#Data]],4,FALSE)</f>
        <v>Two-way traffic on divided roadway all routed to one side</v>
      </c>
      <c r="Q186" s="84"/>
    </row>
    <row r="187" spans="2:17" x14ac:dyDescent="0.25">
      <c r="B187" t="s">
        <v>245</v>
      </c>
      <c r="C187" s="71" t="e">
        <f ca="1">SUM(COUNTIFS(INDIRECT("Collision!"&amp;Event!$C$3&amp;":"&amp;Event!$C$3),$B187,INDIRECT("Collision!"&amp;Severity!$C$3&amp;":"&amp;Severity!$C$3),C$148), COUNTIFS(INDIRECT("Collision!"&amp;Event!$G$3&amp;":"&amp;Event!$G$3),$B187,INDIRECT("Collision!"&amp;Severity!$C$3&amp;":"&amp;Severity!$C$3),C$148), COUNTIFS(INDIRECT("Collision!"&amp;Event!$G$4&amp;":"&amp;Event!$G$4),$B187,INDIRECT("Collision!"&amp;Severity!$C$3&amp;":"&amp;Severity!$C$3),C$148))</f>
        <v>#REF!</v>
      </c>
      <c r="D187" s="71" t="e">
        <f ca="1">SUM(COUNTIFS(INDIRECT("Collision!"&amp;Event!$C$3&amp;":"&amp;Event!$C$3),$B187,INDIRECT("Collision!"&amp;Severity!$C$3&amp;":"&amp;Severity!$C$3),D$148), COUNTIFS(INDIRECT("Collision!"&amp;Event!$G$3&amp;":"&amp;Event!$G$3),$B187,INDIRECT("Collision!"&amp;Severity!$C$3&amp;":"&amp;Severity!$C$3),D$148), COUNTIFS(INDIRECT("Collision!"&amp;Event!$G$4&amp;":"&amp;Event!$G$4),$B187,INDIRECT("Collision!"&amp;Severity!$C$3&amp;":"&amp;Severity!$C$3),D$148))</f>
        <v>#REF!</v>
      </c>
      <c r="E187" s="71" t="e">
        <f t="array" aca="1" ref="E187" ca="1">SUM(COUNTIFS(INDIRECT("Collision!"&amp;Event!$C$3&amp;":"&amp;Event!$C$3),$B187,INDIRECT("Collision!"&amp;Severity!$C$3&amp;":"&amp;Severity!$C$3),{"Moderate Injury","Minor Injury"}), COUNTIFS(INDIRECT("Collision!"&amp;Event!$G$3&amp;":"&amp;Event!$G$3),$B187,INDIRECT("Collision!"&amp;Severity!$C$3&amp;":"&amp;Severity!$C$3),{"Moderate Injury","Minor Injury"}), COUNTIFS(INDIRECT("Collision!"&amp;Event!$G$4&amp;":"&amp;Event!$G$4),$B187,INDIRECT("Collision!"&amp;Severity!$C$3&amp;":"&amp;Severity!$C$3),{"Moderate Injury","Minor Injury"}))</f>
        <v>#REF!</v>
      </c>
      <c r="F187" s="71" t="e">
        <f ca="1">SUM(COUNTIFS(INDIRECT("Collision!"&amp;Event!$C$3&amp;":"&amp;Event!$C$3),$B187,INDIRECT("Collision!"&amp;Severity!$C$3&amp;":"&amp;Severity!$C$3),F$148), COUNTIFS(INDIRECT("Collision!"&amp;Event!$G$3&amp;":"&amp;Event!$G$3),$B187,INDIRECT("Collision!"&amp;Severity!$C$3&amp;":"&amp;Severity!$C$3),F$148), COUNTIFS(INDIRECT("Collision!"&amp;Event!$G$4&amp;":"&amp;Event!$G$4),$B187,INDIRECT("Collision!"&amp;Severity!$C$3&amp;":"&amp;Severity!$C$3),F$148))</f>
        <v>#REF!</v>
      </c>
      <c r="G187" s="71" t="e">
        <f t="shared" ca="1" si="3"/>
        <v>#REF!</v>
      </c>
      <c r="H187" s="69" t="e">
        <f t="shared" ca="1" si="4"/>
        <v>#REF!</v>
      </c>
      <c r="I187" s="71" t="e">
        <f t="shared" ca="1" si="5"/>
        <v>#REF!</v>
      </c>
      <c r="J187" s="69" t="e">
        <f ca="1">IF(G187=0,0,PCF_Severity2[[#This Row],[Crash Count]]/$I$283)</f>
        <v>#REF!</v>
      </c>
      <c r="K187" t="e">
        <f ca="1">SUM(PCF_Severity2[[#This Row],[Severe Injury]:[Other Injury]])</f>
        <v>#REF!</v>
      </c>
      <c r="L187" s="69" t="e">
        <f ca="1">PCF_Severity2[[#This Row],[Crash Count2]]/$K$283</f>
        <v>#REF!</v>
      </c>
      <c r="M187" s="86" t="str">
        <f>VLOOKUP(PCF_Severity2[[#This Row],[Crash Event]],PCF_3[[#Headers],[#Data]],4,FALSE)</f>
        <v>Gravel in roadway</v>
      </c>
      <c r="Q187" s="84"/>
    </row>
    <row r="188" spans="2:17" x14ac:dyDescent="0.25">
      <c r="B188" t="s">
        <v>246</v>
      </c>
      <c r="C188" s="71" t="e">
        <f ca="1">SUM(COUNTIFS(INDIRECT("Collision!"&amp;Event!$C$3&amp;":"&amp;Event!$C$3),$B188,INDIRECT("Collision!"&amp;Severity!$C$3&amp;":"&amp;Severity!$C$3),C$148), COUNTIFS(INDIRECT("Collision!"&amp;Event!$G$3&amp;":"&amp;Event!$G$3),$B188,INDIRECT("Collision!"&amp;Severity!$C$3&amp;":"&amp;Severity!$C$3),C$148), COUNTIFS(INDIRECT("Collision!"&amp;Event!$G$4&amp;":"&amp;Event!$G$4),$B188,INDIRECT("Collision!"&amp;Severity!$C$3&amp;":"&amp;Severity!$C$3),C$148))</f>
        <v>#REF!</v>
      </c>
      <c r="D188" s="71" t="e">
        <f ca="1">SUM(COUNTIFS(INDIRECT("Collision!"&amp;Event!$C$3&amp;":"&amp;Event!$C$3),$B188,INDIRECT("Collision!"&amp;Severity!$C$3&amp;":"&amp;Severity!$C$3),D$148), COUNTIFS(INDIRECT("Collision!"&amp;Event!$G$3&amp;":"&amp;Event!$G$3),$B188,INDIRECT("Collision!"&amp;Severity!$C$3&amp;":"&amp;Severity!$C$3),D$148), COUNTIFS(INDIRECT("Collision!"&amp;Event!$G$4&amp;":"&amp;Event!$G$4),$B188,INDIRECT("Collision!"&amp;Severity!$C$3&amp;":"&amp;Severity!$C$3),D$148))</f>
        <v>#REF!</v>
      </c>
      <c r="E188" s="71" t="e">
        <f t="array" aca="1" ref="E188" ca="1">SUM(COUNTIFS(INDIRECT("Collision!"&amp;Event!$C$3&amp;":"&amp;Event!$C$3),$B188,INDIRECT("Collision!"&amp;Severity!$C$3&amp;":"&amp;Severity!$C$3),{"Moderate Injury","Minor Injury"}), COUNTIFS(INDIRECT("Collision!"&amp;Event!$G$3&amp;":"&amp;Event!$G$3),$B188,INDIRECT("Collision!"&amp;Severity!$C$3&amp;":"&amp;Severity!$C$3),{"Moderate Injury","Minor Injury"}), COUNTIFS(INDIRECT("Collision!"&amp;Event!$G$4&amp;":"&amp;Event!$G$4),$B188,INDIRECT("Collision!"&amp;Severity!$C$3&amp;":"&amp;Severity!$C$3),{"Moderate Injury","Minor Injury"}))</f>
        <v>#REF!</v>
      </c>
      <c r="F188" s="71" t="e">
        <f ca="1">SUM(COUNTIFS(INDIRECT("Collision!"&amp;Event!$C$3&amp;":"&amp;Event!$C$3),$B188,INDIRECT("Collision!"&amp;Severity!$C$3&amp;":"&amp;Severity!$C$3),F$148), COUNTIFS(INDIRECT("Collision!"&amp;Event!$G$3&amp;":"&amp;Event!$G$3),$B188,INDIRECT("Collision!"&amp;Severity!$C$3&amp;":"&amp;Severity!$C$3),F$148), COUNTIFS(INDIRECT("Collision!"&amp;Event!$G$4&amp;":"&amp;Event!$G$4),$B188,INDIRECT("Collision!"&amp;Severity!$C$3&amp;":"&amp;Severity!$C$3),F$148))</f>
        <v>#REF!</v>
      </c>
      <c r="G188" s="71" t="e">
        <f t="shared" ca="1" si="3"/>
        <v>#REF!</v>
      </c>
      <c r="H188" s="69" t="e">
        <f t="shared" ca="1" si="4"/>
        <v>#REF!</v>
      </c>
      <c r="I188" s="71" t="e">
        <f t="shared" ca="1" si="5"/>
        <v>#REF!</v>
      </c>
      <c r="J188" s="69" t="e">
        <f ca="1">IF(G188=0,0,PCF_Severity2[[#This Row],[Crash Count]]/$I$283)</f>
        <v>#REF!</v>
      </c>
      <c r="K188" t="e">
        <f ca="1">SUM(PCF_Severity2[[#This Row],[Severe Injury]:[Other Injury]])</f>
        <v>#REF!</v>
      </c>
      <c r="L188" s="69" t="e">
        <f ca="1">PCF_Severity2[[#This Row],[Crash Count2]]/$K$283</f>
        <v>#REF!</v>
      </c>
      <c r="M188" s="86" t="str">
        <f>VLOOKUP(PCF_Severity2[[#This Row],[Crash Event]],PCF_3[[#Headers],[#Data]],4,FALSE)</f>
        <v>Abrupt edge</v>
      </c>
      <c r="Q188" s="84"/>
    </row>
    <row r="189" spans="2:17" ht="30" x14ac:dyDescent="0.25">
      <c r="B189" t="s">
        <v>247</v>
      </c>
      <c r="C189" s="71" t="e">
        <f ca="1">SUM(COUNTIFS(INDIRECT("Collision!"&amp;Event!$C$3&amp;":"&amp;Event!$C$3),$B189,INDIRECT("Collision!"&amp;Severity!$C$3&amp;":"&amp;Severity!$C$3),C$148), COUNTIFS(INDIRECT("Collision!"&amp;Event!$G$3&amp;":"&amp;Event!$G$3),$B189,INDIRECT("Collision!"&amp;Severity!$C$3&amp;":"&amp;Severity!$C$3),C$148), COUNTIFS(INDIRECT("Collision!"&amp;Event!$G$4&amp;":"&amp;Event!$G$4),$B189,INDIRECT("Collision!"&amp;Severity!$C$3&amp;":"&amp;Severity!$C$3),C$148))</f>
        <v>#REF!</v>
      </c>
      <c r="D189" s="71" t="e">
        <f ca="1">SUM(COUNTIFS(INDIRECT("Collision!"&amp;Event!$C$3&amp;":"&amp;Event!$C$3),$B189,INDIRECT("Collision!"&amp;Severity!$C$3&amp;":"&amp;Severity!$C$3),D$148), COUNTIFS(INDIRECT("Collision!"&amp;Event!$G$3&amp;":"&amp;Event!$G$3),$B189,INDIRECT("Collision!"&amp;Severity!$C$3&amp;":"&amp;Severity!$C$3),D$148), COUNTIFS(INDIRECT("Collision!"&amp;Event!$G$4&amp;":"&amp;Event!$G$4),$B189,INDIRECT("Collision!"&amp;Severity!$C$3&amp;":"&amp;Severity!$C$3),D$148))</f>
        <v>#REF!</v>
      </c>
      <c r="E189" s="71" t="e">
        <f t="array" aca="1" ref="E189" ca="1">SUM(COUNTIFS(INDIRECT("Collision!"&amp;Event!$C$3&amp;":"&amp;Event!$C$3),$B189,INDIRECT("Collision!"&amp;Severity!$C$3&amp;":"&amp;Severity!$C$3),{"Moderate Injury","Minor Injury"}), COUNTIFS(INDIRECT("Collision!"&amp;Event!$G$3&amp;":"&amp;Event!$G$3),$B189,INDIRECT("Collision!"&amp;Severity!$C$3&amp;":"&amp;Severity!$C$3),{"Moderate Injury","Minor Injury"}), COUNTIFS(INDIRECT("Collision!"&amp;Event!$G$4&amp;":"&amp;Event!$G$4),$B189,INDIRECT("Collision!"&amp;Severity!$C$3&amp;":"&amp;Severity!$C$3),{"Moderate Injury","Minor Injury"}))</f>
        <v>#REF!</v>
      </c>
      <c r="F189" s="71" t="e">
        <f ca="1">SUM(COUNTIFS(INDIRECT("Collision!"&amp;Event!$C$3&amp;":"&amp;Event!$C$3),$B189,INDIRECT("Collision!"&amp;Severity!$C$3&amp;":"&amp;Severity!$C$3),F$148), COUNTIFS(INDIRECT("Collision!"&amp;Event!$G$3&amp;":"&amp;Event!$G$3),$B189,INDIRECT("Collision!"&amp;Severity!$C$3&amp;":"&amp;Severity!$C$3),F$148), COUNTIFS(INDIRECT("Collision!"&amp;Event!$G$4&amp;":"&amp;Event!$G$4),$B189,INDIRECT("Collision!"&amp;Severity!$C$3&amp;":"&amp;Severity!$C$3),F$148))</f>
        <v>#REF!</v>
      </c>
      <c r="G189" s="71" t="e">
        <f t="shared" ca="1" si="3"/>
        <v>#REF!</v>
      </c>
      <c r="H189" s="69" t="e">
        <f t="shared" ca="1" si="4"/>
        <v>#REF!</v>
      </c>
      <c r="I189" s="71" t="e">
        <f t="shared" ca="1" si="5"/>
        <v>#REF!</v>
      </c>
      <c r="J189" s="69" t="e">
        <f ca="1">IF(G189=0,0,PCF_Severity2[[#This Row],[Crash Count]]/$I$283)</f>
        <v>#REF!</v>
      </c>
      <c r="K189" t="e">
        <f ca="1">SUM(PCF_Severity2[[#This Row],[Severe Injury]:[Other Injury]])</f>
        <v>#REF!</v>
      </c>
      <c r="L189" s="69" t="e">
        <f ca="1">PCF_Severity2[[#This Row],[Crash Count2]]/$K$283</f>
        <v>#REF!</v>
      </c>
      <c r="M189" s="86" t="str">
        <f>VLOOKUP(PCF_Severity2[[#This Row],[Crash Event]],PCF_3[[#Headers],[#Data]],4,FALSE)</f>
        <v>Cell phone use witnessed by other participant</v>
      </c>
      <c r="Q189" s="84"/>
    </row>
    <row r="190" spans="2:17" x14ac:dyDescent="0.25">
      <c r="B190" t="s">
        <v>250</v>
      </c>
      <c r="C190" s="71" t="e">
        <f ca="1">SUM(COUNTIFS(INDIRECT("Collision!"&amp;Event!$C$3&amp;":"&amp;Event!$C$3),$B190,INDIRECT("Collision!"&amp;Severity!$C$3&amp;":"&amp;Severity!$C$3),C$148), COUNTIFS(INDIRECT("Collision!"&amp;Event!$G$3&amp;":"&amp;Event!$G$3),$B190,INDIRECT("Collision!"&amp;Severity!$C$3&amp;":"&amp;Severity!$C$3),C$148), COUNTIFS(INDIRECT("Collision!"&amp;Event!$G$4&amp;":"&amp;Event!$G$4),$B190,INDIRECT("Collision!"&amp;Severity!$C$3&amp;":"&amp;Severity!$C$3),C$148))</f>
        <v>#REF!</v>
      </c>
      <c r="D190" s="71" t="e">
        <f ca="1">SUM(COUNTIFS(INDIRECT("Collision!"&amp;Event!$C$3&amp;":"&amp;Event!$C$3),$B190,INDIRECT("Collision!"&amp;Severity!$C$3&amp;":"&amp;Severity!$C$3),D$148), COUNTIFS(INDIRECT("Collision!"&amp;Event!$G$3&amp;":"&amp;Event!$G$3),$B190,INDIRECT("Collision!"&amp;Severity!$C$3&amp;":"&amp;Severity!$C$3),D$148), COUNTIFS(INDIRECT("Collision!"&amp;Event!$G$4&amp;":"&amp;Event!$G$4),$B190,INDIRECT("Collision!"&amp;Severity!$C$3&amp;":"&amp;Severity!$C$3),D$148))</f>
        <v>#REF!</v>
      </c>
      <c r="E190" s="71" t="e">
        <f t="array" aca="1" ref="E190" ca="1">SUM(COUNTIFS(INDIRECT("Collision!"&amp;Event!$C$3&amp;":"&amp;Event!$C$3),$B190,INDIRECT("Collision!"&amp;Severity!$C$3&amp;":"&amp;Severity!$C$3),{"Moderate Injury","Minor Injury"}), COUNTIFS(INDIRECT("Collision!"&amp;Event!$G$3&amp;":"&amp;Event!$G$3),$B190,INDIRECT("Collision!"&amp;Severity!$C$3&amp;":"&amp;Severity!$C$3),{"Moderate Injury","Minor Injury"}), COUNTIFS(INDIRECT("Collision!"&amp;Event!$G$4&amp;":"&amp;Event!$G$4),$B190,INDIRECT("Collision!"&amp;Severity!$C$3&amp;":"&amp;Severity!$C$3),{"Moderate Injury","Minor Injury"}))</f>
        <v>#REF!</v>
      </c>
      <c r="F190" s="71" t="e">
        <f ca="1">SUM(COUNTIFS(INDIRECT("Collision!"&amp;Event!$C$3&amp;":"&amp;Event!$C$3),$B190,INDIRECT("Collision!"&amp;Severity!$C$3&amp;":"&amp;Severity!$C$3),F$148), COUNTIFS(INDIRECT("Collision!"&amp;Event!$G$3&amp;":"&amp;Event!$G$3),$B190,INDIRECT("Collision!"&amp;Severity!$C$3&amp;":"&amp;Severity!$C$3),F$148), COUNTIFS(INDIRECT("Collision!"&amp;Event!$G$4&amp;":"&amp;Event!$G$4),$B190,INDIRECT("Collision!"&amp;Severity!$C$3&amp;":"&amp;Severity!$C$3),F$148))</f>
        <v>#REF!</v>
      </c>
      <c r="G190" s="71" t="e">
        <f t="shared" ca="1" si="3"/>
        <v>#REF!</v>
      </c>
      <c r="H190" s="69" t="e">
        <f t="shared" ca="1" si="4"/>
        <v>#REF!</v>
      </c>
      <c r="I190" s="71" t="e">
        <f t="shared" ca="1" si="5"/>
        <v>#REF!</v>
      </c>
      <c r="J190" s="69" t="e">
        <f ca="1">IF(G190=0,0,PCF_Severity2[[#This Row],[Crash Count]]/$I$283)</f>
        <v>#REF!</v>
      </c>
      <c r="K190" t="e">
        <f ca="1">SUM(PCF_Severity2[[#This Row],[Severe Injury]:[Other Injury]])</f>
        <v>#REF!</v>
      </c>
      <c r="L190" s="69" t="e">
        <f ca="1">PCF_Severity2[[#This Row],[Crash Count2]]/$K$283</f>
        <v>#REF!</v>
      </c>
      <c r="M190" s="86" t="str">
        <f>VLOOKUP(PCF_Severity2[[#This Row],[Crash Event]],PCF_3[[#Headers],[#Data]],4,FALSE)</f>
        <v xml:space="preserve">Texting </v>
      </c>
      <c r="Q190" s="84"/>
    </row>
    <row r="191" spans="2:17" x14ac:dyDescent="0.25">
      <c r="B191" t="s">
        <v>252</v>
      </c>
      <c r="C191" s="71" t="e">
        <f ca="1">SUM(COUNTIFS(INDIRECT("Collision!"&amp;Event!$C$3&amp;":"&amp;Event!$C$3),$B191,INDIRECT("Collision!"&amp;Severity!$C$3&amp;":"&amp;Severity!$C$3),C$148), COUNTIFS(INDIRECT("Collision!"&amp;Event!$G$3&amp;":"&amp;Event!$G$3),$B191,INDIRECT("Collision!"&amp;Severity!$C$3&amp;":"&amp;Severity!$C$3),C$148), COUNTIFS(INDIRECT("Collision!"&amp;Event!$G$4&amp;":"&amp;Event!$G$4),$B191,INDIRECT("Collision!"&amp;Severity!$C$3&amp;":"&amp;Severity!$C$3),C$148))</f>
        <v>#REF!</v>
      </c>
      <c r="D191" s="71" t="e">
        <f ca="1">SUM(COUNTIFS(INDIRECT("Collision!"&amp;Event!$C$3&amp;":"&amp;Event!$C$3),$B191,INDIRECT("Collision!"&amp;Severity!$C$3&amp;":"&amp;Severity!$C$3),D$148), COUNTIFS(INDIRECT("Collision!"&amp;Event!$G$3&amp;":"&amp;Event!$G$3),$B191,INDIRECT("Collision!"&amp;Severity!$C$3&amp;":"&amp;Severity!$C$3),D$148), COUNTIFS(INDIRECT("Collision!"&amp;Event!$G$4&amp;":"&amp;Event!$G$4),$B191,INDIRECT("Collision!"&amp;Severity!$C$3&amp;":"&amp;Severity!$C$3),D$148))</f>
        <v>#REF!</v>
      </c>
      <c r="E191" s="71" t="e">
        <f t="array" aca="1" ref="E191" ca="1">SUM(COUNTIFS(INDIRECT("Collision!"&amp;Event!$C$3&amp;":"&amp;Event!$C$3),$B191,INDIRECT("Collision!"&amp;Severity!$C$3&amp;":"&amp;Severity!$C$3),{"Moderate Injury","Minor Injury"}), COUNTIFS(INDIRECT("Collision!"&amp;Event!$G$3&amp;":"&amp;Event!$G$3),$B191,INDIRECT("Collision!"&amp;Severity!$C$3&amp;":"&amp;Severity!$C$3),{"Moderate Injury","Minor Injury"}), COUNTIFS(INDIRECT("Collision!"&amp;Event!$G$4&amp;":"&amp;Event!$G$4),$B191,INDIRECT("Collision!"&amp;Severity!$C$3&amp;":"&amp;Severity!$C$3),{"Moderate Injury","Minor Injury"}))</f>
        <v>#REF!</v>
      </c>
      <c r="F191" s="71" t="e">
        <f ca="1">SUM(COUNTIFS(INDIRECT("Collision!"&amp;Event!$C$3&amp;":"&amp;Event!$C$3),$B191,INDIRECT("Collision!"&amp;Severity!$C$3&amp;":"&amp;Severity!$C$3),F$148), COUNTIFS(INDIRECT("Collision!"&amp;Event!$G$3&amp;":"&amp;Event!$G$3),$B191,INDIRECT("Collision!"&amp;Severity!$C$3&amp;":"&amp;Severity!$C$3),F$148), COUNTIFS(INDIRECT("Collision!"&amp;Event!$G$4&amp;":"&amp;Event!$G$4),$B191,INDIRECT("Collision!"&amp;Severity!$C$3&amp;":"&amp;Severity!$C$3),F$148))</f>
        <v>#REF!</v>
      </c>
      <c r="G191" s="71" t="e">
        <f t="shared" ca="1" si="3"/>
        <v>#REF!</v>
      </c>
      <c r="H191" s="69" t="e">
        <f t="shared" ca="1" si="4"/>
        <v>#REF!</v>
      </c>
      <c r="I191" s="71" t="e">
        <f t="shared" ca="1" si="5"/>
        <v>#REF!</v>
      </c>
      <c r="J191" s="69" t="e">
        <f ca="1">IF(G191=0,0,PCF_Severity2[[#This Row],[Crash Count]]/$I$283)</f>
        <v>#REF!</v>
      </c>
      <c r="K191" t="e">
        <f ca="1">SUM(PCF_Severity2[[#This Row],[Severe Injury]:[Other Injury]])</f>
        <v>#REF!</v>
      </c>
      <c r="L191" s="69" t="e">
        <f ca="1">PCF_Severity2[[#This Row],[Crash Count2]]/$K$283</f>
        <v>#REF!</v>
      </c>
      <c r="M191" s="86" t="str">
        <f>VLOOKUP(PCF_Severity2[[#This Row],[Crash Event]],PCF_3[[#Headers],[#Data]],4,FALSE)</f>
        <v>Passenger riding on vehicle exterior</v>
      </c>
      <c r="Q191" s="84"/>
    </row>
    <row r="192" spans="2:17" x14ac:dyDescent="0.25">
      <c r="B192" t="s">
        <v>253</v>
      </c>
      <c r="C192" s="71" t="e">
        <f ca="1">SUM(COUNTIFS(INDIRECT("Collision!"&amp;Event!$C$3&amp;":"&amp;Event!$C$3),$B192,INDIRECT("Collision!"&amp;Severity!$C$3&amp;":"&amp;Severity!$C$3),C$148), COUNTIFS(INDIRECT("Collision!"&amp;Event!$G$3&amp;":"&amp;Event!$G$3),$B192,INDIRECT("Collision!"&amp;Severity!$C$3&amp;":"&amp;Severity!$C$3),C$148), COUNTIFS(INDIRECT("Collision!"&amp;Event!$G$4&amp;":"&amp;Event!$G$4),$B192,INDIRECT("Collision!"&amp;Severity!$C$3&amp;":"&amp;Severity!$C$3),C$148))</f>
        <v>#REF!</v>
      </c>
      <c r="D192" s="71" t="e">
        <f ca="1">SUM(COUNTIFS(INDIRECT("Collision!"&amp;Event!$C$3&amp;":"&amp;Event!$C$3),$B192,INDIRECT("Collision!"&amp;Severity!$C$3&amp;":"&amp;Severity!$C$3),D$148), COUNTIFS(INDIRECT("Collision!"&amp;Event!$G$3&amp;":"&amp;Event!$G$3),$B192,INDIRECT("Collision!"&amp;Severity!$C$3&amp;":"&amp;Severity!$C$3),D$148), COUNTIFS(INDIRECT("Collision!"&amp;Event!$G$4&amp;":"&amp;Event!$G$4),$B192,INDIRECT("Collision!"&amp;Severity!$C$3&amp;":"&amp;Severity!$C$3),D$148))</f>
        <v>#REF!</v>
      </c>
      <c r="E192" s="71" t="e">
        <f t="array" aca="1" ref="E192" ca="1">SUM(COUNTIFS(INDIRECT("Collision!"&amp;Event!$C$3&amp;":"&amp;Event!$C$3),$B192,INDIRECT("Collision!"&amp;Severity!$C$3&amp;":"&amp;Severity!$C$3),{"Moderate Injury","Minor Injury"}), COUNTIFS(INDIRECT("Collision!"&amp;Event!$G$3&amp;":"&amp;Event!$G$3),$B192,INDIRECT("Collision!"&amp;Severity!$C$3&amp;":"&amp;Severity!$C$3),{"Moderate Injury","Minor Injury"}), COUNTIFS(INDIRECT("Collision!"&amp;Event!$G$4&amp;":"&amp;Event!$G$4),$B192,INDIRECT("Collision!"&amp;Severity!$C$3&amp;":"&amp;Severity!$C$3),{"Moderate Injury","Minor Injury"}))</f>
        <v>#REF!</v>
      </c>
      <c r="F192" s="71" t="e">
        <f ca="1">SUM(COUNTIFS(INDIRECT("Collision!"&amp;Event!$C$3&amp;":"&amp;Event!$C$3),$B192,INDIRECT("Collision!"&amp;Severity!$C$3&amp;":"&amp;Severity!$C$3),F$148), COUNTIFS(INDIRECT("Collision!"&amp;Event!$G$3&amp;":"&amp;Event!$G$3),$B192,INDIRECT("Collision!"&amp;Severity!$C$3&amp;":"&amp;Severity!$C$3),F$148), COUNTIFS(INDIRECT("Collision!"&amp;Event!$G$4&amp;":"&amp;Event!$G$4),$B192,INDIRECT("Collision!"&amp;Severity!$C$3&amp;":"&amp;Severity!$C$3),F$148))</f>
        <v>#REF!</v>
      </c>
      <c r="G192" s="71" t="e">
        <f t="shared" ca="1" si="3"/>
        <v>#REF!</v>
      </c>
      <c r="H192" s="69" t="e">
        <f t="shared" ca="1" si="4"/>
        <v>#REF!</v>
      </c>
      <c r="I192" s="71" t="e">
        <f t="shared" ca="1" si="5"/>
        <v>#REF!</v>
      </c>
      <c r="J192" s="69" t="e">
        <f ca="1">IF(G192=0,0,PCF_Severity2[[#This Row],[Crash Count]]/$I$283)</f>
        <v>#REF!</v>
      </c>
      <c r="K192" t="e">
        <f ca="1">SUM(PCF_Severity2[[#This Row],[Severe Injury]:[Other Injury]])</f>
        <v>#REF!</v>
      </c>
      <c r="L192" s="69" t="e">
        <f ca="1">PCF_Severity2[[#This Row],[Crash Count2]]/$K$283</f>
        <v>#REF!</v>
      </c>
      <c r="M192" s="86" t="str">
        <f>VLOOKUP(PCF_Severity2[[#This Row],[Crash Event]],PCF_3[[#Headers],[#Data]],4,FALSE)</f>
        <v>Passenger riding on pedalcycle</v>
      </c>
      <c r="Q192" s="84"/>
    </row>
    <row r="193" spans="2:17" ht="30" x14ac:dyDescent="0.25">
      <c r="B193" t="s">
        <v>254</v>
      </c>
      <c r="C193" s="71" t="e">
        <f ca="1">SUM(COUNTIFS(INDIRECT("Collision!"&amp;Event!$C$3&amp;":"&amp;Event!$C$3),$B193,INDIRECT("Collision!"&amp;Severity!$C$3&amp;":"&amp;Severity!$C$3),C$148), COUNTIFS(INDIRECT("Collision!"&amp;Event!$G$3&amp;":"&amp;Event!$G$3),$B193,INDIRECT("Collision!"&amp;Severity!$C$3&amp;":"&amp;Severity!$C$3),C$148), COUNTIFS(INDIRECT("Collision!"&amp;Event!$G$4&amp;":"&amp;Event!$G$4),$B193,INDIRECT("Collision!"&amp;Severity!$C$3&amp;":"&amp;Severity!$C$3),C$148))</f>
        <v>#REF!</v>
      </c>
      <c r="D193" s="71" t="e">
        <f ca="1">SUM(COUNTIFS(INDIRECT("Collision!"&amp;Event!$C$3&amp;":"&amp;Event!$C$3),$B193,INDIRECT("Collision!"&amp;Severity!$C$3&amp;":"&amp;Severity!$C$3),D$148), COUNTIFS(INDIRECT("Collision!"&amp;Event!$G$3&amp;":"&amp;Event!$G$3),$B193,INDIRECT("Collision!"&amp;Severity!$C$3&amp;":"&amp;Severity!$C$3),D$148), COUNTIFS(INDIRECT("Collision!"&amp;Event!$G$4&amp;":"&amp;Event!$G$4),$B193,INDIRECT("Collision!"&amp;Severity!$C$3&amp;":"&amp;Severity!$C$3),D$148))</f>
        <v>#REF!</v>
      </c>
      <c r="E193" s="71" t="e">
        <f t="array" aca="1" ref="E193" ca="1">SUM(COUNTIFS(INDIRECT("Collision!"&amp;Event!$C$3&amp;":"&amp;Event!$C$3),$B193,INDIRECT("Collision!"&amp;Severity!$C$3&amp;":"&amp;Severity!$C$3),{"Moderate Injury","Minor Injury"}), COUNTIFS(INDIRECT("Collision!"&amp;Event!$G$3&amp;":"&amp;Event!$G$3),$B193,INDIRECT("Collision!"&amp;Severity!$C$3&amp;":"&amp;Severity!$C$3),{"Moderate Injury","Minor Injury"}), COUNTIFS(INDIRECT("Collision!"&amp;Event!$G$4&amp;":"&amp;Event!$G$4),$B193,INDIRECT("Collision!"&amp;Severity!$C$3&amp;":"&amp;Severity!$C$3),{"Moderate Injury","Minor Injury"}))</f>
        <v>#REF!</v>
      </c>
      <c r="F193" s="71" t="e">
        <f ca="1">SUM(COUNTIFS(INDIRECT("Collision!"&amp;Event!$C$3&amp;":"&amp;Event!$C$3),$B193,INDIRECT("Collision!"&amp;Severity!$C$3&amp;":"&amp;Severity!$C$3),F$148), COUNTIFS(INDIRECT("Collision!"&amp;Event!$G$3&amp;":"&amp;Event!$G$3),$B193,INDIRECT("Collision!"&amp;Severity!$C$3&amp;":"&amp;Severity!$C$3),F$148), COUNTIFS(INDIRECT("Collision!"&amp;Event!$G$4&amp;":"&amp;Event!$G$4),$B193,INDIRECT("Collision!"&amp;Severity!$C$3&amp;":"&amp;Severity!$C$3),F$148))</f>
        <v>#REF!</v>
      </c>
      <c r="G193" s="71" t="e">
        <f t="shared" ca="1" si="3"/>
        <v>#REF!</v>
      </c>
      <c r="H193" s="69" t="e">
        <f t="shared" ca="1" si="4"/>
        <v>#REF!</v>
      </c>
      <c r="I193" s="71" t="e">
        <f t="shared" ca="1" si="5"/>
        <v>#REF!</v>
      </c>
      <c r="J193" s="69" t="e">
        <f ca="1">IF(G193=0,0,PCF_Severity2[[#This Row],[Crash Count]]/$I$283)</f>
        <v>#REF!</v>
      </c>
      <c r="K193" t="e">
        <f ca="1">SUM(PCF_Severity2[[#This Row],[Severe Injury]:[Other Injury]])</f>
        <v>#REF!</v>
      </c>
      <c r="L193" s="69" t="e">
        <f ca="1">PCF_Severity2[[#This Row],[Crash Count2]]/$K$283</f>
        <v>#REF!</v>
      </c>
      <c r="M193" s="86" t="str">
        <f>VLOOKUP(PCF_Severity2[[#This Row],[Crash Event]],PCF_3[[#Headers],[#Data]],4,FALSE)</f>
        <v>Pedestrian in non-motorized wheelchair</v>
      </c>
      <c r="Q193" s="84"/>
    </row>
    <row r="194" spans="2:17" x14ac:dyDescent="0.25">
      <c r="B194" t="s">
        <v>256</v>
      </c>
      <c r="C194" s="71" t="e">
        <f ca="1">SUM(COUNTIFS(INDIRECT("Collision!"&amp;Event!$C$3&amp;":"&amp;Event!$C$3),$B194,INDIRECT("Collision!"&amp;Severity!$C$3&amp;":"&amp;Severity!$C$3),C$148), COUNTIFS(INDIRECT("Collision!"&amp;Event!$G$3&amp;":"&amp;Event!$G$3),$B194,INDIRECT("Collision!"&amp;Severity!$C$3&amp;":"&amp;Severity!$C$3),C$148), COUNTIFS(INDIRECT("Collision!"&amp;Event!$G$4&amp;":"&amp;Event!$G$4),$B194,INDIRECT("Collision!"&amp;Severity!$C$3&amp;":"&amp;Severity!$C$3),C$148))</f>
        <v>#REF!</v>
      </c>
      <c r="D194" s="71" t="e">
        <f ca="1">SUM(COUNTIFS(INDIRECT("Collision!"&amp;Event!$C$3&amp;":"&amp;Event!$C$3),$B194,INDIRECT("Collision!"&amp;Severity!$C$3&amp;":"&amp;Severity!$C$3),D$148), COUNTIFS(INDIRECT("Collision!"&amp;Event!$G$3&amp;":"&amp;Event!$G$3),$B194,INDIRECT("Collision!"&amp;Severity!$C$3&amp;":"&amp;Severity!$C$3),D$148), COUNTIFS(INDIRECT("Collision!"&amp;Event!$G$4&amp;":"&amp;Event!$G$4),$B194,INDIRECT("Collision!"&amp;Severity!$C$3&amp;":"&amp;Severity!$C$3),D$148))</f>
        <v>#REF!</v>
      </c>
      <c r="E194" s="71" t="e">
        <f t="array" aca="1" ref="E194" ca="1">SUM(COUNTIFS(INDIRECT("Collision!"&amp;Event!$C$3&amp;":"&amp;Event!$C$3),$B194,INDIRECT("Collision!"&amp;Severity!$C$3&amp;":"&amp;Severity!$C$3),{"Moderate Injury","Minor Injury"}), COUNTIFS(INDIRECT("Collision!"&amp;Event!$G$3&amp;":"&amp;Event!$G$3),$B194,INDIRECT("Collision!"&amp;Severity!$C$3&amp;":"&amp;Severity!$C$3),{"Moderate Injury","Minor Injury"}), COUNTIFS(INDIRECT("Collision!"&amp;Event!$G$4&amp;":"&amp;Event!$G$4),$B194,INDIRECT("Collision!"&amp;Severity!$C$3&amp;":"&amp;Severity!$C$3),{"Moderate Injury","Minor Injury"}))</f>
        <v>#REF!</v>
      </c>
      <c r="F194" s="71" t="e">
        <f ca="1">SUM(COUNTIFS(INDIRECT("Collision!"&amp;Event!$C$3&amp;":"&amp;Event!$C$3),$B194,INDIRECT("Collision!"&amp;Severity!$C$3&amp;":"&amp;Severity!$C$3),F$148), COUNTIFS(INDIRECT("Collision!"&amp;Event!$G$3&amp;":"&amp;Event!$G$3),$B194,INDIRECT("Collision!"&amp;Severity!$C$3&amp;":"&amp;Severity!$C$3),F$148), COUNTIFS(INDIRECT("Collision!"&amp;Event!$G$4&amp;":"&amp;Event!$G$4),$B194,INDIRECT("Collision!"&amp;Severity!$C$3&amp;":"&amp;Severity!$C$3),F$148))</f>
        <v>#REF!</v>
      </c>
      <c r="G194" s="71" t="e">
        <f t="shared" ca="1" si="3"/>
        <v>#REF!</v>
      </c>
      <c r="H194" s="69" t="e">
        <f t="shared" ca="1" si="4"/>
        <v>#REF!</v>
      </c>
      <c r="I194" s="71" t="e">
        <f t="shared" ca="1" si="5"/>
        <v>#REF!</v>
      </c>
      <c r="J194" s="69" t="e">
        <f ca="1">IF(G194=0,0,PCF_Severity2[[#This Row],[Crash Count]]/$I$283)</f>
        <v>#REF!</v>
      </c>
      <c r="K194" t="e">
        <f ca="1">SUM(PCF_Severity2[[#This Row],[Severe Injury]:[Other Injury]])</f>
        <v>#REF!</v>
      </c>
      <c r="L194" s="69" t="e">
        <f ca="1">PCF_Severity2[[#This Row],[Crash Count2]]/$K$283</f>
        <v>#REF!</v>
      </c>
      <c r="M194" s="86" t="str">
        <f>VLOOKUP(PCF_Severity2[[#This Row],[Crash Event]],PCF_3[[#Headers],[#Data]],4,FALSE)</f>
        <v>Law Enforcement / Police Officer</v>
      </c>
      <c r="Q194" s="84"/>
    </row>
    <row r="195" spans="2:17" ht="30" x14ac:dyDescent="0.25">
      <c r="B195" t="s">
        <v>257</v>
      </c>
      <c r="C195" s="71" t="e">
        <f ca="1">SUM(COUNTIFS(INDIRECT("Collision!"&amp;Event!$C$3&amp;":"&amp;Event!$C$3),$B195,INDIRECT("Collision!"&amp;Severity!$C$3&amp;":"&amp;Severity!$C$3),C$148), COUNTIFS(INDIRECT("Collision!"&amp;Event!$G$3&amp;":"&amp;Event!$G$3),$B195,INDIRECT("Collision!"&amp;Severity!$C$3&amp;":"&amp;Severity!$C$3),C$148), COUNTIFS(INDIRECT("Collision!"&amp;Event!$G$4&amp;":"&amp;Event!$G$4),$B195,INDIRECT("Collision!"&amp;Severity!$C$3&amp;":"&amp;Severity!$C$3),C$148))</f>
        <v>#REF!</v>
      </c>
      <c r="D195" s="71" t="e">
        <f ca="1">SUM(COUNTIFS(INDIRECT("Collision!"&amp;Event!$C$3&amp;":"&amp;Event!$C$3),$B195,INDIRECT("Collision!"&amp;Severity!$C$3&amp;":"&amp;Severity!$C$3),D$148), COUNTIFS(INDIRECT("Collision!"&amp;Event!$G$3&amp;":"&amp;Event!$G$3),$B195,INDIRECT("Collision!"&amp;Severity!$C$3&amp;":"&amp;Severity!$C$3),D$148), COUNTIFS(INDIRECT("Collision!"&amp;Event!$G$4&amp;":"&amp;Event!$G$4),$B195,INDIRECT("Collision!"&amp;Severity!$C$3&amp;":"&amp;Severity!$C$3),D$148))</f>
        <v>#REF!</v>
      </c>
      <c r="E195" s="71" t="e">
        <f t="array" aca="1" ref="E195" ca="1">SUM(COUNTIFS(INDIRECT("Collision!"&amp;Event!$C$3&amp;":"&amp;Event!$C$3),$B195,INDIRECT("Collision!"&amp;Severity!$C$3&amp;":"&amp;Severity!$C$3),{"Moderate Injury","Minor Injury"}), COUNTIFS(INDIRECT("Collision!"&amp;Event!$G$3&amp;":"&amp;Event!$G$3),$B195,INDIRECT("Collision!"&amp;Severity!$C$3&amp;":"&amp;Severity!$C$3),{"Moderate Injury","Minor Injury"}), COUNTIFS(INDIRECT("Collision!"&amp;Event!$G$4&amp;":"&amp;Event!$G$4),$B195,INDIRECT("Collision!"&amp;Severity!$C$3&amp;":"&amp;Severity!$C$3),{"Moderate Injury","Minor Injury"}))</f>
        <v>#REF!</v>
      </c>
      <c r="F195" s="71" t="e">
        <f ca="1">SUM(COUNTIFS(INDIRECT("Collision!"&amp;Event!$C$3&amp;":"&amp;Event!$C$3),$B195,INDIRECT("Collision!"&amp;Severity!$C$3&amp;":"&amp;Severity!$C$3),F$148), COUNTIFS(INDIRECT("Collision!"&amp;Event!$G$3&amp;":"&amp;Event!$G$3),$B195,INDIRECT("Collision!"&amp;Severity!$C$3&amp;":"&amp;Severity!$C$3),F$148), COUNTIFS(INDIRECT("Collision!"&amp;Event!$G$4&amp;":"&amp;Event!$G$4),$B195,INDIRECT("Collision!"&amp;Severity!$C$3&amp;":"&amp;Severity!$C$3),F$148))</f>
        <v>#REF!</v>
      </c>
      <c r="G195" s="71" t="e">
        <f t="shared" ca="1" si="3"/>
        <v>#REF!</v>
      </c>
      <c r="H195" s="69" t="e">
        <f t="shared" ca="1" si="4"/>
        <v>#REF!</v>
      </c>
      <c r="I195" s="71" t="e">
        <f t="shared" ca="1" si="5"/>
        <v>#REF!</v>
      </c>
      <c r="J195" s="69" t="e">
        <f ca="1">IF(G195=0,0,PCF_Severity2[[#This Row],[Crash Count]]/$I$283)</f>
        <v>#REF!</v>
      </c>
      <c r="K195" t="e">
        <f ca="1">SUM(PCF_Severity2[[#This Row],[Severe Injury]:[Other Injury]])</f>
        <v>#REF!</v>
      </c>
      <c r="L195" s="69" t="e">
        <f ca="1">PCF_Severity2[[#This Row],[Crash Count2]]/$K$283</f>
        <v>#REF!</v>
      </c>
      <c r="M195" s="86" t="str">
        <f>VLOOKUP(PCF_Severity2[[#This Row],[Crash Event]],PCF_3[[#Headers],[#Data]],4,FALSE)</f>
        <v>"Sub-Bike": pedal-cyclist injured subsequent to collision, etc.</v>
      </c>
      <c r="Q195" s="84"/>
    </row>
    <row r="196" spans="2:17" ht="45" x14ac:dyDescent="0.25">
      <c r="B196" t="s">
        <v>259</v>
      </c>
      <c r="C196" s="71" t="e">
        <f ca="1">SUM(COUNTIFS(INDIRECT("Collision!"&amp;Event!$C$3&amp;":"&amp;Event!$C$3),$B196,INDIRECT("Collision!"&amp;Severity!$C$3&amp;":"&amp;Severity!$C$3),C$148), COUNTIFS(INDIRECT("Collision!"&amp;Event!$G$3&amp;":"&amp;Event!$G$3),$B196,INDIRECT("Collision!"&amp;Severity!$C$3&amp;":"&amp;Severity!$C$3),C$148), COUNTIFS(INDIRECT("Collision!"&amp;Event!$G$4&amp;":"&amp;Event!$G$4),$B196,INDIRECT("Collision!"&amp;Severity!$C$3&amp;":"&amp;Severity!$C$3),C$148))</f>
        <v>#REF!</v>
      </c>
      <c r="D196" s="71" t="e">
        <f ca="1">SUM(COUNTIFS(INDIRECT("Collision!"&amp;Event!$C$3&amp;":"&amp;Event!$C$3),$B196,INDIRECT("Collision!"&amp;Severity!$C$3&amp;":"&amp;Severity!$C$3),D$148), COUNTIFS(INDIRECT("Collision!"&amp;Event!$G$3&amp;":"&amp;Event!$G$3),$B196,INDIRECT("Collision!"&amp;Severity!$C$3&amp;":"&amp;Severity!$C$3),D$148), COUNTIFS(INDIRECT("Collision!"&amp;Event!$G$4&amp;":"&amp;Event!$G$4),$B196,INDIRECT("Collision!"&amp;Severity!$C$3&amp;":"&amp;Severity!$C$3),D$148))</f>
        <v>#REF!</v>
      </c>
      <c r="E196" s="71" t="e">
        <f t="array" aca="1" ref="E196" ca="1">SUM(COUNTIFS(INDIRECT("Collision!"&amp;Event!$C$3&amp;":"&amp;Event!$C$3),$B196,INDIRECT("Collision!"&amp;Severity!$C$3&amp;":"&amp;Severity!$C$3),{"Moderate Injury","Minor Injury"}), COUNTIFS(INDIRECT("Collision!"&amp;Event!$G$3&amp;":"&amp;Event!$G$3),$B196,INDIRECT("Collision!"&amp;Severity!$C$3&amp;":"&amp;Severity!$C$3),{"Moderate Injury","Minor Injury"}), COUNTIFS(INDIRECT("Collision!"&amp;Event!$G$4&amp;":"&amp;Event!$G$4),$B196,INDIRECT("Collision!"&amp;Severity!$C$3&amp;":"&amp;Severity!$C$3),{"Moderate Injury","Minor Injury"}))</f>
        <v>#REF!</v>
      </c>
      <c r="F196" s="71" t="e">
        <f ca="1">SUM(COUNTIFS(INDIRECT("Collision!"&amp;Event!$C$3&amp;":"&amp;Event!$C$3),$B196,INDIRECT("Collision!"&amp;Severity!$C$3&amp;":"&amp;Severity!$C$3),F$148), COUNTIFS(INDIRECT("Collision!"&amp;Event!$G$3&amp;":"&amp;Event!$G$3),$B196,INDIRECT("Collision!"&amp;Severity!$C$3&amp;":"&amp;Severity!$C$3),F$148), COUNTIFS(INDIRECT("Collision!"&amp;Event!$G$4&amp;":"&amp;Event!$G$4),$B196,INDIRECT("Collision!"&amp;Severity!$C$3&amp;":"&amp;Severity!$C$3),F$148))</f>
        <v>#REF!</v>
      </c>
      <c r="G196" s="71" t="e">
        <f t="shared" ca="1" si="3"/>
        <v>#REF!</v>
      </c>
      <c r="H196" s="69" t="e">
        <f t="shared" ca="1" si="4"/>
        <v>#REF!</v>
      </c>
      <c r="I196" s="71" t="e">
        <f t="shared" ca="1" si="5"/>
        <v>#REF!</v>
      </c>
      <c r="J196" s="69" t="e">
        <f ca="1">IF(G196=0,0,PCF_Severity2[[#This Row],[Crash Count]]/$I$283)</f>
        <v>#REF!</v>
      </c>
      <c r="K196" t="e">
        <f ca="1">SUM(PCF_Severity2[[#This Row],[Severe Injury]:[Other Injury]])</f>
        <v>#REF!</v>
      </c>
      <c r="L196" s="69" t="e">
        <f ca="1">PCF_Severity2[[#This Row],[Crash Count2]]/$K$283</f>
        <v>#REF!</v>
      </c>
      <c r="M196" s="86" t="str">
        <f>VLOOKUP(PCF_Severity2[[#This Row],[Crash Event]],PCF_3[[#Headers],[#Data]],4,FALSE)</f>
        <v>Street car or trolley (on rails or overhead wire system) struck vehicle</v>
      </c>
      <c r="Q196" s="84"/>
    </row>
    <row r="197" spans="2:17" ht="30" x14ac:dyDescent="0.25">
      <c r="B197" t="s">
        <v>260</v>
      </c>
      <c r="C197" s="71" t="e">
        <f ca="1">SUM(COUNTIFS(INDIRECT("Collision!"&amp;Event!$C$3&amp;":"&amp;Event!$C$3),$B197,INDIRECT("Collision!"&amp;Severity!$C$3&amp;":"&amp;Severity!$C$3),C$148), COUNTIFS(INDIRECT("Collision!"&amp;Event!$G$3&amp;":"&amp;Event!$G$3),$B197,INDIRECT("Collision!"&amp;Severity!$C$3&amp;":"&amp;Severity!$C$3),C$148), COUNTIFS(INDIRECT("Collision!"&amp;Event!$G$4&amp;":"&amp;Event!$G$4),$B197,INDIRECT("Collision!"&amp;Severity!$C$3&amp;":"&amp;Severity!$C$3),C$148))</f>
        <v>#REF!</v>
      </c>
      <c r="D197" s="71" t="e">
        <f ca="1">SUM(COUNTIFS(INDIRECT("Collision!"&amp;Event!$C$3&amp;":"&amp;Event!$C$3),$B197,INDIRECT("Collision!"&amp;Severity!$C$3&amp;":"&amp;Severity!$C$3),D$148), COUNTIFS(INDIRECT("Collision!"&amp;Event!$G$3&amp;":"&amp;Event!$G$3),$B197,INDIRECT("Collision!"&amp;Severity!$C$3&amp;":"&amp;Severity!$C$3),D$148), COUNTIFS(INDIRECT("Collision!"&amp;Event!$G$4&amp;":"&amp;Event!$G$4),$B197,INDIRECT("Collision!"&amp;Severity!$C$3&amp;":"&amp;Severity!$C$3),D$148))</f>
        <v>#REF!</v>
      </c>
      <c r="E197" s="71" t="e">
        <f t="array" aca="1" ref="E197" ca="1">SUM(COUNTIFS(INDIRECT("Collision!"&amp;Event!$C$3&amp;":"&amp;Event!$C$3),$B197,INDIRECT("Collision!"&amp;Severity!$C$3&amp;":"&amp;Severity!$C$3),{"Moderate Injury","Minor Injury"}), COUNTIFS(INDIRECT("Collision!"&amp;Event!$G$3&amp;":"&amp;Event!$G$3),$B197,INDIRECT("Collision!"&amp;Severity!$C$3&amp;":"&amp;Severity!$C$3),{"Moderate Injury","Minor Injury"}), COUNTIFS(INDIRECT("Collision!"&amp;Event!$G$4&amp;":"&amp;Event!$G$4),$B197,INDIRECT("Collision!"&amp;Severity!$C$3&amp;":"&amp;Severity!$C$3),{"Moderate Injury","Minor Injury"}))</f>
        <v>#REF!</v>
      </c>
      <c r="F197" s="71" t="e">
        <f ca="1">SUM(COUNTIFS(INDIRECT("Collision!"&amp;Event!$C$3&amp;":"&amp;Event!$C$3),$B197,INDIRECT("Collision!"&amp;Severity!$C$3&amp;":"&amp;Severity!$C$3),F$148), COUNTIFS(INDIRECT("Collision!"&amp;Event!$G$3&amp;":"&amp;Event!$G$3),$B197,INDIRECT("Collision!"&amp;Severity!$C$3&amp;":"&amp;Severity!$C$3),F$148), COUNTIFS(INDIRECT("Collision!"&amp;Event!$G$4&amp;":"&amp;Event!$G$4),$B197,INDIRECT("Collision!"&amp;Severity!$C$3&amp;":"&amp;Severity!$C$3),F$148))</f>
        <v>#REF!</v>
      </c>
      <c r="G197" s="71" t="e">
        <f t="shared" ca="1" si="3"/>
        <v>#REF!</v>
      </c>
      <c r="H197" s="69" t="e">
        <f t="shared" ca="1" si="4"/>
        <v>#REF!</v>
      </c>
      <c r="I197" s="71" t="e">
        <f t="shared" ca="1" si="5"/>
        <v>#REF!</v>
      </c>
      <c r="J197" s="69" t="e">
        <f ca="1">IF(G197=0,0,PCF_Severity2[[#This Row],[Crash Count]]/$I$283)</f>
        <v>#REF!</v>
      </c>
      <c r="K197" t="e">
        <f ca="1">SUM(PCF_Severity2[[#This Row],[Severe Injury]:[Other Injury]])</f>
        <v>#REF!</v>
      </c>
      <c r="L197" s="69" t="e">
        <f ca="1">PCF_Severity2[[#This Row],[Crash Count2]]/$K$283</f>
        <v>#REF!</v>
      </c>
      <c r="M197" s="86" t="str">
        <f>VLOOKUP(PCF_Severity2[[#This Row],[Crash Event]],PCF_3[[#Headers],[#Data]],4,FALSE)</f>
        <v>Vehicle struck street car / trolley (On rails or overhead wire system)</v>
      </c>
      <c r="Q197" s="84"/>
    </row>
    <row r="198" spans="2:17" ht="30" x14ac:dyDescent="0.25">
      <c r="B198" t="s">
        <v>261</v>
      </c>
      <c r="C198" s="71" t="e">
        <f ca="1">SUM(COUNTIFS(INDIRECT("Collision!"&amp;Event!$C$3&amp;":"&amp;Event!$C$3),$B198,INDIRECT("Collision!"&amp;Severity!$C$3&amp;":"&amp;Severity!$C$3),C$148), COUNTIFS(INDIRECT("Collision!"&amp;Event!$G$3&amp;":"&amp;Event!$G$3),$B198,INDIRECT("Collision!"&amp;Severity!$C$3&amp;":"&amp;Severity!$C$3),C$148), COUNTIFS(INDIRECT("Collision!"&amp;Event!$G$4&amp;":"&amp;Event!$G$4),$B198,INDIRECT("Collision!"&amp;Severity!$C$3&amp;":"&amp;Severity!$C$3),C$148))</f>
        <v>#REF!</v>
      </c>
      <c r="D198" s="71" t="e">
        <f ca="1">SUM(COUNTIFS(INDIRECT("Collision!"&amp;Event!$C$3&amp;":"&amp;Event!$C$3),$B198,INDIRECT("Collision!"&amp;Severity!$C$3&amp;":"&amp;Severity!$C$3),D$148), COUNTIFS(INDIRECT("Collision!"&amp;Event!$G$3&amp;":"&amp;Event!$G$3),$B198,INDIRECT("Collision!"&amp;Severity!$C$3&amp;":"&amp;Severity!$C$3),D$148), COUNTIFS(INDIRECT("Collision!"&amp;Event!$G$4&amp;":"&amp;Event!$G$4),$B198,INDIRECT("Collision!"&amp;Severity!$C$3&amp;":"&amp;Severity!$C$3),D$148))</f>
        <v>#REF!</v>
      </c>
      <c r="E198" s="71" t="e">
        <f t="array" aca="1" ref="E198" ca="1">SUM(COUNTIFS(INDIRECT("Collision!"&amp;Event!$C$3&amp;":"&amp;Event!$C$3),$B198,INDIRECT("Collision!"&amp;Severity!$C$3&amp;":"&amp;Severity!$C$3),{"Moderate Injury","Minor Injury"}), COUNTIFS(INDIRECT("Collision!"&amp;Event!$G$3&amp;":"&amp;Event!$G$3),$B198,INDIRECT("Collision!"&amp;Severity!$C$3&amp;":"&amp;Severity!$C$3),{"Moderate Injury","Minor Injury"}), COUNTIFS(INDIRECT("Collision!"&amp;Event!$G$4&amp;":"&amp;Event!$G$4),$B198,INDIRECT("Collision!"&amp;Severity!$C$3&amp;":"&amp;Severity!$C$3),{"Moderate Injury","Minor Injury"}))</f>
        <v>#REF!</v>
      </c>
      <c r="F198" s="71" t="e">
        <f ca="1">SUM(COUNTIFS(INDIRECT("Collision!"&amp;Event!$C$3&amp;":"&amp;Event!$C$3),$B198,INDIRECT("Collision!"&amp;Severity!$C$3&amp;":"&amp;Severity!$C$3),F$148), COUNTIFS(INDIRECT("Collision!"&amp;Event!$G$3&amp;":"&amp;Event!$G$3),$B198,INDIRECT("Collision!"&amp;Severity!$C$3&amp;":"&amp;Severity!$C$3),F$148), COUNTIFS(INDIRECT("Collision!"&amp;Event!$G$4&amp;":"&amp;Event!$G$4),$B198,INDIRECT("Collision!"&amp;Severity!$C$3&amp;":"&amp;Severity!$C$3),F$148))</f>
        <v>#REF!</v>
      </c>
      <c r="G198" s="71" t="e">
        <f t="shared" ca="1" si="3"/>
        <v>#REF!</v>
      </c>
      <c r="H198" s="69" t="e">
        <f t="shared" ca="1" si="4"/>
        <v>#REF!</v>
      </c>
      <c r="I198" s="71" t="e">
        <f t="shared" ca="1" si="5"/>
        <v>#REF!</v>
      </c>
      <c r="J198" s="69" t="e">
        <f ca="1">IF(G198=0,0,PCF_Severity2[[#This Row],[Crash Count]]/$I$283)</f>
        <v>#REF!</v>
      </c>
      <c r="K198" t="e">
        <f ca="1">SUM(PCF_Severity2[[#This Row],[Severe Injury]:[Other Injury]])</f>
        <v>#REF!</v>
      </c>
      <c r="L198" s="69" t="e">
        <f ca="1">PCF_Severity2[[#This Row],[Crash Count2]]/$K$283</f>
        <v>#REF!</v>
      </c>
      <c r="M198" s="86" t="str">
        <f>VLOOKUP(PCF_Severity2[[#This Row],[Crash Event]],PCF_3[[#Headers],[#Data]],4,FALSE)</f>
        <v>At or on street car or trolley right-of-way</v>
      </c>
      <c r="Q198" s="84"/>
    </row>
    <row r="199" spans="2:17" ht="30" x14ac:dyDescent="0.25">
      <c r="B199" t="s">
        <v>262</v>
      </c>
      <c r="C199" s="71" t="e">
        <f ca="1">SUM(COUNTIFS(INDIRECT("Collision!"&amp;Event!$C$3&amp;":"&amp;Event!$C$3),$B199,INDIRECT("Collision!"&amp;Severity!$C$3&amp;":"&amp;Severity!$C$3),C$148), COUNTIFS(INDIRECT("Collision!"&amp;Event!$G$3&amp;":"&amp;Event!$G$3),$B199,INDIRECT("Collision!"&amp;Severity!$C$3&amp;":"&amp;Severity!$C$3),C$148), COUNTIFS(INDIRECT("Collision!"&amp;Event!$G$4&amp;":"&amp;Event!$G$4),$B199,INDIRECT("Collision!"&amp;Severity!$C$3&amp;":"&amp;Severity!$C$3),C$148))</f>
        <v>#REF!</v>
      </c>
      <c r="D199" s="71" t="e">
        <f ca="1">SUM(COUNTIFS(INDIRECT("Collision!"&amp;Event!$C$3&amp;":"&amp;Event!$C$3),$B199,INDIRECT("Collision!"&amp;Severity!$C$3&amp;":"&amp;Severity!$C$3),D$148), COUNTIFS(INDIRECT("Collision!"&amp;Event!$G$3&amp;":"&amp;Event!$G$3),$B199,INDIRECT("Collision!"&amp;Severity!$C$3&amp;":"&amp;Severity!$C$3),D$148), COUNTIFS(INDIRECT("Collision!"&amp;Event!$G$4&amp;":"&amp;Event!$G$4),$B199,INDIRECT("Collision!"&amp;Severity!$C$3&amp;":"&amp;Severity!$C$3),D$148))</f>
        <v>#REF!</v>
      </c>
      <c r="E199" s="71" t="e">
        <f t="array" aca="1" ref="E199" ca="1">SUM(COUNTIFS(INDIRECT("Collision!"&amp;Event!$C$3&amp;":"&amp;Event!$C$3),$B199,INDIRECT("Collision!"&amp;Severity!$C$3&amp;":"&amp;Severity!$C$3),{"Moderate Injury","Minor Injury"}), COUNTIFS(INDIRECT("Collision!"&amp;Event!$G$3&amp;":"&amp;Event!$G$3),$B199,INDIRECT("Collision!"&amp;Severity!$C$3&amp;":"&amp;Severity!$C$3),{"Moderate Injury","Minor Injury"}), COUNTIFS(INDIRECT("Collision!"&amp;Event!$G$4&amp;":"&amp;Event!$G$4),$B199,INDIRECT("Collision!"&amp;Severity!$C$3&amp;":"&amp;Severity!$C$3),{"Moderate Injury","Minor Injury"}))</f>
        <v>#REF!</v>
      </c>
      <c r="F199" s="71" t="e">
        <f ca="1">SUM(COUNTIFS(INDIRECT("Collision!"&amp;Event!$C$3&amp;":"&amp;Event!$C$3),$B199,INDIRECT("Collision!"&amp;Severity!$C$3&amp;":"&amp;Severity!$C$3),F$148), COUNTIFS(INDIRECT("Collision!"&amp;Event!$G$3&amp;":"&amp;Event!$G$3),$B199,INDIRECT("Collision!"&amp;Severity!$C$3&amp;":"&amp;Severity!$C$3),F$148), COUNTIFS(INDIRECT("Collision!"&amp;Event!$G$4&amp;":"&amp;Event!$G$4),$B199,INDIRECT("Collision!"&amp;Severity!$C$3&amp;":"&amp;Severity!$C$3),F$148))</f>
        <v>#REF!</v>
      </c>
      <c r="G199" s="71" t="e">
        <f t="shared" ca="1" si="3"/>
        <v>#REF!</v>
      </c>
      <c r="H199" s="69" t="e">
        <f t="shared" ca="1" si="4"/>
        <v>#REF!</v>
      </c>
      <c r="I199" s="71" t="e">
        <f t="shared" ca="1" si="5"/>
        <v>#REF!</v>
      </c>
      <c r="J199" s="69" t="e">
        <f ca="1">IF(G199=0,0,PCF_Severity2[[#This Row],[Crash Count]]/$I$283)</f>
        <v>#REF!</v>
      </c>
      <c r="K199" t="e">
        <f ca="1">SUM(PCF_Severity2[[#This Row],[Severe Injury]:[Other Injury]])</f>
        <v>#REF!</v>
      </c>
      <c r="L199" s="69" t="e">
        <f ca="1">PCF_Severity2[[#This Row],[Crash Count2]]/$K$283</f>
        <v>#REF!</v>
      </c>
      <c r="M199" s="86" t="str">
        <f>VLOOKUP(PCF_Severity2[[#This Row],[Crash Event]],PCF_3[[#Headers],[#Data]],4,FALSE)</f>
        <v>Vehicle struck railroad equipment on tracks (Not train)</v>
      </c>
      <c r="Q199" s="84"/>
    </row>
    <row r="200" spans="2:17" x14ac:dyDescent="0.25">
      <c r="B200" t="s">
        <v>265</v>
      </c>
      <c r="C200" s="71" t="e">
        <f ca="1">SUM(COUNTIFS(INDIRECT("Collision!"&amp;Event!$C$3&amp;":"&amp;Event!$C$3),$B200,INDIRECT("Collision!"&amp;Severity!$C$3&amp;":"&amp;Severity!$C$3),C$148), COUNTIFS(INDIRECT("Collision!"&amp;Event!$G$3&amp;":"&amp;Event!$G$3),$B200,INDIRECT("Collision!"&amp;Severity!$C$3&amp;":"&amp;Severity!$C$3),C$148), COUNTIFS(INDIRECT("Collision!"&amp;Event!$G$4&amp;":"&amp;Event!$G$4),$B200,INDIRECT("Collision!"&amp;Severity!$C$3&amp;":"&amp;Severity!$C$3),C$148))</f>
        <v>#REF!</v>
      </c>
      <c r="D200" s="71" t="e">
        <f ca="1">SUM(COUNTIFS(INDIRECT("Collision!"&amp;Event!$C$3&amp;":"&amp;Event!$C$3),$B200,INDIRECT("Collision!"&amp;Severity!$C$3&amp;":"&amp;Severity!$C$3),D$148), COUNTIFS(INDIRECT("Collision!"&amp;Event!$G$3&amp;":"&amp;Event!$G$3),$B200,INDIRECT("Collision!"&amp;Severity!$C$3&amp;":"&amp;Severity!$C$3),D$148), COUNTIFS(INDIRECT("Collision!"&amp;Event!$G$4&amp;":"&amp;Event!$G$4),$B200,INDIRECT("Collision!"&amp;Severity!$C$3&amp;":"&amp;Severity!$C$3),D$148))</f>
        <v>#REF!</v>
      </c>
      <c r="E200" s="71" t="e">
        <f t="array" aca="1" ref="E200" ca="1">SUM(COUNTIFS(INDIRECT("Collision!"&amp;Event!$C$3&amp;":"&amp;Event!$C$3),$B200,INDIRECT("Collision!"&amp;Severity!$C$3&amp;":"&amp;Severity!$C$3),{"Moderate Injury","Minor Injury"}), COUNTIFS(INDIRECT("Collision!"&amp;Event!$G$3&amp;":"&amp;Event!$G$3),$B200,INDIRECT("Collision!"&amp;Severity!$C$3&amp;":"&amp;Severity!$C$3),{"Moderate Injury","Minor Injury"}), COUNTIFS(INDIRECT("Collision!"&amp;Event!$G$4&amp;":"&amp;Event!$G$4),$B200,INDIRECT("Collision!"&amp;Severity!$C$3&amp;":"&amp;Severity!$C$3),{"Moderate Injury","Minor Injury"}))</f>
        <v>#REF!</v>
      </c>
      <c r="F200" s="71" t="e">
        <f ca="1">SUM(COUNTIFS(INDIRECT("Collision!"&amp;Event!$C$3&amp;":"&amp;Event!$C$3),$B200,INDIRECT("Collision!"&amp;Severity!$C$3&amp;":"&amp;Severity!$C$3),F$148), COUNTIFS(INDIRECT("Collision!"&amp;Event!$G$3&amp;":"&amp;Event!$G$3),$B200,INDIRECT("Collision!"&amp;Severity!$C$3&amp;":"&amp;Severity!$C$3),F$148), COUNTIFS(INDIRECT("Collision!"&amp;Event!$G$4&amp;":"&amp;Event!$G$4),$B200,INDIRECT("Collision!"&amp;Severity!$C$3&amp;":"&amp;Severity!$C$3),F$148))</f>
        <v>#REF!</v>
      </c>
      <c r="G200" s="71" t="e">
        <f t="shared" ca="1" si="3"/>
        <v>#REF!</v>
      </c>
      <c r="H200" s="69" t="e">
        <f t="shared" ca="1" si="4"/>
        <v>#REF!</v>
      </c>
      <c r="I200" s="71" t="e">
        <f t="shared" ca="1" si="5"/>
        <v>#REF!</v>
      </c>
      <c r="J200" s="69" t="e">
        <f ca="1">IF(G200=0,0,PCF_Severity2[[#This Row],[Crash Count]]/$I$283)</f>
        <v>#REF!</v>
      </c>
      <c r="K200" t="e">
        <f ca="1">SUM(PCF_Severity2[[#This Row],[Severe Injury]:[Other Injury]])</f>
        <v>#REF!</v>
      </c>
      <c r="L200" s="69" t="e">
        <f ca="1">PCF_Severity2[[#This Row],[Crash Count2]]/$K$283</f>
        <v>#REF!</v>
      </c>
      <c r="M200" s="86" t="str">
        <f>VLOOKUP(PCF_Severity2[[#This Row],[Crash Event]],PCF_3[[#Headers],[#Data]],4,FALSE)</f>
        <v>Rail crossing drop arm gate</v>
      </c>
      <c r="Q200" s="84"/>
    </row>
    <row r="201" spans="2:17" x14ac:dyDescent="0.25">
      <c r="B201" t="s">
        <v>266</v>
      </c>
      <c r="C201" s="71" t="e">
        <f ca="1">SUM(COUNTIFS(INDIRECT("Collision!"&amp;Event!$C$3&amp;":"&amp;Event!$C$3),$B201,INDIRECT("Collision!"&amp;Severity!$C$3&amp;":"&amp;Severity!$C$3),C$148), COUNTIFS(INDIRECT("Collision!"&amp;Event!$G$3&amp;":"&amp;Event!$G$3),$B201,INDIRECT("Collision!"&amp;Severity!$C$3&amp;":"&amp;Severity!$C$3),C$148), COUNTIFS(INDIRECT("Collision!"&amp;Event!$G$4&amp;":"&amp;Event!$G$4),$B201,INDIRECT("Collision!"&amp;Severity!$C$3&amp;":"&amp;Severity!$C$3),C$148))</f>
        <v>#REF!</v>
      </c>
      <c r="D201" s="71" t="e">
        <f ca="1">SUM(COUNTIFS(INDIRECT("Collision!"&amp;Event!$C$3&amp;":"&amp;Event!$C$3),$B201,INDIRECT("Collision!"&amp;Severity!$C$3&amp;":"&amp;Severity!$C$3),D$148), COUNTIFS(INDIRECT("Collision!"&amp;Event!$G$3&amp;":"&amp;Event!$G$3),$B201,INDIRECT("Collision!"&amp;Severity!$C$3&amp;":"&amp;Severity!$C$3),D$148), COUNTIFS(INDIRECT("Collision!"&amp;Event!$G$4&amp;":"&amp;Event!$G$4),$B201,INDIRECT("Collision!"&amp;Severity!$C$3&amp;":"&amp;Severity!$C$3),D$148))</f>
        <v>#REF!</v>
      </c>
      <c r="E201" s="71" t="e">
        <f t="array" aca="1" ref="E201" ca="1">SUM(COUNTIFS(INDIRECT("Collision!"&amp;Event!$C$3&amp;":"&amp;Event!$C$3),$B201,INDIRECT("Collision!"&amp;Severity!$C$3&amp;":"&amp;Severity!$C$3),{"Moderate Injury","Minor Injury"}), COUNTIFS(INDIRECT("Collision!"&amp;Event!$G$3&amp;":"&amp;Event!$G$3),$B201,INDIRECT("Collision!"&amp;Severity!$C$3&amp;":"&amp;Severity!$C$3),{"Moderate Injury","Minor Injury"}), COUNTIFS(INDIRECT("Collision!"&amp;Event!$G$4&amp;":"&amp;Event!$G$4),$B201,INDIRECT("Collision!"&amp;Severity!$C$3&amp;":"&amp;Severity!$C$3),{"Moderate Injury","Minor Injury"}))</f>
        <v>#REF!</v>
      </c>
      <c r="F201" s="71" t="e">
        <f ca="1">SUM(COUNTIFS(INDIRECT("Collision!"&amp;Event!$C$3&amp;":"&amp;Event!$C$3),$B201,INDIRECT("Collision!"&amp;Severity!$C$3&amp;":"&amp;Severity!$C$3),F$148), COUNTIFS(INDIRECT("Collision!"&amp;Event!$G$3&amp;":"&amp;Event!$G$3),$B201,INDIRECT("Collision!"&amp;Severity!$C$3&amp;":"&amp;Severity!$C$3),F$148), COUNTIFS(INDIRECT("Collision!"&amp;Event!$G$4&amp;":"&amp;Event!$G$4),$B201,INDIRECT("Collision!"&amp;Severity!$C$3&amp;":"&amp;Severity!$C$3),F$148))</f>
        <v>#REF!</v>
      </c>
      <c r="G201" s="71" t="e">
        <f t="shared" ca="1" si="3"/>
        <v>#REF!</v>
      </c>
      <c r="H201" s="69" t="e">
        <f t="shared" ca="1" si="4"/>
        <v>#REF!</v>
      </c>
      <c r="I201" s="71" t="e">
        <f t="shared" ca="1" si="5"/>
        <v>#REF!</v>
      </c>
      <c r="J201" s="69" t="e">
        <f ca="1">IF(G201=0,0,PCF_Severity2[[#This Row],[Crash Count]]/$I$283)</f>
        <v>#REF!</v>
      </c>
      <c r="K201" t="e">
        <f ca="1">SUM(PCF_Severity2[[#This Row],[Severe Injury]:[Other Injury]])</f>
        <v>#REF!</v>
      </c>
      <c r="L201" s="69" t="e">
        <f ca="1">PCF_Severity2[[#This Row],[Crash Count2]]/$K$283</f>
        <v>#REF!</v>
      </c>
      <c r="M201" s="86" t="str">
        <f>VLOOKUP(PCF_Severity2[[#This Row],[Crash Event]],PCF_3[[#Headers],[#Data]],4,FALSE)</f>
        <v>*Expansion joint</v>
      </c>
      <c r="Q201" s="84"/>
    </row>
    <row r="202" spans="2:17" x14ac:dyDescent="0.25">
      <c r="B202" t="s">
        <v>268</v>
      </c>
      <c r="C202" s="71" t="e">
        <f ca="1">SUM(COUNTIFS(INDIRECT("Collision!"&amp;Event!$C$3&amp;":"&amp;Event!$C$3),$B202,INDIRECT("Collision!"&amp;Severity!$C$3&amp;":"&amp;Severity!$C$3),C$148), COUNTIFS(INDIRECT("Collision!"&amp;Event!$G$3&amp;":"&amp;Event!$G$3),$B202,INDIRECT("Collision!"&amp;Severity!$C$3&amp;":"&amp;Severity!$C$3),C$148), COUNTIFS(INDIRECT("Collision!"&amp;Event!$G$4&amp;":"&amp;Event!$G$4),$B202,INDIRECT("Collision!"&amp;Severity!$C$3&amp;":"&amp;Severity!$C$3),C$148))</f>
        <v>#REF!</v>
      </c>
      <c r="D202" s="71" t="e">
        <f ca="1">SUM(COUNTIFS(INDIRECT("Collision!"&amp;Event!$C$3&amp;":"&amp;Event!$C$3),$B202,INDIRECT("Collision!"&amp;Severity!$C$3&amp;":"&amp;Severity!$C$3),D$148), COUNTIFS(INDIRECT("Collision!"&amp;Event!$G$3&amp;":"&amp;Event!$G$3),$B202,INDIRECT("Collision!"&amp;Severity!$C$3&amp;":"&amp;Severity!$C$3),D$148), COUNTIFS(INDIRECT("Collision!"&amp;Event!$G$4&amp;":"&amp;Event!$G$4),$B202,INDIRECT("Collision!"&amp;Severity!$C$3&amp;":"&amp;Severity!$C$3),D$148))</f>
        <v>#REF!</v>
      </c>
      <c r="E202" s="71" t="e">
        <f t="array" aca="1" ref="E202" ca="1">SUM(COUNTIFS(INDIRECT("Collision!"&amp;Event!$C$3&amp;":"&amp;Event!$C$3),$B202,INDIRECT("Collision!"&amp;Severity!$C$3&amp;":"&amp;Severity!$C$3),{"Moderate Injury","Minor Injury"}), COUNTIFS(INDIRECT("Collision!"&amp;Event!$G$3&amp;":"&amp;Event!$G$3),$B202,INDIRECT("Collision!"&amp;Severity!$C$3&amp;":"&amp;Severity!$C$3),{"Moderate Injury","Minor Injury"}), COUNTIFS(INDIRECT("Collision!"&amp;Event!$G$4&amp;":"&amp;Event!$G$4),$B202,INDIRECT("Collision!"&amp;Severity!$C$3&amp;":"&amp;Severity!$C$3),{"Moderate Injury","Minor Injury"}))</f>
        <v>#REF!</v>
      </c>
      <c r="F202" s="71" t="e">
        <f ca="1">SUM(COUNTIFS(INDIRECT("Collision!"&amp;Event!$C$3&amp;":"&amp;Event!$C$3),$B202,INDIRECT("Collision!"&amp;Severity!$C$3&amp;":"&amp;Severity!$C$3),F$148), COUNTIFS(INDIRECT("Collision!"&amp;Event!$G$3&amp;":"&amp;Event!$G$3),$B202,INDIRECT("Collision!"&amp;Severity!$C$3&amp;":"&amp;Severity!$C$3),F$148), COUNTIFS(INDIRECT("Collision!"&amp;Event!$G$4&amp;":"&amp;Event!$G$4),$B202,INDIRECT("Collision!"&amp;Severity!$C$3&amp;":"&amp;Severity!$C$3),F$148))</f>
        <v>#REF!</v>
      </c>
      <c r="G202" s="71" t="e">
        <f t="shared" ca="1" si="3"/>
        <v>#REF!</v>
      </c>
      <c r="H202" s="69" t="e">
        <f t="shared" ca="1" si="4"/>
        <v>#REF!</v>
      </c>
      <c r="I202" s="71" t="e">
        <f t="shared" ca="1" si="5"/>
        <v>#REF!</v>
      </c>
      <c r="J202" s="69" t="e">
        <f ca="1">IF(G202=0,0,PCF_Severity2[[#This Row],[Crash Count]]/$I$283)</f>
        <v>#REF!</v>
      </c>
      <c r="K202" t="e">
        <f ca="1">SUM(PCF_Severity2[[#This Row],[Severe Injury]:[Other Injury]])</f>
        <v>#REF!</v>
      </c>
      <c r="L202" s="69" t="e">
        <f ca="1">PCF_Severity2[[#This Row],[Crash Count2]]/$K$283</f>
        <v>#REF!</v>
      </c>
      <c r="M202" s="86" t="str">
        <f>VLOOKUP(PCF_Severity2[[#This Row],[Crash Event]],PCF_3[[#Headers],[#Data]],4,FALSE)</f>
        <v>Wire or cable median barrier</v>
      </c>
      <c r="Q202" s="84"/>
    </row>
    <row r="203" spans="2:17" ht="30" x14ac:dyDescent="0.25">
      <c r="B203" t="s">
        <v>270</v>
      </c>
      <c r="C203" s="71" t="e">
        <f ca="1">SUM(COUNTIFS(INDIRECT("Collision!"&amp;Event!$C$3&amp;":"&amp;Event!$C$3),$B203,INDIRECT("Collision!"&amp;Severity!$C$3&amp;":"&amp;Severity!$C$3),C$148), COUNTIFS(INDIRECT("Collision!"&amp;Event!$G$3&amp;":"&amp;Event!$G$3),$B203,INDIRECT("Collision!"&amp;Severity!$C$3&amp;":"&amp;Severity!$C$3),C$148), COUNTIFS(INDIRECT("Collision!"&amp;Event!$G$4&amp;":"&amp;Event!$G$4),$B203,INDIRECT("Collision!"&amp;Severity!$C$3&amp;":"&amp;Severity!$C$3),C$148))</f>
        <v>#REF!</v>
      </c>
      <c r="D203" s="71" t="e">
        <f ca="1">SUM(COUNTIFS(INDIRECT("Collision!"&amp;Event!$C$3&amp;":"&amp;Event!$C$3),$B203,INDIRECT("Collision!"&amp;Severity!$C$3&amp;":"&amp;Severity!$C$3),D$148), COUNTIFS(INDIRECT("Collision!"&amp;Event!$G$3&amp;":"&amp;Event!$G$3),$B203,INDIRECT("Collision!"&amp;Severity!$C$3&amp;":"&amp;Severity!$C$3),D$148), COUNTIFS(INDIRECT("Collision!"&amp;Event!$G$4&amp;":"&amp;Event!$G$4),$B203,INDIRECT("Collision!"&amp;Severity!$C$3&amp;":"&amp;Severity!$C$3),D$148))</f>
        <v>#REF!</v>
      </c>
      <c r="E203" s="71" t="e">
        <f t="array" aca="1" ref="E203" ca="1">SUM(COUNTIFS(INDIRECT("Collision!"&amp;Event!$C$3&amp;":"&amp;Event!$C$3),$B203,INDIRECT("Collision!"&amp;Severity!$C$3&amp;":"&amp;Severity!$C$3),{"Moderate Injury","Minor Injury"}), COUNTIFS(INDIRECT("Collision!"&amp;Event!$G$3&amp;":"&amp;Event!$G$3),$B203,INDIRECT("Collision!"&amp;Severity!$C$3&amp;":"&amp;Severity!$C$3),{"Moderate Injury","Minor Injury"}), COUNTIFS(INDIRECT("Collision!"&amp;Event!$G$4&amp;":"&amp;Event!$G$4),$B203,INDIRECT("Collision!"&amp;Severity!$C$3&amp;":"&amp;Severity!$C$3),{"Moderate Injury","Minor Injury"}))</f>
        <v>#REF!</v>
      </c>
      <c r="F203" s="71" t="e">
        <f ca="1">SUM(COUNTIFS(INDIRECT("Collision!"&amp;Event!$C$3&amp;":"&amp;Event!$C$3),$B203,INDIRECT("Collision!"&amp;Severity!$C$3&amp;":"&amp;Severity!$C$3),F$148), COUNTIFS(INDIRECT("Collision!"&amp;Event!$G$3&amp;":"&amp;Event!$G$3),$B203,INDIRECT("Collision!"&amp;Severity!$C$3&amp;":"&amp;Severity!$C$3),F$148), COUNTIFS(INDIRECT("Collision!"&amp;Event!$G$4&amp;":"&amp;Event!$G$4),$B203,INDIRECT("Collision!"&amp;Severity!$C$3&amp;":"&amp;Severity!$C$3),F$148))</f>
        <v>#REF!</v>
      </c>
      <c r="G203" s="71" t="e">
        <f t="shared" ca="1" si="3"/>
        <v>#REF!</v>
      </c>
      <c r="H203" s="69" t="e">
        <f t="shared" ca="1" si="4"/>
        <v>#REF!</v>
      </c>
      <c r="I203" s="71" t="e">
        <f t="shared" ca="1" si="5"/>
        <v>#REF!</v>
      </c>
      <c r="J203" s="69" t="e">
        <f ca="1">IF(G203=0,0,PCF_Severity2[[#This Row],[Crash Count]]/$I$283)</f>
        <v>#REF!</v>
      </c>
      <c r="K203" t="e">
        <f ca="1">SUM(PCF_Severity2[[#This Row],[Severe Injury]:[Other Injury]])</f>
        <v>#REF!</v>
      </c>
      <c r="L203" s="69" t="e">
        <f ca="1">PCF_Severity2[[#This Row],[Crash Count2]]/$K$283</f>
        <v>#REF!</v>
      </c>
      <c r="M203" s="86" t="str">
        <f>VLOOKUP(PCF_Severity2[[#This Row],[Crash Event]],PCF_3[[#Headers],[#Data]],4,FALSE)</f>
        <v>Loose object in vehicle struck occupant</v>
      </c>
      <c r="Q203" s="84"/>
    </row>
    <row r="204" spans="2:17" x14ac:dyDescent="0.25">
      <c r="B204" t="s">
        <v>274</v>
      </c>
      <c r="C204" s="71" t="e">
        <f ca="1">SUM(COUNTIFS(INDIRECT("Collision!"&amp;Event!$C$3&amp;":"&amp;Event!$C$3),$B204,INDIRECT("Collision!"&amp;Severity!$C$3&amp;":"&amp;Severity!$C$3),C$148), COUNTIFS(INDIRECT("Collision!"&amp;Event!$G$3&amp;":"&amp;Event!$G$3),$B204,INDIRECT("Collision!"&amp;Severity!$C$3&amp;":"&amp;Severity!$C$3),C$148), COUNTIFS(INDIRECT("Collision!"&amp;Event!$G$4&amp;":"&amp;Event!$G$4),$B204,INDIRECT("Collision!"&amp;Severity!$C$3&amp;":"&amp;Severity!$C$3),C$148))</f>
        <v>#REF!</v>
      </c>
      <c r="D204" s="71" t="e">
        <f ca="1">SUM(COUNTIFS(INDIRECT("Collision!"&amp;Event!$C$3&amp;":"&amp;Event!$C$3),$B204,INDIRECT("Collision!"&amp;Severity!$C$3&amp;":"&amp;Severity!$C$3),D$148), COUNTIFS(INDIRECT("Collision!"&amp;Event!$G$3&amp;":"&amp;Event!$G$3),$B204,INDIRECT("Collision!"&amp;Severity!$C$3&amp;":"&amp;Severity!$C$3),D$148), COUNTIFS(INDIRECT("Collision!"&amp;Event!$G$4&amp;":"&amp;Event!$G$4),$B204,INDIRECT("Collision!"&amp;Severity!$C$3&amp;":"&amp;Severity!$C$3),D$148))</f>
        <v>#REF!</v>
      </c>
      <c r="E204" s="71" t="e">
        <f t="array" aca="1" ref="E204" ca="1">SUM(COUNTIFS(INDIRECT("Collision!"&amp;Event!$C$3&amp;":"&amp;Event!$C$3),$B204,INDIRECT("Collision!"&amp;Severity!$C$3&amp;":"&amp;Severity!$C$3),{"Moderate Injury","Minor Injury"}), COUNTIFS(INDIRECT("Collision!"&amp;Event!$G$3&amp;":"&amp;Event!$G$3),$B204,INDIRECT("Collision!"&amp;Severity!$C$3&amp;":"&amp;Severity!$C$3),{"Moderate Injury","Minor Injury"}), COUNTIFS(INDIRECT("Collision!"&amp;Event!$G$4&amp;":"&amp;Event!$G$4),$B204,INDIRECT("Collision!"&amp;Severity!$C$3&amp;":"&amp;Severity!$C$3),{"Moderate Injury","Minor Injury"}))</f>
        <v>#REF!</v>
      </c>
      <c r="F204" s="71" t="e">
        <f ca="1">SUM(COUNTIFS(INDIRECT("Collision!"&amp;Event!$C$3&amp;":"&amp;Event!$C$3),$B204,INDIRECT("Collision!"&amp;Severity!$C$3&amp;":"&amp;Severity!$C$3),F$148), COUNTIFS(INDIRECT("Collision!"&amp;Event!$G$3&amp;":"&amp;Event!$G$3),$B204,INDIRECT("Collision!"&amp;Severity!$C$3&amp;":"&amp;Severity!$C$3),F$148), COUNTIFS(INDIRECT("Collision!"&amp;Event!$G$4&amp;":"&amp;Event!$G$4),$B204,INDIRECT("Collision!"&amp;Severity!$C$3&amp;":"&amp;Severity!$C$3),F$148))</f>
        <v>#REF!</v>
      </c>
      <c r="G204" s="71" t="e">
        <f t="shared" ca="1" si="3"/>
        <v>#REF!</v>
      </c>
      <c r="H204" s="69" t="e">
        <f t="shared" ca="1" si="4"/>
        <v>#REF!</v>
      </c>
      <c r="I204" s="71" t="e">
        <f t="shared" ca="1" si="5"/>
        <v>#REF!</v>
      </c>
      <c r="J204" s="69" t="e">
        <f ca="1">IF(G204=0,0,PCF_Severity2[[#This Row],[Crash Count]]/$I$283)</f>
        <v>#REF!</v>
      </c>
      <c r="K204" t="e">
        <f ca="1">SUM(PCF_Severity2[[#This Row],[Severe Injury]:[Other Injury]])</f>
        <v>#REF!</v>
      </c>
      <c r="L204" s="69" t="e">
        <f ca="1">PCF_Severity2[[#This Row],[Crash Count2]]/$K$283</f>
        <v>#REF!</v>
      </c>
      <c r="M204" s="86" t="str">
        <f>VLOOKUP(PCF_Severity2[[#This Row],[Crash Event]],PCF_3[[#Headers],[#Data]],4,FALSE)</f>
        <v>Rock slide or land slide</v>
      </c>
      <c r="Q204" s="84"/>
    </row>
    <row r="205" spans="2:17" x14ac:dyDescent="0.25">
      <c r="B205" t="s">
        <v>280</v>
      </c>
      <c r="C205" s="71" t="e">
        <f ca="1">SUM(COUNTIFS(INDIRECT("Collision!"&amp;Event!$C$3&amp;":"&amp;Event!$C$3),$B205,INDIRECT("Collision!"&amp;Severity!$C$3&amp;":"&amp;Severity!$C$3),C$148), COUNTIFS(INDIRECT("Collision!"&amp;Event!$G$3&amp;":"&amp;Event!$G$3),$B205,INDIRECT("Collision!"&amp;Severity!$C$3&amp;":"&amp;Severity!$C$3),C$148), COUNTIFS(INDIRECT("Collision!"&amp;Event!$G$4&amp;":"&amp;Event!$G$4),$B205,INDIRECT("Collision!"&amp;Severity!$C$3&amp;":"&amp;Severity!$C$3),C$148))</f>
        <v>#REF!</v>
      </c>
      <c r="D205" s="71" t="e">
        <f ca="1">SUM(COUNTIFS(INDIRECT("Collision!"&amp;Event!$C$3&amp;":"&amp;Event!$C$3),$B205,INDIRECT("Collision!"&amp;Severity!$C$3&amp;":"&amp;Severity!$C$3),D$148), COUNTIFS(INDIRECT("Collision!"&amp;Event!$G$3&amp;":"&amp;Event!$G$3),$B205,INDIRECT("Collision!"&amp;Severity!$C$3&amp;":"&amp;Severity!$C$3),D$148), COUNTIFS(INDIRECT("Collision!"&amp;Event!$G$4&amp;":"&amp;Event!$G$4),$B205,INDIRECT("Collision!"&amp;Severity!$C$3&amp;":"&amp;Severity!$C$3),D$148))</f>
        <v>#REF!</v>
      </c>
      <c r="E205" s="71" t="e">
        <f t="array" aca="1" ref="E205" ca="1">SUM(COUNTIFS(INDIRECT("Collision!"&amp;Event!$C$3&amp;":"&amp;Event!$C$3),$B205,INDIRECT("Collision!"&amp;Severity!$C$3&amp;":"&amp;Severity!$C$3),{"Moderate Injury","Minor Injury"}), COUNTIFS(INDIRECT("Collision!"&amp;Event!$G$3&amp;":"&amp;Event!$G$3),$B205,INDIRECT("Collision!"&amp;Severity!$C$3&amp;":"&amp;Severity!$C$3),{"Moderate Injury","Minor Injury"}), COUNTIFS(INDIRECT("Collision!"&amp;Event!$G$4&amp;":"&amp;Event!$G$4),$B205,INDIRECT("Collision!"&amp;Severity!$C$3&amp;":"&amp;Severity!$C$3),{"Moderate Injury","Minor Injury"}))</f>
        <v>#REF!</v>
      </c>
      <c r="F205" s="71" t="e">
        <f ca="1">SUM(COUNTIFS(INDIRECT("Collision!"&amp;Event!$C$3&amp;":"&amp;Event!$C$3),$B205,INDIRECT("Collision!"&amp;Severity!$C$3&amp;":"&amp;Severity!$C$3),F$148), COUNTIFS(INDIRECT("Collision!"&amp;Event!$G$3&amp;":"&amp;Event!$G$3),$B205,INDIRECT("Collision!"&amp;Severity!$C$3&amp;":"&amp;Severity!$C$3),F$148), COUNTIFS(INDIRECT("Collision!"&amp;Event!$G$4&amp;":"&amp;Event!$G$4),$B205,INDIRECT("Collision!"&amp;Severity!$C$3&amp;":"&amp;Severity!$C$3),F$148))</f>
        <v>#REF!</v>
      </c>
      <c r="G205" s="71" t="e">
        <f t="shared" ca="1" si="3"/>
        <v>#REF!</v>
      </c>
      <c r="H205" s="69" t="e">
        <f t="shared" ca="1" si="4"/>
        <v>#REF!</v>
      </c>
      <c r="I205" s="71" t="e">
        <f t="shared" ca="1" si="5"/>
        <v>#REF!</v>
      </c>
      <c r="J205" s="69" t="e">
        <f ca="1">IF(G205=0,0,PCF_Severity2[[#This Row],[Crash Count]]/$I$283)</f>
        <v>#REF!</v>
      </c>
      <c r="K205" t="e">
        <f ca="1">SUM(PCF_Severity2[[#This Row],[Severe Injury]:[Other Injury]])</f>
        <v>#REF!</v>
      </c>
      <c r="L205" s="69" t="e">
        <f ca="1">PCF_Severity2[[#This Row],[Crash Count2]]/$K$283</f>
        <v>#REF!</v>
      </c>
      <c r="M205" s="86" t="str">
        <f>VLOOKUP(PCF_Severity2[[#This Row],[Crash Event]],PCF_3[[#Headers],[#Data]],4,FALSE)</f>
        <v>View obscured by water spray</v>
      </c>
      <c r="Q205" s="84"/>
    </row>
    <row r="206" spans="2:17" ht="30" x14ac:dyDescent="0.25">
      <c r="B206" t="s">
        <v>281</v>
      </c>
      <c r="C206" s="71" t="e">
        <f ca="1">SUM(COUNTIFS(INDIRECT("Collision!"&amp;Event!$C$3&amp;":"&amp;Event!$C$3),$B206,INDIRECT("Collision!"&amp;Severity!$C$3&amp;":"&amp;Severity!$C$3),C$148), COUNTIFS(INDIRECT("Collision!"&amp;Event!$G$3&amp;":"&amp;Event!$G$3),$B206,INDIRECT("Collision!"&amp;Severity!$C$3&amp;":"&amp;Severity!$C$3),C$148), COUNTIFS(INDIRECT("Collision!"&amp;Event!$G$4&amp;":"&amp;Event!$G$4),$B206,INDIRECT("Collision!"&amp;Severity!$C$3&amp;":"&amp;Severity!$C$3),C$148))</f>
        <v>#REF!</v>
      </c>
      <c r="D206" s="71" t="e">
        <f ca="1">SUM(COUNTIFS(INDIRECT("Collision!"&amp;Event!$C$3&amp;":"&amp;Event!$C$3),$B206,INDIRECT("Collision!"&amp;Severity!$C$3&amp;":"&amp;Severity!$C$3),D$148), COUNTIFS(INDIRECT("Collision!"&amp;Event!$G$3&amp;":"&amp;Event!$G$3),$B206,INDIRECT("Collision!"&amp;Severity!$C$3&amp;":"&amp;Severity!$C$3),D$148), COUNTIFS(INDIRECT("Collision!"&amp;Event!$G$4&amp;":"&amp;Event!$G$4),$B206,INDIRECT("Collision!"&amp;Severity!$C$3&amp;":"&amp;Severity!$C$3),D$148))</f>
        <v>#REF!</v>
      </c>
      <c r="E206" s="71" t="e">
        <f t="array" aca="1" ref="E206" ca="1">SUM(COUNTIFS(INDIRECT("Collision!"&amp;Event!$C$3&amp;":"&amp;Event!$C$3),$B206,INDIRECT("Collision!"&amp;Severity!$C$3&amp;":"&amp;Severity!$C$3),{"Moderate Injury","Minor Injury"}), COUNTIFS(INDIRECT("Collision!"&amp;Event!$G$3&amp;":"&amp;Event!$G$3),$B206,INDIRECT("Collision!"&amp;Severity!$C$3&amp;":"&amp;Severity!$C$3),{"Moderate Injury","Minor Injury"}), COUNTIFS(INDIRECT("Collision!"&amp;Event!$G$4&amp;":"&amp;Event!$G$4),$B206,INDIRECT("Collision!"&amp;Severity!$C$3&amp;":"&amp;Severity!$C$3),{"Moderate Injury","Minor Injury"}))</f>
        <v>#REF!</v>
      </c>
      <c r="F206" s="71" t="e">
        <f ca="1">SUM(COUNTIFS(INDIRECT("Collision!"&amp;Event!$C$3&amp;":"&amp;Event!$C$3),$B206,INDIRECT("Collision!"&amp;Severity!$C$3&amp;":"&amp;Severity!$C$3),F$148), COUNTIFS(INDIRECT("Collision!"&amp;Event!$G$3&amp;":"&amp;Event!$G$3),$B206,INDIRECT("Collision!"&amp;Severity!$C$3&amp;":"&amp;Severity!$C$3),F$148), COUNTIFS(INDIRECT("Collision!"&amp;Event!$G$4&amp;":"&amp;Event!$G$4),$B206,INDIRECT("Collision!"&amp;Severity!$C$3&amp;":"&amp;Severity!$C$3),F$148))</f>
        <v>#REF!</v>
      </c>
      <c r="G206" s="71" t="e">
        <f t="shared" ca="1" si="3"/>
        <v>#REF!</v>
      </c>
      <c r="H206" s="69" t="e">
        <f t="shared" ca="1" si="4"/>
        <v>#REF!</v>
      </c>
      <c r="I206" s="71" t="e">
        <f t="shared" ca="1" si="5"/>
        <v>#REF!</v>
      </c>
      <c r="J206" s="69" t="e">
        <f ca="1">IF(G206=0,0,PCF_Severity2[[#This Row],[Crash Count]]/$I$283)</f>
        <v>#REF!</v>
      </c>
      <c r="K206" t="e">
        <f ca="1">SUM(PCF_Severity2[[#This Row],[Severe Injury]:[Other Injury]])</f>
        <v>#REF!</v>
      </c>
      <c r="L206" s="69" t="e">
        <f ca="1">PCF_Severity2[[#This Row],[Crash Count2]]/$K$283</f>
        <v>#REF!</v>
      </c>
      <c r="M206" s="86" t="str">
        <f>VLOOKUP(PCF_Severity2[[#This Row],[Crash Event]],PCF_3[[#Headers],[#Data]],4,FALSE)</f>
        <v>Torrential rain (Exceptionally heavy rain)</v>
      </c>
      <c r="Q206" s="84"/>
    </row>
    <row r="207" spans="2:17" ht="30" x14ac:dyDescent="0.25">
      <c r="B207" t="s">
        <v>155</v>
      </c>
      <c r="C207" s="71" t="e">
        <f ca="1">SUM(COUNTIFS(INDIRECT("Collision!"&amp;Event!$C$3&amp;":"&amp;Event!$C$3),$B207,INDIRECT("Collision!"&amp;Severity!$C$3&amp;":"&amp;Severity!$C$3),C$148), COUNTIFS(INDIRECT("Collision!"&amp;Event!$G$3&amp;":"&amp;Event!$G$3),$B207,INDIRECT("Collision!"&amp;Severity!$C$3&amp;":"&amp;Severity!$C$3),C$148), COUNTIFS(INDIRECT("Collision!"&amp;Event!$G$4&amp;":"&amp;Event!$G$4),$B207,INDIRECT("Collision!"&amp;Severity!$C$3&amp;":"&amp;Severity!$C$3),C$148))</f>
        <v>#REF!</v>
      </c>
      <c r="D207" s="71" t="e">
        <f ca="1">SUM(COUNTIFS(INDIRECT("Collision!"&amp;Event!$C$3&amp;":"&amp;Event!$C$3),$B207,INDIRECT("Collision!"&amp;Severity!$C$3&amp;":"&amp;Severity!$C$3),D$148), COUNTIFS(INDIRECT("Collision!"&amp;Event!$G$3&amp;":"&amp;Event!$G$3),$B207,INDIRECT("Collision!"&amp;Severity!$C$3&amp;":"&amp;Severity!$C$3),D$148), COUNTIFS(INDIRECT("Collision!"&amp;Event!$G$4&amp;":"&amp;Event!$G$4),$B207,INDIRECT("Collision!"&amp;Severity!$C$3&amp;":"&amp;Severity!$C$3),D$148))</f>
        <v>#REF!</v>
      </c>
      <c r="E207" s="71" t="e">
        <f t="array" aca="1" ref="E207" ca="1">SUM(COUNTIFS(INDIRECT("Collision!"&amp;Event!$C$3&amp;":"&amp;Event!$C$3),$B207,INDIRECT("Collision!"&amp;Severity!$C$3&amp;":"&amp;Severity!$C$3),{"Moderate Injury","Minor Injury"}), COUNTIFS(INDIRECT("Collision!"&amp;Event!$G$3&amp;":"&amp;Event!$G$3),$B207,INDIRECT("Collision!"&amp;Severity!$C$3&amp;":"&amp;Severity!$C$3),{"Moderate Injury","Minor Injury"}), COUNTIFS(INDIRECT("Collision!"&amp;Event!$G$4&amp;":"&amp;Event!$G$4),$B207,INDIRECT("Collision!"&amp;Severity!$C$3&amp;":"&amp;Severity!$C$3),{"Moderate Injury","Minor Injury"}))</f>
        <v>#REF!</v>
      </c>
      <c r="F207" s="71" t="e">
        <f ca="1">SUM(COUNTIFS(INDIRECT("Collision!"&amp;Event!$C$3&amp;":"&amp;Event!$C$3),$B207,INDIRECT("Collision!"&amp;Severity!$C$3&amp;":"&amp;Severity!$C$3),F$148), COUNTIFS(INDIRECT("Collision!"&amp;Event!$G$3&amp;":"&amp;Event!$G$3),$B207,INDIRECT("Collision!"&amp;Severity!$C$3&amp;":"&amp;Severity!$C$3),F$148), COUNTIFS(INDIRECT("Collision!"&amp;Event!$G$4&amp;":"&amp;Event!$G$4),$B207,INDIRECT("Collision!"&amp;Severity!$C$3&amp;":"&amp;Severity!$C$3),F$148))</f>
        <v>#REF!</v>
      </c>
      <c r="G207" s="71" t="e">
        <f t="shared" ca="1" si="3"/>
        <v>#REF!</v>
      </c>
      <c r="H207" s="69" t="e">
        <f t="shared" ca="1" si="4"/>
        <v>#REF!</v>
      </c>
      <c r="I207" s="71" t="e">
        <f t="shared" ca="1" si="5"/>
        <v>#REF!</v>
      </c>
      <c r="J207" s="69" t="e">
        <f ca="1">IF(G207=0,0,PCF_Severity2[[#This Row],[Crash Count]]/$I$283)</f>
        <v>#REF!</v>
      </c>
      <c r="K207" t="e">
        <f ca="1">SUM(PCF_Severity2[[#This Row],[Severe Injury]:[Other Injury]])</f>
        <v>#REF!</v>
      </c>
      <c r="L207" s="69" t="e">
        <f ca="1">PCF_Severity2[[#This Row],[Crash Count2]]/$K$283</f>
        <v>#REF!</v>
      </c>
      <c r="M207" s="86" t="str">
        <f>VLOOKUP(PCF_Severity2[[#This Row],[Crash Event]],PCF_3[[#Headers],[#Data]],4,FALSE)</f>
        <v>"Sub-Ped": pedestrian struck subsequent to collision, etc.</v>
      </c>
      <c r="Q207" s="84"/>
    </row>
    <row r="208" spans="2:17" ht="30" x14ac:dyDescent="0.25">
      <c r="B208" t="s">
        <v>165</v>
      </c>
      <c r="C208" s="71" t="e">
        <f ca="1">SUM(COUNTIFS(INDIRECT("Collision!"&amp;Event!$C$3&amp;":"&amp;Event!$C$3),$B208,INDIRECT("Collision!"&amp;Severity!$C$3&amp;":"&amp;Severity!$C$3),C$148), COUNTIFS(INDIRECT("Collision!"&amp;Event!$G$3&amp;":"&amp;Event!$G$3),$B208,INDIRECT("Collision!"&amp;Severity!$C$3&amp;":"&amp;Severity!$C$3),C$148), COUNTIFS(INDIRECT("Collision!"&amp;Event!$G$4&amp;":"&amp;Event!$G$4),$B208,INDIRECT("Collision!"&amp;Severity!$C$3&amp;":"&amp;Severity!$C$3),C$148))</f>
        <v>#REF!</v>
      </c>
      <c r="D208" s="71" t="e">
        <f ca="1">SUM(COUNTIFS(INDIRECT("Collision!"&amp;Event!$C$3&amp;":"&amp;Event!$C$3),$B208,INDIRECT("Collision!"&amp;Severity!$C$3&amp;":"&amp;Severity!$C$3),D$148), COUNTIFS(INDIRECT("Collision!"&amp;Event!$G$3&amp;":"&amp;Event!$G$3),$B208,INDIRECT("Collision!"&amp;Severity!$C$3&amp;":"&amp;Severity!$C$3),D$148), COUNTIFS(INDIRECT("Collision!"&amp;Event!$G$4&amp;":"&amp;Event!$G$4),$B208,INDIRECT("Collision!"&amp;Severity!$C$3&amp;":"&amp;Severity!$C$3),D$148))</f>
        <v>#REF!</v>
      </c>
      <c r="E208" s="71" t="e">
        <f t="array" aca="1" ref="E208" ca="1">SUM(COUNTIFS(INDIRECT("Collision!"&amp;Event!$C$3&amp;":"&amp;Event!$C$3),$B208,INDIRECT("Collision!"&amp;Severity!$C$3&amp;":"&amp;Severity!$C$3),{"Moderate Injury","Minor Injury"}), COUNTIFS(INDIRECT("Collision!"&amp;Event!$G$3&amp;":"&amp;Event!$G$3),$B208,INDIRECT("Collision!"&amp;Severity!$C$3&amp;":"&amp;Severity!$C$3),{"Moderate Injury","Minor Injury"}), COUNTIFS(INDIRECT("Collision!"&amp;Event!$G$4&amp;":"&amp;Event!$G$4),$B208,INDIRECT("Collision!"&amp;Severity!$C$3&amp;":"&amp;Severity!$C$3),{"Moderate Injury","Minor Injury"}))</f>
        <v>#REF!</v>
      </c>
      <c r="F208" s="71" t="e">
        <f ca="1">SUM(COUNTIFS(INDIRECT("Collision!"&amp;Event!$C$3&amp;":"&amp;Event!$C$3),$B208,INDIRECT("Collision!"&amp;Severity!$C$3&amp;":"&amp;Severity!$C$3),F$148), COUNTIFS(INDIRECT("Collision!"&amp;Event!$G$3&amp;":"&amp;Event!$G$3),$B208,INDIRECT("Collision!"&amp;Severity!$C$3&amp;":"&amp;Severity!$C$3),F$148), COUNTIFS(INDIRECT("Collision!"&amp;Event!$G$4&amp;":"&amp;Event!$G$4),$B208,INDIRECT("Collision!"&amp;Severity!$C$3&amp;":"&amp;Severity!$C$3),F$148))</f>
        <v>#REF!</v>
      </c>
      <c r="G208" s="71" t="e">
        <f t="shared" ca="1" si="3"/>
        <v>#REF!</v>
      </c>
      <c r="H208" s="69" t="e">
        <f t="shared" ca="1" si="4"/>
        <v>#REF!</v>
      </c>
      <c r="I208" s="71" t="e">
        <f t="shared" ca="1" si="5"/>
        <v>#REF!</v>
      </c>
      <c r="J208" s="69" t="e">
        <f ca="1">IF(G208=0,0,PCF_Severity2[[#This Row],[Crash Count]]/$I$283)</f>
        <v>#REF!</v>
      </c>
      <c r="K208" t="e">
        <f ca="1">SUM(PCF_Severity2[[#This Row],[Severe Injury]:[Other Injury]])</f>
        <v>#REF!</v>
      </c>
      <c r="L208" s="69" t="e">
        <f ca="1">PCF_Severity2[[#This Row],[Crash Count2]]/$K$283</f>
        <v>#REF!</v>
      </c>
      <c r="M208" s="86" t="str">
        <f>VLOOKUP(PCF_Severity2[[#This Row],[Crash Event]],PCF_3[[#Headers],[#Data]],4,FALSE)</f>
        <v>At or on railroad right-of-way (Not light-rail)</v>
      </c>
      <c r="Q208" s="84"/>
    </row>
    <row r="209" spans="2:17" ht="30" x14ac:dyDescent="0.25">
      <c r="B209" t="s">
        <v>179</v>
      </c>
      <c r="C209" s="71" t="e">
        <f ca="1">SUM(COUNTIFS(INDIRECT("Collision!"&amp;Event!$C$3&amp;":"&amp;Event!$C$3),$B209,INDIRECT("Collision!"&amp;Severity!$C$3&amp;":"&amp;Severity!$C$3),C$148), COUNTIFS(INDIRECT("Collision!"&amp;Event!$G$3&amp;":"&amp;Event!$G$3),$B209,INDIRECT("Collision!"&amp;Severity!$C$3&amp;":"&amp;Severity!$C$3),C$148), COUNTIFS(INDIRECT("Collision!"&amp;Event!$G$4&amp;":"&amp;Event!$G$4),$B209,INDIRECT("Collision!"&amp;Severity!$C$3&amp;":"&amp;Severity!$C$3),C$148))</f>
        <v>#REF!</v>
      </c>
      <c r="D209" s="71" t="e">
        <f ca="1">SUM(COUNTIFS(INDIRECT("Collision!"&amp;Event!$C$3&amp;":"&amp;Event!$C$3),$B209,INDIRECT("Collision!"&amp;Severity!$C$3&amp;":"&amp;Severity!$C$3),D$148), COUNTIFS(INDIRECT("Collision!"&amp;Event!$G$3&amp;":"&amp;Event!$G$3),$B209,INDIRECT("Collision!"&amp;Severity!$C$3&amp;":"&amp;Severity!$C$3),D$148), COUNTIFS(INDIRECT("Collision!"&amp;Event!$G$4&amp;":"&amp;Event!$G$4),$B209,INDIRECT("Collision!"&amp;Severity!$C$3&amp;":"&amp;Severity!$C$3),D$148))</f>
        <v>#REF!</v>
      </c>
      <c r="E209" s="71" t="e">
        <f t="array" aca="1" ref="E209" ca="1">SUM(COUNTIFS(INDIRECT("Collision!"&amp;Event!$C$3&amp;":"&amp;Event!$C$3),$B209,INDIRECT("Collision!"&amp;Severity!$C$3&amp;":"&amp;Severity!$C$3),{"Moderate Injury","Minor Injury"}), COUNTIFS(INDIRECT("Collision!"&amp;Event!$G$3&amp;":"&amp;Event!$G$3),$B209,INDIRECT("Collision!"&amp;Severity!$C$3&amp;":"&amp;Severity!$C$3),{"Moderate Injury","Minor Injury"}), COUNTIFS(INDIRECT("Collision!"&amp;Event!$G$4&amp;":"&amp;Event!$G$4),$B209,INDIRECT("Collision!"&amp;Severity!$C$3&amp;":"&amp;Severity!$C$3),{"Moderate Injury","Minor Injury"}))</f>
        <v>#REF!</v>
      </c>
      <c r="F209" s="71" t="e">
        <f ca="1">SUM(COUNTIFS(INDIRECT("Collision!"&amp;Event!$C$3&amp;":"&amp;Event!$C$3),$B209,INDIRECT("Collision!"&amp;Severity!$C$3&amp;":"&amp;Severity!$C$3),F$148), COUNTIFS(INDIRECT("Collision!"&amp;Event!$G$3&amp;":"&amp;Event!$G$3),$B209,INDIRECT("Collision!"&amp;Severity!$C$3&amp;":"&amp;Severity!$C$3),F$148), COUNTIFS(INDIRECT("Collision!"&amp;Event!$G$4&amp;":"&amp;Event!$G$4),$B209,INDIRECT("Collision!"&amp;Severity!$C$3&amp;":"&amp;Severity!$C$3),F$148))</f>
        <v>#REF!</v>
      </c>
      <c r="G209" s="71" t="e">
        <f t="shared" ca="1" si="3"/>
        <v>#REF!</v>
      </c>
      <c r="H209" s="69" t="e">
        <f t="shared" ca="1" si="4"/>
        <v>#REF!</v>
      </c>
      <c r="I209" s="71" t="e">
        <f t="shared" ca="1" si="5"/>
        <v>#REF!</v>
      </c>
      <c r="J209" s="69" t="e">
        <f ca="1">IF(G209=0,0,PCF_Severity2[[#This Row],[Crash Count]]/$I$283)</f>
        <v>#REF!</v>
      </c>
      <c r="K209" t="e">
        <f ca="1">SUM(PCF_Severity2[[#This Row],[Severe Injury]:[Other Injury]])</f>
        <v>#REF!</v>
      </c>
      <c r="L209" s="69" t="e">
        <f ca="1">PCF_Severity2[[#This Row],[Crash Count2]]/$K$283</f>
        <v>#REF!</v>
      </c>
      <c r="M209" s="86" t="str">
        <f>VLOOKUP(PCF_Severity2[[#This Row],[Crash Event]],PCF_3[[#Headers],[#Data]],4,FALSE)</f>
        <v>Stock: cow, calf, bull, steer, sheep, etc.</v>
      </c>
      <c r="Q209" s="84"/>
    </row>
    <row r="210" spans="2:17" x14ac:dyDescent="0.25">
      <c r="B210" t="s">
        <v>180</v>
      </c>
      <c r="C210" s="71" t="e">
        <f ca="1">SUM(COUNTIFS(INDIRECT("Collision!"&amp;Event!$C$3&amp;":"&amp;Event!$C$3),$B210,INDIRECT("Collision!"&amp;Severity!$C$3&amp;":"&amp;Severity!$C$3),C$148), COUNTIFS(INDIRECT("Collision!"&amp;Event!$G$3&amp;":"&amp;Event!$G$3),$B210,INDIRECT("Collision!"&amp;Severity!$C$3&amp;":"&amp;Severity!$C$3),C$148), COUNTIFS(INDIRECT("Collision!"&amp;Event!$G$4&amp;":"&amp;Event!$G$4),$B210,INDIRECT("Collision!"&amp;Severity!$C$3&amp;":"&amp;Severity!$C$3),C$148))</f>
        <v>#REF!</v>
      </c>
      <c r="D210" s="71" t="e">
        <f ca="1">SUM(COUNTIFS(INDIRECT("Collision!"&amp;Event!$C$3&amp;":"&amp;Event!$C$3),$B210,INDIRECT("Collision!"&amp;Severity!$C$3&amp;":"&amp;Severity!$C$3),D$148), COUNTIFS(INDIRECT("Collision!"&amp;Event!$G$3&amp;":"&amp;Event!$G$3),$B210,INDIRECT("Collision!"&amp;Severity!$C$3&amp;":"&amp;Severity!$C$3),D$148), COUNTIFS(INDIRECT("Collision!"&amp;Event!$G$4&amp;":"&amp;Event!$G$4),$B210,INDIRECT("Collision!"&amp;Severity!$C$3&amp;":"&amp;Severity!$C$3),D$148))</f>
        <v>#REF!</v>
      </c>
      <c r="E210" s="71" t="e">
        <f t="array" aca="1" ref="E210" ca="1">SUM(COUNTIFS(INDIRECT("Collision!"&amp;Event!$C$3&amp;":"&amp;Event!$C$3),$B210,INDIRECT("Collision!"&amp;Severity!$C$3&amp;":"&amp;Severity!$C$3),{"Moderate Injury","Minor Injury"}), COUNTIFS(INDIRECT("Collision!"&amp;Event!$G$3&amp;":"&amp;Event!$G$3),$B210,INDIRECT("Collision!"&amp;Severity!$C$3&amp;":"&amp;Severity!$C$3),{"Moderate Injury","Minor Injury"}), COUNTIFS(INDIRECT("Collision!"&amp;Event!$G$4&amp;":"&amp;Event!$G$4),$B210,INDIRECT("Collision!"&amp;Severity!$C$3&amp;":"&amp;Severity!$C$3),{"Moderate Injury","Minor Injury"}))</f>
        <v>#REF!</v>
      </c>
      <c r="F210" s="71" t="e">
        <f ca="1">SUM(COUNTIFS(INDIRECT("Collision!"&amp;Event!$C$3&amp;":"&amp;Event!$C$3),$B210,INDIRECT("Collision!"&amp;Severity!$C$3&amp;":"&amp;Severity!$C$3),F$148), COUNTIFS(INDIRECT("Collision!"&amp;Event!$G$3&amp;":"&amp;Event!$G$3),$B210,INDIRECT("Collision!"&amp;Severity!$C$3&amp;":"&amp;Severity!$C$3),F$148), COUNTIFS(INDIRECT("Collision!"&amp;Event!$G$4&amp;":"&amp;Event!$G$4),$B210,INDIRECT("Collision!"&amp;Severity!$C$3&amp;":"&amp;Severity!$C$3),F$148))</f>
        <v>#REF!</v>
      </c>
      <c r="G210" s="71" t="e">
        <f t="shared" ca="1" si="3"/>
        <v>#REF!</v>
      </c>
      <c r="H210" s="69" t="e">
        <f t="shared" ca="1" si="4"/>
        <v>#REF!</v>
      </c>
      <c r="I210" s="71" t="e">
        <f t="shared" ca="1" si="5"/>
        <v>#REF!</v>
      </c>
      <c r="J210" s="82" t="e">
        <f ca="1">IF(G210=0,0,PCF_Severity2[[#This Row],[Crash Count]]/$I$283)</f>
        <v>#REF!</v>
      </c>
      <c r="K210" t="e">
        <f ca="1">SUM(PCF_Severity2[[#This Row],[Severe Injury]:[Other Injury]])</f>
        <v>#REF!</v>
      </c>
      <c r="L210" s="69" t="e">
        <f ca="1">PCF_Severity2[[#This Row],[Crash Count2]]/$K$283</f>
        <v>#REF!</v>
      </c>
      <c r="M210" s="86" t="str">
        <f>VLOOKUP(PCF_Severity2[[#This Row],[Crash Event]],PCF_3[[#Headers],[#Data]],4,FALSE)</f>
        <v>Horse, mule, or donkey</v>
      </c>
      <c r="Q210" s="84"/>
    </row>
    <row r="211" spans="2:17" x14ac:dyDescent="0.25">
      <c r="B211" t="s">
        <v>190</v>
      </c>
      <c r="C211" s="71" t="e">
        <f ca="1">SUM(COUNTIFS(INDIRECT("Collision!"&amp;Event!$C$3&amp;":"&amp;Event!$C$3),$B211,INDIRECT("Collision!"&amp;Severity!$C$3&amp;":"&amp;Severity!$C$3),C$148), COUNTIFS(INDIRECT("Collision!"&amp;Event!$G$3&amp;":"&amp;Event!$G$3),$B211,INDIRECT("Collision!"&amp;Severity!$C$3&amp;":"&amp;Severity!$C$3),C$148), COUNTIFS(INDIRECT("Collision!"&amp;Event!$G$4&amp;":"&amp;Event!$G$4),$B211,INDIRECT("Collision!"&amp;Severity!$C$3&amp;":"&amp;Severity!$C$3),C$148))</f>
        <v>#REF!</v>
      </c>
      <c r="D211" s="71" t="e">
        <f ca="1">SUM(COUNTIFS(INDIRECT("Collision!"&amp;Event!$C$3&amp;":"&amp;Event!$C$3),$B211,INDIRECT("Collision!"&amp;Severity!$C$3&amp;":"&amp;Severity!$C$3),D$148), COUNTIFS(INDIRECT("Collision!"&amp;Event!$G$3&amp;":"&amp;Event!$G$3),$B211,INDIRECT("Collision!"&amp;Severity!$C$3&amp;":"&amp;Severity!$C$3),D$148), COUNTIFS(INDIRECT("Collision!"&amp;Event!$G$4&amp;":"&amp;Event!$G$4),$B211,INDIRECT("Collision!"&amp;Severity!$C$3&amp;":"&amp;Severity!$C$3),D$148))</f>
        <v>#REF!</v>
      </c>
      <c r="E211" s="71" t="e">
        <f t="array" aca="1" ref="E211" ca="1">SUM(COUNTIFS(INDIRECT("Collision!"&amp;Event!$C$3&amp;":"&amp;Event!$C$3),$B211,INDIRECT("Collision!"&amp;Severity!$C$3&amp;":"&amp;Severity!$C$3),{"Moderate Injury","Minor Injury"}), COUNTIFS(INDIRECT("Collision!"&amp;Event!$G$3&amp;":"&amp;Event!$G$3),$B211,INDIRECT("Collision!"&amp;Severity!$C$3&amp;":"&amp;Severity!$C$3),{"Moderate Injury","Minor Injury"}), COUNTIFS(INDIRECT("Collision!"&amp;Event!$G$4&amp;":"&amp;Event!$G$4),$B211,INDIRECT("Collision!"&amp;Severity!$C$3&amp;":"&amp;Severity!$C$3),{"Moderate Injury","Minor Injury"}))</f>
        <v>#REF!</v>
      </c>
      <c r="F211" s="71" t="e">
        <f ca="1">SUM(COUNTIFS(INDIRECT("Collision!"&amp;Event!$C$3&amp;":"&amp;Event!$C$3),$B211,INDIRECT("Collision!"&amp;Severity!$C$3&amp;":"&amp;Severity!$C$3),F$148), COUNTIFS(INDIRECT("Collision!"&amp;Event!$G$3&amp;":"&amp;Event!$G$3),$B211,INDIRECT("Collision!"&amp;Severity!$C$3&amp;":"&amp;Severity!$C$3),F$148), COUNTIFS(INDIRECT("Collision!"&amp;Event!$G$4&amp;":"&amp;Event!$G$4),$B211,INDIRECT("Collision!"&amp;Severity!$C$3&amp;":"&amp;Severity!$C$3),F$148))</f>
        <v>#REF!</v>
      </c>
      <c r="G211" s="71" t="e">
        <f t="shared" ca="1" si="3"/>
        <v>#REF!</v>
      </c>
      <c r="H211" s="69" t="e">
        <f t="shared" ca="1" si="4"/>
        <v>#REF!</v>
      </c>
      <c r="I211" s="71" t="e">
        <f t="shared" ca="1" si="5"/>
        <v>#REF!</v>
      </c>
      <c r="J211" s="69" t="e">
        <f ca="1">IF(G211=0,0,PCF_Severity2[[#This Row],[Crash Count]]/$I$283)</f>
        <v>#REF!</v>
      </c>
      <c r="K211" t="e">
        <f ca="1">SUM(PCF_Severity2[[#This Row],[Severe Injury]:[Other Injury]])</f>
        <v>#REF!</v>
      </c>
      <c r="L211" s="69" t="e">
        <f ca="1">PCF_Severity2[[#This Row],[Crash Count2]]/$K$283</f>
        <v>#REF!</v>
      </c>
      <c r="M211" s="86" t="str">
        <f>VLOOKUP(PCF_Severity2[[#This Row],[Crash Event]],PCF_3[[#Headers],[#Data]],4,FALSE)</f>
        <v>Leading edge of guardrail</v>
      </c>
      <c r="Q211" s="84"/>
    </row>
    <row r="212" spans="2:17" ht="30" x14ac:dyDescent="0.25">
      <c r="B212" t="s">
        <v>196</v>
      </c>
      <c r="C212" s="71" t="e">
        <f ca="1">SUM(COUNTIFS(INDIRECT("Collision!"&amp;Event!$C$3&amp;":"&amp;Event!$C$3),$B212,INDIRECT("Collision!"&amp;Severity!$C$3&amp;":"&amp;Severity!$C$3),C$148), COUNTIFS(INDIRECT("Collision!"&amp;Event!$G$3&amp;":"&amp;Event!$G$3),$B212,INDIRECT("Collision!"&amp;Severity!$C$3&amp;":"&amp;Severity!$C$3),C$148), COUNTIFS(INDIRECT("Collision!"&amp;Event!$G$4&amp;":"&amp;Event!$G$4),$B212,INDIRECT("Collision!"&amp;Severity!$C$3&amp;":"&amp;Severity!$C$3),C$148))</f>
        <v>#REF!</v>
      </c>
      <c r="D212" s="71" t="e">
        <f ca="1">SUM(COUNTIFS(INDIRECT("Collision!"&amp;Event!$C$3&amp;":"&amp;Event!$C$3),$B212,INDIRECT("Collision!"&amp;Severity!$C$3&amp;":"&amp;Severity!$C$3),D$148), COUNTIFS(INDIRECT("Collision!"&amp;Event!$G$3&amp;":"&amp;Event!$G$3),$B212,INDIRECT("Collision!"&amp;Severity!$C$3&amp;":"&amp;Severity!$C$3),D$148), COUNTIFS(INDIRECT("Collision!"&amp;Event!$G$4&amp;":"&amp;Event!$G$4),$B212,INDIRECT("Collision!"&amp;Severity!$C$3&amp;":"&amp;Severity!$C$3),D$148))</f>
        <v>#REF!</v>
      </c>
      <c r="E212" s="71" t="e">
        <f t="array" aca="1" ref="E212" ca="1">SUM(COUNTIFS(INDIRECT("Collision!"&amp;Event!$C$3&amp;":"&amp;Event!$C$3),$B212,INDIRECT("Collision!"&amp;Severity!$C$3&amp;":"&amp;Severity!$C$3),{"Moderate Injury","Minor Injury"}), COUNTIFS(INDIRECT("Collision!"&amp;Event!$G$3&amp;":"&amp;Event!$G$3),$B212,INDIRECT("Collision!"&amp;Severity!$C$3&amp;":"&amp;Severity!$C$3),{"Moderate Injury","Minor Injury"}), COUNTIFS(INDIRECT("Collision!"&amp;Event!$G$4&amp;":"&amp;Event!$G$4),$B212,INDIRECT("Collision!"&amp;Severity!$C$3&amp;":"&amp;Severity!$C$3),{"Moderate Injury","Minor Injury"}))</f>
        <v>#REF!</v>
      </c>
      <c r="F212" s="71" t="e">
        <f ca="1">SUM(COUNTIFS(INDIRECT("Collision!"&amp;Event!$C$3&amp;":"&amp;Event!$C$3),$B212,INDIRECT("Collision!"&amp;Severity!$C$3&amp;":"&amp;Severity!$C$3),F$148), COUNTIFS(INDIRECT("Collision!"&amp;Event!$G$3&amp;":"&amp;Event!$G$3),$B212,INDIRECT("Collision!"&amp;Severity!$C$3&amp;":"&amp;Severity!$C$3),F$148), COUNTIFS(INDIRECT("Collision!"&amp;Event!$G$4&amp;":"&amp;Event!$G$4),$B212,INDIRECT("Collision!"&amp;Severity!$C$3&amp;":"&amp;Severity!$C$3),F$148))</f>
        <v>#REF!</v>
      </c>
      <c r="G212" s="71" t="e">
        <f t="shared" ca="1" si="3"/>
        <v>#REF!</v>
      </c>
      <c r="H212" s="69" t="e">
        <f t="shared" ca="1" si="4"/>
        <v>#REF!</v>
      </c>
      <c r="I212" s="71" t="e">
        <f t="shared" ca="1" si="5"/>
        <v>#REF!</v>
      </c>
      <c r="J212" s="69" t="e">
        <f ca="1">IF(G212=0,0,PCF_Severity2[[#This Row],[Crash Count]]/$I$283)</f>
        <v>#REF!</v>
      </c>
      <c r="K212" t="e">
        <f ca="1">SUM(PCF_Severity2[[#This Row],[Severe Injury]:[Other Injury]])</f>
        <v>#REF!</v>
      </c>
      <c r="L212" s="69" t="e">
        <f ca="1">PCF_Severity2[[#This Row],[Crash Count2]]/$K$283</f>
        <v>#REF!</v>
      </c>
      <c r="M212" s="86" t="str">
        <f>VLOOKUP(PCF_Severity2[[#This Row],[Crash Event]],PCF_3[[#Headers],[#Data]],4,FALSE)</f>
        <v>*Bridge pillar or column -- even if struck protective guardrail first</v>
      </c>
      <c r="Q212" s="84"/>
    </row>
    <row r="213" spans="2:17" ht="30" x14ac:dyDescent="0.25">
      <c r="B213" t="s">
        <v>203</v>
      </c>
      <c r="C213" s="71" t="e">
        <f ca="1">SUM(COUNTIFS(INDIRECT("Collision!"&amp;Event!$C$3&amp;":"&amp;Event!$C$3),$B213,INDIRECT("Collision!"&amp;Severity!$C$3&amp;":"&amp;Severity!$C$3),C$148), COUNTIFS(INDIRECT("Collision!"&amp;Event!$G$3&amp;":"&amp;Event!$G$3),$B213,INDIRECT("Collision!"&amp;Severity!$C$3&amp;":"&amp;Severity!$C$3),C$148), COUNTIFS(INDIRECT("Collision!"&amp;Event!$G$4&amp;":"&amp;Event!$G$4),$B213,INDIRECT("Collision!"&amp;Severity!$C$3&amp;":"&amp;Severity!$C$3),C$148))</f>
        <v>#REF!</v>
      </c>
      <c r="D213" s="71" t="e">
        <f ca="1">SUM(COUNTIFS(INDIRECT("Collision!"&amp;Event!$C$3&amp;":"&amp;Event!$C$3),$B213,INDIRECT("Collision!"&amp;Severity!$C$3&amp;":"&amp;Severity!$C$3),D$148), COUNTIFS(INDIRECT("Collision!"&amp;Event!$G$3&amp;":"&amp;Event!$G$3),$B213,INDIRECT("Collision!"&amp;Severity!$C$3&amp;":"&amp;Severity!$C$3),D$148), COUNTIFS(INDIRECT("Collision!"&amp;Event!$G$4&amp;":"&amp;Event!$G$4),$B213,INDIRECT("Collision!"&amp;Severity!$C$3&amp;":"&amp;Severity!$C$3),D$148))</f>
        <v>#REF!</v>
      </c>
      <c r="E213" s="71" t="e">
        <f t="array" aca="1" ref="E213" ca="1">SUM(COUNTIFS(INDIRECT("Collision!"&amp;Event!$C$3&amp;":"&amp;Event!$C$3),$B213,INDIRECT("Collision!"&amp;Severity!$C$3&amp;":"&amp;Severity!$C$3),{"Moderate Injury","Minor Injury"}), COUNTIFS(INDIRECT("Collision!"&amp;Event!$G$3&amp;":"&amp;Event!$G$3),$B213,INDIRECT("Collision!"&amp;Severity!$C$3&amp;":"&amp;Severity!$C$3),{"Moderate Injury","Minor Injury"}), COUNTIFS(INDIRECT("Collision!"&amp;Event!$G$4&amp;":"&amp;Event!$G$4),$B213,INDIRECT("Collision!"&amp;Severity!$C$3&amp;":"&amp;Severity!$C$3),{"Moderate Injury","Minor Injury"}))</f>
        <v>#REF!</v>
      </c>
      <c r="F213" s="71" t="e">
        <f ca="1">SUM(COUNTIFS(INDIRECT("Collision!"&amp;Event!$C$3&amp;":"&amp;Event!$C$3),$B213,INDIRECT("Collision!"&amp;Severity!$C$3&amp;":"&amp;Severity!$C$3),F$148), COUNTIFS(INDIRECT("Collision!"&amp;Event!$G$3&amp;":"&amp;Event!$G$3),$B213,INDIRECT("Collision!"&amp;Severity!$C$3&amp;":"&amp;Severity!$C$3),F$148), COUNTIFS(INDIRECT("Collision!"&amp;Event!$G$4&amp;":"&amp;Event!$G$4),$B213,INDIRECT("Collision!"&amp;Severity!$C$3&amp;":"&amp;Severity!$C$3),F$148))</f>
        <v>#REF!</v>
      </c>
      <c r="G213" s="71" t="e">
        <f t="shared" ref="G213:G244" ca="1" si="6">SUM(C213:F213)</f>
        <v>#REF!</v>
      </c>
      <c r="H213" s="69" t="e">
        <f t="shared" ref="H213:H244" ca="1" si="7">G213/$G$283</f>
        <v>#REF!</v>
      </c>
      <c r="I213" s="71" t="e">
        <f t="shared" ref="I213:I244" ca="1" si="8">SUM(D213,C213)</f>
        <v>#REF!</v>
      </c>
      <c r="J213" s="69" t="e">
        <f ca="1">IF(G213=0,0,PCF_Severity2[[#This Row],[Crash Count]]/$I$283)</f>
        <v>#REF!</v>
      </c>
      <c r="K213" t="e">
        <f ca="1">SUM(PCF_Severity2[[#This Row],[Severe Injury]:[Other Injury]])</f>
        <v>#REF!</v>
      </c>
      <c r="L213" s="69" t="e">
        <f ca="1">PCF_Severity2[[#This Row],[Crash Count2]]/$K$283</f>
        <v>#REF!</v>
      </c>
      <c r="M213" s="86" t="str">
        <f>VLOOKUP(PCF_Severity2[[#This Row],[Crash Event]],PCF_3[[#Headers],[#Data]],4,FALSE)</f>
        <v>Pole - traffic signal and/or ped signal only</v>
      </c>
      <c r="Q213" s="84"/>
    </row>
    <row r="214" spans="2:17" ht="30" x14ac:dyDescent="0.25">
      <c r="B214" t="s">
        <v>208</v>
      </c>
      <c r="C214" s="71" t="e">
        <f ca="1">SUM(COUNTIFS(INDIRECT("Collision!"&amp;Event!$C$3&amp;":"&amp;Event!$C$3),$B214,INDIRECT("Collision!"&amp;Severity!$C$3&amp;":"&amp;Severity!$C$3),C$148), COUNTIFS(INDIRECT("Collision!"&amp;Event!$G$3&amp;":"&amp;Event!$G$3),$B214,INDIRECT("Collision!"&amp;Severity!$C$3&amp;":"&amp;Severity!$C$3),C$148), COUNTIFS(INDIRECT("Collision!"&amp;Event!$G$4&amp;":"&amp;Event!$G$4),$B214,INDIRECT("Collision!"&amp;Severity!$C$3&amp;":"&amp;Severity!$C$3),C$148))</f>
        <v>#REF!</v>
      </c>
      <c r="D214" s="71" t="e">
        <f ca="1">SUM(COUNTIFS(INDIRECT("Collision!"&amp;Event!$C$3&amp;":"&amp;Event!$C$3),$B214,INDIRECT("Collision!"&amp;Severity!$C$3&amp;":"&amp;Severity!$C$3),D$148), COUNTIFS(INDIRECT("Collision!"&amp;Event!$G$3&amp;":"&amp;Event!$G$3),$B214,INDIRECT("Collision!"&amp;Severity!$C$3&amp;":"&amp;Severity!$C$3),D$148), COUNTIFS(INDIRECT("Collision!"&amp;Event!$G$4&amp;":"&amp;Event!$G$4),$B214,INDIRECT("Collision!"&amp;Severity!$C$3&amp;":"&amp;Severity!$C$3),D$148))</f>
        <v>#REF!</v>
      </c>
      <c r="E214" s="71" t="e">
        <f t="array" aca="1" ref="E214" ca="1">SUM(COUNTIFS(INDIRECT("Collision!"&amp;Event!$C$3&amp;":"&amp;Event!$C$3),$B214,INDIRECT("Collision!"&amp;Severity!$C$3&amp;":"&amp;Severity!$C$3),{"Moderate Injury","Minor Injury"}), COUNTIFS(INDIRECT("Collision!"&amp;Event!$G$3&amp;":"&amp;Event!$G$3),$B214,INDIRECT("Collision!"&amp;Severity!$C$3&amp;":"&amp;Severity!$C$3),{"Moderate Injury","Minor Injury"}), COUNTIFS(INDIRECT("Collision!"&amp;Event!$G$4&amp;":"&amp;Event!$G$4),$B214,INDIRECT("Collision!"&amp;Severity!$C$3&amp;":"&amp;Severity!$C$3),{"Moderate Injury","Minor Injury"}))</f>
        <v>#REF!</v>
      </c>
      <c r="F214" s="71" t="e">
        <f ca="1">SUM(COUNTIFS(INDIRECT("Collision!"&amp;Event!$C$3&amp;":"&amp;Event!$C$3),$B214,INDIRECT("Collision!"&amp;Severity!$C$3&amp;":"&amp;Severity!$C$3),F$148), COUNTIFS(INDIRECT("Collision!"&amp;Event!$G$3&amp;":"&amp;Event!$G$3),$B214,INDIRECT("Collision!"&amp;Severity!$C$3&amp;":"&amp;Severity!$C$3),F$148), COUNTIFS(INDIRECT("Collision!"&amp;Event!$G$4&amp;":"&amp;Event!$G$4),$B214,INDIRECT("Collision!"&amp;Severity!$C$3&amp;":"&amp;Severity!$C$3),F$148))</f>
        <v>#REF!</v>
      </c>
      <c r="G214" s="71" t="e">
        <f t="shared" ca="1" si="6"/>
        <v>#REF!</v>
      </c>
      <c r="H214" s="69" t="e">
        <f t="shared" ca="1" si="7"/>
        <v>#REF!</v>
      </c>
      <c r="I214" s="71" t="e">
        <f t="shared" ca="1" si="8"/>
        <v>#REF!</v>
      </c>
      <c r="J214" s="69" t="e">
        <f ca="1">IF(G214=0,0,PCF_Severity2[[#This Row],[Crash Count]]/$I$283)</f>
        <v>#REF!</v>
      </c>
      <c r="K214" t="e">
        <f ca="1">SUM(PCF_Severity2[[#This Row],[Severe Injury]:[Other Injury]])</f>
        <v>#REF!</v>
      </c>
      <c r="L214" s="69" t="e">
        <f ca="1">PCF_Severity2[[#This Row],[Crash Count2]]/$K$283</f>
        <v>#REF!</v>
      </c>
      <c r="M214" s="86" t="str">
        <f>VLOOKUP(PCF_Severity2[[#This Row],[Crash Event]],PCF_3[[#Headers],[#Data]],4,FALSE)</f>
        <v>Delineator or marker (Reflector posts)</v>
      </c>
      <c r="Q214" s="84"/>
    </row>
    <row r="215" spans="2:17" x14ac:dyDescent="0.25">
      <c r="B215" t="s">
        <v>212</v>
      </c>
      <c r="C215" s="71" t="e">
        <f ca="1">SUM(COUNTIFS(INDIRECT("Collision!"&amp;Event!$C$3&amp;":"&amp;Event!$C$3),$B215,INDIRECT("Collision!"&amp;Severity!$C$3&amp;":"&amp;Severity!$C$3),C$148), COUNTIFS(INDIRECT("Collision!"&amp;Event!$G$3&amp;":"&amp;Event!$G$3),$B215,INDIRECT("Collision!"&amp;Severity!$C$3&amp;":"&amp;Severity!$C$3),C$148), COUNTIFS(INDIRECT("Collision!"&amp;Event!$G$4&amp;":"&amp;Event!$G$4),$B215,INDIRECT("Collision!"&amp;Severity!$C$3&amp;":"&amp;Severity!$C$3),C$148))</f>
        <v>#REF!</v>
      </c>
      <c r="D215" s="71" t="e">
        <f ca="1">SUM(COUNTIFS(INDIRECT("Collision!"&amp;Event!$C$3&amp;":"&amp;Event!$C$3),$B215,INDIRECT("Collision!"&amp;Severity!$C$3&amp;":"&amp;Severity!$C$3),D$148), COUNTIFS(INDIRECT("Collision!"&amp;Event!$G$3&amp;":"&amp;Event!$G$3),$B215,INDIRECT("Collision!"&amp;Severity!$C$3&amp;":"&amp;Severity!$C$3),D$148), COUNTIFS(INDIRECT("Collision!"&amp;Event!$G$4&amp;":"&amp;Event!$G$4),$B215,INDIRECT("Collision!"&amp;Severity!$C$3&amp;":"&amp;Severity!$C$3),D$148))</f>
        <v>#REF!</v>
      </c>
      <c r="E215" s="71" t="e">
        <f t="array" aca="1" ref="E215" ca="1">SUM(COUNTIFS(INDIRECT("Collision!"&amp;Event!$C$3&amp;":"&amp;Event!$C$3),$B215,INDIRECT("Collision!"&amp;Severity!$C$3&amp;":"&amp;Severity!$C$3),{"Moderate Injury","Minor Injury"}), COUNTIFS(INDIRECT("Collision!"&amp;Event!$G$3&amp;":"&amp;Event!$G$3),$B215,INDIRECT("Collision!"&amp;Severity!$C$3&amp;":"&amp;Severity!$C$3),{"Moderate Injury","Minor Injury"}), COUNTIFS(INDIRECT("Collision!"&amp;Event!$G$4&amp;":"&amp;Event!$G$4),$B215,INDIRECT("Collision!"&amp;Severity!$C$3&amp;":"&amp;Severity!$C$3),{"Moderate Injury","Minor Injury"}))</f>
        <v>#REF!</v>
      </c>
      <c r="F215" s="71" t="e">
        <f ca="1">SUM(COUNTIFS(INDIRECT("Collision!"&amp;Event!$C$3&amp;":"&amp;Event!$C$3),$B215,INDIRECT("Collision!"&amp;Severity!$C$3&amp;":"&amp;Severity!$C$3),F$148), COUNTIFS(INDIRECT("Collision!"&amp;Event!$G$3&amp;":"&amp;Event!$G$3),$B215,INDIRECT("Collision!"&amp;Severity!$C$3&amp;":"&amp;Severity!$C$3),F$148), COUNTIFS(INDIRECT("Collision!"&amp;Event!$G$4&amp;":"&amp;Event!$G$4),$B215,INDIRECT("Collision!"&amp;Severity!$C$3&amp;":"&amp;Severity!$C$3),F$148))</f>
        <v>#REF!</v>
      </c>
      <c r="G215" s="71" t="e">
        <f t="shared" ca="1" si="6"/>
        <v>#REF!</v>
      </c>
      <c r="H215" s="69" t="e">
        <f t="shared" ca="1" si="7"/>
        <v>#REF!</v>
      </c>
      <c r="I215" s="71" t="e">
        <f t="shared" ca="1" si="8"/>
        <v>#REF!</v>
      </c>
      <c r="J215" s="69" t="e">
        <f ca="1">IF(G215=0,0,PCF_Severity2[[#This Row],[Crash Count]]/$I$283)</f>
        <v>#REF!</v>
      </c>
      <c r="K215" t="e">
        <f ca="1">SUM(PCF_Severity2[[#This Row],[Severe Injury]:[Other Injury]])</f>
        <v>#REF!</v>
      </c>
      <c r="L215" s="69" t="e">
        <f ca="1">PCF_Severity2[[#This Row],[Crash Count2]]/$K$283</f>
        <v>#REF!</v>
      </c>
      <c r="M215" s="86" t="str">
        <f>VLOOKUP(PCF_Severity2[[#This Row],[Crash Event]],PCF_3[[#Headers],[#Data]],4,FALSE)</f>
        <v>Wire or cable across or over the road</v>
      </c>
      <c r="Q215" s="84"/>
    </row>
    <row r="216" spans="2:17" x14ac:dyDescent="0.25">
      <c r="B216" t="s">
        <v>220</v>
      </c>
      <c r="C216" s="71" t="e">
        <f ca="1">SUM(COUNTIFS(INDIRECT("Collision!"&amp;Event!$C$3&amp;":"&amp;Event!$C$3),$B216,INDIRECT("Collision!"&amp;Severity!$C$3&amp;":"&amp;Severity!$C$3),C$148), COUNTIFS(INDIRECT("Collision!"&amp;Event!$G$3&amp;":"&amp;Event!$G$3),$B216,INDIRECT("Collision!"&amp;Severity!$C$3&amp;":"&amp;Severity!$C$3),C$148), COUNTIFS(INDIRECT("Collision!"&amp;Event!$G$4&amp;":"&amp;Event!$G$4),$B216,INDIRECT("Collision!"&amp;Severity!$C$3&amp;":"&amp;Severity!$C$3),C$148))</f>
        <v>#REF!</v>
      </c>
      <c r="D216" s="71" t="e">
        <f ca="1">SUM(COUNTIFS(INDIRECT("Collision!"&amp;Event!$C$3&amp;":"&amp;Event!$C$3),$B216,INDIRECT("Collision!"&amp;Severity!$C$3&amp;":"&amp;Severity!$C$3),D$148), COUNTIFS(INDIRECT("Collision!"&amp;Event!$G$3&amp;":"&amp;Event!$G$3),$B216,INDIRECT("Collision!"&amp;Severity!$C$3&amp;":"&amp;Severity!$C$3),D$148), COUNTIFS(INDIRECT("Collision!"&amp;Event!$G$4&amp;":"&amp;Event!$G$4),$B216,INDIRECT("Collision!"&amp;Severity!$C$3&amp;":"&amp;Severity!$C$3),D$148))</f>
        <v>#REF!</v>
      </c>
      <c r="E216" s="71" t="e">
        <f t="array" aca="1" ref="E216" ca="1">SUM(COUNTIFS(INDIRECT("Collision!"&amp;Event!$C$3&amp;":"&amp;Event!$C$3),$B216,INDIRECT("Collision!"&amp;Severity!$C$3&amp;":"&amp;Severity!$C$3),{"Moderate Injury","Minor Injury"}), COUNTIFS(INDIRECT("Collision!"&amp;Event!$G$3&amp;":"&amp;Event!$G$3),$B216,INDIRECT("Collision!"&amp;Severity!$C$3&amp;":"&amp;Severity!$C$3),{"Moderate Injury","Minor Injury"}), COUNTIFS(INDIRECT("Collision!"&amp;Event!$G$4&amp;":"&amp;Event!$G$4),$B216,INDIRECT("Collision!"&amp;Severity!$C$3&amp;":"&amp;Severity!$C$3),{"Moderate Injury","Minor Injury"}))</f>
        <v>#REF!</v>
      </c>
      <c r="F216" s="71" t="e">
        <f ca="1">SUM(COUNTIFS(INDIRECT("Collision!"&amp;Event!$C$3&amp;":"&amp;Event!$C$3),$B216,INDIRECT("Collision!"&amp;Severity!$C$3&amp;":"&amp;Severity!$C$3),F$148), COUNTIFS(INDIRECT("Collision!"&amp;Event!$G$3&amp;":"&amp;Event!$G$3),$B216,INDIRECT("Collision!"&amp;Severity!$C$3&amp;":"&amp;Severity!$C$3),F$148), COUNTIFS(INDIRECT("Collision!"&amp;Event!$G$4&amp;":"&amp;Event!$G$4),$B216,INDIRECT("Collision!"&amp;Severity!$C$3&amp;":"&amp;Severity!$C$3),F$148))</f>
        <v>#REF!</v>
      </c>
      <c r="G216" s="71" t="e">
        <f t="shared" ca="1" si="6"/>
        <v>#REF!</v>
      </c>
      <c r="H216" s="69" t="e">
        <f t="shared" ca="1" si="7"/>
        <v>#REF!</v>
      </c>
      <c r="I216" s="71" t="e">
        <f t="shared" ca="1" si="8"/>
        <v>#REF!</v>
      </c>
      <c r="J216" s="69" t="e">
        <f ca="1">IF(G216=0,0,PCF_Severity2[[#This Row],[Crash Count]]/$I$283)</f>
        <v>#REF!</v>
      </c>
      <c r="K216" t="e">
        <f ca="1">SUM(PCF_Severity2[[#This Row],[Severe Injury]:[Other Injury]])</f>
        <v>#REF!</v>
      </c>
      <c r="L216" s="69" t="e">
        <f ca="1">PCF_Severity2[[#This Row],[Crash Count2]]/$K$283</f>
        <v>#REF!</v>
      </c>
      <c r="M216" s="86" t="str">
        <f>VLOOKUP(PCF_Severity2[[#This Row],[Crash Event]],PCF_3[[#Headers],[#Data]],4,FALSE)</f>
        <v>Rock, brick or other solid wall</v>
      </c>
      <c r="Q216" s="84"/>
    </row>
    <row r="217" spans="2:17" ht="30" x14ac:dyDescent="0.25">
      <c r="B217" t="s">
        <v>222</v>
      </c>
      <c r="C217" s="71" t="e">
        <f ca="1">SUM(COUNTIFS(INDIRECT("Collision!"&amp;Event!$C$3&amp;":"&amp;Event!$C$3),$B217,INDIRECT("Collision!"&amp;Severity!$C$3&amp;":"&amp;Severity!$C$3),C$148), COUNTIFS(INDIRECT("Collision!"&amp;Event!$G$3&amp;":"&amp;Event!$G$3),$B217,INDIRECT("Collision!"&amp;Severity!$C$3&amp;":"&amp;Severity!$C$3),C$148), COUNTIFS(INDIRECT("Collision!"&amp;Event!$G$4&amp;":"&amp;Event!$G$4),$B217,INDIRECT("Collision!"&amp;Severity!$C$3&amp;":"&amp;Severity!$C$3),C$148))</f>
        <v>#REF!</v>
      </c>
      <c r="D217" s="71" t="e">
        <f ca="1">SUM(COUNTIFS(INDIRECT("Collision!"&amp;Event!$C$3&amp;":"&amp;Event!$C$3),$B217,INDIRECT("Collision!"&amp;Severity!$C$3&amp;":"&amp;Severity!$C$3),D$148), COUNTIFS(INDIRECT("Collision!"&amp;Event!$G$3&amp;":"&amp;Event!$G$3),$B217,INDIRECT("Collision!"&amp;Severity!$C$3&amp;":"&amp;Severity!$C$3),D$148), COUNTIFS(INDIRECT("Collision!"&amp;Event!$G$4&amp;":"&amp;Event!$G$4),$B217,INDIRECT("Collision!"&amp;Severity!$C$3&amp;":"&amp;Severity!$C$3),D$148))</f>
        <v>#REF!</v>
      </c>
      <c r="E217" s="71" t="e">
        <f t="array" aca="1" ref="E217" ca="1">SUM(COUNTIFS(INDIRECT("Collision!"&amp;Event!$C$3&amp;":"&amp;Event!$C$3),$B217,INDIRECT("Collision!"&amp;Severity!$C$3&amp;":"&amp;Severity!$C$3),{"Moderate Injury","Minor Injury"}), COUNTIFS(INDIRECT("Collision!"&amp;Event!$G$3&amp;":"&amp;Event!$G$3),$B217,INDIRECT("Collision!"&amp;Severity!$C$3&amp;":"&amp;Severity!$C$3),{"Moderate Injury","Minor Injury"}), COUNTIFS(INDIRECT("Collision!"&amp;Event!$G$4&amp;":"&amp;Event!$G$4),$B217,INDIRECT("Collision!"&amp;Severity!$C$3&amp;":"&amp;Severity!$C$3),{"Moderate Injury","Minor Injury"}))</f>
        <v>#REF!</v>
      </c>
      <c r="F217" s="71" t="e">
        <f ca="1">SUM(COUNTIFS(INDIRECT("Collision!"&amp;Event!$C$3&amp;":"&amp;Event!$C$3),$B217,INDIRECT("Collision!"&amp;Severity!$C$3&amp;":"&amp;Severity!$C$3),F$148), COUNTIFS(INDIRECT("Collision!"&amp;Event!$G$3&amp;":"&amp;Event!$G$3),$B217,INDIRECT("Collision!"&amp;Severity!$C$3&amp;":"&amp;Severity!$C$3),F$148), COUNTIFS(INDIRECT("Collision!"&amp;Event!$G$4&amp;":"&amp;Event!$G$4),$B217,INDIRECT("Collision!"&amp;Severity!$C$3&amp;":"&amp;Severity!$C$3),F$148))</f>
        <v>#REF!</v>
      </c>
      <c r="G217" s="71" t="e">
        <f t="shared" ca="1" si="6"/>
        <v>#REF!</v>
      </c>
      <c r="H217" s="69" t="e">
        <f t="shared" ca="1" si="7"/>
        <v>#REF!</v>
      </c>
      <c r="I217" s="71" t="e">
        <f t="shared" ca="1" si="8"/>
        <v>#REF!</v>
      </c>
      <c r="J217" s="69" t="e">
        <f ca="1">IF(G217=0,0,PCF_Severity2[[#This Row],[Crash Count]]/$I$283)</f>
        <v>#REF!</v>
      </c>
      <c r="K217" t="e">
        <f ca="1">SUM(PCF_Severity2[[#This Row],[Severe Injury]:[Other Injury]])</f>
        <v>#REF!</v>
      </c>
      <c r="L217" s="69" t="e">
        <f ca="1">PCF_Severity2[[#This Row],[Crash Count2]]/$K$283</f>
        <v>#REF!</v>
      </c>
      <c r="M217" s="86" t="str">
        <f>VLOOKUP(PCF_Severity2[[#This Row],[Crash Event]],PCF_3[[#Headers],[#Data]],4,FALSE)</f>
        <v>Other overhead object (highway sign, signal head, etc.); not Bridge</v>
      </c>
      <c r="Q217" s="84"/>
    </row>
    <row r="218" spans="2:17" x14ac:dyDescent="0.25">
      <c r="B218" t="s">
        <v>231</v>
      </c>
      <c r="C218" s="71" t="e">
        <f ca="1">SUM(COUNTIFS(INDIRECT("Collision!"&amp;Event!$C$3&amp;":"&amp;Event!$C$3),$B218,INDIRECT("Collision!"&amp;Severity!$C$3&amp;":"&amp;Severity!$C$3),C$148), COUNTIFS(INDIRECT("Collision!"&amp;Event!$G$3&amp;":"&amp;Event!$G$3),$B218,INDIRECT("Collision!"&amp;Severity!$C$3&amp;":"&amp;Severity!$C$3),C$148), COUNTIFS(INDIRECT("Collision!"&amp;Event!$G$4&amp;":"&amp;Event!$G$4),$B218,INDIRECT("Collision!"&amp;Severity!$C$3&amp;":"&amp;Severity!$C$3),C$148))</f>
        <v>#REF!</v>
      </c>
      <c r="D218" s="71" t="e">
        <f ca="1">SUM(COUNTIFS(INDIRECT("Collision!"&amp;Event!$C$3&amp;":"&amp;Event!$C$3),$B218,INDIRECT("Collision!"&amp;Severity!$C$3&amp;":"&amp;Severity!$C$3),D$148), COUNTIFS(INDIRECT("Collision!"&amp;Event!$G$3&amp;":"&amp;Event!$G$3),$B218,INDIRECT("Collision!"&amp;Severity!$C$3&amp;":"&amp;Severity!$C$3),D$148), COUNTIFS(INDIRECT("Collision!"&amp;Event!$G$4&amp;":"&amp;Event!$G$4),$B218,INDIRECT("Collision!"&amp;Severity!$C$3&amp;":"&amp;Severity!$C$3),D$148))</f>
        <v>#REF!</v>
      </c>
      <c r="E218" s="71" t="e">
        <f t="array" aca="1" ref="E218" ca="1">SUM(COUNTIFS(INDIRECT("Collision!"&amp;Event!$C$3&amp;":"&amp;Event!$C$3),$B218,INDIRECT("Collision!"&amp;Severity!$C$3&amp;":"&amp;Severity!$C$3),{"Moderate Injury","Minor Injury"}), COUNTIFS(INDIRECT("Collision!"&amp;Event!$G$3&amp;":"&amp;Event!$G$3),$B218,INDIRECT("Collision!"&amp;Severity!$C$3&amp;":"&amp;Severity!$C$3),{"Moderate Injury","Minor Injury"}), COUNTIFS(INDIRECT("Collision!"&amp;Event!$G$4&amp;":"&amp;Event!$G$4),$B218,INDIRECT("Collision!"&amp;Severity!$C$3&amp;":"&amp;Severity!$C$3),{"Moderate Injury","Minor Injury"}))</f>
        <v>#REF!</v>
      </c>
      <c r="F218" s="71" t="e">
        <f ca="1">SUM(COUNTIFS(INDIRECT("Collision!"&amp;Event!$C$3&amp;":"&amp;Event!$C$3),$B218,INDIRECT("Collision!"&amp;Severity!$C$3&amp;":"&amp;Severity!$C$3),F$148), COUNTIFS(INDIRECT("Collision!"&amp;Event!$G$3&amp;":"&amp;Event!$G$3),$B218,INDIRECT("Collision!"&amp;Severity!$C$3&amp;":"&amp;Severity!$C$3),F$148), COUNTIFS(INDIRECT("Collision!"&amp;Event!$G$4&amp;":"&amp;Event!$G$4),$B218,INDIRECT("Collision!"&amp;Severity!$C$3&amp;":"&amp;Severity!$C$3),F$148))</f>
        <v>#REF!</v>
      </c>
      <c r="G218" s="71" t="e">
        <f t="shared" ca="1" si="6"/>
        <v>#REF!</v>
      </c>
      <c r="H218" s="69" t="e">
        <f t="shared" ca="1" si="7"/>
        <v>#REF!</v>
      </c>
      <c r="I218" s="71" t="e">
        <f t="shared" ca="1" si="8"/>
        <v>#REF!</v>
      </c>
      <c r="J218" s="69" t="e">
        <f ca="1">IF(G218=0,0,PCF_Severity2[[#This Row],[Crash Count]]/$I$283)</f>
        <v>#REF!</v>
      </c>
      <c r="K218" t="e">
        <f ca="1">SUM(PCF_Severity2[[#This Row],[Severe Injury]:[Other Injury]])</f>
        <v>#REF!</v>
      </c>
      <c r="L218" s="69" t="e">
        <f ca="1">PCF_Severity2[[#This Row],[Crash Count2]]/$K$283</f>
        <v>#REF!</v>
      </c>
      <c r="M218" s="86" t="str">
        <f>VLOOKUP(PCF_Severity2[[#This Row],[Crash Event]],PCF_3[[#Headers],[#Data]],4,FALSE)</f>
        <v>Vegetation obscured view</v>
      </c>
      <c r="Q218" s="84"/>
    </row>
    <row r="219" spans="2:17" ht="30" x14ac:dyDescent="0.25">
      <c r="B219" t="s">
        <v>232</v>
      </c>
      <c r="C219" s="71" t="e">
        <f ca="1">SUM(COUNTIFS(INDIRECT("Collision!"&amp;Event!$C$3&amp;":"&amp;Event!$C$3),$B219,INDIRECT("Collision!"&amp;Severity!$C$3&amp;":"&amp;Severity!$C$3),C$148), COUNTIFS(INDIRECT("Collision!"&amp;Event!$G$3&amp;":"&amp;Event!$G$3),$B219,INDIRECT("Collision!"&amp;Severity!$C$3&amp;":"&amp;Severity!$C$3),C$148), COUNTIFS(INDIRECT("Collision!"&amp;Event!$G$4&amp;":"&amp;Event!$G$4),$B219,INDIRECT("Collision!"&amp;Severity!$C$3&amp;":"&amp;Severity!$C$3),C$148))</f>
        <v>#REF!</v>
      </c>
      <c r="D219" s="71" t="e">
        <f ca="1">SUM(COUNTIFS(INDIRECT("Collision!"&amp;Event!$C$3&amp;":"&amp;Event!$C$3),$B219,INDIRECT("Collision!"&amp;Severity!$C$3&amp;":"&amp;Severity!$C$3),D$148), COUNTIFS(INDIRECT("Collision!"&amp;Event!$G$3&amp;":"&amp;Event!$G$3),$B219,INDIRECT("Collision!"&amp;Severity!$C$3&amp;":"&amp;Severity!$C$3),D$148), COUNTIFS(INDIRECT("Collision!"&amp;Event!$G$4&amp;":"&amp;Event!$G$4),$B219,INDIRECT("Collision!"&amp;Severity!$C$3&amp;":"&amp;Severity!$C$3),D$148))</f>
        <v>#REF!</v>
      </c>
      <c r="E219" s="71" t="e">
        <f t="array" aca="1" ref="E219" ca="1">SUM(COUNTIFS(INDIRECT("Collision!"&amp;Event!$C$3&amp;":"&amp;Event!$C$3),$B219,INDIRECT("Collision!"&amp;Severity!$C$3&amp;":"&amp;Severity!$C$3),{"Moderate Injury","Minor Injury"}), COUNTIFS(INDIRECT("Collision!"&amp;Event!$G$3&amp;":"&amp;Event!$G$3),$B219,INDIRECT("Collision!"&amp;Severity!$C$3&amp;":"&amp;Severity!$C$3),{"Moderate Injury","Minor Injury"}), COUNTIFS(INDIRECT("Collision!"&amp;Event!$G$4&amp;":"&amp;Event!$G$4),$B219,INDIRECT("Collision!"&amp;Severity!$C$3&amp;":"&amp;Severity!$C$3),{"Moderate Injury","Minor Injury"}))</f>
        <v>#REF!</v>
      </c>
      <c r="F219" s="71" t="e">
        <f ca="1">SUM(COUNTIFS(INDIRECT("Collision!"&amp;Event!$C$3&amp;":"&amp;Event!$C$3),$B219,INDIRECT("Collision!"&amp;Severity!$C$3&amp;":"&amp;Severity!$C$3),F$148), COUNTIFS(INDIRECT("Collision!"&amp;Event!$G$3&amp;":"&amp;Event!$G$3),$B219,INDIRECT("Collision!"&amp;Severity!$C$3&amp;":"&amp;Severity!$C$3),F$148), COUNTIFS(INDIRECT("Collision!"&amp;Event!$G$4&amp;":"&amp;Event!$G$4),$B219,INDIRECT("Collision!"&amp;Severity!$C$3&amp;":"&amp;Severity!$C$3),F$148))</f>
        <v>#REF!</v>
      </c>
      <c r="G219" s="71" t="e">
        <f t="shared" ca="1" si="6"/>
        <v>#REF!</v>
      </c>
      <c r="H219" s="69" t="e">
        <f t="shared" ca="1" si="7"/>
        <v>#REF!</v>
      </c>
      <c r="I219" s="71" t="e">
        <f t="shared" ca="1" si="8"/>
        <v>#REF!</v>
      </c>
      <c r="J219" s="69" t="e">
        <f ca="1">IF(G219=0,0,PCF_Severity2[[#This Row],[Crash Count]]/$I$283)</f>
        <v>#REF!</v>
      </c>
      <c r="K219" t="e">
        <f ca="1">SUM(PCF_Severity2[[#This Row],[Severe Injury]:[Other Injury]])</f>
        <v>#REF!</v>
      </c>
      <c r="L219" s="69" t="e">
        <f ca="1">PCF_Severity2[[#This Row],[Crash Count2]]/$K$283</f>
        <v>#REF!</v>
      </c>
      <c r="M219" s="86" t="str">
        <f>VLOOKUP(PCF_Severity2[[#This Row],[Crash Event]],PCF_3[[#Headers],[#Data]],4,FALSE)</f>
        <v>View obscured by fence, sign, phone booth, etc.</v>
      </c>
      <c r="Q219" s="84"/>
    </row>
    <row r="220" spans="2:17" ht="60" x14ac:dyDescent="0.25">
      <c r="B220" t="s">
        <v>242</v>
      </c>
      <c r="C220" s="71" t="e">
        <f ca="1">SUM(COUNTIFS(INDIRECT("Collision!"&amp;Event!$C$3&amp;":"&amp;Event!$C$3),$B220,INDIRECT("Collision!"&amp;Severity!$C$3&amp;":"&amp;Severity!$C$3),C$148), COUNTIFS(INDIRECT("Collision!"&amp;Event!$G$3&amp;":"&amp;Event!$G$3),$B220,INDIRECT("Collision!"&amp;Severity!$C$3&amp;":"&amp;Severity!$C$3),C$148), COUNTIFS(INDIRECT("Collision!"&amp;Event!$G$4&amp;":"&amp;Event!$G$4),$B220,INDIRECT("Collision!"&amp;Severity!$C$3&amp;":"&amp;Severity!$C$3),C$148))</f>
        <v>#REF!</v>
      </c>
      <c r="D220" s="71" t="e">
        <f ca="1">SUM(COUNTIFS(INDIRECT("Collision!"&amp;Event!$C$3&amp;":"&amp;Event!$C$3),$B220,INDIRECT("Collision!"&amp;Severity!$C$3&amp;":"&amp;Severity!$C$3),D$148), COUNTIFS(INDIRECT("Collision!"&amp;Event!$G$3&amp;":"&amp;Event!$G$3),$B220,INDIRECT("Collision!"&amp;Severity!$C$3&amp;":"&amp;Severity!$C$3),D$148), COUNTIFS(INDIRECT("Collision!"&amp;Event!$G$4&amp;":"&amp;Event!$G$4),$B220,INDIRECT("Collision!"&amp;Severity!$C$3&amp;":"&amp;Severity!$C$3),D$148))</f>
        <v>#REF!</v>
      </c>
      <c r="E220" s="71" t="e">
        <f t="array" aca="1" ref="E220" ca="1">SUM(COUNTIFS(INDIRECT("Collision!"&amp;Event!$C$3&amp;":"&amp;Event!$C$3),$B220,INDIRECT("Collision!"&amp;Severity!$C$3&amp;":"&amp;Severity!$C$3),{"Moderate Injury","Minor Injury"}), COUNTIFS(INDIRECT("Collision!"&amp;Event!$G$3&amp;":"&amp;Event!$G$3),$B220,INDIRECT("Collision!"&amp;Severity!$C$3&amp;":"&amp;Severity!$C$3),{"Moderate Injury","Minor Injury"}), COUNTIFS(INDIRECT("Collision!"&amp;Event!$G$4&amp;":"&amp;Event!$G$4),$B220,INDIRECT("Collision!"&amp;Severity!$C$3&amp;":"&amp;Severity!$C$3),{"Moderate Injury","Minor Injury"}))</f>
        <v>#REF!</v>
      </c>
      <c r="F220" s="71" t="e">
        <f ca="1">SUM(COUNTIFS(INDIRECT("Collision!"&amp;Event!$C$3&amp;":"&amp;Event!$C$3),$B220,INDIRECT("Collision!"&amp;Severity!$C$3&amp;":"&amp;Severity!$C$3),F$148), COUNTIFS(INDIRECT("Collision!"&amp;Event!$G$3&amp;":"&amp;Event!$G$3),$B220,INDIRECT("Collision!"&amp;Severity!$C$3&amp;":"&amp;Severity!$C$3),F$148), COUNTIFS(INDIRECT("Collision!"&amp;Event!$G$4&amp;":"&amp;Event!$G$4),$B220,INDIRECT("Collision!"&amp;Severity!$C$3&amp;":"&amp;Severity!$C$3),F$148))</f>
        <v>#REF!</v>
      </c>
      <c r="G220" s="71" t="e">
        <f t="shared" ca="1" si="6"/>
        <v>#REF!</v>
      </c>
      <c r="H220" s="69" t="e">
        <f t="shared" ca="1" si="7"/>
        <v>#REF!</v>
      </c>
      <c r="I220" s="71" t="e">
        <f t="shared" ca="1" si="8"/>
        <v>#REF!</v>
      </c>
      <c r="J220" s="69" t="e">
        <f ca="1">IF(G220=0,0,PCF_Severity2[[#This Row],[Crash Count]]/$I$283)</f>
        <v>#REF!</v>
      </c>
      <c r="K220" t="e">
        <f ca="1">SUM(PCF_Severity2[[#This Row],[Severe Injury]:[Other Injury]])</f>
        <v>#REF!</v>
      </c>
      <c r="L220" s="69" t="e">
        <f ca="1">PCF_Severity2[[#This Row],[Crash Count2]]/$K$283</f>
        <v>#REF!</v>
      </c>
      <c r="M220" s="86" t="str">
        <f>VLOOKUP(PCF_Severity2[[#This Row],[Crash Event]],PCF_3[[#Headers],[#Data]],4,FALSE)</f>
        <v>Police report indicates teenage driver of an involved vehicle was in violation of graduated license program</v>
      </c>
      <c r="Q220" s="84"/>
    </row>
    <row r="221" spans="2:17" x14ac:dyDescent="0.25">
      <c r="B221" t="s">
        <v>244</v>
      </c>
      <c r="C221" s="71" t="e">
        <f ca="1">SUM(COUNTIFS(INDIRECT("Collision!"&amp;Event!$C$3&amp;":"&amp;Event!$C$3),$B221,INDIRECT("Collision!"&amp;Severity!$C$3&amp;":"&amp;Severity!$C$3),C$148), COUNTIFS(INDIRECT("Collision!"&amp;Event!$G$3&amp;":"&amp;Event!$G$3),$B221,INDIRECT("Collision!"&amp;Severity!$C$3&amp;":"&amp;Severity!$C$3),C$148), COUNTIFS(INDIRECT("Collision!"&amp;Event!$G$4&amp;":"&amp;Event!$G$4),$B221,INDIRECT("Collision!"&amp;Severity!$C$3&amp;":"&amp;Severity!$C$3),C$148))</f>
        <v>#REF!</v>
      </c>
      <c r="D221" s="71" t="e">
        <f ca="1">SUM(COUNTIFS(INDIRECT("Collision!"&amp;Event!$C$3&amp;":"&amp;Event!$C$3),$B221,INDIRECT("Collision!"&amp;Severity!$C$3&amp;":"&amp;Severity!$C$3),D$148), COUNTIFS(INDIRECT("Collision!"&amp;Event!$G$3&amp;":"&amp;Event!$G$3),$B221,INDIRECT("Collision!"&amp;Severity!$C$3&amp;":"&amp;Severity!$C$3),D$148), COUNTIFS(INDIRECT("Collision!"&amp;Event!$G$4&amp;":"&amp;Event!$G$4),$B221,INDIRECT("Collision!"&amp;Severity!$C$3&amp;":"&amp;Severity!$C$3),D$148))</f>
        <v>#REF!</v>
      </c>
      <c r="E221" s="71" t="e">
        <f t="array" aca="1" ref="E221" ca="1">SUM(COUNTIFS(INDIRECT("Collision!"&amp;Event!$C$3&amp;":"&amp;Event!$C$3),$B221,INDIRECT("Collision!"&amp;Severity!$C$3&amp;":"&amp;Severity!$C$3),{"Moderate Injury","Minor Injury"}), COUNTIFS(INDIRECT("Collision!"&amp;Event!$G$3&amp;":"&amp;Event!$G$3),$B221,INDIRECT("Collision!"&amp;Severity!$C$3&amp;":"&amp;Severity!$C$3),{"Moderate Injury","Minor Injury"}), COUNTIFS(INDIRECT("Collision!"&amp;Event!$G$4&amp;":"&amp;Event!$G$4),$B221,INDIRECT("Collision!"&amp;Severity!$C$3&amp;":"&amp;Severity!$C$3),{"Moderate Injury","Minor Injury"}))</f>
        <v>#REF!</v>
      </c>
      <c r="F221" s="71" t="e">
        <f ca="1">SUM(COUNTIFS(INDIRECT("Collision!"&amp;Event!$C$3&amp;":"&amp;Event!$C$3),$B221,INDIRECT("Collision!"&amp;Severity!$C$3&amp;":"&amp;Severity!$C$3),F$148), COUNTIFS(INDIRECT("Collision!"&amp;Event!$G$3&amp;":"&amp;Event!$G$3),$B221,INDIRECT("Collision!"&amp;Severity!$C$3&amp;":"&amp;Severity!$C$3),F$148), COUNTIFS(INDIRECT("Collision!"&amp;Event!$G$4&amp;":"&amp;Event!$G$4),$B221,INDIRECT("Collision!"&amp;Severity!$C$3&amp;":"&amp;Severity!$C$3),F$148))</f>
        <v>#REF!</v>
      </c>
      <c r="G221" s="71" t="e">
        <f t="shared" ca="1" si="6"/>
        <v>#REF!</v>
      </c>
      <c r="H221" s="69" t="e">
        <f t="shared" ca="1" si="7"/>
        <v>#REF!</v>
      </c>
      <c r="I221" s="71" t="e">
        <f t="shared" ca="1" si="8"/>
        <v>#REF!</v>
      </c>
      <c r="J221" s="69" t="e">
        <f ca="1">IF(G221=0,0,PCF_Severity2[[#This Row],[Crash Count]]/$I$283)</f>
        <v>#REF!</v>
      </c>
      <c r="K221" t="e">
        <f ca="1">SUM(PCF_Severity2[[#This Row],[Severe Injury]:[Other Injury]])</f>
        <v>#REF!</v>
      </c>
      <c r="L221" s="69" t="e">
        <f ca="1">PCF_Severity2[[#This Row],[Crash Count2]]/$K$283</f>
        <v>#REF!</v>
      </c>
      <c r="M221" s="86" t="str">
        <f>VLOOKUP(PCF_Severity2[[#This Row],[Crash Event]],PCF_3[[#Headers],[#Data]],4,FALSE)</f>
        <v>Berm (Earthen or gravel mound)</v>
      </c>
      <c r="Q221" s="84"/>
    </row>
    <row r="222" spans="2:17" ht="30" x14ac:dyDescent="0.25">
      <c r="B222" t="s">
        <v>249</v>
      </c>
      <c r="C222" s="71" t="e">
        <f ca="1">SUM(COUNTIFS(INDIRECT("Collision!"&amp;Event!$C$3&amp;":"&amp;Event!$C$3),$B222,INDIRECT("Collision!"&amp;Severity!$C$3&amp;":"&amp;Severity!$C$3),C$148), COUNTIFS(INDIRECT("Collision!"&amp;Event!$G$3&amp;":"&amp;Event!$G$3),$B222,INDIRECT("Collision!"&amp;Severity!$C$3&amp;":"&amp;Severity!$C$3),C$148), COUNTIFS(INDIRECT("Collision!"&amp;Event!$G$4&amp;":"&amp;Event!$G$4),$B222,INDIRECT("Collision!"&amp;Severity!$C$3&amp;":"&amp;Severity!$C$3),C$148))</f>
        <v>#REF!</v>
      </c>
      <c r="D222" s="71" t="e">
        <f ca="1">SUM(COUNTIFS(INDIRECT("Collision!"&amp;Event!$C$3&amp;":"&amp;Event!$C$3),$B222,INDIRECT("Collision!"&amp;Severity!$C$3&amp;":"&amp;Severity!$C$3),D$148), COUNTIFS(INDIRECT("Collision!"&amp;Event!$G$3&amp;":"&amp;Event!$G$3),$B222,INDIRECT("Collision!"&amp;Severity!$C$3&amp;":"&amp;Severity!$C$3),D$148), COUNTIFS(INDIRECT("Collision!"&amp;Event!$G$4&amp;":"&amp;Event!$G$4),$B222,INDIRECT("Collision!"&amp;Severity!$C$3&amp;":"&amp;Severity!$C$3),D$148))</f>
        <v>#REF!</v>
      </c>
      <c r="E222" s="71" t="e">
        <f t="array" aca="1" ref="E222" ca="1">SUM(COUNTIFS(INDIRECT("Collision!"&amp;Event!$C$3&amp;":"&amp;Event!$C$3),$B222,INDIRECT("Collision!"&amp;Severity!$C$3&amp;":"&amp;Severity!$C$3),{"Moderate Injury","Minor Injury"}), COUNTIFS(INDIRECT("Collision!"&amp;Event!$G$3&amp;":"&amp;Event!$G$3),$B222,INDIRECT("Collision!"&amp;Severity!$C$3&amp;":"&amp;Severity!$C$3),{"Moderate Injury","Minor Injury"}), COUNTIFS(INDIRECT("Collision!"&amp;Event!$G$4&amp;":"&amp;Event!$G$4),$B222,INDIRECT("Collision!"&amp;Severity!$C$3&amp;":"&amp;Severity!$C$3),{"Moderate Injury","Minor Injury"}))</f>
        <v>#REF!</v>
      </c>
      <c r="F222" s="71" t="e">
        <f ca="1">SUM(COUNTIFS(INDIRECT("Collision!"&amp;Event!$C$3&amp;":"&amp;Event!$C$3),$B222,INDIRECT("Collision!"&amp;Severity!$C$3&amp;":"&amp;Severity!$C$3),F$148), COUNTIFS(INDIRECT("Collision!"&amp;Event!$G$3&amp;":"&amp;Event!$G$3),$B222,INDIRECT("Collision!"&amp;Severity!$C$3&amp;":"&amp;Severity!$C$3),F$148), COUNTIFS(INDIRECT("Collision!"&amp;Event!$G$4&amp;":"&amp;Event!$G$4),$B222,INDIRECT("Collision!"&amp;Severity!$C$3&amp;":"&amp;Severity!$C$3),F$148))</f>
        <v>#REF!</v>
      </c>
      <c r="G222" s="71" t="e">
        <f t="shared" ca="1" si="6"/>
        <v>#REF!</v>
      </c>
      <c r="H222" s="69" t="e">
        <f t="shared" ca="1" si="7"/>
        <v>#REF!</v>
      </c>
      <c r="I222" s="71" t="e">
        <f t="shared" ca="1" si="8"/>
        <v>#REF!</v>
      </c>
      <c r="J222" s="69" t="e">
        <f ca="1">IF(G222=0,0,PCF_Severity2[[#This Row],[Crash Count]]/$I$283)</f>
        <v>#REF!</v>
      </c>
      <c r="K222" t="e">
        <f ca="1">SUM(PCF_Severity2[[#This Row],[Severe Injury]:[Other Injury]])</f>
        <v>#REF!</v>
      </c>
      <c r="L222" s="69" t="e">
        <f ca="1">PCF_Severity2[[#This Row],[Crash Count2]]/$K$283</f>
        <v>#REF!</v>
      </c>
      <c r="M222" s="86" t="str">
        <f>VLOOKUP(PCF_Severity2[[#This Row],[Crash Event]],PCF_3[[#Headers],[#Data]],4,FALSE)</f>
        <v>Non-Fixed object, other or unknown type</v>
      </c>
      <c r="Q222" s="84"/>
    </row>
    <row r="223" spans="2:17" x14ac:dyDescent="0.25">
      <c r="B223" t="s">
        <v>251</v>
      </c>
      <c r="C223" s="71" t="e">
        <f ca="1">SUM(COUNTIFS(INDIRECT("Collision!"&amp;Event!$C$3&amp;":"&amp;Event!$C$3),$B223,INDIRECT("Collision!"&amp;Severity!$C$3&amp;":"&amp;Severity!$C$3),C$148), COUNTIFS(INDIRECT("Collision!"&amp;Event!$G$3&amp;":"&amp;Event!$G$3),$B223,INDIRECT("Collision!"&amp;Severity!$C$3&amp;":"&amp;Severity!$C$3),C$148), COUNTIFS(INDIRECT("Collision!"&amp;Event!$G$4&amp;":"&amp;Event!$G$4),$B223,INDIRECT("Collision!"&amp;Severity!$C$3&amp;":"&amp;Severity!$C$3),C$148))</f>
        <v>#REF!</v>
      </c>
      <c r="D223" s="71" t="e">
        <f ca="1">SUM(COUNTIFS(INDIRECT("Collision!"&amp;Event!$C$3&amp;":"&amp;Event!$C$3),$B223,INDIRECT("Collision!"&amp;Severity!$C$3&amp;":"&amp;Severity!$C$3),D$148), COUNTIFS(INDIRECT("Collision!"&amp;Event!$G$3&amp;":"&amp;Event!$G$3),$B223,INDIRECT("Collision!"&amp;Severity!$C$3&amp;":"&amp;Severity!$C$3),D$148), COUNTIFS(INDIRECT("Collision!"&amp;Event!$G$4&amp;":"&amp;Event!$G$4),$B223,INDIRECT("Collision!"&amp;Severity!$C$3&amp;":"&amp;Severity!$C$3),D$148))</f>
        <v>#REF!</v>
      </c>
      <c r="E223" s="71" t="e">
        <f t="array" aca="1" ref="E223" ca="1">SUM(COUNTIFS(INDIRECT("Collision!"&amp;Event!$C$3&amp;":"&amp;Event!$C$3),$B223,INDIRECT("Collision!"&amp;Severity!$C$3&amp;":"&amp;Severity!$C$3),{"Moderate Injury","Minor Injury"}), COUNTIFS(INDIRECT("Collision!"&amp;Event!$G$3&amp;":"&amp;Event!$G$3),$B223,INDIRECT("Collision!"&amp;Severity!$C$3&amp;":"&amp;Severity!$C$3),{"Moderate Injury","Minor Injury"}), COUNTIFS(INDIRECT("Collision!"&amp;Event!$G$4&amp;":"&amp;Event!$G$4),$B223,INDIRECT("Collision!"&amp;Severity!$C$3&amp;":"&amp;Severity!$C$3),{"Moderate Injury","Minor Injury"}))</f>
        <v>#REF!</v>
      </c>
      <c r="F223" s="71" t="e">
        <f ca="1">SUM(COUNTIFS(INDIRECT("Collision!"&amp;Event!$C$3&amp;":"&amp;Event!$C$3),$B223,INDIRECT("Collision!"&amp;Severity!$C$3&amp;":"&amp;Severity!$C$3),F$148), COUNTIFS(INDIRECT("Collision!"&amp;Event!$G$3&amp;":"&amp;Event!$G$3),$B223,INDIRECT("Collision!"&amp;Severity!$C$3&amp;":"&amp;Severity!$C$3),F$148), COUNTIFS(INDIRECT("Collision!"&amp;Event!$G$4&amp;":"&amp;Event!$G$4),$B223,INDIRECT("Collision!"&amp;Severity!$C$3&amp;":"&amp;Severity!$C$3),F$148))</f>
        <v>#REF!</v>
      </c>
      <c r="G223" s="71" t="e">
        <f t="shared" ca="1" si="6"/>
        <v>#REF!</v>
      </c>
      <c r="H223" s="69" t="e">
        <f t="shared" ca="1" si="7"/>
        <v>#REF!</v>
      </c>
      <c r="I223" s="71" t="e">
        <f t="shared" ca="1" si="8"/>
        <v>#REF!</v>
      </c>
      <c r="J223" s="69" t="e">
        <f ca="1">IF(G223=0,0,PCF_Severity2[[#This Row],[Crash Count]]/$I$283)</f>
        <v>#REF!</v>
      </c>
      <c r="K223" t="e">
        <f ca="1">SUM(PCF_Severity2[[#This Row],[Severe Injury]:[Other Injury]])</f>
        <v>#REF!</v>
      </c>
      <c r="L223" s="69" t="e">
        <f ca="1">PCF_Severity2[[#This Row],[Crash Count2]]/$K$283</f>
        <v>#REF!</v>
      </c>
      <c r="M223" s="86" t="str">
        <f>VLOOKUP(PCF_Severity2[[#This Row],[Crash Event]],PCF_3[[#Headers],[#Data]],4,FALSE)</f>
        <v>Work Zone Worker</v>
      </c>
      <c r="Q223" s="84"/>
    </row>
    <row r="224" spans="2:17" ht="30" x14ac:dyDescent="0.25">
      <c r="B224" t="s">
        <v>263</v>
      </c>
      <c r="C224" s="71" t="e">
        <f ca="1">SUM(COUNTIFS(INDIRECT("Collision!"&amp;Event!$C$3&amp;":"&amp;Event!$C$3),$B224,INDIRECT("Collision!"&amp;Severity!$C$3&amp;":"&amp;Severity!$C$3),C$148), COUNTIFS(INDIRECT("Collision!"&amp;Event!$G$3&amp;":"&amp;Event!$G$3),$B224,INDIRECT("Collision!"&amp;Severity!$C$3&amp;":"&amp;Severity!$C$3),C$148), COUNTIFS(INDIRECT("Collision!"&amp;Event!$G$4&amp;":"&amp;Event!$G$4),$B224,INDIRECT("Collision!"&amp;Severity!$C$3&amp;":"&amp;Severity!$C$3),C$148))</f>
        <v>#REF!</v>
      </c>
      <c r="D224" s="71" t="e">
        <f ca="1">SUM(COUNTIFS(INDIRECT("Collision!"&amp;Event!$C$3&amp;":"&amp;Event!$C$3),$B224,INDIRECT("Collision!"&amp;Severity!$C$3&amp;":"&amp;Severity!$C$3),D$148), COUNTIFS(INDIRECT("Collision!"&amp;Event!$G$3&amp;":"&amp;Event!$G$3),$B224,INDIRECT("Collision!"&amp;Severity!$C$3&amp;":"&amp;Severity!$C$3),D$148), COUNTIFS(INDIRECT("Collision!"&amp;Event!$G$4&amp;":"&amp;Event!$G$4),$B224,INDIRECT("Collision!"&amp;Severity!$C$3&amp;":"&amp;Severity!$C$3),D$148))</f>
        <v>#REF!</v>
      </c>
      <c r="E224" s="71" t="e">
        <f t="array" aca="1" ref="E224" ca="1">SUM(COUNTIFS(INDIRECT("Collision!"&amp;Event!$C$3&amp;":"&amp;Event!$C$3),$B224,INDIRECT("Collision!"&amp;Severity!$C$3&amp;":"&amp;Severity!$C$3),{"Moderate Injury","Minor Injury"}), COUNTIFS(INDIRECT("Collision!"&amp;Event!$G$3&amp;":"&amp;Event!$G$3),$B224,INDIRECT("Collision!"&amp;Severity!$C$3&amp;":"&amp;Severity!$C$3),{"Moderate Injury","Minor Injury"}), COUNTIFS(INDIRECT("Collision!"&amp;Event!$G$4&amp;":"&amp;Event!$G$4),$B224,INDIRECT("Collision!"&amp;Severity!$C$3&amp;":"&amp;Severity!$C$3),{"Moderate Injury","Minor Injury"}))</f>
        <v>#REF!</v>
      </c>
      <c r="F224" s="71" t="e">
        <f ca="1">SUM(COUNTIFS(INDIRECT("Collision!"&amp;Event!$C$3&amp;":"&amp;Event!$C$3),$B224,INDIRECT("Collision!"&amp;Severity!$C$3&amp;":"&amp;Severity!$C$3),F$148), COUNTIFS(INDIRECT("Collision!"&amp;Event!$G$3&amp;":"&amp;Event!$G$3),$B224,INDIRECT("Collision!"&amp;Severity!$C$3&amp;":"&amp;Severity!$C$3),F$148), COUNTIFS(INDIRECT("Collision!"&amp;Event!$G$4&amp;":"&amp;Event!$G$4),$B224,INDIRECT("Collision!"&amp;Severity!$C$3&amp;":"&amp;Severity!$C$3),F$148))</f>
        <v>#REF!</v>
      </c>
      <c r="G224" s="71" t="e">
        <f t="shared" ca="1" si="6"/>
        <v>#REF!</v>
      </c>
      <c r="H224" s="69" t="e">
        <f t="shared" ca="1" si="7"/>
        <v>#REF!</v>
      </c>
      <c r="I224" s="71" t="e">
        <f t="shared" ca="1" si="8"/>
        <v>#REF!</v>
      </c>
      <c r="J224" s="69" t="e">
        <f ca="1">IF(G224=0,0,PCF_Severity2[[#This Row],[Crash Count]]/$I$283)</f>
        <v>#REF!</v>
      </c>
      <c r="K224" t="e">
        <f ca="1">SUM(PCF_Severity2[[#This Row],[Severe Injury]:[Other Injury]])</f>
        <v>#REF!</v>
      </c>
      <c r="L224" s="69" t="e">
        <f ca="1">PCF_Severity2[[#This Row],[Crash Count2]]/$K$283</f>
        <v>#REF!</v>
      </c>
      <c r="M224" s="86" t="str">
        <f>VLOOKUP(PCF_Severity2[[#This Row],[Crash Event]],PCF_3[[#Headers],[#Data]],4,FALSE)</f>
        <v>Distracted by navigation system or GPS device</v>
      </c>
      <c r="Q224" s="84"/>
    </row>
    <row r="225" spans="2:17" ht="30" x14ac:dyDescent="0.25">
      <c r="B225" t="s">
        <v>170</v>
      </c>
      <c r="C225" s="71" t="e">
        <f ca="1">SUM(COUNTIFS(INDIRECT("Collision!"&amp;Event!$C$3&amp;":"&amp;Event!$C$3),$B225,INDIRECT("Collision!"&amp;Severity!$C$3&amp;":"&amp;Severity!$C$3),C$148), COUNTIFS(INDIRECT("Collision!"&amp;Event!$G$3&amp;":"&amp;Event!$G$3),$B225,INDIRECT("Collision!"&amp;Severity!$C$3&amp;":"&amp;Severity!$C$3),C$148), COUNTIFS(INDIRECT("Collision!"&amp;Event!$G$4&amp;":"&amp;Event!$G$4),$B225,INDIRECT("Collision!"&amp;Severity!$C$3&amp;":"&amp;Severity!$C$3),C$148))</f>
        <v>#REF!</v>
      </c>
      <c r="D225" s="71" t="e">
        <f ca="1">SUM(COUNTIFS(INDIRECT("Collision!"&amp;Event!$C$3&amp;":"&amp;Event!$C$3),$B225,INDIRECT("Collision!"&amp;Severity!$C$3&amp;":"&amp;Severity!$C$3),D$148), COUNTIFS(INDIRECT("Collision!"&amp;Event!$G$3&amp;":"&amp;Event!$G$3),$B225,INDIRECT("Collision!"&amp;Severity!$C$3&amp;":"&amp;Severity!$C$3),D$148), COUNTIFS(INDIRECT("Collision!"&amp;Event!$G$4&amp;":"&amp;Event!$G$4),$B225,INDIRECT("Collision!"&amp;Severity!$C$3&amp;":"&amp;Severity!$C$3),D$148))</f>
        <v>#REF!</v>
      </c>
      <c r="E225" s="71" t="e">
        <f t="array" aca="1" ref="E225" ca="1">SUM(COUNTIFS(INDIRECT("Collision!"&amp;Event!$C$3&amp;":"&amp;Event!$C$3),$B225,INDIRECT("Collision!"&amp;Severity!$C$3&amp;":"&amp;Severity!$C$3),{"Moderate Injury","Minor Injury"}), COUNTIFS(INDIRECT("Collision!"&amp;Event!$G$3&amp;":"&amp;Event!$G$3),$B225,INDIRECT("Collision!"&amp;Severity!$C$3&amp;":"&amp;Severity!$C$3),{"Moderate Injury","Minor Injury"}), COUNTIFS(INDIRECT("Collision!"&amp;Event!$G$4&amp;":"&amp;Event!$G$4),$B225,INDIRECT("Collision!"&amp;Severity!$C$3&amp;":"&amp;Severity!$C$3),{"Moderate Injury","Minor Injury"}))</f>
        <v>#REF!</v>
      </c>
      <c r="F225" s="71" t="e">
        <f ca="1">SUM(COUNTIFS(INDIRECT("Collision!"&amp;Event!$C$3&amp;":"&amp;Event!$C$3),$B225,INDIRECT("Collision!"&amp;Severity!$C$3&amp;":"&amp;Severity!$C$3),F$148), COUNTIFS(INDIRECT("Collision!"&amp;Event!$G$3&amp;":"&amp;Event!$G$3),$B225,INDIRECT("Collision!"&amp;Severity!$C$3&amp;":"&amp;Severity!$C$3),F$148), COUNTIFS(INDIRECT("Collision!"&amp;Event!$G$4&amp;":"&amp;Event!$G$4),$B225,INDIRECT("Collision!"&amp;Severity!$C$3&amp;":"&amp;Severity!$C$3),F$148))</f>
        <v>#REF!</v>
      </c>
      <c r="G225" s="71" t="e">
        <f t="shared" ca="1" si="6"/>
        <v>#REF!</v>
      </c>
      <c r="H225" s="69" t="e">
        <f t="shared" ca="1" si="7"/>
        <v>#REF!</v>
      </c>
      <c r="I225" s="71" t="e">
        <f t="shared" ca="1" si="8"/>
        <v>#REF!</v>
      </c>
      <c r="J225" s="69" t="e">
        <f ca="1">IF(G225=0,0,PCF_Severity2[[#This Row],[Crash Count]]/$I$283)</f>
        <v>#REF!</v>
      </c>
      <c r="K225" t="e">
        <f ca="1">SUM(PCF_Severity2[[#This Row],[Severe Injury]:[Other Injury]])</f>
        <v>#REF!</v>
      </c>
      <c r="L225" s="69" t="e">
        <f ca="1">PCF_Severity2[[#This Row],[Crash Count2]]/$K$283</f>
        <v>#REF!</v>
      </c>
      <c r="M225" s="86" t="str">
        <f>VLOOKUP(PCF_Severity2[[#This Row],[Crash Event]],PCF_3[[#Headers],[#Data]],4,FALSE)</f>
        <v>Jackknife: trailer or towed vehicle struck towing vehicle</v>
      </c>
      <c r="Q225" s="84"/>
    </row>
    <row r="226" spans="2:17" x14ac:dyDescent="0.25">
      <c r="B226" t="s">
        <v>172</v>
      </c>
      <c r="C226" s="71" t="e">
        <f ca="1">SUM(COUNTIFS(INDIRECT("Collision!"&amp;Event!$C$3&amp;":"&amp;Event!$C$3),$B226,INDIRECT("Collision!"&amp;Severity!$C$3&amp;":"&amp;Severity!$C$3),C$148), COUNTIFS(INDIRECT("Collision!"&amp;Event!$G$3&amp;":"&amp;Event!$G$3),$B226,INDIRECT("Collision!"&amp;Severity!$C$3&amp;":"&amp;Severity!$C$3),C$148), COUNTIFS(INDIRECT("Collision!"&amp;Event!$G$4&amp;":"&amp;Event!$G$4),$B226,INDIRECT("Collision!"&amp;Severity!$C$3&amp;":"&amp;Severity!$C$3),C$148))</f>
        <v>#REF!</v>
      </c>
      <c r="D226" s="71" t="e">
        <f ca="1">SUM(COUNTIFS(INDIRECT("Collision!"&amp;Event!$C$3&amp;":"&amp;Event!$C$3),$B226,INDIRECT("Collision!"&amp;Severity!$C$3&amp;":"&amp;Severity!$C$3),D$148), COUNTIFS(INDIRECT("Collision!"&amp;Event!$G$3&amp;":"&amp;Event!$G$3),$B226,INDIRECT("Collision!"&amp;Severity!$C$3&amp;":"&amp;Severity!$C$3),D$148), COUNTIFS(INDIRECT("Collision!"&amp;Event!$G$4&amp;":"&amp;Event!$G$4),$B226,INDIRECT("Collision!"&amp;Severity!$C$3&amp;":"&amp;Severity!$C$3),D$148))</f>
        <v>#REF!</v>
      </c>
      <c r="E226" s="71" t="e">
        <f t="array" aca="1" ref="E226" ca="1">SUM(COUNTIFS(INDIRECT("Collision!"&amp;Event!$C$3&amp;":"&amp;Event!$C$3),$B226,INDIRECT("Collision!"&amp;Severity!$C$3&amp;":"&amp;Severity!$C$3),{"Moderate Injury","Minor Injury"}), COUNTIFS(INDIRECT("Collision!"&amp;Event!$G$3&amp;":"&amp;Event!$G$3),$B226,INDIRECT("Collision!"&amp;Severity!$C$3&amp;":"&amp;Severity!$C$3),{"Moderate Injury","Minor Injury"}), COUNTIFS(INDIRECT("Collision!"&amp;Event!$G$4&amp;":"&amp;Event!$G$4),$B226,INDIRECT("Collision!"&amp;Severity!$C$3&amp;":"&amp;Severity!$C$3),{"Moderate Injury","Minor Injury"}))</f>
        <v>#REF!</v>
      </c>
      <c r="F226" s="71" t="e">
        <f ca="1">SUM(COUNTIFS(INDIRECT("Collision!"&amp;Event!$C$3&amp;":"&amp;Event!$C$3),$B226,INDIRECT("Collision!"&amp;Severity!$C$3&amp;":"&amp;Severity!$C$3),F$148), COUNTIFS(INDIRECT("Collision!"&amp;Event!$G$3&amp;":"&amp;Event!$G$3),$B226,INDIRECT("Collision!"&amp;Severity!$C$3&amp;":"&amp;Severity!$C$3),F$148), COUNTIFS(INDIRECT("Collision!"&amp;Event!$G$4&amp;":"&amp;Event!$G$4),$B226,INDIRECT("Collision!"&amp;Severity!$C$3&amp;":"&amp;Severity!$C$3),F$148))</f>
        <v>#REF!</v>
      </c>
      <c r="G226" s="71" t="e">
        <f t="shared" ca="1" si="6"/>
        <v>#REF!</v>
      </c>
      <c r="H226" s="69" t="e">
        <f t="shared" ca="1" si="7"/>
        <v>#REF!</v>
      </c>
      <c r="I226" s="71" t="e">
        <f t="shared" ca="1" si="8"/>
        <v>#REF!</v>
      </c>
      <c r="J226" s="82" t="e">
        <f ca="1">IF(G226=0,0,PCF_Severity2[[#This Row],[Crash Count]]/$I$283)</f>
        <v>#REF!</v>
      </c>
      <c r="K226" t="e">
        <f ca="1">SUM(PCF_Severity2[[#This Row],[Severe Injury]:[Other Injury]])</f>
        <v>#REF!</v>
      </c>
      <c r="L226" s="69" t="e">
        <f ca="1">PCF_Severity2[[#This Row],[Crash Count2]]/$K$283</f>
        <v>#REF!</v>
      </c>
      <c r="M226" s="86" t="str">
        <f>VLOOKUP(PCF_Severity2[[#This Row],[Crash Event]],PCF_3[[#Headers],[#Data]],4,FALSE)</f>
        <v>Trailer connection broke</v>
      </c>
      <c r="Q226" s="84"/>
    </row>
    <row r="227" spans="2:17" ht="30" x14ac:dyDescent="0.25">
      <c r="B227" t="s">
        <v>174</v>
      </c>
      <c r="C227" s="71" t="e">
        <f ca="1">SUM(COUNTIFS(INDIRECT("Collision!"&amp;Event!$C$3&amp;":"&amp;Event!$C$3),$B227,INDIRECT("Collision!"&amp;Severity!$C$3&amp;":"&amp;Severity!$C$3),C$148), COUNTIFS(INDIRECT("Collision!"&amp;Event!$G$3&amp;":"&amp;Event!$G$3),$B227,INDIRECT("Collision!"&amp;Severity!$C$3&amp;":"&amp;Severity!$C$3),C$148), COUNTIFS(INDIRECT("Collision!"&amp;Event!$G$4&amp;":"&amp;Event!$G$4),$B227,INDIRECT("Collision!"&amp;Severity!$C$3&amp;":"&amp;Severity!$C$3),C$148))</f>
        <v>#REF!</v>
      </c>
      <c r="D227" s="71" t="e">
        <f ca="1">SUM(COUNTIFS(INDIRECT("Collision!"&amp;Event!$C$3&amp;":"&amp;Event!$C$3),$B227,INDIRECT("Collision!"&amp;Severity!$C$3&amp;":"&amp;Severity!$C$3),D$148), COUNTIFS(INDIRECT("Collision!"&amp;Event!$G$3&amp;":"&amp;Event!$G$3),$B227,INDIRECT("Collision!"&amp;Severity!$C$3&amp;":"&amp;Severity!$C$3),D$148), COUNTIFS(INDIRECT("Collision!"&amp;Event!$G$4&amp;":"&amp;Event!$G$4),$B227,INDIRECT("Collision!"&amp;Severity!$C$3&amp;":"&amp;Severity!$C$3),D$148))</f>
        <v>#REF!</v>
      </c>
      <c r="E227" s="71" t="e">
        <f t="array" aca="1" ref="E227" ca="1">SUM(COUNTIFS(INDIRECT("Collision!"&amp;Event!$C$3&amp;":"&amp;Event!$C$3),$B227,INDIRECT("Collision!"&amp;Severity!$C$3&amp;":"&amp;Severity!$C$3),{"Moderate Injury","Minor Injury"}), COUNTIFS(INDIRECT("Collision!"&amp;Event!$G$3&amp;":"&amp;Event!$G$3),$B227,INDIRECT("Collision!"&amp;Severity!$C$3&amp;":"&amp;Severity!$C$3),{"Moderate Injury","Minor Injury"}), COUNTIFS(INDIRECT("Collision!"&amp;Event!$G$4&amp;":"&amp;Event!$G$4),$B227,INDIRECT("Collision!"&amp;Severity!$C$3&amp;":"&amp;Severity!$C$3),{"Moderate Injury","Minor Injury"}))</f>
        <v>#REF!</v>
      </c>
      <c r="F227" s="71" t="e">
        <f ca="1">SUM(COUNTIFS(INDIRECT("Collision!"&amp;Event!$C$3&amp;":"&amp;Event!$C$3),$B227,INDIRECT("Collision!"&amp;Severity!$C$3&amp;":"&amp;Severity!$C$3),F$148), COUNTIFS(INDIRECT("Collision!"&amp;Event!$G$3&amp;":"&amp;Event!$G$3),$B227,INDIRECT("Collision!"&amp;Severity!$C$3&amp;":"&amp;Severity!$C$3),F$148), COUNTIFS(INDIRECT("Collision!"&amp;Event!$G$4&amp;":"&amp;Event!$G$4),$B227,INDIRECT("Collision!"&amp;Severity!$C$3&amp;":"&amp;Severity!$C$3),F$148))</f>
        <v>#REF!</v>
      </c>
      <c r="G227" s="71" t="e">
        <f t="shared" ca="1" si="6"/>
        <v>#REF!</v>
      </c>
      <c r="H227" s="69" t="e">
        <f t="shared" ca="1" si="7"/>
        <v>#REF!</v>
      </c>
      <c r="I227" s="71" t="e">
        <f t="shared" ca="1" si="8"/>
        <v>#REF!</v>
      </c>
      <c r="J227" s="82" t="e">
        <f ca="1">IF(G227=0,0,PCF_Severity2[[#This Row],[Crash Count]]/$I$283)</f>
        <v>#REF!</v>
      </c>
      <c r="K227" t="e">
        <f ca="1">SUM(PCF_Severity2[[#This Row],[Severe Injury]:[Other Injury]])</f>
        <v>#REF!</v>
      </c>
      <c r="L227" s="69" t="e">
        <f ca="1">PCF_Severity2[[#This Row],[Crash Count2]]/$K$283</f>
        <v>#REF!</v>
      </c>
      <c r="M227" s="86" t="str">
        <f>VLOOKUP(PCF_Severity2[[#This Row],[Crash Event]],PCF_3[[#Headers],[#Data]],4,FALSE)</f>
        <v>Vehicle door opened into adjacent traffic lane</v>
      </c>
      <c r="Q227" s="84"/>
    </row>
    <row r="228" spans="2:17" x14ac:dyDescent="0.25">
      <c r="B228" t="s">
        <v>192</v>
      </c>
      <c r="C228" s="71" t="e">
        <f ca="1">SUM(COUNTIFS(INDIRECT("Collision!"&amp;Event!$C$3&amp;":"&amp;Event!$C$3),$B228,INDIRECT("Collision!"&amp;Severity!$C$3&amp;":"&amp;Severity!$C$3),C$148), COUNTIFS(INDIRECT("Collision!"&amp;Event!$G$3&amp;":"&amp;Event!$G$3),$B228,INDIRECT("Collision!"&amp;Severity!$C$3&amp;":"&amp;Severity!$C$3),C$148), COUNTIFS(INDIRECT("Collision!"&amp;Event!$G$4&amp;":"&amp;Event!$G$4),$B228,INDIRECT("Collision!"&amp;Severity!$C$3&amp;":"&amp;Severity!$C$3),C$148))</f>
        <v>#REF!</v>
      </c>
      <c r="D228" s="71" t="e">
        <f ca="1">SUM(COUNTIFS(INDIRECT("Collision!"&amp;Event!$C$3&amp;":"&amp;Event!$C$3),$B228,INDIRECT("Collision!"&amp;Severity!$C$3&amp;":"&amp;Severity!$C$3),D$148), COUNTIFS(INDIRECT("Collision!"&amp;Event!$G$3&amp;":"&amp;Event!$G$3),$B228,INDIRECT("Collision!"&amp;Severity!$C$3&amp;":"&amp;Severity!$C$3),D$148), COUNTIFS(INDIRECT("Collision!"&amp;Event!$G$4&amp;":"&amp;Event!$G$4),$B228,INDIRECT("Collision!"&amp;Severity!$C$3&amp;":"&amp;Severity!$C$3),D$148))</f>
        <v>#REF!</v>
      </c>
      <c r="E228" s="71" t="e">
        <f t="array" aca="1" ref="E228" ca="1">SUM(COUNTIFS(INDIRECT("Collision!"&amp;Event!$C$3&amp;":"&amp;Event!$C$3),$B228,INDIRECT("Collision!"&amp;Severity!$C$3&amp;":"&amp;Severity!$C$3),{"Moderate Injury","Minor Injury"}), COUNTIFS(INDIRECT("Collision!"&amp;Event!$G$3&amp;":"&amp;Event!$G$3),$B228,INDIRECT("Collision!"&amp;Severity!$C$3&amp;":"&amp;Severity!$C$3),{"Moderate Injury","Minor Injury"}), COUNTIFS(INDIRECT("Collision!"&amp;Event!$G$4&amp;":"&amp;Event!$G$4),$B228,INDIRECT("Collision!"&amp;Severity!$C$3&amp;":"&amp;Severity!$C$3),{"Moderate Injury","Minor Injury"}))</f>
        <v>#REF!</v>
      </c>
      <c r="F228" s="71" t="e">
        <f ca="1">SUM(COUNTIFS(INDIRECT("Collision!"&amp;Event!$C$3&amp;":"&amp;Event!$C$3),$B228,INDIRECT("Collision!"&amp;Severity!$C$3&amp;":"&amp;Severity!$C$3),F$148), COUNTIFS(INDIRECT("Collision!"&amp;Event!$G$3&amp;":"&amp;Event!$G$3),$B228,INDIRECT("Collision!"&amp;Severity!$C$3&amp;":"&amp;Severity!$C$3),F$148), COUNTIFS(INDIRECT("Collision!"&amp;Event!$G$4&amp;":"&amp;Event!$G$4),$B228,INDIRECT("Collision!"&amp;Severity!$C$3&amp;":"&amp;Severity!$C$3),F$148))</f>
        <v>#REF!</v>
      </c>
      <c r="G228" s="71" t="e">
        <f t="shared" ca="1" si="6"/>
        <v>#REF!</v>
      </c>
      <c r="H228" s="69" t="e">
        <f t="shared" ca="1" si="7"/>
        <v>#REF!</v>
      </c>
      <c r="I228" s="71" t="e">
        <f t="shared" ca="1" si="8"/>
        <v>#REF!</v>
      </c>
      <c r="J228" s="69" t="e">
        <f ca="1">IF(G228=0,0,PCF_Severity2[[#This Row],[Crash Count]]/$I$283)</f>
        <v>#REF!</v>
      </c>
      <c r="K228" t="e">
        <f ca="1">SUM(PCF_Severity2[[#This Row],[Severe Injury]:[Other Injury]])</f>
        <v>#REF!</v>
      </c>
      <c r="L228" s="69" t="e">
        <f ca="1">PCF_Severity2[[#This Row],[Crash Count2]]/$K$283</f>
        <v>#REF!</v>
      </c>
      <c r="M228" s="86" t="str">
        <f>VLOOKUP(PCF_Severity2[[#This Row],[Crash Event]],PCF_3[[#Headers],[#Data]],4,FALSE)</f>
        <v>Median barrier (Raised or metal)</v>
      </c>
      <c r="Q228" s="84"/>
    </row>
    <row r="229" spans="2:17" ht="30" x14ac:dyDescent="0.25">
      <c r="B229" t="s">
        <v>226</v>
      </c>
      <c r="C229" s="71" t="e">
        <f ca="1">SUM(COUNTIFS(INDIRECT("Collision!"&amp;Event!$C$3&amp;":"&amp;Event!$C$3),$B229,INDIRECT("Collision!"&amp;Severity!$C$3&amp;":"&amp;Severity!$C$3),C$148), COUNTIFS(INDIRECT("Collision!"&amp;Event!$G$3&amp;":"&amp;Event!$G$3),$B229,INDIRECT("Collision!"&amp;Severity!$C$3&amp;":"&amp;Severity!$C$3),C$148), COUNTIFS(INDIRECT("Collision!"&amp;Event!$G$4&amp;":"&amp;Event!$G$4),$B229,INDIRECT("Collision!"&amp;Severity!$C$3&amp;":"&amp;Severity!$C$3),C$148))</f>
        <v>#REF!</v>
      </c>
      <c r="D229" s="71" t="e">
        <f ca="1">SUM(COUNTIFS(INDIRECT("Collision!"&amp;Event!$C$3&amp;":"&amp;Event!$C$3),$B229,INDIRECT("Collision!"&amp;Severity!$C$3&amp;":"&amp;Severity!$C$3),D$148), COUNTIFS(INDIRECT("Collision!"&amp;Event!$G$3&amp;":"&amp;Event!$G$3),$B229,INDIRECT("Collision!"&amp;Severity!$C$3&amp;":"&amp;Severity!$C$3),D$148), COUNTIFS(INDIRECT("Collision!"&amp;Event!$G$4&amp;":"&amp;Event!$G$4),$B229,INDIRECT("Collision!"&amp;Severity!$C$3&amp;":"&amp;Severity!$C$3),D$148))</f>
        <v>#REF!</v>
      </c>
      <c r="E229" s="71" t="e">
        <f t="array" aca="1" ref="E229" ca="1">SUM(COUNTIFS(INDIRECT("Collision!"&amp;Event!$C$3&amp;":"&amp;Event!$C$3),$B229,INDIRECT("Collision!"&amp;Severity!$C$3&amp;":"&amp;Severity!$C$3),{"Moderate Injury","Minor Injury"}), COUNTIFS(INDIRECT("Collision!"&amp;Event!$G$3&amp;":"&amp;Event!$G$3),$B229,INDIRECT("Collision!"&amp;Severity!$C$3&amp;":"&amp;Severity!$C$3),{"Moderate Injury","Minor Injury"}), COUNTIFS(INDIRECT("Collision!"&amp;Event!$G$4&amp;":"&amp;Event!$G$4),$B229,INDIRECT("Collision!"&amp;Severity!$C$3&amp;":"&amp;Severity!$C$3),{"Moderate Injury","Minor Injury"}))</f>
        <v>#REF!</v>
      </c>
      <c r="F229" s="71" t="e">
        <f ca="1">SUM(COUNTIFS(INDIRECT("Collision!"&amp;Event!$C$3&amp;":"&amp;Event!$C$3),$B229,INDIRECT("Collision!"&amp;Severity!$C$3&amp;":"&amp;Severity!$C$3),F$148), COUNTIFS(INDIRECT("Collision!"&amp;Event!$G$3&amp;":"&amp;Event!$G$3),$B229,INDIRECT("Collision!"&amp;Severity!$C$3&amp;":"&amp;Severity!$C$3),F$148), COUNTIFS(INDIRECT("Collision!"&amp;Event!$G$4&amp;":"&amp;Event!$G$4),$B229,INDIRECT("Collision!"&amp;Severity!$C$3&amp;":"&amp;Severity!$C$3),F$148))</f>
        <v>#REF!</v>
      </c>
      <c r="G229" s="71" t="e">
        <f t="shared" ca="1" si="6"/>
        <v>#REF!</v>
      </c>
      <c r="H229" s="69" t="e">
        <f t="shared" ca="1" si="7"/>
        <v>#REF!</v>
      </c>
      <c r="I229" s="71" t="e">
        <f t="shared" ca="1" si="8"/>
        <v>#REF!</v>
      </c>
      <c r="J229" s="69" t="e">
        <f ca="1">IF(G229=0,0,PCF_Severity2[[#This Row],[Crash Count]]/$I$283)</f>
        <v>#REF!</v>
      </c>
      <c r="K229" t="e">
        <f ca="1">SUM(PCF_Severity2[[#This Row],[Severe Injury]:[Other Injury]])</f>
        <v>#REF!</v>
      </c>
      <c r="L229" s="69" t="e">
        <f ca="1">PCF_Severity2[[#This Row],[Crash Count2]]/$K$283</f>
        <v>#REF!</v>
      </c>
      <c r="M229" s="86" t="str">
        <f>VLOOKUP(PCF_Severity2[[#This Row],[Crash Event]],PCF_3[[#Headers],[#Data]],4,FALSE)</f>
        <v>Low or high shoulder at pavement edge</v>
      </c>
      <c r="Q229" s="84"/>
    </row>
    <row r="230" spans="2:17" x14ac:dyDescent="0.25">
      <c r="B230" t="s">
        <v>239</v>
      </c>
      <c r="C230" s="71" t="e">
        <f ca="1">SUM(COUNTIFS(INDIRECT("Collision!"&amp;Event!$C$3&amp;":"&amp;Event!$C$3),$B230,INDIRECT("Collision!"&amp;Severity!$C$3&amp;":"&amp;Severity!$C$3),C$148), COUNTIFS(INDIRECT("Collision!"&amp;Event!$G$3&amp;":"&amp;Event!$G$3),$B230,INDIRECT("Collision!"&amp;Severity!$C$3&amp;":"&amp;Severity!$C$3),C$148), COUNTIFS(INDIRECT("Collision!"&amp;Event!$G$4&amp;":"&amp;Event!$G$4),$B230,INDIRECT("Collision!"&amp;Severity!$C$3&amp;":"&amp;Severity!$C$3),C$148))</f>
        <v>#REF!</v>
      </c>
      <c r="D230" s="71" t="e">
        <f ca="1">SUM(COUNTIFS(INDIRECT("Collision!"&amp;Event!$C$3&amp;":"&amp;Event!$C$3),$B230,INDIRECT("Collision!"&amp;Severity!$C$3&amp;":"&amp;Severity!$C$3),D$148), COUNTIFS(INDIRECT("Collision!"&amp;Event!$G$3&amp;":"&amp;Event!$G$3),$B230,INDIRECT("Collision!"&amp;Severity!$C$3&amp;":"&amp;Severity!$C$3),D$148), COUNTIFS(INDIRECT("Collision!"&amp;Event!$G$4&amp;":"&amp;Event!$G$4),$B230,INDIRECT("Collision!"&amp;Severity!$C$3&amp;":"&amp;Severity!$C$3),D$148))</f>
        <v>#REF!</v>
      </c>
      <c r="E230" s="71" t="e">
        <f t="array" aca="1" ref="E230" ca="1">SUM(COUNTIFS(INDIRECT("Collision!"&amp;Event!$C$3&amp;":"&amp;Event!$C$3),$B230,INDIRECT("Collision!"&amp;Severity!$C$3&amp;":"&amp;Severity!$C$3),{"Moderate Injury","Minor Injury"}), COUNTIFS(INDIRECT("Collision!"&amp;Event!$G$3&amp;":"&amp;Event!$G$3),$B230,INDIRECT("Collision!"&amp;Severity!$C$3&amp;":"&amp;Severity!$C$3),{"Moderate Injury","Minor Injury"}), COUNTIFS(INDIRECT("Collision!"&amp;Event!$G$4&amp;":"&amp;Event!$G$4),$B230,INDIRECT("Collision!"&amp;Severity!$C$3&amp;":"&amp;Severity!$C$3),{"Moderate Injury","Minor Injury"}))</f>
        <v>#REF!</v>
      </c>
      <c r="F230" s="71" t="e">
        <f ca="1">SUM(COUNTIFS(INDIRECT("Collision!"&amp;Event!$C$3&amp;":"&amp;Event!$C$3),$B230,INDIRECT("Collision!"&amp;Severity!$C$3&amp;":"&amp;Severity!$C$3),F$148), COUNTIFS(INDIRECT("Collision!"&amp;Event!$G$3&amp;":"&amp;Event!$G$3),$B230,INDIRECT("Collision!"&amp;Severity!$C$3&amp;":"&amp;Severity!$C$3),F$148), COUNTIFS(INDIRECT("Collision!"&amp;Event!$G$4&amp;":"&amp;Event!$G$4),$B230,INDIRECT("Collision!"&amp;Severity!$C$3&amp;":"&amp;Severity!$C$3),F$148))</f>
        <v>#REF!</v>
      </c>
      <c r="G230" s="71" t="e">
        <f t="shared" ca="1" si="6"/>
        <v>#REF!</v>
      </c>
      <c r="H230" s="69" t="e">
        <f t="shared" ca="1" si="7"/>
        <v>#REF!</v>
      </c>
      <c r="I230" s="71" t="e">
        <f t="shared" ca="1" si="8"/>
        <v>#REF!</v>
      </c>
      <c r="J230" s="69" t="e">
        <f ca="1">IF(G230=0,0,PCF_Severity2[[#This Row],[Crash Count]]/$I$283)</f>
        <v>#REF!</v>
      </c>
      <c r="K230" t="e">
        <f ca="1">SUM(PCF_Severity2[[#This Row],[Severe Injury]:[Other Injury]])</f>
        <v>#REF!</v>
      </c>
      <c r="L230" s="69" t="e">
        <f ca="1">PCF_Severity2[[#This Row],[Crash Count2]]/$K$283</f>
        <v>#REF!</v>
      </c>
      <c r="M230" s="86" t="str">
        <f>VLOOKUP(PCF_Severity2[[#This Row],[Crash Event]],PCF_3[[#Headers],[#Data]],4,FALSE)</f>
        <v>Building, other structure</v>
      </c>
      <c r="Q230" s="84"/>
    </row>
    <row r="231" spans="2:17" x14ac:dyDescent="0.25">
      <c r="B231" t="s">
        <v>243</v>
      </c>
      <c r="C231" s="71" t="e">
        <f ca="1">SUM(COUNTIFS(INDIRECT("Collision!"&amp;Event!$C$3&amp;":"&amp;Event!$C$3),$B231,INDIRECT("Collision!"&amp;Severity!$C$3&amp;":"&amp;Severity!$C$3),C$148), COUNTIFS(INDIRECT("Collision!"&amp;Event!$G$3&amp;":"&amp;Event!$G$3),$B231,INDIRECT("Collision!"&amp;Severity!$C$3&amp;":"&amp;Severity!$C$3),C$148), COUNTIFS(INDIRECT("Collision!"&amp;Event!$G$4&amp;":"&amp;Event!$G$4),$B231,INDIRECT("Collision!"&amp;Severity!$C$3&amp;":"&amp;Severity!$C$3),C$148))</f>
        <v>#REF!</v>
      </c>
      <c r="D231" s="71" t="e">
        <f ca="1">SUM(COUNTIFS(INDIRECT("Collision!"&amp;Event!$C$3&amp;":"&amp;Event!$C$3),$B231,INDIRECT("Collision!"&amp;Severity!$C$3&amp;":"&amp;Severity!$C$3),D$148), COUNTIFS(INDIRECT("Collision!"&amp;Event!$G$3&amp;":"&amp;Event!$G$3),$B231,INDIRECT("Collision!"&amp;Severity!$C$3&amp;":"&amp;Severity!$C$3),D$148), COUNTIFS(INDIRECT("Collision!"&amp;Event!$G$4&amp;":"&amp;Event!$G$4),$B231,INDIRECT("Collision!"&amp;Severity!$C$3&amp;":"&amp;Severity!$C$3),D$148))</f>
        <v>#REF!</v>
      </c>
      <c r="E231" s="71" t="e">
        <f t="array" aca="1" ref="E231" ca="1">SUM(COUNTIFS(INDIRECT("Collision!"&amp;Event!$C$3&amp;":"&amp;Event!$C$3),$B231,INDIRECT("Collision!"&amp;Severity!$C$3&amp;":"&amp;Severity!$C$3),{"Moderate Injury","Minor Injury"}), COUNTIFS(INDIRECT("Collision!"&amp;Event!$G$3&amp;":"&amp;Event!$G$3),$B231,INDIRECT("Collision!"&amp;Severity!$C$3&amp;":"&amp;Severity!$C$3),{"Moderate Injury","Minor Injury"}), COUNTIFS(INDIRECT("Collision!"&amp;Event!$G$4&amp;":"&amp;Event!$G$4),$B231,INDIRECT("Collision!"&amp;Severity!$C$3&amp;":"&amp;Severity!$C$3),{"Moderate Injury","Minor Injury"}))</f>
        <v>#REF!</v>
      </c>
      <c r="F231" s="71" t="e">
        <f ca="1">SUM(COUNTIFS(INDIRECT("Collision!"&amp;Event!$C$3&amp;":"&amp;Event!$C$3),$B231,INDIRECT("Collision!"&amp;Severity!$C$3&amp;":"&amp;Severity!$C$3),F$148), COUNTIFS(INDIRECT("Collision!"&amp;Event!$G$3&amp;":"&amp;Event!$G$3),$B231,INDIRECT("Collision!"&amp;Severity!$C$3&amp;":"&amp;Severity!$C$3),F$148), COUNTIFS(INDIRECT("Collision!"&amp;Event!$G$4&amp;":"&amp;Event!$G$4),$B231,INDIRECT("Collision!"&amp;Severity!$C$3&amp;":"&amp;Severity!$C$3),F$148))</f>
        <v>#REF!</v>
      </c>
      <c r="G231" s="71" t="e">
        <f t="shared" ca="1" si="6"/>
        <v>#REF!</v>
      </c>
      <c r="H231" s="69" t="e">
        <f t="shared" ca="1" si="7"/>
        <v>#REF!</v>
      </c>
      <c r="I231" s="71" t="e">
        <f t="shared" ca="1" si="8"/>
        <v>#REF!</v>
      </c>
      <c r="J231" s="69" t="e">
        <f ca="1">IF(G231=0,0,PCF_Severity2[[#This Row],[Crash Count]]/$I$283)</f>
        <v>#REF!</v>
      </c>
      <c r="K231" t="e">
        <f ca="1">SUM(PCF_Severity2[[#This Row],[Severe Injury]:[Other Injury]])</f>
        <v>#REF!</v>
      </c>
      <c r="L231" s="69" t="e">
        <f ca="1">PCF_Severity2[[#This Row],[Crash Count2]]/$K$283</f>
        <v>#REF!</v>
      </c>
      <c r="M231" s="86" t="str">
        <f>VLOOKUP(PCF_Severity2[[#This Row],[Crash Event]],PCF_3[[#Headers],[#Data]],4,FALSE)</f>
        <v>*Guy wire</v>
      </c>
      <c r="Q231" s="84"/>
    </row>
    <row r="232" spans="2:17" x14ac:dyDescent="0.25">
      <c r="B232" t="s">
        <v>255</v>
      </c>
      <c r="C232" s="71" t="e">
        <f ca="1">SUM(COUNTIFS(INDIRECT("Collision!"&amp;Event!$C$3&amp;":"&amp;Event!$C$3),$B232,INDIRECT("Collision!"&amp;Severity!$C$3&amp;":"&amp;Severity!$C$3),C$148), COUNTIFS(INDIRECT("Collision!"&amp;Event!$G$3&amp;":"&amp;Event!$G$3),$B232,INDIRECT("Collision!"&amp;Severity!$C$3&amp;":"&amp;Severity!$C$3),C$148), COUNTIFS(INDIRECT("Collision!"&amp;Event!$G$4&amp;":"&amp;Event!$G$4),$B232,INDIRECT("Collision!"&amp;Severity!$C$3&amp;":"&amp;Severity!$C$3),C$148))</f>
        <v>#REF!</v>
      </c>
      <c r="D232" s="71" t="e">
        <f ca="1">SUM(COUNTIFS(INDIRECT("Collision!"&amp;Event!$C$3&amp;":"&amp;Event!$C$3),$B232,INDIRECT("Collision!"&amp;Severity!$C$3&amp;":"&amp;Severity!$C$3),D$148), COUNTIFS(INDIRECT("Collision!"&amp;Event!$G$3&amp;":"&amp;Event!$G$3),$B232,INDIRECT("Collision!"&amp;Severity!$C$3&amp;":"&amp;Severity!$C$3),D$148), COUNTIFS(INDIRECT("Collision!"&amp;Event!$G$4&amp;":"&amp;Event!$G$4),$B232,INDIRECT("Collision!"&amp;Severity!$C$3&amp;":"&amp;Severity!$C$3),D$148))</f>
        <v>#REF!</v>
      </c>
      <c r="E232" s="71" t="e">
        <f t="array" aca="1" ref="E232" ca="1">SUM(COUNTIFS(INDIRECT("Collision!"&amp;Event!$C$3&amp;":"&amp;Event!$C$3),$B232,INDIRECT("Collision!"&amp;Severity!$C$3&amp;":"&amp;Severity!$C$3),{"Moderate Injury","Minor Injury"}), COUNTIFS(INDIRECT("Collision!"&amp;Event!$G$3&amp;":"&amp;Event!$G$3),$B232,INDIRECT("Collision!"&amp;Severity!$C$3&amp;":"&amp;Severity!$C$3),{"Moderate Injury","Minor Injury"}), COUNTIFS(INDIRECT("Collision!"&amp;Event!$G$4&amp;":"&amp;Event!$G$4),$B232,INDIRECT("Collision!"&amp;Severity!$C$3&amp;":"&amp;Severity!$C$3),{"Moderate Injury","Minor Injury"}))</f>
        <v>#REF!</v>
      </c>
      <c r="F232" s="71" t="e">
        <f ca="1">SUM(COUNTIFS(INDIRECT("Collision!"&amp;Event!$C$3&amp;":"&amp;Event!$C$3),$B232,INDIRECT("Collision!"&amp;Severity!$C$3&amp;":"&amp;Severity!$C$3),F$148), COUNTIFS(INDIRECT("Collision!"&amp;Event!$G$3&amp;":"&amp;Event!$G$3),$B232,INDIRECT("Collision!"&amp;Severity!$C$3&amp;":"&amp;Severity!$C$3),F$148), COUNTIFS(INDIRECT("Collision!"&amp;Event!$G$4&amp;":"&amp;Event!$G$4),$B232,INDIRECT("Collision!"&amp;Severity!$C$3&amp;":"&amp;Severity!$C$3),F$148))</f>
        <v>#REF!</v>
      </c>
      <c r="G232" s="71" t="e">
        <f t="shared" ca="1" si="6"/>
        <v>#REF!</v>
      </c>
      <c r="H232" s="69" t="e">
        <f t="shared" ca="1" si="7"/>
        <v>#REF!</v>
      </c>
      <c r="I232" s="71" t="e">
        <f t="shared" ca="1" si="8"/>
        <v>#REF!</v>
      </c>
      <c r="J232" s="69" t="e">
        <f ca="1">IF(G232=0,0,PCF_Severity2[[#This Row],[Crash Count]]/$I$283)</f>
        <v>#REF!</v>
      </c>
      <c r="K232" t="e">
        <f ca="1">SUM(PCF_Severity2[[#This Row],[Severe Injury]:[Other Injury]])</f>
        <v>#REF!</v>
      </c>
      <c r="L232" s="69" t="e">
        <f ca="1">PCF_Severity2[[#This Row],[Crash Count2]]/$K$283</f>
        <v>#REF!</v>
      </c>
      <c r="M232" s="86" t="str">
        <f>VLOOKUP(PCF_Severity2[[#This Row],[Crash Event]],PCF_3[[#Headers],[#Data]],4,FALSE)</f>
        <v>Pedestrian in motorized wheelchair</v>
      </c>
      <c r="Q232" s="84"/>
    </row>
    <row r="233" spans="2:17" x14ac:dyDescent="0.25">
      <c r="B233" t="s">
        <v>175</v>
      </c>
      <c r="C233" s="71" t="e">
        <f ca="1">SUM(COUNTIFS(INDIRECT("Collision!"&amp;Event!$C$3&amp;":"&amp;Event!$C$3),$B233,INDIRECT("Collision!"&amp;Severity!$C$3&amp;":"&amp;Severity!$C$3),C$148), COUNTIFS(INDIRECT("Collision!"&amp;Event!$G$3&amp;":"&amp;Event!$G$3),$B233,INDIRECT("Collision!"&amp;Severity!$C$3&amp;":"&amp;Severity!$C$3),C$148), COUNTIFS(INDIRECT("Collision!"&amp;Event!$G$4&amp;":"&amp;Event!$G$4),$B233,INDIRECT("Collision!"&amp;Severity!$C$3&amp;":"&amp;Severity!$C$3),C$148))</f>
        <v>#REF!</v>
      </c>
      <c r="D233" s="71" t="e">
        <f ca="1">SUM(COUNTIFS(INDIRECT("Collision!"&amp;Event!$C$3&amp;":"&amp;Event!$C$3),$B233,INDIRECT("Collision!"&amp;Severity!$C$3&amp;":"&amp;Severity!$C$3),D$148), COUNTIFS(INDIRECT("Collision!"&amp;Event!$G$3&amp;":"&amp;Event!$G$3),$B233,INDIRECT("Collision!"&amp;Severity!$C$3&amp;":"&amp;Severity!$C$3),D$148), COUNTIFS(INDIRECT("Collision!"&amp;Event!$G$4&amp;":"&amp;Event!$G$4),$B233,INDIRECT("Collision!"&amp;Severity!$C$3&amp;":"&amp;Severity!$C$3),D$148))</f>
        <v>#REF!</v>
      </c>
      <c r="E233" s="71" t="e">
        <f t="array" aca="1" ref="E233" ca="1">SUM(COUNTIFS(INDIRECT("Collision!"&amp;Event!$C$3&amp;":"&amp;Event!$C$3),$B233,INDIRECT("Collision!"&amp;Severity!$C$3&amp;":"&amp;Severity!$C$3),{"Moderate Injury","Minor Injury"}), COUNTIFS(INDIRECT("Collision!"&amp;Event!$G$3&amp;":"&amp;Event!$G$3),$B233,INDIRECT("Collision!"&amp;Severity!$C$3&amp;":"&amp;Severity!$C$3),{"Moderate Injury","Minor Injury"}), COUNTIFS(INDIRECT("Collision!"&amp;Event!$G$4&amp;":"&amp;Event!$G$4),$B233,INDIRECT("Collision!"&amp;Severity!$C$3&amp;":"&amp;Severity!$C$3),{"Moderate Injury","Minor Injury"}))</f>
        <v>#REF!</v>
      </c>
      <c r="F233" s="71" t="e">
        <f ca="1">SUM(COUNTIFS(INDIRECT("Collision!"&amp;Event!$C$3&amp;":"&amp;Event!$C$3),$B233,INDIRECT("Collision!"&amp;Severity!$C$3&amp;":"&amp;Severity!$C$3),F$148), COUNTIFS(INDIRECT("Collision!"&amp;Event!$G$3&amp;":"&amp;Event!$G$3),$B233,INDIRECT("Collision!"&amp;Severity!$C$3&amp;":"&amp;Severity!$C$3),F$148), COUNTIFS(INDIRECT("Collision!"&amp;Event!$G$4&amp;":"&amp;Event!$G$4),$B233,INDIRECT("Collision!"&amp;Severity!$C$3&amp;":"&amp;Severity!$C$3),F$148))</f>
        <v>#REF!</v>
      </c>
      <c r="G233" s="71" t="e">
        <f t="shared" ca="1" si="6"/>
        <v>#REF!</v>
      </c>
      <c r="H233" s="69" t="e">
        <f t="shared" ca="1" si="7"/>
        <v>#REF!</v>
      </c>
      <c r="I233" s="71" t="e">
        <f t="shared" ca="1" si="8"/>
        <v>#REF!</v>
      </c>
      <c r="J233" s="69" t="e">
        <f ca="1">IF(G233=0,0,PCF_Severity2[[#This Row],[Crash Count]]/$I$283)</f>
        <v>#REF!</v>
      </c>
      <c r="K233" t="e">
        <f ca="1">SUM(PCF_Severity2[[#This Row],[Severe Injury]:[Other Injury]])</f>
        <v>#REF!</v>
      </c>
      <c r="L233" s="69" t="e">
        <f ca="1">PCF_Severity2[[#This Row],[Crash Count2]]/$K$283</f>
        <v>#REF!</v>
      </c>
      <c r="M233" s="86" t="str">
        <f>VLOOKUP(PCF_Severity2[[#This Row],[Crash Event]],PCF_3[[#Headers],[#Data]],4,FALSE)</f>
        <v>Wheel came off</v>
      </c>
      <c r="Q233" s="84"/>
    </row>
    <row r="234" spans="2:17" x14ac:dyDescent="0.25">
      <c r="B234" t="s">
        <v>177</v>
      </c>
      <c r="C234" s="71" t="e">
        <f ca="1">SUM(COUNTIFS(INDIRECT("Collision!"&amp;Event!$C$3&amp;":"&amp;Event!$C$3),$B234,INDIRECT("Collision!"&amp;Severity!$C$3&amp;":"&amp;Severity!$C$3),C$148), COUNTIFS(INDIRECT("Collision!"&amp;Event!$G$3&amp;":"&amp;Event!$G$3),$B234,INDIRECT("Collision!"&amp;Severity!$C$3&amp;":"&amp;Severity!$C$3),C$148), COUNTIFS(INDIRECT("Collision!"&amp;Event!$G$4&amp;":"&amp;Event!$G$4),$B234,INDIRECT("Collision!"&amp;Severity!$C$3&amp;":"&amp;Severity!$C$3),C$148))</f>
        <v>#REF!</v>
      </c>
      <c r="D234" s="71" t="e">
        <f ca="1">SUM(COUNTIFS(INDIRECT("Collision!"&amp;Event!$C$3&amp;":"&amp;Event!$C$3),$B234,INDIRECT("Collision!"&amp;Severity!$C$3&amp;":"&amp;Severity!$C$3),D$148), COUNTIFS(INDIRECT("Collision!"&amp;Event!$G$3&amp;":"&amp;Event!$G$3),$B234,INDIRECT("Collision!"&amp;Severity!$C$3&amp;":"&amp;Severity!$C$3),D$148), COUNTIFS(INDIRECT("Collision!"&amp;Event!$G$4&amp;":"&amp;Event!$G$4),$B234,INDIRECT("Collision!"&amp;Severity!$C$3&amp;":"&amp;Severity!$C$3),D$148))</f>
        <v>#REF!</v>
      </c>
      <c r="E234" s="71" t="e">
        <f t="array" aca="1" ref="E234" ca="1">SUM(COUNTIFS(INDIRECT("Collision!"&amp;Event!$C$3&amp;":"&amp;Event!$C$3),$B234,INDIRECT("Collision!"&amp;Severity!$C$3&amp;":"&amp;Severity!$C$3),{"Moderate Injury","Minor Injury"}), COUNTIFS(INDIRECT("Collision!"&amp;Event!$G$3&amp;":"&amp;Event!$G$3),$B234,INDIRECT("Collision!"&amp;Severity!$C$3&amp;":"&amp;Severity!$C$3),{"Moderate Injury","Minor Injury"}), COUNTIFS(INDIRECT("Collision!"&amp;Event!$G$4&amp;":"&amp;Event!$G$4),$B234,INDIRECT("Collision!"&amp;Severity!$C$3&amp;":"&amp;Severity!$C$3),{"Moderate Injury","Minor Injury"}))</f>
        <v>#REF!</v>
      </c>
      <c r="F234" s="71" t="e">
        <f ca="1">SUM(COUNTIFS(INDIRECT("Collision!"&amp;Event!$C$3&amp;":"&amp;Event!$C$3),$B234,INDIRECT("Collision!"&amp;Severity!$C$3&amp;":"&amp;Severity!$C$3),F$148), COUNTIFS(INDIRECT("Collision!"&amp;Event!$G$3&amp;":"&amp;Event!$G$3),$B234,INDIRECT("Collision!"&amp;Severity!$C$3&amp;":"&amp;Severity!$C$3),F$148), COUNTIFS(INDIRECT("Collision!"&amp;Event!$G$4&amp;":"&amp;Event!$G$4),$B234,INDIRECT("Collision!"&amp;Severity!$C$3&amp;":"&amp;Severity!$C$3),F$148))</f>
        <v>#REF!</v>
      </c>
      <c r="G234" s="71" t="e">
        <f t="shared" ca="1" si="6"/>
        <v>#REF!</v>
      </c>
      <c r="H234" s="69" t="e">
        <f t="shared" ca="1" si="7"/>
        <v>#REF!</v>
      </c>
      <c r="I234" s="71" t="e">
        <f t="shared" ca="1" si="8"/>
        <v>#REF!</v>
      </c>
      <c r="J234" s="82" t="e">
        <f ca="1">IF(G234=0,0,PCF_Severity2[[#This Row],[Crash Count]]/$I$283)</f>
        <v>#REF!</v>
      </c>
      <c r="K234" t="e">
        <f ca="1">SUM(PCF_Severity2[[#This Row],[Severe Injury]:[Other Injury]])</f>
        <v>#REF!</v>
      </c>
      <c r="L234" s="69" t="e">
        <f ca="1">PCF_Severity2[[#This Row],[Crash Count2]]/$K$283</f>
        <v>#REF!</v>
      </c>
      <c r="M234" s="86" t="str">
        <f>VLOOKUP(PCF_Severity2[[#This Row],[Crash Event]],PCF_3[[#Headers],[#Data]],4,FALSE)</f>
        <v>Lost load, load moved or shifted</v>
      </c>
      <c r="Q234" s="84"/>
    </row>
    <row r="235" spans="2:17" x14ac:dyDescent="0.25">
      <c r="B235" t="s">
        <v>207</v>
      </c>
      <c r="C235" s="71" t="e">
        <f ca="1">SUM(COUNTIFS(INDIRECT("Collision!"&amp;Event!$C$3&amp;":"&amp;Event!$C$3),$B235,INDIRECT("Collision!"&amp;Severity!$C$3&amp;":"&amp;Severity!$C$3),C$148), COUNTIFS(INDIRECT("Collision!"&amp;Event!$G$3&amp;":"&amp;Event!$G$3),$B235,INDIRECT("Collision!"&amp;Severity!$C$3&amp;":"&amp;Severity!$C$3),C$148), COUNTIFS(INDIRECT("Collision!"&amp;Event!$G$4&amp;":"&amp;Event!$G$4),$B235,INDIRECT("Collision!"&amp;Severity!$C$3&amp;":"&amp;Severity!$C$3),C$148))</f>
        <v>#REF!</v>
      </c>
      <c r="D235" s="71" t="e">
        <f ca="1">SUM(COUNTIFS(INDIRECT("Collision!"&amp;Event!$C$3&amp;":"&amp;Event!$C$3),$B235,INDIRECT("Collision!"&amp;Severity!$C$3&amp;":"&amp;Severity!$C$3),D$148), COUNTIFS(INDIRECT("Collision!"&amp;Event!$G$3&amp;":"&amp;Event!$G$3),$B235,INDIRECT("Collision!"&amp;Severity!$C$3&amp;":"&amp;Severity!$C$3),D$148), COUNTIFS(INDIRECT("Collision!"&amp;Event!$G$4&amp;":"&amp;Event!$G$4),$B235,INDIRECT("Collision!"&amp;Severity!$C$3&amp;":"&amp;Severity!$C$3),D$148))</f>
        <v>#REF!</v>
      </c>
      <c r="E235" s="71" t="e">
        <f t="array" aca="1" ref="E235" ca="1">SUM(COUNTIFS(INDIRECT("Collision!"&amp;Event!$C$3&amp;":"&amp;Event!$C$3),$B235,INDIRECT("Collision!"&amp;Severity!$C$3&amp;":"&amp;Severity!$C$3),{"Moderate Injury","Minor Injury"}), COUNTIFS(INDIRECT("Collision!"&amp;Event!$G$3&amp;":"&amp;Event!$G$3),$B235,INDIRECT("Collision!"&amp;Severity!$C$3&amp;":"&amp;Severity!$C$3),{"Moderate Injury","Minor Injury"}), COUNTIFS(INDIRECT("Collision!"&amp;Event!$G$4&amp;":"&amp;Event!$G$4),$B235,INDIRECT("Collision!"&amp;Severity!$C$3&amp;":"&amp;Severity!$C$3),{"Moderate Injury","Minor Injury"}))</f>
        <v>#REF!</v>
      </c>
      <c r="F235" s="71" t="e">
        <f ca="1">SUM(COUNTIFS(INDIRECT("Collision!"&amp;Event!$C$3&amp;":"&amp;Event!$C$3),$B235,INDIRECT("Collision!"&amp;Severity!$C$3&amp;":"&amp;Severity!$C$3),F$148), COUNTIFS(INDIRECT("Collision!"&amp;Event!$G$3&amp;":"&amp;Event!$G$3),$B235,INDIRECT("Collision!"&amp;Severity!$C$3&amp;":"&amp;Severity!$C$3),F$148), COUNTIFS(INDIRECT("Collision!"&amp;Event!$G$4&amp;":"&amp;Event!$G$4),$B235,INDIRECT("Collision!"&amp;Severity!$C$3&amp;":"&amp;Severity!$C$3),F$148))</f>
        <v>#REF!</v>
      </c>
      <c r="G235" s="71" t="e">
        <f t="shared" ca="1" si="6"/>
        <v>#REF!</v>
      </c>
      <c r="H235" s="69" t="e">
        <f t="shared" ca="1" si="7"/>
        <v>#REF!</v>
      </c>
      <c r="I235" s="71" t="e">
        <f t="shared" ca="1" si="8"/>
        <v>#REF!</v>
      </c>
      <c r="J235" s="69" t="e">
        <f ca="1">IF(G235=0,0,PCF_Severity2[[#This Row],[Crash Count]]/$I$283)</f>
        <v>#REF!</v>
      </c>
      <c r="K235" t="e">
        <f ca="1">SUM(PCF_Severity2[[#This Row],[Severe Injury]:[Other Injury]])</f>
        <v>#REF!</v>
      </c>
      <c r="L235" s="69" t="e">
        <f ca="1">PCF_Severity2[[#This Row],[Crash Count2]]/$K$283</f>
        <v>#REF!</v>
      </c>
      <c r="M235" s="86" t="str">
        <f>VLOOKUP(PCF_Severity2[[#This Row],[Crash Event]],PCF_3[[#Headers],[#Data]],4,FALSE)</f>
        <v>Hydrant</v>
      </c>
      <c r="Q235" s="84"/>
    </row>
    <row r="236" spans="2:17" x14ac:dyDescent="0.25">
      <c r="B236" t="s">
        <v>209</v>
      </c>
      <c r="C236" s="71" t="e">
        <f ca="1">SUM(COUNTIFS(INDIRECT("Collision!"&amp;Event!$C$3&amp;":"&amp;Event!$C$3),$B236,INDIRECT("Collision!"&amp;Severity!$C$3&amp;":"&amp;Severity!$C$3),C$148), COUNTIFS(INDIRECT("Collision!"&amp;Event!$G$3&amp;":"&amp;Event!$G$3),$B236,INDIRECT("Collision!"&amp;Severity!$C$3&amp;":"&amp;Severity!$C$3),C$148), COUNTIFS(INDIRECT("Collision!"&amp;Event!$G$4&amp;":"&amp;Event!$G$4),$B236,INDIRECT("Collision!"&amp;Severity!$C$3&amp;":"&amp;Severity!$C$3),C$148))</f>
        <v>#REF!</v>
      </c>
      <c r="D236" s="71" t="e">
        <f ca="1">SUM(COUNTIFS(INDIRECT("Collision!"&amp;Event!$C$3&amp;":"&amp;Event!$C$3),$B236,INDIRECT("Collision!"&amp;Severity!$C$3&amp;":"&amp;Severity!$C$3),D$148), COUNTIFS(INDIRECT("Collision!"&amp;Event!$G$3&amp;":"&amp;Event!$G$3),$B236,INDIRECT("Collision!"&amp;Severity!$C$3&amp;":"&amp;Severity!$C$3),D$148), COUNTIFS(INDIRECT("Collision!"&amp;Event!$G$4&amp;":"&amp;Event!$G$4),$B236,INDIRECT("Collision!"&amp;Severity!$C$3&amp;":"&amp;Severity!$C$3),D$148))</f>
        <v>#REF!</v>
      </c>
      <c r="E236" s="71" t="e">
        <f t="array" aca="1" ref="E236" ca="1">SUM(COUNTIFS(INDIRECT("Collision!"&amp;Event!$C$3&amp;":"&amp;Event!$C$3),$B236,INDIRECT("Collision!"&amp;Severity!$C$3&amp;":"&amp;Severity!$C$3),{"Moderate Injury","Minor Injury"}), COUNTIFS(INDIRECT("Collision!"&amp;Event!$G$3&amp;":"&amp;Event!$G$3),$B236,INDIRECT("Collision!"&amp;Severity!$C$3&amp;":"&amp;Severity!$C$3),{"Moderate Injury","Minor Injury"}), COUNTIFS(INDIRECT("Collision!"&amp;Event!$G$4&amp;":"&amp;Event!$G$4),$B236,INDIRECT("Collision!"&amp;Severity!$C$3&amp;":"&amp;Severity!$C$3),{"Moderate Injury","Minor Injury"}))</f>
        <v>#REF!</v>
      </c>
      <c r="F236" s="71" t="e">
        <f ca="1">SUM(COUNTIFS(INDIRECT("Collision!"&amp;Event!$C$3&amp;":"&amp;Event!$C$3),$B236,INDIRECT("Collision!"&amp;Severity!$C$3&amp;":"&amp;Severity!$C$3),F$148), COUNTIFS(INDIRECT("Collision!"&amp;Event!$G$3&amp;":"&amp;Event!$G$3),$B236,INDIRECT("Collision!"&amp;Severity!$C$3&amp;":"&amp;Severity!$C$3),F$148), COUNTIFS(INDIRECT("Collision!"&amp;Event!$G$4&amp;":"&amp;Event!$G$4),$B236,INDIRECT("Collision!"&amp;Severity!$C$3&amp;":"&amp;Severity!$C$3),F$148))</f>
        <v>#REF!</v>
      </c>
      <c r="G236" s="71" t="e">
        <f t="shared" ca="1" si="6"/>
        <v>#REF!</v>
      </c>
      <c r="H236" s="69" t="e">
        <f t="shared" ca="1" si="7"/>
        <v>#REF!</v>
      </c>
      <c r="I236" s="71" t="e">
        <f t="shared" ca="1" si="8"/>
        <v>#REF!</v>
      </c>
      <c r="J236" s="69" t="e">
        <f ca="1">IF(G236=0,0,PCF_Severity2[[#This Row],[Crash Count]]/$I$283)</f>
        <v>#REF!</v>
      </c>
      <c r="K236" t="e">
        <f ca="1">SUM(PCF_Severity2[[#This Row],[Severe Injury]:[Other Injury]])</f>
        <v>#REF!</v>
      </c>
      <c r="L236" s="69" t="e">
        <f ca="1">PCF_Severity2[[#This Row],[Crash Count2]]/$K$283</f>
        <v>#REF!</v>
      </c>
      <c r="M236" s="86" t="str">
        <f>VLOOKUP(PCF_Severity2[[#This Row],[Crash Event]],PCF_3[[#Headers],[#Data]],4,FALSE)</f>
        <v>Mailbox</v>
      </c>
      <c r="Q236" s="84"/>
    </row>
    <row r="237" spans="2:17" ht="30" x14ac:dyDescent="0.25">
      <c r="B237" t="s">
        <v>213</v>
      </c>
      <c r="C237" s="71" t="e">
        <f ca="1">SUM(COUNTIFS(INDIRECT("Collision!"&amp;Event!$C$3&amp;":"&amp;Event!$C$3),$B237,INDIRECT("Collision!"&amp;Severity!$C$3&amp;":"&amp;Severity!$C$3),C$148), COUNTIFS(INDIRECT("Collision!"&amp;Event!$G$3&amp;":"&amp;Event!$G$3),$B237,INDIRECT("Collision!"&amp;Severity!$C$3&amp;":"&amp;Severity!$C$3),C$148), COUNTIFS(INDIRECT("Collision!"&amp;Event!$G$4&amp;":"&amp;Event!$G$4),$B237,INDIRECT("Collision!"&amp;Severity!$C$3&amp;":"&amp;Severity!$C$3),C$148))</f>
        <v>#REF!</v>
      </c>
      <c r="D237" s="71" t="e">
        <f ca="1">SUM(COUNTIFS(INDIRECT("Collision!"&amp;Event!$C$3&amp;":"&amp;Event!$C$3),$B237,INDIRECT("Collision!"&amp;Severity!$C$3&amp;":"&amp;Severity!$C$3),D$148), COUNTIFS(INDIRECT("Collision!"&amp;Event!$G$3&amp;":"&amp;Event!$G$3),$B237,INDIRECT("Collision!"&amp;Severity!$C$3&amp;":"&amp;Severity!$C$3),D$148), COUNTIFS(INDIRECT("Collision!"&amp;Event!$G$4&amp;":"&amp;Event!$G$4),$B237,INDIRECT("Collision!"&amp;Severity!$C$3&amp;":"&amp;Severity!$C$3),D$148))</f>
        <v>#REF!</v>
      </c>
      <c r="E237" s="71" t="e">
        <f t="array" aca="1" ref="E237" ca="1">SUM(COUNTIFS(INDIRECT("Collision!"&amp;Event!$C$3&amp;":"&amp;Event!$C$3),$B237,INDIRECT("Collision!"&amp;Severity!$C$3&amp;":"&amp;Severity!$C$3),{"Moderate Injury","Minor Injury"}), COUNTIFS(INDIRECT("Collision!"&amp;Event!$G$3&amp;":"&amp;Event!$G$3),$B237,INDIRECT("Collision!"&amp;Severity!$C$3&amp;":"&amp;Severity!$C$3),{"Moderate Injury","Minor Injury"}), COUNTIFS(INDIRECT("Collision!"&amp;Event!$G$4&amp;":"&amp;Event!$G$4),$B237,INDIRECT("Collision!"&amp;Severity!$C$3&amp;":"&amp;Severity!$C$3),{"Moderate Injury","Minor Injury"}))</f>
        <v>#REF!</v>
      </c>
      <c r="F237" s="71" t="e">
        <f ca="1">SUM(COUNTIFS(INDIRECT("Collision!"&amp;Event!$C$3&amp;":"&amp;Event!$C$3),$B237,INDIRECT("Collision!"&amp;Severity!$C$3&amp;":"&amp;Severity!$C$3),F$148), COUNTIFS(INDIRECT("Collision!"&amp;Event!$G$3&amp;":"&amp;Event!$G$3),$B237,INDIRECT("Collision!"&amp;Severity!$C$3&amp;":"&amp;Severity!$C$3),F$148), COUNTIFS(INDIRECT("Collision!"&amp;Event!$G$4&amp;":"&amp;Event!$G$4),$B237,INDIRECT("Collision!"&amp;Severity!$C$3&amp;":"&amp;Severity!$C$3),F$148))</f>
        <v>#REF!</v>
      </c>
      <c r="G237" s="71" t="e">
        <f t="shared" ca="1" si="6"/>
        <v>#REF!</v>
      </c>
      <c r="H237" s="69" t="e">
        <f t="shared" ca="1" si="7"/>
        <v>#REF!</v>
      </c>
      <c r="I237" s="71" t="e">
        <f t="shared" ca="1" si="8"/>
        <v>#REF!</v>
      </c>
      <c r="J237" s="69" t="e">
        <f ca="1">IF(G237=0,0,PCF_Severity2[[#This Row],[Crash Count]]/$I$283)</f>
        <v>#REF!</v>
      </c>
      <c r="K237" t="e">
        <f ca="1">SUM(PCF_Severity2[[#This Row],[Severe Injury]:[Other Injury]])</f>
        <v>#REF!</v>
      </c>
      <c r="L237" s="69" t="e">
        <f ca="1">PCF_Severity2[[#This Row],[Crash Count2]]/$K$283</f>
        <v>#REF!</v>
      </c>
      <c r="M237" s="86" t="str">
        <f>VLOOKUP(PCF_Severity2[[#This Row],[Crash Event]],PCF_3[[#Headers],[#Data]],4,FALSE)</f>
        <v>Temporary sign or barricade in road, etc.</v>
      </c>
      <c r="Q237" s="84"/>
    </row>
    <row r="238" spans="2:17" ht="30" x14ac:dyDescent="0.25">
      <c r="B238" t="s">
        <v>216</v>
      </c>
      <c r="C238" s="71" t="e">
        <f ca="1">SUM(COUNTIFS(INDIRECT("Collision!"&amp;Event!$C$3&amp;":"&amp;Event!$C$3),$B238,INDIRECT("Collision!"&amp;Severity!$C$3&amp;":"&amp;Severity!$C$3),C$148), COUNTIFS(INDIRECT("Collision!"&amp;Event!$G$3&amp;":"&amp;Event!$G$3),$B238,INDIRECT("Collision!"&amp;Severity!$C$3&amp;":"&amp;Severity!$C$3),C$148), COUNTIFS(INDIRECT("Collision!"&amp;Event!$G$4&amp;":"&amp;Event!$G$4),$B238,INDIRECT("Collision!"&amp;Severity!$C$3&amp;":"&amp;Severity!$C$3),C$148))</f>
        <v>#REF!</v>
      </c>
      <c r="D238" s="71" t="e">
        <f ca="1">SUM(COUNTIFS(INDIRECT("Collision!"&amp;Event!$C$3&amp;":"&amp;Event!$C$3),$B238,INDIRECT("Collision!"&amp;Severity!$C$3&amp;":"&amp;Severity!$C$3),D$148), COUNTIFS(INDIRECT("Collision!"&amp;Event!$G$3&amp;":"&amp;Event!$G$3),$B238,INDIRECT("Collision!"&amp;Severity!$C$3&amp;":"&amp;Severity!$C$3),D$148), COUNTIFS(INDIRECT("Collision!"&amp;Event!$G$4&amp;":"&amp;Event!$G$4),$B238,INDIRECT("Collision!"&amp;Severity!$C$3&amp;":"&amp;Severity!$C$3),D$148))</f>
        <v>#REF!</v>
      </c>
      <c r="E238" s="71" t="e">
        <f t="array" aca="1" ref="E238" ca="1">SUM(COUNTIFS(INDIRECT("Collision!"&amp;Event!$C$3&amp;":"&amp;Event!$C$3),$B238,INDIRECT("Collision!"&amp;Severity!$C$3&amp;":"&amp;Severity!$C$3),{"Moderate Injury","Minor Injury"}), COUNTIFS(INDIRECT("Collision!"&amp;Event!$G$3&amp;":"&amp;Event!$G$3),$B238,INDIRECT("Collision!"&amp;Severity!$C$3&amp;":"&amp;Severity!$C$3),{"Moderate Injury","Minor Injury"}), COUNTIFS(INDIRECT("Collision!"&amp;Event!$G$4&amp;":"&amp;Event!$G$4),$B238,INDIRECT("Collision!"&amp;Severity!$C$3&amp;":"&amp;Severity!$C$3),{"Moderate Injury","Minor Injury"}))</f>
        <v>#REF!</v>
      </c>
      <c r="F238" s="71" t="e">
        <f ca="1">SUM(COUNTIFS(INDIRECT("Collision!"&amp;Event!$C$3&amp;":"&amp;Event!$C$3),$B238,INDIRECT("Collision!"&amp;Severity!$C$3&amp;":"&amp;Severity!$C$3),F$148), COUNTIFS(INDIRECT("Collision!"&amp;Event!$G$3&amp;":"&amp;Event!$G$3),$B238,INDIRECT("Collision!"&amp;Severity!$C$3&amp;":"&amp;Severity!$C$3),F$148), COUNTIFS(INDIRECT("Collision!"&amp;Event!$G$4&amp;":"&amp;Event!$G$4),$B238,INDIRECT("Collision!"&amp;Severity!$C$3&amp;":"&amp;Severity!$C$3),F$148))</f>
        <v>#REF!</v>
      </c>
      <c r="G238" s="71" t="e">
        <f t="shared" ca="1" si="6"/>
        <v>#REF!</v>
      </c>
      <c r="H238" s="69" t="e">
        <f t="shared" ca="1" si="7"/>
        <v>#REF!</v>
      </c>
      <c r="I238" s="71" t="e">
        <f t="shared" ca="1" si="8"/>
        <v>#REF!</v>
      </c>
      <c r="J238" s="69" t="e">
        <f ca="1">IF(G238=0,0,PCF_Severity2[[#This Row],[Crash Count]]/$I$283)</f>
        <v>#REF!</v>
      </c>
      <c r="K238" t="e">
        <f ca="1">SUM(PCF_Severity2[[#This Row],[Severe Injury]:[Other Injury]])</f>
        <v>#REF!</v>
      </c>
      <c r="L238" s="69" t="e">
        <f ca="1">PCF_Severity2[[#This Row],[Crash Count2]]/$K$283</f>
        <v>#REF!</v>
      </c>
      <c r="M238" s="86" t="str">
        <f>VLOOKUP(PCF_Severity2[[#This Row],[Crash Event]],PCF_3[[#Headers],[#Data]],4,FALSE)</f>
        <v>Foreign obstruction / debris in road (Not gravel)</v>
      </c>
      <c r="Q238" s="84"/>
    </row>
    <row r="239" spans="2:17" ht="30" x14ac:dyDescent="0.25">
      <c r="B239" t="s">
        <v>218</v>
      </c>
      <c r="C239" s="71" t="e">
        <f ca="1">SUM(COUNTIFS(INDIRECT("Collision!"&amp;Event!$C$3&amp;":"&amp;Event!$C$3),$B239,INDIRECT("Collision!"&amp;Severity!$C$3&amp;":"&amp;Severity!$C$3),C$148), COUNTIFS(INDIRECT("Collision!"&amp;Event!$G$3&amp;":"&amp;Event!$G$3),$B239,INDIRECT("Collision!"&amp;Severity!$C$3&amp;":"&amp;Severity!$C$3),C$148), COUNTIFS(INDIRECT("Collision!"&amp;Event!$G$4&amp;":"&amp;Event!$G$4),$B239,INDIRECT("Collision!"&amp;Severity!$C$3&amp;":"&amp;Severity!$C$3),C$148))</f>
        <v>#REF!</v>
      </c>
      <c r="D239" s="71" t="e">
        <f ca="1">SUM(COUNTIFS(INDIRECT("Collision!"&amp;Event!$C$3&amp;":"&amp;Event!$C$3),$B239,INDIRECT("Collision!"&amp;Severity!$C$3&amp;":"&amp;Severity!$C$3),D$148), COUNTIFS(INDIRECT("Collision!"&amp;Event!$G$3&amp;":"&amp;Event!$G$3),$B239,INDIRECT("Collision!"&amp;Severity!$C$3&amp;":"&amp;Severity!$C$3),D$148), COUNTIFS(INDIRECT("Collision!"&amp;Event!$G$4&amp;":"&amp;Event!$G$4),$B239,INDIRECT("Collision!"&amp;Severity!$C$3&amp;":"&amp;Severity!$C$3),D$148))</f>
        <v>#REF!</v>
      </c>
      <c r="E239" s="71" t="e">
        <f t="array" aca="1" ref="E239" ca="1">SUM(COUNTIFS(INDIRECT("Collision!"&amp;Event!$C$3&amp;":"&amp;Event!$C$3),$B239,INDIRECT("Collision!"&amp;Severity!$C$3&amp;":"&amp;Severity!$C$3),{"Moderate Injury","Minor Injury"}), COUNTIFS(INDIRECT("Collision!"&amp;Event!$G$3&amp;":"&amp;Event!$G$3),$B239,INDIRECT("Collision!"&amp;Severity!$C$3&amp;":"&amp;Severity!$C$3),{"Moderate Injury","Minor Injury"}), COUNTIFS(INDIRECT("Collision!"&amp;Event!$G$4&amp;":"&amp;Event!$G$4),$B239,INDIRECT("Collision!"&amp;Severity!$C$3&amp;":"&amp;Severity!$C$3),{"Moderate Injury","Minor Injury"}))</f>
        <v>#REF!</v>
      </c>
      <c r="F239" s="71" t="e">
        <f ca="1">SUM(COUNTIFS(INDIRECT("Collision!"&amp;Event!$C$3&amp;":"&amp;Event!$C$3),$B239,INDIRECT("Collision!"&amp;Severity!$C$3&amp;":"&amp;Severity!$C$3),F$148), COUNTIFS(INDIRECT("Collision!"&amp;Event!$G$3&amp;":"&amp;Event!$G$3),$B239,INDIRECT("Collision!"&amp;Severity!$C$3&amp;":"&amp;Severity!$C$3),F$148), COUNTIFS(INDIRECT("Collision!"&amp;Event!$G$4&amp;":"&amp;Event!$G$4),$B239,INDIRECT("Collision!"&amp;Severity!$C$3&amp;":"&amp;Severity!$C$3),F$148))</f>
        <v>#REF!</v>
      </c>
      <c r="G239" s="71" t="e">
        <f t="shared" ca="1" si="6"/>
        <v>#REF!</v>
      </c>
      <c r="H239" s="69" t="e">
        <f t="shared" ca="1" si="7"/>
        <v>#REF!</v>
      </c>
      <c r="I239" s="71" t="e">
        <f t="shared" ca="1" si="8"/>
        <v>#REF!</v>
      </c>
      <c r="J239" s="69" t="e">
        <f ca="1">IF(G239=0,0,PCF_Severity2[[#This Row],[Crash Count]]/$I$283)</f>
        <v>#REF!</v>
      </c>
      <c r="K239" t="e">
        <f ca="1">SUM(PCF_Severity2[[#This Row],[Severe Injury]:[Other Injury]])</f>
        <v>#REF!</v>
      </c>
      <c r="L239" s="69" t="e">
        <f ca="1">PCF_Severity2[[#This Row],[Crash Count2]]/$K$283</f>
        <v>#REF!</v>
      </c>
      <c r="M239" s="86" t="str">
        <f>VLOOKUP(PCF_Severity2[[#This Row],[Crash Event]],PCF_3[[#Headers],[#Data]],4,FALSE)</f>
        <v>Other equipment in or off road (Including parked trailer, boat)</v>
      </c>
      <c r="Q239" s="84"/>
    </row>
    <row r="240" spans="2:17" ht="45" customHeight="1" x14ac:dyDescent="0.25">
      <c r="B240" t="s">
        <v>221</v>
      </c>
      <c r="C240" s="71" t="e">
        <f ca="1">SUM(COUNTIFS(INDIRECT("Collision!"&amp;Event!$C$3&amp;":"&amp;Event!$C$3),$B240,INDIRECT("Collision!"&amp;Severity!$C$3&amp;":"&amp;Severity!$C$3),C$148), COUNTIFS(INDIRECT("Collision!"&amp;Event!$G$3&amp;":"&amp;Event!$G$3),$B240,INDIRECT("Collision!"&amp;Severity!$C$3&amp;":"&amp;Severity!$C$3),C$148), COUNTIFS(INDIRECT("Collision!"&amp;Event!$G$4&amp;":"&amp;Event!$G$4),$B240,INDIRECT("Collision!"&amp;Severity!$C$3&amp;":"&amp;Severity!$C$3),C$148))</f>
        <v>#REF!</v>
      </c>
      <c r="D240" s="71" t="e">
        <f ca="1">SUM(COUNTIFS(INDIRECT("Collision!"&amp;Event!$C$3&amp;":"&amp;Event!$C$3),$B240,INDIRECT("Collision!"&amp;Severity!$C$3&amp;":"&amp;Severity!$C$3),D$148), COUNTIFS(INDIRECT("Collision!"&amp;Event!$G$3&amp;":"&amp;Event!$G$3),$B240,INDIRECT("Collision!"&amp;Severity!$C$3&amp;":"&amp;Severity!$C$3),D$148), COUNTIFS(INDIRECT("Collision!"&amp;Event!$G$4&amp;":"&amp;Event!$G$4),$B240,INDIRECT("Collision!"&amp;Severity!$C$3&amp;":"&amp;Severity!$C$3),D$148))</f>
        <v>#REF!</v>
      </c>
      <c r="E240" s="71" t="e">
        <f t="array" aca="1" ref="E240" ca="1">SUM(COUNTIFS(INDIRECT("Collision!"&amp;Event!$C$3&amp;":"&amp;Event!$C$3),$B240,INDIRECT("Collision!"&amp;Severity!$C$3&amp;":"&amp;Severity!$C$3),{"Moderate Injury","Minor Injury"}), COUNTIFS(INDIRECT("Collision!"&amp;Event!$G$3&amp;":"&amp;Event!$G$3),$B240,INDIRECT("Collision!"&amp;Severity!$C$3&amp;":"&amp;Severity!$C$3),{"Moderate Injury","Minor Injury"}), COUNTIFS(INDIRECT("Collision!"&amp;Event!$G$4&amp;":"&amp;Event!$G$4),$B240,INDIRECT("Collision!"&amp;Severity!$C$3&amp;":"&amp;Severity!$C$3),{"Moderate Injury","Minor Injury"}))</f>
        <v>#REF!</v>
      </c>
      <c r="F240" s="71" t="e">
        <f ca="1">SUM(COUNTIFS(INDIRECT("Collision!"&amp;Event!$C$3&amp;":"&amp;Event!$C$3),$B240,INDIRECT("Collision!"&amp;Severity!$C$3&amp;":"&amp;Severity!$C$3),F$148), COUNTIFS(INDIRECT("Collision!"&amp;Event!$G$3&amp;":"&amp;Event!$G$3),$B240,INDIRECT("Collision!"&amp;Severity!$C$3&amp;":"&amp;Severity!$C$3),F$148), COUNTIFS(INDIRECT("Collision!"&amp;Event!$G$4&amp;":"&amp;Event!$G$4),$B240,INDIRECT("Collision!"&amp;Severity!$C$3&amp;":"&amp;Severity!$C$3),F$148))</f>
        <v>#REF!</v>
      </c>
      <c r="G240" s="71" t="e">
        <f t="shared" ca="1" si="6"/>
        <v>#REF!</v>
      </c>
      <c r="H240" s="69" t="e">
        <f t="shared" ca="1" si="7"/>
        <v>#REF!</v>
      </c>
      <c r="I240" s="71" t="e">
        <f t="shared" ca="1" si="8"/>
        <v>#REF!</v>
      </c>
      <c r="J240" s="69" t="e">
        <f ca="1">IF(G240=0,0,PCF_Severity2[[#This Row],[Crash Count]]/$I$283)</f>
        <v>#REF!</v>
      </c>
      <c r="K240" t="e">
        <f ca="1">SUM(PCF_Severity2[[#This Row],[Severe Injury]:[Other Injury]])</f>
        <v>#REF!</v>
      </c>
      <c r="L240" s="69" t="e">
        <f ca="1">PCF_Severity2[[#This Row],[Crash Count2]]/$K$283</f>
        <v>#REF!</v>
      </c>
      <c r="M240" s="86" t="str">
        <f>VLOOKUP(PCF_Severity2[[#This Row],[Crash Event]],PCF_3[[#Headers],[#Data]],4,FALSE)</f>
        <v>Other bump (not speed bump) pothole or pavement irregularity (Per PAR)</v>
      </c>
      <c r="Q240" s="84"/>
    </row>
    <row r="241" spans="2:17" ht="30" x14ac:dyDescent="0.25">
      <c r="B241" t="s">
        <v>173</v>
      </c>
      <c r="C241" s="71" t="e">
        <f ca="1">SUM(COUNTIFS(INDIRECT("Collision!"&amp;Event!$C$3&amp;":"&amp;Event!$C$3),$B241,INDIRECT("Collision!"&amp;Severity!$C$3&amp;":"&amp;Severity!$C$3),C$148), COUNTIFS(INDIRECT("Collision!"&amp;Event!$G$3&amp;":"&amp;Event!$G$3),$B241,INDIRECT("Collision!"&amp;Severity!$C$3&amp;":"&amp;Severity!$C$3),C$148), COUNTIFS(INDIRECT("Collision!"&amp;Event!$G$4&amp;":"&amp;Event!$G$4),$B241,INDIRECT("Collision!"&amp;Severity!$C$3&amp;":"&amp;Severity!$C$3),C$148))</f>
        <v>#REF!</v>
      </c>
      <c r="D241" s="71" t="e">
        <f ca="1">SUM(COUNTIFS(INDIRECT("Collision!"&amp;Event!$C$3&amp;":"&amp;Event!$C$3),$B241,INDIRECT("Collision!"&amp;Severity!$C$3&amp;":"&amp;Severity!$C$3),D$148), COUNTIFS(INDIRECT("Collision!"&amp;Event!$G$3&amp;":"&amp;Event!$G$3),$B241,INDIRECT("Collision!"&amp;Severity!$C$3&amp;":"&amp;Severity!$C$3),D$148), COUNTIFS(INDIRECT("Collision!"&amp;Event!$G$4&amp;":"&amp;Event!$G$4),$B241,INDIRECT("Collision!"&amp;Severity!$C$3&amp;":"&amp;Severity!$C$3),D$148))</f>
        <v>#REF!</v>
      </c>
      <c r="E241" s="71" t="e">
        <f t="array" aca="1" ref="E241" ca="1">SUM(COUNTIFS(INDIRECT("Collision!"&amp;Event!$C$3&amp;":"&amp;Event!$C$3),$B241,INDIRECT("Collision!"&amp;Severity!$C$3&amp;":"&amp;Severity!$C$3),{"Moderate Injury","Minor Injury"}), COUNTIFS(INDIRECT("Collision!"&amp;Event!$G$3&amp;":"&amp;Event!$G$3),$B241,INDIRECT("Collision!"&amp;Severity!$C$3&amp;":"&amp;Severity!$C$3),{"Moderate Injury","Minor Injury"}), COUNTIFS(INDIRECT("Collision!"&amp;Event!$G$4&amp;":"&amp;Event!$G$4),$B241,INDIRECT("Collision!"&amp;Severity!$C$3&amp;":"&amp;Severity!$C$3),{"Moderate Injury","Minor Injury"}))</f>
        <v>#REF!</v>
      </c>
      <c r="F241" s="71" t="e">
        <f ca="1">SUM(COUNTIFS(INDIRECT("Collision!"&amp;Event!$C$3&amp;":"&amp;Event!$C$3),$B241,INDIRECT("Collision!"&amp;Severity!$C$3&amp;":"&amp;Severity!$C$3),F$148), COUNTIFS(INDIRECT("Collision!"&amp;Event!$G$3&amp;":"&amp;Event!$G$3),$B241,INDIRECT("Collision!"&amp;Severity!$C$3&amp;":"&amp;Severity!$C$3),F$148), COUNTIFS(INDIRECT("Collision!"&amp;Event!$G$4&amp;":"&amp;Event!$G$4),$B241,INDIRECT("Collision!"&amp;Severity!$C$3&amp;":"&amp;Severity!$C$3),F$148))</f>
        <v>#REF!</v>
      </c>
      <c r="G241" s="71" t="e">
        <f t="shared" ca="1" si="6"/>
        <v>#REF!</v>
      </c>
      <c r="H241" s="69" t="e">
        <f t="shared" ca="1" si="7"/>
        <v>#REF!</v>
      </c>
      <c r="I241" s="71" t="e">
        <f t="shared" ca="1" si="8"/>
        <v>#REF!</v>
      </c>
      <c r="J241" s="82" t="e">
        <f ca="1">IF(G241=0,0,PCF_Severity2[[#This Row],[Crash Count]]/$I$283)</f>
        <v>#REF!</v>
      </c>
      <c r="K241" t="e">
        <f ca="1">SUM(PCF_Severity2[[#This Row],[Severe Injury]:[Other Injury]])</f>
        <v>#REF!</v>
      </c>
      <c r="L241" s="69" t="e">
        <f ca="1">PCF_Severity2[[#This Row],[Crash Count2]]/$K$283</f>
        <v>#REF!</v>
      </c>
      <c r="M241" s="86" t="str">
        <f>VLOOKUP(PCF_Severity2[[#This Row],[Crash Event]],PCF_3[[#Headers],[#Data]],4,FALSE)</f>
        <v>Detached trailing object struck other vehicle, non-motorist, or object</v>
      </c>
      <c r="Q241" s="84"/>
    </row>
    <row r="242" spans="2:17" ht="30" x14ac:dyDescent="0.25">
      <c r="B242" t="s">
        <v>182</v>
      </c>
      <c r="C242" s="71" t="e">
        <f ca="1">SUM(COUNTIFS(INDIRECT("Collision!"&amp;Event!$C$3&amp;":"&amp;Event!$C$3),$B242,INDIRECT("Collision!"&amp;Severity!$C$3&amp;":"&amp;Severity!$C$3),C$148), COUNTIFS(INDIRECT("Collision!"&amp;Event!$G$3&amp;":"&amp;Event!$G$3),$B242,INDIRECT("Collision!"&amp;Severity!$C$3&amp;":"&amp;Severity!$C$3),C$148), COUNTIFS(INDIRECT("Collision!"&amp;Event!$G$4&amp;":"&amp;Event!$G$4),$B242,INDIRECT("Collision!"&amp;Severity!$C$3&amp;":"&amp;Severity!$C$3),C$148))</f>
        <v>#REF!</v>
      </c>
      <c r="D242" s="71" t="e">
        <f ca="1">SUM(COUNTIFS(INDIRECT("Collision!"&amp;Event!$C$3&amp;":"&amp;Event!$C$3),$B242,INDIRECT("Collision!"&amp;Severity!$C$3&amp;":"&amp;Severity!$C$3),D$148), COUNTIFS(INDIRECT("Collision!"&amp;Event!$G$3&amp;":"&amp;Event!$G$3),$B242,INDIRECT("Collision!"&amp;Severity!$C$3&amp;":"&amp;Severity!$C$3),D$148), COUNTIFS(INDIRECT("Collision!"&amp;Event!$G$4&amp;":"&amp;Event!$G$4),$B242,INDIRECT("Collision!"&amp;Severity!$C$3&amp;":"&amp;Severity!$C$3),D$148))</f>
        <v>#REF!</v>
      </c>
      <c r="E242" s="71" t="e">
        <f t="array" aca="1" ref="E242" ca="1">SUM(COUNTIFS(INDIRECT("Collision!"&amp;Event!$C$3&amp;":"&amp;Event!$C$3),$B242,INDIRECT("Collision!"&amp;Severity!$C$3&amp;":"&amp;Severity!$C$3),{"Moderate Injury","Minor Injury"}), COUNTIFS(INDIRECT("Collision!"&amp;Event!$G$3&amp;":"&amp;Event!$G$3),$B242,INDIRECT("Collision!"&amp;Severity!$C$3&amp;":"&amp;Severity!$C$3),{"Moderate Injury","Minor Injury"}), COUNTIFS(INDIRECT("Collision!"&amp;Event!$G$4&amp;":"&amp;Event!$G$4),$B242,INDIRECT("Collision!"&amp;Severity!$C$3&amp;":"&amp;Severity!$C$3),{"Moderate Injury","Minor Injury"}))</f>
        <v>#REF!</v>
      </c>
      <c r="F242" s="71" t="e">
        <f ca="1">SUM(COUNTIFS(INDIRECT("Collision!"&amp;Event!$C$3&amp;":"&amp;Event!$C$3),$B242,INDIRECT("Collision!"&amp;Severity!$C$3&amp;":"&amp;Severity!$C$3),F$148), COUNTIFS(INDIRECT("Collision!"&amp;Event!$G$3&amp;":"&amp;Event!$G$3),$B242,INDIRECT("Collision!"&amp;Severity!$C$3&amp;":"&amp;Severity!$C$3),F$148), COUNTIFS(INDIRECT("Collision!"&amp;Event!$G$4&amp;":"&amp;Event!$G$4),$B242,INDIRECT("Collision!"&amp;Severity!$C$3&amp;":"&amp;Severity!$C$3),F$148))</f>
        <v>#REF!</v>
      </c>
      <c r="G242" s="71" t="e">
        <f t="shared" ca="1" si="6"/>
        <v>#REF!</v>
      </c>
      <c r="H242" s="69" t="e">
        <f t="shared" ca="1" si="7"/>
        <v>#REF!</v>
      </c>
      <c r="I242" s="71" t="e">
        <f t="shared" ca="1" si="8"/>
        <v>#REF!</v>
      </c>
      <c r="J242" s="82" t="e">
        <f ca="1">IF(G242=0,0,PCF_Severity2[[#This Row],[Crash Count]]/$I$283)</f>
        <v>#REF!</v>
      </c>
      <c r="K242" t="e">
        <f ca="1">SUM(PCF_Severity2[[#This Row],[Severe Injury]:[Other Injury]])</f>
        <v>#REF!</v>
      </c>
      <c r="L242" s="69" t="e">
        <f ca="1">PCF_Severity2[[#This Row],[Crash Count2]]/$K$283</f>
        <v>#REF!</v>
      </c>
      <c r="M242" s="86" t="str">
        <f>VLOOKUP(PCF_Severity2[[#This Row],[Crash Event]],PCF_3[[#Headers],[#Data]],4,FALSE)</f>
        <v>Wild animal, game (Includes birds; not deer or elk)</v>
      </c>
      <c r="Q242" s="84"/>
    </row>
    <row r="243" spans="2:17" x14ac:dyDescent="0.25">
      <c r="B243" t="s">
        <v>235</v>
      </c>
      <c r="C243" s="71" t="e">
        <f ca="1">SUM(COUNTIFS(INDIRECT("Collision!"&amp;Event!$C$3&amp;":"&amp;Event!$C$3),$B243,INDIRECT("Collision!"&amp;Severity!$C$3&amp;":"&amp;Severity!$C$3),C$148), COUNTIFS(INDIRECT("Collision!"&amp;Event!$G$3&amp;":"&amp;Event!$G$3),$B243,INDIRECT("Collision!"&amp;Severity!$C$3&amp;":"&amp;Severity!$C$3),C$148), COUNTIFS(INDIRECT("Collision!"&amp;Event!$G$4&amp;":"&amp;Event!$G$4),$B243,INDIRECT("Collision!"&amp;Severity!$C$3&amp;":"&amp;Severity!$C$3),C$148))</f>
        <v>#REF!</v>
      </c>
      <c r="D243" s="71" t="e">
        <f ca="1">SUM(COUNTIFS(INDIRECT("Collision!"&amp;Event!$C$3&amp;":"&amp;Event!$C$3),$B243,INDIRECT("Collision!"&amp;Severity!$C$3&amp;":"&amp;Severity!$C$3),D$148), COUNTIFS(INDIRECT("Collision!"&amp;Event!$G$3&amp;":"&amp;Event!$G$3),$B243,INDIRECT("Collision!"&amp;Severity!$C$3&amp;":"&amp;Severity!$C$3),D$148), COUNTIFS(INDIRECT("Collision!"&amp;Event!$G$4&amp;":"&amp;Event!$G$4),$B243,INDIRECT("Collision!"&amp;Severity!$C$3&amp;":"&amp;Severity!$C$3),D$148))</f>
        <v>#REF!</v>
      </c>
      <c r="E243" s="71" t="e">
        <f t="array" aca="1" ref="E243" ca="1">SUM(COUNTIFS(INDIRECT("Collision!"&amp;Event!$C$3&amp;":"&amp;Event!$C$3),$B243,INDIRECT("Collision!"&amp;Severity!$C$3&amp;":"&amp;Severity!$C$3),{"Moderate Injury","Minor Injury"}), COUNTIFS(INDIRECT("Collision!"&amp;Event!$G$3&amp;":"&amp;Event!$G$3),$B243,INDIRECT("Collision!"&amp;Severity!$C$3&amp;":"&amp;Severity!$C$3),{"Moderate Injury","Minor Injury"}), COUNTIFS(INDIRECT("Collision!"&amp;Event!$G$4&amp;":"&amp;Event!$G$4),$B243,INDIRECT("Collision!"&amp;Severity!$C$3&amp;":"&amp;Severity!$C$3),{"Moderate Injury","Minor Injury"}))</f>
        <v>#REF!</v>
      </c>
      <c r="F243" s="71" t="e">
        <f ca="1">SUM(COUNTIFS(INDIRECT("Collision!"&amp;Event!$C$3&amp;":"&amp;Event!$C$3),$B243,INDIRECT("Collision!"&amp;Severity!$C$3&amp;":"&amp;Severity!$C$3),F$148), COUNTIFS(INDIRECT("Collision!"&amp;Event!$G$3&amp;":"&amp;Event!$G$3),$B243,INDIRECT("Collision!"&amp;Severity!$C$3&amp;":"&amp;Severity!$C$3),F$148), COUNTIFS(INDIRECT("Collision!"&amp;Event!$G$4&amp;":"&amp;Event!$G$4),$B243,INDIRECT("Collision!"&amp;Severity!$C$3&amp;":"&amp;Severity!$C$3),F$148))</f>
        <v>#REF!</v>
      </c>
      <c r="G243" s="71" t="e">
        <f t="shared" ca="1" si="6"/>
        <v>#REF!</v>
      </c>
      <c r="H243" s="69" t="e">
        <f t="shared" ca="1" si="7"/>
        <v>#REF!</v>
      </c>
      <c r="I243" s="71" t="e">
        <f t="shared" ca="1" si="8"/>
        <v>#REF!</v>
      </c>
      <c r="J243" s="69" t="e">
        <f ca="1">IF(G243=0,0,PCF_Severity2[[#This Row],[Crash Count]]/$I$283)</f>
        <v>#REF!</v>
      </c>
      <c r="K243" t="e">
        <f ca="1">SUM(PCF_Severity2[[#This Row],[Severe Injury]:[Other Injury]])</f>
        <v>#REF!</v>
      </c>
      <c r="L243" s="69" t="e">
        <f ca="1">PCF_Severity2[[#This Row],[Crash Count2]]/$K$283</f>
        <v>#REF!</v>
      </c>
      <c r="M243" s="86" t="str">
        <f>VLOOKUP(PCF_Severity2[[#This Row],[Crash Event]],PCF_3[[#Headers],[#Data]],4,FALSE)</f>
        <v>Fire or explosion</v>
      </c>
      <c r="Q243" s="84"/>
    </row>
    <row r="244" spans="2:17" x14ac:dyDescent="0.25">
      <c r="B244" t="s">
        <v>272</v>
      </c>
      <c r="C244" s="71" t="e">
        <f ca="1">SUM(COUNTIFS(INDIRECT("Collision!"&amp;Event!$C$3&amp;":"&amp;Event!$C$3),$B244,INDIRECT("Collision!"&amp;Severity!$C$3&amp;":"&amp;Severity!$C$3),C$148), COUNTIFS(INDIRECT("Collision!"&amp;Event!$G$3&amp;":"&amp;Event!$G$3),$B244,INDIRECT("Collision!"&amp;Severity!$C$3&amp;":"&amp;Severity!$C$3),C$148), COUNTIFS(INDIRECT("Collision!"&amp;Event!$G$4&amp;":"&amp;Event!$G$4),$B244,INDIRECT("Collision!"&amp;Severity!$C$3&amp;":"&amp;Severity!$C$3),C$148))</f>
        <v>#REF!</v>
      </c>
      <c r="D244" s="71" t="e">
        <f ca="1">SUM(COUNTIFS(INDIRECT("Collision!"&amp;Event!$C$3&amp;":"&amp;Event!$C$3),$B244,INDIRECT("Collision!"&amp;Severity!$C$3&amp;":"&amp;Severity!$C$3),D$148), COUNTIFS(INDIRECT("Collision!"&amp;Event!$G$3&amp;":"&amp;Event!$G$3),$B244,INDIRECT("Collision!"&amp;Severity!$C$3&amp;":"&amp;Severity!$C$3),D$148), COUNTIFS(INDIRECT("Collision!"&amp;Event!$G$4&amp;":"&amp;Event!$G$4),$B244,INDIRECT("Collision!"&amp;Severity!$C$3&amp;":"&amp;Severity!$C$3),D$148))</f>
        <v>#REF!</v>
      </c>
      <c r="E244" s="71" t="e">
        <f t="array" aca="1" ref="E244" ca="1">SUM(COUNTIFS(INDIRECT("Collision!"&amp;Event!$C$3&amp;":"&amp;Event!$C$3),$B244,INDIRECT("Collision!"&amp;Severity!$C$3&amp;":"&amp;Severity!$C$3),{"Moderate Injury","Minor Injury"}), COUNTIFS(INDIRECT("Collision!"&amp;Event!$G$3&amp;":"&amp;Event!$G$3),$B244,INDIRECT("Collision!"&amp;Severity!$C$3&amp;":"&amp;Severity!$C$3),{"Moderate Injury","Minor Injury"}), COUNTIFS(INDIRECT("Collision!"&amp;Event!$G$4&amp;":"&amp;Event!$G$4),$B244,INDIRECT("Collision!"&amp;Severity!$C$3&amp;":"&amp;Severity!$C$3),{"Moderate Injury","Minor Injury"}))</f>
        <v>#REF!</v>
      </c>
      <c r="F244" s="71" t="e">
        <f ca="1">SUM(COUNTIFS(INDIRECT("Collision!"&amp;Event!$C$3&amp;":"&amp;Event!$C$3),$B244,INDIRECT("Collision!"&amp;Severity!$C$3&amp;":"&amp;Severity!$C$3),F$148), COUNTIFS(INDIRECT("Collision!"&amp;Event!$G$3&amp;":"&amp;Event!$G$3),$B244,INDIRECT("Collision!"&amp;Severity!$C$3&amp;":"&amp;Severity!$C$3),F$148), COUNTIFS(INDIRECT("Collision!"&amp;Event!$G$4&amp;":"&amp;Event!$G$4),$B244,INDIRECT("Collision!"&amp;Severity!$C$3&amp;":"&amp;Severity!$C$3),F$148))</f>
        <v>#REF!</v>
      </c>
      <c r="G244" s="71" t="e">
        <f t="shared" ca="1" si="6"/>
        <v>#REF!</v>
      </c>
      <c r="H244" s="69" t="e">
        <f t="shared" ca="1" si="7"/>
        <v>#REF!</v>
      </c>
      <c r="I244" s="71" t="e">
        <f t="shared" ca="1" si="8"/>
        <v>#REF!</v>
      </c>
      <c r="J244" s="69" t="e">
        <f ca="1">IF(G244=0,0,PCF_Severity2[[#This Row],[Crash Count]]/$I$283)</f>
        <v>#REF!</v>
      </c>
      <c r="K244" t="e">
        <f ca="1">SUM(PCF_Severity2[[#This Row],[Severe Injury]:[Other Injury]])</f>
        <v>#REF!</v>
      </c>
      <c r="L244" s="69" t="e">
        <f ca="1">PCF_Severity2[[#This Row],[Crash Count2]]/$K$283</f>
        <v>#REF!</v>
      </c>
      <c r="M244" s="86" t="str">
        <f>VLOOKUP(PCF_Severity2[[#This Row],[Crash Event]],PCF_3[[#Headers],[#Data]],4,FALSE)</f>
        <v>Shoulder gave way</v>
      </c>
      <c r="Q244" s="84"/>
    </row>
    <row r="245" spans="2:17" ht="30" x14ac:dyDescent="0.25">
      <c r="B245" t="s">
        <v>273</v>
      </c>
      <c r="C245" s="71" t="e">
        <f ca="1">SUM(COUNTIFS(INDIRECT("Collision!"&amp;Event!$C$3&amp;":"&amp;Event!$C$3),$B245,INDIRECT("Collision!"&amp;Severity!$C$3&amp;":"&amp;Severity!$C$3),C$148), COUNTIFS(INDIRECT("Collision!"&amp;Event!$G$3&amp;":"&amp;Event!$G$3),$B245,INDIRECT("Collision!"&amp;Severity!$C$3&amp;":"&amp;Severity!$C$3),C$148), COUNTIFS(INDIRECT("Collision!"&amp;Event!$G$4&amp;":"&amp;Event!$G$4),$B245,INDIRECT("Collision!"&amp;Severity!$C$3&amp;":"&amp;Severity!$C$3),C$148))</f>
        <v>#REF!</v>
      </c>
      <c r="D245" s="71" t="e">
        <f ca="1">SUM(COUNTIFS(INDIRECT("Collision!"&amp;Event!$C$3&amp;":"&amp;Event!$C$3),$B245,INDIRECT("Collision!"&amp;Severity!$C$3&amp;":"&amp;Severity!$C$3),D$148), COUNTIFS(INDIRECT("Collision!"&amp;Event!$G$3&amp;":"&amp;Event!$G$3),$B245,INDIRECT("Collision!"&amp;Severity!$C$3&amp;":"&amp;Severity!$C$3),D$148), COUNTIFS(INDIRECT("Collision!"&amp;Event!$G$4&amp;":"&amp;Event!$G$4),$B245,INDIRECT("Collision!"&amp;Severity!$C$3&amp;":"&amp;Severity!$C$3),D$148))</f>
        <v>#REF!</v>
      </c>
      <c r="E245" s="71" t="e">
        <f t="array" aca="1" ref="E245" ca="1">SUM(COUNTIFS(INDIRECT("Collision!"&amp;Event!$C$3&amp;":"&amp;Event!$C$3),$B245,INDIRECT("Collision!"&amp;Severity!$C$3&amp;":"&amp;Severity!$C$3),{"Moderate Injury","Minor Injury"}), COUNTIFS(INDIRECT("Collision!"&amp;Event!$G$3&amp;":"&amp;Event!$G$3),$B245,INDIRECT("Collision!"&amp;Severity!$C$3&amp;":"&amp;Severity!$C$3),{"Moderate Injury","Minor Injury"}), COUNTIFS(INDIRECT("Collision!"&amp;Event!$G$4&amp;":"&amp;Event!$G$4),$B245,INDIRECT("Collision!"&amp;Severity!$C$3&amp;":"&amp;Severity!$C$3),{"Moderate Injury","Minor Injury"}))</f>
        <v>#REF!</v>
      </c>
      <c r="F245" s="71" t="e">
        <f ca="1">SUM(COUNTIFS(INDIRECT("Collision!"&amp;Event!$C$3&amp;":"&amp;Event!$C$3),$B245,INDIRECT("Collision!"&amp;Severity!$C$3&amp;":"&amp;Severity!$C$3),F$148), COUNTIFS(INDIRECT("Collision!"&amp;Event!$G$3&amp;":"&amp;Event!$G$3),$B245,INDIRECT("Collision!"&amp;Severity!$C$3&amp;":"&amp;Severity!$C$3),F$148), COUNTIFS(INDIRECT("Collision!"&amp;Event!$G$4&amp;":"&amp;Event!$G$4),$B245,INDIRECT("Collision!"&amp;Severity!$C$3&amp;":"&amp;Severity!$C$3),F$148))</f>
        <v>#REF!</v>
      </c>
      <c r="G245" s="71" t="e">
        <f t="shared" ref="G245:G276" ca="1" si="9">SUM(C245:F245)</f>
        <v>#REF!</v>
      </c>
      <c r="H245" s="69" t="e">
        <f t="shared" ref="H245:H276" ca="1" si="10">G245/$G$283</f>
        <v>#REF!</v>
      </c>
      <c r="I245" s="71" t="e">
        <f t="shared" ref="I245:I281" ca="1" si="11">SUM(D245,C245)</f>
        <v>#REF!</v>
      </c>
      <c r="J245" s="69" t="e">
        <f ca="1">IF(G245=0,0,PCF_Severity2[[#This Row],[Crash Count]]/$I$283)</f>
        <v>#REF!</v>
      </c>
      <c r="K245" t="e">
        <f ca="1">SUM(PCF_Severity2[[#This Row],[Severe Injury]:[Other Injury]])</f>
        <v>#REF!</v>
      </c>
      <c r="L245" s="69" t="e">
        <f ca="1">PCF_Severity2[[#This Row],[Crash Count2]]/$K$283</f>
        <v>#REF!</v>
      </c>
      <c r="M245" s="86" t="str">
        <f>VLOOKUP(PCF_Severity2[[#This Row],[Crash Event]],PCF_3[[#Headers],[#Data]],4,FALSE)</f>
        <v>Rocks / boulder (Not gravel; not rock slide)</v>
      </c>
      <c r="Q245" s="84"/>
    </row>
    <row r="246" spans="2:17" ht="30" x14ac:dyDescent="0.25">
      <c r="B246" t="s">
        <v>277</v>
      </c>
      <c r="C246" s="71" t="e">
        <f ca="1">SUM(COUNTIFS(INDIRECT("Collision!"&amp;Event!$C$3&amp;":"&amp;Event!$C$3),$B246,INDIRECT("Collision!"&amp;Severity!$C$3&amp;":"&amp;Severity!$C$3),C$148), COUNTIFS(INDIRECT("Collision!"&amp;Event!$G$3&amp;":"&amp;Event!$G$3),$B246,INDIRECT("Collision!"&amp;Severity!$C$3&amp;":"&amp;Severity!$C$3),C$148), COUNTIFS(INDIRECT("Collision!"&amp;Event!$G$4&amp;":"&amp;Event!$G$4),$B246,INDIRECT("Collision!"&amp;Severity!$C$3&amp;":"&amp;Severity!$C$3),C$148))</f>
        <v>#REF!</v>
      </c>
      <c r="D246" s="71" t="e">
        <f ca="1">SUM(COUNTIFS(INDIRECT("Collision!"&amp;Event!$C$3&amp;":"&amp;Event!$C$3),$B246,INDIRECT("Collision!"&amp;Severity!$C$3&amp;":"&amp;Severity!$C$3),D$148), COUNTIFS(INDIRECT("Collision!"&amp;Event!$G$3&amp;":"&amp;Event!$G$3),$B246,INDIRECT("Collision!"&amp;Severity!$C$3&amp;":"&amp;Severity!$C$3),D$148), COUNTIFS(INDIRECT("Collision!"&amp;Event!$G$4&amp;":"&amp;Event!$G$4),$B246,INDIRECT("Collision!"&amp;Severity!$C$3&amp;":"&amp;Severity!$C$3),D$148))</f>
        <v>#REF!</v>
      </c>
      <c r="E246" s="71" t="e">
        <f t="array" aca="1" ref="E246" ca="1">SUM(COUNTIFS(INDIRECT("Collision!"&amp;Event!$C$3&amp;":"&amp;Event!$C$3),$B246,INDIRECT("Collision!"&amp;Severity!$C$3&amp;":"&amp;Severity!$C$3),{"Moderate Injury","Minor Injury"}), COUNTIFS(INDIRECT("Collision!"&amp;Event!$G$3&amp;":"&amp;Event!$G$3),$B246,INDIRECT("Collision!"&amp;Severity!$C$3&amp;":"&amp;Severity!$C$3),{"Moderate Injury","Minor Injury"}), COUNTIFS(INDIRECT("Collision!"&amp;Event!$G$4&amp;":"&amp;Event!$G$4),$B246,INDIRECT("Collision!"&amp;Severity!$C$3&amp;":"&amp;Severity!$C$3),{"Moderate Injury","Minor Injury"}))</f>
        <v>#REF!</v>
      </c>
      <c r="F246" s="71" t="e">
        <f ca="1">SUM(COUNTIFS(INDIRECT("Collision!"&amp;Event!$C$3&amp;":"&amp;Event!$C$3),$B246,INDIRECT("Collision!"&amp;Severity!$C$3&amp;":"&amp;Severity!$C$3),F$148), COUNTIFS(INDIRECT("Collision!"&amp;Event!$G$3&amp;":"&amp;Event!$G$3),$B246,INDIRECT("Collision!"&amp;Severity!$C$3&amp;":"&amp;Severity!$C$3),F$148), COUNTIFS(INDIRECT("Collision!"&amp;Event!$G$4&amp;":"&amp;Event!$G$4),$B246,INDIRECT("Collision!"&amp;Severity!$C$3&amp;":"&amp;Severity!$C$3),F$148))</f>
        <v>#REF!</v>
      </c>
      <c r="G246" s="71" t="e">
        <f t="shared" ca="1" si="9"/>
        <v>#REF!</v>
      </c>
      <c r="H246" s="69" t="e">
        <f t="shared" ca="1" si="10"/>
        <v>#REF!</v>
      </c>
      <c r="I246" s="71" t="e">
        <f t="shared" ca="1" si="11"/>
        <v>#REF!</v>
      </c>
      <c r="J246" s="69" t="e">
        <f ca="1">IF(G246=0,0,PCF_Severity2[[#This Row],[Crash Count]]/$I$283)</f>
        <v>#REF!</v>
      </c>
      <c r="K246" t="e">
        <f ca="1">SUM(PCF_Severity2[[#This Row],[Severe Injury]:[Other Injury]])</f>
        <v>#REF!</v>
      </c>
      <c r="L246" s="69" t="e">
        <f ca="1">PCF_Severity2[[#This Row],[Crash Count2]]/$K$283</f>
        <v>#REF!</v>
      </c>
      <c r="M246" s="86" t="str">
        <f>VLOOKUP(PCF_Severity2[[#This Row],[Crash Event]],PCF_3[[#Headers],[#Data]],4,FALSE)</f>
        <v>View obscured by curve (Do not use with code 128)</v>
      </c>
      <c r="Q246" s="84"/>
    </row>
    <row r="247" spans="2:17" ht="30" x14ac:dyDescent="0.25">
      <c r="B247" t="s">
        <v>279</v>
      </c>
      <c r="C247" s="71" t="e">
        <f ca="1">SUM(COUNTIFS(INDIRECT("Collision!"&amp;Event!$C$3&amp;":"&amp;Event!$C$3),$B247,INDIRECT("Collision!"&amp;Severity!$C$3&amp;":"&amp;Severity!$C$3),C$148), COUNTIFS(INDIRECT("Collision!"&amp;Event!$G$3&amp;":"&amp;Event!$G$3),$B247,INDIRECT("Collision!"&amp;Severity!$C$3&amp;":"&amp;Severity!$C$3),C$148), COUNTIFS(INDIRECT("Collision!"&amp;Event!$G$4&amp;":"&amp;Event!$G$4),$B247,INDIRECT("Collision!"&amp;Severity!$C$3&amp;":"&amp;Severity!$C$3),C$148))</f>
        <v>#REF!</v>
      </c>
      <c r="D247" s="71" t="e">
        <f ca="1">SUM(COUNTIFS(INDIRECT("Collision!"&amp;Event!$C$3&amp;":"&amp;Event!$C$3),$B247,INDIRECT("Collision!"&amp;Severity!$C$3&amp;":"&amp;Severity!$C$3),D$148), COUNTIFS(INDIRECT("Collision!"&amp;Event!$G$3&amp;":"&amp;Event!$G$3),$B247,INDIRECT("Collision!"&amp;Severity!$C$3&amp;":"&amp;Severity!$C$3),D$148), COUNTIFS(INDIRECT("Collision!"&amp;Event!$G$4&amp;":"&amp;Event!$G$4),$B247,INDIRECT("Collision!"&amp;Severity!$C$3&amp;":"&amp;Severity!$C$3),D$148))</f>
        <v>#REF!</v>
      </c>
      <c r="E247" s="71" t="e">
        <f t="array" aca="1" ref="E247" ca="1">SUM(COUNTIFS(INDIRECT("Collision!"&amp;Event!$C$3&amp;":"&amp;Event!$C$3),$B247,INDIRECT("Collision!"&amp;Severity!$C$3&amp;":"&amp;Severity!$C$3),{"Moderate Injury","Minor Injury"}), COUNTIFS(INDIRECT("Collision!"&amp;Event!$G$3&amp;":"&amp;Event!$G$3),$B247,INDIRECT("Collision!"&amp;Severity!$C$3&amp;":"&amp;Severity!$C$3),{"Moderate Injury","Minor Injury"}), COUNTIFS(INDIRECT("Collision!"&amp;Event!$G$4&amp;":"&amp;Event!$G$4),$B247,INDIRECT("Collision!"&amp;Severity!$C$3&amp;":"&amp;Severity!$C$3),{"Moderate Injury","Minor Injury"}))</f>
        <v>#REF!</v>
      </c>
      <c r="F247" s="71" t="e">
        <f ca="1">SUM(COUNTIFS(INDIRECT("Collision!"&amp;Event!$C$3&amp;":"&amp;Event!$C$3),$B247,INDIRECT("Collision!"&amp;Severity!$C$3&amp;":"&amp;Severity!$C$3),F$148), COUNTIFS(INDIRECT("Collision!"&amp;Event!$G$3&amp;":"&amp;Event!$G$3),$B247,INDIRECT("Collision!"&amp;Severity!$C$3&amp;":"&amp;Severity!$C$3),F$148), COUNTIFS(INDIRECT("Collision!"&amp;Event!$G$4&amp;":"&amp;Event!$G$4),$B247,INDIRECT("Collision!"&amp;Severity!$C$3&amp;":"&amp;Severity!$C$3),F$148))</f>
        <v>#REF!</v>
      </c>
      <c r="G247" s="71" t="e">
        <f t="shared" ca="1" si="9"/>
        <v>#REF!</v>
      </c>
      <c r="H247" s="69" t="e">
        <f t="shared" ca="1" si="10"/>
        <v>#REF!</v>
      </c>
      <c r="I247" s="71" t="e">
        <f t="shared" ca="1" si="11"/>
        <v>#REF!</v>
      </c>
      <c r="J247" s="69" t="e">
        <f ca="1">IF(G247=0,0,PCF_Severity2[[#This Row],[Crash Count]]/$I$283)</f>
        <v>#REF!</v>
      </c>
      <c r="K247" t="e">
        <f ca="1">SUM(PCF_Severity2[[#This Row],[Severe Injury]:[Other Injury]])</f>
        <v>#REF!</v>
      </c>
      <c r="L247" s="69" t="e">
        <f ca="1">PCF_Severity2[[#This Row],[Crash Count2]]/$K$283</f>
        <v>#REF!</v>
      </c>
      <c r="M247" s="86" t="str">
        <f>VLOOKUP(PCF_Severity2[[#This Row],[Crash Event]],PCF_3[[#Headers],[#Data]],4,FALSE)</f>
        <v>View obscured by vehicle window conditions</v>
      </c>
      <c r="Q247" s="84"/>
    </row>
    <row r="248" spans="2:17" x14ac:dyDescent="0.25">
      <c r="B248" t="s">
        <v>202</v>
      </c>
      <c r="C248" s="71" t="e">
        <f ca="1">SUM(COUNTIFS(INDIRECT("Collision!"&amp;Event!$C$3&amp;":"&amp;Event!$C$3),$B248,INDIRECT("Collision!"&amp;Severity!$C$3&amp;":"&amp;Severity!$C$3),C$148), COUNTIFS(INDIRECT("Collision!"&amp;Event!$G$3&amp;":"&amp;Event!$G$3),$B248,INDIRECT("Collision!"&amp;Severity!$C$3&amp;":"&amp;Severity!$C$3),C$148), COUNTIFS(INDIRECT("Collision!"&amp;Event!$G$4&amp;":"&amp;Event!$G$4),$B248,INDIRECT("Collision!"&amp;Severity!$C$3&amp;":"&amp;Severity!$C$3),C$148))</f>
        <v>#REF!</v>
      </c>
      <c r="D248" s="71" t="e">
        <f ca="1">SUM(COUNTIFS(INDIRECT("Collision!"&amp;Event!$C$3&amp;":"&amp;Event!$C$3),$B248,INDIRECT("Collision!"&amp;Severity!$C$3&amp;":"&amp;Severity!$C$3),D$148), COUNTIFS(INDIRECT("Collision!"&amp;Event!$G$3&amp;":"&amp;Event!$G$3),$B248,INDIRECT("Collision!"&amp;Severity!$C$3&amp;":"&amp;Severity!$C$3),D$148), COUNTIFS(INDIRECT("Collision!"&amp;Event!$G$4&amp;":"&amp;Event!$G$4),$B248,INDIRECT("Collision!"&amp;Severity!$C$3&amp;":"&amp;Severity!$C$3),D$148))</f>
        <v>#REF!</v>
      </c>
      <c r="E248" s="71" t="e">
        <f t="array" aca="1" ref="E248" ca="1">SUM(COUNTIFS(INDIRECT("Collision!"&amp;Event!$C$3&amp;":"&amp;Event!$C$3),$B248,INDIRECT("Collision!"&amp;Severity!$C$3&amp;":"&amp;Severity!$C$3),{"Moderate Injury","Minor Injury"}), COUNTIFS(INDIRECT("Collision!"&amp;Event!$G$3&amp;":"&amp;Event!$G$3),$B248,INDIRECT("Collision!"&amp;Severity!$C$3&amp;":"&amp;Severity!$C$3),{"Moderate Injury","Minor Injury"}), COUNTIFS(INDIRECT("Collision!"&amp;Event!$G$4&amp;":"&amp;Event!$G$4),$B248,INDIRECT("Collision!"&amp;Severity!$C$3&amp;":"&amp;Severity!$C$3),{"Moderate Injury","Minor Injury"}))</f>
        <v>#REF!</v>
      </c>
      <c r="F248" s="71" t="e">
        <f ca="1">SUM(COUNTIFS(INDIRECT("Collision!"&amp;Event!$C$3&amp;":"&amp;Event!$C$3),$B248,INDIRECT("Collision!"&amp;Severity!$C$3&amp;":"&amp;Severity!$C$3),F$148), COUNTIFS(INDIRECT("Collision!"&amp;Event!$G$3&amp;":"&amp;Event!$G$3),$B248,INDIRECT("Collision!"&amp;Severity!$C$3&amp;":"&amp;Severity!$C$3),F$148), COUNTIFS(INDIRECT("Collision!"&amp;Event!$G$4&amp;":"&amp;Event!$G$4),$B248,INDIRECT("Collision!"&amp;Severity!$C$3&amp;":"&amp;Severity!$C$3),F$148))</f>
        <v>#REF!</v>
      </c>
      <c r="G248" s="71" t="e">
        <f t="shared" ca="1" si="9"/>
        <v>#REF!</v>
      </c>
      <c r="H248" s="69" t="e">
        <f t="shared" ca="1" si="10"/>
        <v>#REF!</v>
      </c>
      <c r="I248" s="71" t="e">
        <f t="shared" ca="1" si="11"/>
        <v>#REF!</v>
      </c>
      <c r="J248" s="69" t="e">
        <f ca="1">IF(G248=0,0,PCF_Severity2[[#This Row],[Crash Count]]/$I$283)</f>
        <v>#REF!</v>
      </c>
      <c r="K248" t="e">
        <f ca="1">SUM(PCF_Severity2[[#This Row],[Severe Injury]:[Other Injury]])</f>
        <v>#REF!</v>
      </c>
      <c r="L248" s="69" t="e">
        <f ca="1">PCF_Severity2[[#This Row],[Crash Count2]]/$K$283</f>
        <v>#REF!</v>
      </c>
      <c r="M248" s="86" t="str">
        <f>VLOOKUP(PCF_Severity2[[#This Row],[Crash Event]],PCF_3[[#Headers],[#Data]],4,FALSE)</f>
        <v>Pole - street light only</v>
      </c>
      <c r="Q248" s="84"/>
    </row>
    <row r="249" spans="2:17" x14ac:dyDescent="0.25">
      <c r="B249" t="s">
        <v>205</v>
      </c>
      <c r="C249" s="71" t="e">
        <f ca="1">SUM(COUNTIFS(INDIRECT("Collision!"&amp;Event!$C$3&amp;":"&amp;Event!$C$3),$B249,INDIRECT("Collision!"&amp;Severity!$C$3&amp;":"&amp;Severity!$C$3),C$148), COUNTIFS(INDIRECT("Collision!"&amp;Event!$G$3&amp;":"&amp;Event!$G$3),$B249,INDIRECT("Collision!"&amp;Severity!$C$3&amp;":"&amp;Severity!$C$3),C$148), COUNTIFS(INDIRECT("Collision!"&amp;Event!$G$4&amp;":"&amp;Event!$G$4),$B249,INDIRECT("Collision!"&amp;Severity!$C$3&amp;":"&amp;Severity!$C$3),C$148))</f>
        <v>#REF!</v>
      </c>
      <c r="D249" s="71" t="e">
        <f ca="1">SUM(COUNTIFS(INDIRECT("Collision!"&amp;Event!$C$3&amp;":"&amp;Event!$C$3),$B249,INDIRECT("Collision!"&amp;Severity!$C$3&amp;":"&amp;Severity!$C$3),D$148), COUNTIFS(INDIRECT("Collision!"&amp;Event!$G$3&amp;":"&amp;Event!$G$3),$B249,INDIRECT("Collision!"&amp;Severity!$C$3&amp;":"&amp;Severity!$C$3),D$148), COUNTIFS(INDIRECT("Collision!"&amp;Event!$G$4&amp;":"&amp;Event!$G$4),$B249,INDIRECT("Collision!"&amp;Severity!$C$3&amp;":"&amp;Severity!$C$3),D$148))</f>
        <v>#REF!</v>
      </c>
      <c r="E249" s="71" t="e">
        <f t="array" aca="1" ref="E249" ca="1">SUM(COUNTIFS(INDIRECT("Collision!"&amp;Event!$C$3&amp;":"&amp;Event!$C$3),$B249,INDIRECT("Collision!"&amp;Severity!$C$3&amp;":"&amp;Severity!$C$3),{"Moderate Injury","Minor Injury"}), COUNTIFS(INDIRECT("Collision!"&amp;Event!$G$3&amp;":"&amp;Event!$G$3),$B249,INDIRECT("Collision!"&amp;Severity!$C$3&amp;":"&amp;Severity!$C$3),{"Moderate Injury","Minor Injury"}), COUNTIFS(INDIRECT("Collision!"&amp;Event!$G$4&amp;":"&amp;Event!$G$4),$B249,INDIRECT("Collision!"&amp;Severity!$C$3&amp;":"&amp;Severity!$C$3),{"Moderate Injury","Minor Injury"}))</f>
        <v>#REF!</v>
      </c>
      <c r="F249" s="71" t="e">
        <f ca="1">SUM(COUNTIFS(INDIRECT("Collision!"&amp;Event!$C$3&amp;":"&amp;Event!$C$3),$B249,INDIRECT("Collision!"&amp;Severity!$C$3&amp;":"&amp;Severity!$C$3),F$148), COUNTIFS(INDIRECT("Collision!"&amp;Event!$G$3&amp;":"&amp;Event!$G$3),$B249,INDIRECT("Collision!"&amp;Severity!$C$3&amp;":"&amp;Severity!$C$3),F$148), COUNTIFS(INDIRECT("Collision!"&amp;Event!$G$4&amp;":"&amp;Event!$G$4),$B249,INDIRECT("Collision!"&amp;Severity!$C$3&amp;":"&amp;Severity!$C$3),F$148))</f>
        <v>#REF!</v>
      </c>
      <c r="G249" s="71" t="e">
        <f t="shared" ca="1" si="9"/>
        <v>#REF!</v>
      </c>
      <c r="H249" s="69" t="e">
        <f t="shared" ca="1" si="10"/>
        <v>#REF!</v>
      </c>
      <c r="I249" s="71" t="e">
        <f t="shared" ca="1" si="11"/>
        <v>#REF!</v>
      </c>
      <c r="J249" s="69" t="e">
        <f ca="1">IF(G249=0,0,PCF_Severity2[[#This Row],[Crash Count]]/$I$283)</f>
        <v>#REF!</v>
      </c>
      <c r="K249" t="e">
        <f ca="1">SUM(PCF_Severity2[[#This Row],[Severe Injury]:[Other Injury]])</f>
        <v>#REF!</v>
      </c>
      <c r="L249" s="69" t="e">
        <f ca="1">PCF_Severity2[[#This Row],[Crash Count2]]/$K$283</f>
        <v>#REF!</v>
      </c>
      <c r="M249" s="86" t="str">
        <f>VLOOKUP(PCF_Severity2[[#This Row],[Crash Event]],PCF_3[[#Headers],[#Data]],4,FALSE)</f>
        <v>Stop or yield sign</v>
      </c>
      <c r="Q249" s="84"/>
    </row>
    <row r="250" spans="2:17" x14ac:dyDescent="0.25">
      <c r="B250" t="s">
        <v>248</v>
      </c>
      <c r="C250" s="71" t="e">
        <f ca="1">SUM(COUNTIFS(INDIRECT("Collision!"&amp;Event!$C$3&amp;":"&amp;Event!$C$3),$B250,INDIRECT("Collision!"&amp;Severity!$C$3&amp;":"&amp;Severity!$C$3),C$148), COUNTIFS(INDIRECT("Collision!"&amp;Event!$G$3&amp;":"&amp;Event!$G$3),$B250,INDIRECT("Collision!"&amp;Severity!$C$3&amp;":"&amp;Severity!$C$3),C$148), COUNTIFS(INDIRECT("Collision!"&amp;Event!$G$4&amp;":"&amp;Event!$G$4),$B250,INDIRECT("Collision!"&amp;Severity!$C$3&amp;":"&amp;Severity!$C$3),C$148))</f>
        <v>#REF!</v>
      </c>
      <c r="D250" s="71" t="e">
        <f ca="1">SUM(COUNTIFS(INDIRECT("Collision!"&amp;Event!$C$3&amp;":"&amp;Event!$C$3),$B250,INDIRECT("Collision!"&amp;Severity!$C$3&amp;":"&amp;Severity!$C$3),D$148), COUNTIFS(INDIRECT("Collision!"&amp;Event!$G$3&amp;":"&amp;Event!$G$3),$B250,INDIRECT("Collision!"&amp;Severity!$C$3&amp;":"&amp;Severity!$C$3),D$148), COUNTIFS(INDIRECT("Collision!"&amp;Event!$G$4&amp;":"&amp;Event!$G$4),$B250,INDIRECT("Collision!"&amp;Severity!$C$3&amp;":"&amp;Severity!$C$3),D$148))</f>
        <v>#REF!</v>
      </c>
      <c r="E250" s="71" t="e">
        <f t="array" aca="1" ref="E250" ca="1">SUM(COUNTIFS(INDIRECT("Collision!"&amp;Event!$C$3&amp;":"&amp;Event!$C$3),$B250,INDIRECT("Collision!"&amp;Severity!$C$3&amp;":"&amp;Severity!$C$3),{"Moderate Injury","Minor Injury"}), COUNTIFS(INDIRECT("Collision!"&amp;Event!$G$3&amp;":"&amp;Event!$G$3),$B250,INDIRECT("Collision!"&amp;Severity!$C$3&amp;":"&amp;Severity!$C$3),{"Moderate Injury","Minor Injury"}), COUNTIFS(INDIRECT("Collision!"&amp;Event!$G$4&amp;":"&amp;Event!$G$4),$B250,INDIRECT("Collision!"&amp;Severity!$C$3&amp;":"&amp;Severity!$C$3),{"Moderate Injury","Minor Injury"}))</f>
        <v>#REF!</v>
      </c>
      <c r="F250" s="71" t="e">
        <f ca="1">SUM(COUNTIFS(INDIRECT("Collision!"&amp;Event!$C$3&amp;":"&amp;Event!$C$3),$B250,INDIRECT("Collision!"&amp;Severity!$C$3&amp;":"&amp;Severity!$C$3),F$148), COUNTIFS(INDIRECT("Collision!"&amp;Event!$G$3&amp;":"&amp;Event!$G$3),$B250,INDIRECT("Collision!"&amp;Severity!$C$3&amp;":"&amp;Severity!$C$3),F$148), COUNTIFS(INDIRECT("Collision!"&amp;Event!$G$4&amp;":"&amp;Event!$G$4),$B250,INDIRECT("Collision!"&amp;Severity!$C$3&amp;":"&amp;Severity!$C$3),F$148))</f>
        <v>#REF!</v>
      </c>
      <c r="G250" s="71" t="e">
        <f t="shared" ca="1" si="9"/>
        <v>#REF!</v>
      </c>
      <c r="H250" s="69" t="e">
        <f t="shared" ca="1" si="10"/>
        <v>#REF!</v>
      </c>
      <c r="I250" s="71" t="e">
        <f t="shared" ca="1" si="11"/>
        <v>#REF!</v>
      </c>
      <c r="J250" s="69" t="e">
        <f ca="1">IF(G250=0,0,PCF_Severity2[[#This Row],[Crash Count]]/$I$283)</f>
        <v>#REF!</v>
      </c>
      <c r="K250" t="e">
        <f ca="1">SUM(PCF_Severity2[[#This Row],[Severe Injury]:[Other Injury]])</f>
        <v>#REF!</v>
      </c>
      <c r="L250" s="69" t="e">
        <f ca="1">PCF_Severity2[[#This Row],[Crash Count2]]/$K$283</f>
        <v>#REF!</v>
      </c>
      <c r="M250" s="86" t="str">
        <f>VLOOKUP(PCF_Severity2[[#This Row],[Crash Event]],PCF_3[[#Headers],[#Data]],4,FALSE)</f>
        <v>Fixed object, unknown type</v>
      </c>
      <c r="Q250" s="84"/>
    </row>
    <row r="251" spans="2:17" x14ac:dyDescent="0.25">
      <c r="B251" t="s">
        <v>258</v>
      </c>
      <c r="C251" s="71" t="e">
        <f ca="1">SUM(COUNTIFS(INDIRECT("Collision!"&amp;Event!$C$3&amp;":"&amp;Event!$C$3),$B251,INDIRECT("Collision!"&amp;Severity!$C$3&amp;":"&amp;Severity!$C$3),C$148), COUNTIFS(INDIRECT("Collision!"&amp;Event!$G$3&amp;":"&amp;Event!$G$3),$B251,INDIRECT("Collision!"&amp;Severity!$C$3&amp;":"&amp;Severity!$C$3),C$148), COUNTIFS(INDIRECT("Collision!"&amp;Event!$G$4&amp;":"&amp;Event!$G$4),$B251,INDIRECT("Collision!"&amp;Severity!$C$3&amp;":"&amp;Severity!$C$3),C$148))</f>
        <v>#REF!</v>
      </c>
      <c r="D251" s="71" t="e">
        <f ca="1">SUM(COUNTIFS(INDIRECT("Collision!"&amp;Event!$C$3&amp;":"&amp;Event!$C$3),$B251,INDIRECT("Collision!"&amp;Severity!$C$3&amp;":"&amp;Severity!$C$3),D$148), COUNTIFS(INDIRECT("Collision!"&amp;Event!$G$3&amp;":"&amp;Event!$G$3),$B251,INDIRECT("Collision!"&amp;Severity!$C$3&amp;":"&amp;Severity!$C$3),D$148), COUNTIFS(INDIRECT("Collision!"&amp;Event!$G$4&amp;":"&amp;Event!$G$4),$B251,INDIRECT("Collision!"&amp;Severity!$C$3&amp;":"&amp;Severity!$C$3),D$148))</f>
        <v>#REF!</v>
      </c>
      <c r="E251" s="71" t="e">
        <f t="array" aca="1" ref="E251" ca="1">SUM(COUNTIFS(INDIRECT("Collision!"&amp;Event!$C$3&amp;":"&amp;Event!$C$3),$B251,INDIRECT("Collision!"&amp;Severity!$C$3&amp;":"&amp;Severity!$C$3),{"Moderate Injury","Minor Injury"}), COUNTIFS(INDIRECT("Collision!"&amp;Event!$G$3&amp;":"&amp;Event!$G$3),$B251,INDIRECT("Collision!"&amp;Severity!$C$3&amp;":"&amp;Severity!$C$3),{"Moderate Injury","Minor Injury"}), COUNTIFS(INDIRECT("Collision!"&amp;Event!$G$4&amp;":"&amp;Event!$G$4),$B251,INDIRECT("Collision!"&amp;Severity!$C$3&amp;":"&amp;Severity!$C$3),{"Moderate Injury","Minor Injury"}))</f>
        <v>#REF!</v>
      </c>
      <c r="F251" s="71" t="e">
        <f ca="1">SUM(COUNTIFS(INDIRECT("Collision!"&amp;Event!$C$3&amp;":"&amp;Event!$C$3),$B251,INDIRECT("Collision!"&amp;Severity!$C$3&amp;":"&amp;Severity!$C$3),F$148), COUNTIFS(INDIRECT("Collision!"&amp;Event!$G$3&amp;":"&amp;Event!$G$3),$B251,INDIRECT("Collision!"&amp;Severity!$C$3&amp;":"&amp;Severity!$C$3),F$148), COUNTIFS(INDIRECT("Collision!"&amp;Event!$G$4&amp;":"&amp;Event!$G$4),$B251,INDIRECT("Collision!"&amp;Severity!$C$3&amp;":"&amp;Severity!$C$3),F$148))</f>
        <v>#REF!</v>
      </c>
      <c r="G251" s="71" t="e">
        <f t="shared" ca="1" si="9"/>
        <v>#REF!</v>
      </c>
      <c r="H251" s="69" t="e">
        <f t="shared" ca="1" si="10"/>
        <v>#REF!</v>
      </c>
      <c r="I251" s="71" t="e">
        <f t="shared" ca="1" si="11"/>
        <v>#REF!</v>
      </c>
      <c r="J251" s="69" t="e">
        <f ca="1">IF(G251=0,0,PCF_Severity2[[#This Row],[Crash Count]]/$I$283)</f>
        <v>#REF!</v>
      </c>
      <c r="K251" t="e">
        <f ca="1">SUM(PCF_Severity2[[#This Row],[Severe Injury]:[Other Injury]])</f>
        <v>#REF!</v>
      </c>
      <c r="L251" s="69" t="e">
        <f ca="1">PCF_Severity2[[#This Row],[Crash Count2]]/$K$283</f>
        <v>#REF!</v>
      </c>
      <c r="M251" s="86" t="str">
        <f>VLOOKUP(PCF_Severity2[[#This Row],[Crash Event]],PCF_3[[#Headers],[#Data]],4,FALSE)</f>
        <v>Non-motorist struck vehicle</v>
      </c>
      <c r="Q251" s="84"/>
    </row>
    <row r="252" spans="2:17" x14ac:dyDescent="0.25">
      <c r="B252" t="s">
        <v>115</v>
      </c>
      <c r="C252" s="71" t="e">
        <f ca="1">SUM(COUNTIFS(INDIRECT("Collision!"&amp;Event!$C$3&amp;":"&amp;Event!$C$3),$B252,INDIRECT("Collision!"&amp;Severity!$C$3&amp;":"&amp;Severity!$C$3),C$148), COUNTIFS(INDIRECT("Collision!"&amp;Event!$G$3&amp;":"&amp;Event!$G$3),$B252,INDIRECT("Collision!"&amp;Severity!$C$3&amp;":"&amp;Severity!$C$3),C$148), COUNTIFS(INDIRECT("Collision!"&amp;Event!$G$4&amp;":"&amp;Event!$G$4),$B252,INDIRECT("Collision!"&amp;Severity!$C$3&amp;":"&amp;Severity!$C$3),C$148))</f>
        <v>#REF!</v>
      </c>
      <c r="D252" s="71" t="e">
        <f ca="1">SUM(COUNTIFS(INDIRECT("Collision!"&amp;Event!$C$3&amp;":"&amp;Event!$C$3),$B252,INDIRECT("Collision!"&amp;Severity!$C$3&amp;":"&amp;Severity!$C$3),D$148), COUNTIFS(INDIRECT("Collision!"&amp;Event!$G$3&amp;":"&amp;Event!$G$3),$B252,INDIRECT("Collision!"&amp;Severity!$C$3&amp;":"&amp;Severity!$C$3),D$148), COUNTIFS(INDIRECT("Collision!"&amp;Event!$G$4&amp;":"&amp;Event!$G$4),$B252,INDIRECT("Collision!"&amp;Severity!$C$3&amp;":"&amp;Severity!$C$3),D$148))</f>
        <v>#REF!</v>
      </c>
      <c r="E252" s="71" t="e">
        <f t="array" aca="1" ref="E252" ca="1">SUM(COUNTIFS(INDIRECT("Collision!"&amp;Event!$C$3&amp;":"&amp;Event!$C$3),$B252,INDIRECT("Collision!"&amp;Severity!$C$3&amp;":"&amp;Severity!$C$3),{"Moderate Injury","Minor Injury"}), COUNTIFS(INDIRECT("Collision!"&amp;Event!$G$3&amp;":"&amp;Event!$G$3),$B252,INDIRECT("Collision!"&amp;Severity!$C$3&amp;":"&amp;Severity!$C$3),{"Moderate Injury","Minor Injury"}), COUNTIFS(INDIRECT("Collision!"&amp;Event!$G$4&amp;":"&amp;Event!$G$4),$B252,INDIRECT("Collision!"&amp;Severity!$C$3&amp;":"&amp;Severity!$C$3),{"Moderate Injury","Minor Injury"}))</f>
        <v>#REF!</v>
      </c>
      <c r="F252" s="71" t="e">
        <f ca="1">SUM(COUNTIFS(INDIRECT("Collision!"&amp;Event!$C$3&amp;":"&amp;Event!$C$3),$B252,INDIRECT("Collision!"&amp;Severity!$C$3&amp;":"&amp;Severity!$C$3),F$148), COUNTIFS(INDIRECT("Collision!"&amp;Event!$G$3&amp;":"&amp;Event!$G$3),$B252,INDIRECT("Collision!"&amp;Severity!$C$3&amp;":"&amp;Severity!$C$3),F$148), COUNTIFS(INDIRECT("Collision!"&amp;Event!$G$4&amp;":"&amp;Event!$G$4),$B252,INDIRECT("Collision!"&amp;Severity!$C$3&amp;":"&amp;Severity!$C$3),F$148))</f>
        <v>#REF!</v>
      </c>
      <c r="G252" s="71" t="e">
        <f t="shared" ca="1" si="9"/>
        <v>#REF!</v>
      </c>
      <c r="H252" s="69" t="e">
        <f t="shared" ca="1" si="10"/>
        <v>#REF!</v>
      </c>
      <c r="I252" s="71" t="e">
        <f t="shared" ca="1" si="11"/>
        <v>#REF!</v>
      </c>
      <c r="J252" s="82" t="e">
        <f ca="1">IF(G252=0,0,PCF_Severity2[[#This Row],[Crash Count]]/$I$283)</f>
        <v>#REF!</v>
      </c>
      <c r="K252" t="e">
        <f ca="1">SUM(PCF_Severity2[[#This Row],[Severe Injury]:[Other Injury]])</f>
        <v>#REF!</v>
      </c>
      <c r="L252" s="69" t="e">
        <f ca="1">PCF_Severity2[[#This Row],[Crash Count2]]/$K$283</f>
        <v>#REF!</v>
      </c>
      <c r="M252" s="86" t="str">
        <f>VLOOKUP(PCF_Severity2[[#This Row],[Crash Event]],PCF_3[[#Headers],[#Data]],4,FALSE)</f>
        <v>Tire failure</v>
      </c>
      <c r="Q252" s="84"/>
    </row>
    <row r="253" spans="2:17" x14ac:dyDescent="0.25">
      <c r="B253" t="s">
        <v>185</v>
      </c>
      <c r="C253" s="71" t="e">
        <f ca="1">SUM(COUNTIFS(INDIRECT("Collision!"&amp;Event!$C$3&amp;":"&amp;Event!$C$3),$B253,INDIRECT("Collision!"&amp;Severity!$C$3&amp;":"&amp;Severity!$C$3),C$148), COUNTIFS(INDIRECT("Collision!"&amp;Event!$G$3&amp;":"&amp;Event!$G$3),$B253,INDIRECT("Collision!"&amp;Severity!$C$3&amp;":"&amp;Severity!$C$3),C$148), COUNTIFS(INDIRECT("Collision!"&amp;Event!$G$4&amp;":"&amp;Event!$G$4),$B253,INDIRECT("Collision!"&amp;Severity!$C$3&amp;":"&amp;Severity!$C$3),C$148))</f>
        <v>#REF!</v>
      </c>
      <c r="D253" s="71" t="e">
        <f ca="1">SUM(COUNTIFS(INDIRECT("Collision!"&amp;Event!$C$3&amp;":"&amp;Event!$C$3),$B253,INDIRECT("Collision!"&amp;Severity!$C$3&amp;":"&amp;Severity!$C$3),D$148), COUNTIFS(INDIRECT("Collision!"&amp;Event!$G$3&amp;":"&amp;Event!$G$3),$B253,INDIRECT("Collision!"&amp;Severity!$C$3&amp;":"&amp;Severity!$C$3),D$148), COUNTIFS(INDIRECT("Collision!"&amp;Event!$G$4&amp;":"&amp;Event!$G$4),$B253,INDIRECT("Collision!"&amp;Severity!$C$3&amp;":"&amp;Severity!$C$3),D$148))</f>
        <v>#REF!</v>
      </c>
      <c r="E253" s="71" t="e">
        <f t="array" aca="1" ref="E253" ca="1">SUM(COUNTIFS(INDIRECT("Collision!"&amp;Event!$C$3&amp;":"&amp;Event!$C$3),$B253,INDIRECT("Collision!"&amp;Severity!$C$3&amp;":"&amp;Severity!$C$3),{"Moderate Injury","Minor Injury"}), COUNTIFS(INDIRECT("Collision!"&amp;Event!$G$3&amp;":"&amp;Event!$G$3),$B253,INDIRECT("Collision!"&amp;Severity!$C$3&amp;":"&amp;Severity!$C$3),{"Moderate Injury","Minor Injury"}), COUNTIFS(INDIRECT("Collision!"&amp;Event!$G$4&amp;":"&amp;Event!$G$4),$B253,INDIRECT("Collision!"&amp;Severity!$C$3&amp;":"&amp;Severity!$C$3),{"Moderate Injury","Minor Injury"}))</f>
        <v>#REF!</v>
      </c>
      <c r="F253" s="71" t="e">
        <f ca="1">SUM(COUNTIFS(INDIRECT("Collision!"&amp;Event!$C$3&amp;":"&amp;Event!$C$3),$B253,INDIRECT("Collision!"&amp;Severity!$C$3&amp;":"&amp;Severity!$C$3),F$148), COUNTIFS(INDIRECT("Collision!"&amp;Event!$G$3&amp;":"&amp;Event!$G$3),$B253,INDIRECT("Collision!"&amp;Severity!$C$3&amp;":"&amp;Severity!$C$3),F$148), COUNTIFS(INDIRECT("Collision!"&amp;Event!$G$4&amp;":"&amp;Event!$G$4),$B253,INDIRECT("Collision!"&amp;Severity!$C$3&amp;":"&amp;Severity!$C$3),F$148))</f>
        <v>#REF!</v>
      </c>
      <c r="G253" s="71" t="e">
        <f t="shared" ca="1" si="9"/>
        <v>#REF!</v>
      </c>
      <c r="H253" s="69" t="e">
        <f t="shared" ca="1" si="10"/>
        <v>#REF!</v>
      </c>
      <c r="I253" s="71" t="e">
        <f t="shared" ca="1" si="11"/>
        <v>#REF!</v>
      </c>
      <c r="J253" s="69" t="e">
        <f ca="1">IF(G253=0,0,PCF_Severity2[[#This Row],[Crash Count]]/$I$283)</f>
        <v>#REF!</v>
      </c>
      <c r="K253" t="e">
        <f ca="1">SUM(PCF_Severity2[[#This Row],[Severe Injury]:[Other Injury]])</f>
        <v>#REF!</v>
      </c>
      <c r="L253" s="69" t="e">
        <f ca="1">PCF_Severity2[[#This Row],[Crash Count2]]/$K$283</f>
        <v>#REF!</v>
      </c>
      <c r="M253" s="86" t="str">
        <f>VLOOKUP(PCF_Severity2[[#This Row],[Crash Event]],PCF_3[[#Headers],[#Data]],4,FALSE)</f>
        <v>Culvert, open low or high manhole</v>
      </c>
      <c r="Q253" s="84"/>
    </row>
    <row r="254" spans="2:17" ht="30" x14ac:dyDescent="0.25">
      <c r="B254" t="s">
        <v>194</v>
      </c>
      <c r="C254" s="71" t="e">
        <f ca="1">SUM(COUNTIFS(INDIRECT("Collision!"&amp;Event!$C$3&amp;":"&amp;Event!$C$3),$B254,INDIRECT("Collision!"&amp;Severity!$C$3&amp;":"&amp;Severity!$C$3),C$148), COUNTIFS(INDIRECT("Collision!"&amp;Event!$G$3&amp;":"&amp;Event!$G$3),$B254,INDIRECT("Collision!"&amp;Severity!$C$3&amp;":"&amp;Severity!$C$3),C$148), COUNTIFS(INDIRECT("Collision!"&amp;Event!$G$4&amp;":"&amp;Event!$G$4),$B254,INDIRECT("Collision!"&amp;Severity!$C$3&amp;":"&amp;Severity!$C$3),C$148))</f>
        <v>#REF!</v>
      </c>
      <c r="D254" s="71" t="e">
        <f ca="1">SUM(COUNTIFS(INDIRECT("Collision!"&amp;Event!$C$3&amp;":"&amp;Event!$C$3),$B254,INDIRECT("Collision!"&amp;Severity!$C$3&amp;":"&amp;Severity!$C$3),D$148), COUNTIFS(INDIRECT("Collision!"&amp;Event!$G$3&amp;":"&amp;Event!$G$3),$B254,INDIRECT("Collision!"&amp;Severity!$C$3&amp;":"&amp;Severity!$C$3),D$148), COUNTIFS(INDIRECT("Collision!"&amp;Event!$G$4&amp;":"&amp;Event!$G$4),$B254,INDIRECT("Collision!"&amp;Severity!$C$3&amp;":"&amp;Severity!$C$3),D$148))</f>
        <v>#REF!</v>
      </c>
      <c r="E254" s="71" t="e">
        <f t="array" aca="1" ref="E254" ca="1">SUM(COUNTIFS(INDIRECT("Collision!"&amp;Event!$C$3&amp;":"&amp;Event!$C$3),$B254,INDIRECT("Collision!"&amp;Severity!$C$3&amp;":"&amp;Severity!$C$3),{"Moderate Injury","Minor Injury"}), COUNTIFS(INDIRECT("Collision!"&amp;Event!$G$3&amp;":"&amp;Event!$G$3),$B254,INDIRECT("Collision!"&amp;Severity!$C$3&amp;":"&amp;Severity!$C$3),{"Moderate Injury","Minor Injury"}), COUNTIFS(INDIRECT("Collision!"&amp;Event!$G$4&amp;":"&amp;Event!$G$4),$B254,INDIRECT("Collision!"&amp;Severity!$C$3&amp;":"&amp;Severity!$C$3),{"Moderate Injury","Minor Injury"}))</f>
        <v>#REF!</v>
      </c>
      <c r="F254" s="71" t="e">
        <f ca="1">SUM(COUNTIFS(INDIRECT("Collision!"&amp;Event!$C$3&amp;":"&amp;Event!$C$3),$B254,INDIRECT("Collision!"&amp;Severity!$C$3&amp;":"&amp;Severity!$C$3),F$148), COUNTIFS(INDIRECT("Collision!"&amp;Event!$G$3&amp;":"&amp;Event!$G$3),$B254,INDIRECT("Collision!"&amp;Severity!$C$3&amp;":"&amp;Severity!$C$3),F$148), COUNTIFS(INDIRECT("Collision!"&amp;Event!$G$4&amp;":"&amp;Event!$G$4),$B254,INDIRECT("Collision!"&amp;Severity!$C$3&amp;":"&amp;Severity!$C$3),F$148))</f>
        <v>#REF!</v>
      </c>
      <c r="G254" s="71" t="e">
        <f t="shared" ca="1" si="9"/>
        <v>#REF!</v>
      </c>
      <c r="H254" s="69" t="e">
        <f t="shared" ca="1" si="10"/>
        <v>#REF!</v>
      </c>
      <c r="I254" s="71" t="e">
        <f t="shared" ca="1" si="11"/>
        <v>#REF!</v>
      </c>
      <c r="J254" s="69" t="e">
        <f ca="1">IF(G254=0,0,PCF_Severity2[[#This Row],[Crash Count]]/$I$283)</f>
        <v>#REF!</v>
      </c>
      <c r="K254" t="e">
        <f ca="1">SUM(PCF_Severity2[[#This Row],[Severe Injury]:[Other Injury]])</f>
        <v>#REF!</v>
      </c>
      <c r="L254" s="69" t="e">
        <f ca="1">PCF_Severity2[[#This Row],[Crash Count2]]/$K$283</f>
        <v>#REF!</v>
      </c>
      <c r="M254" s="86" t="str">
        <f>VLOOKUP(PCF_Severity2[[#This Row],[Crash Event]],PCF_3[[#Headers],[#Data]],4,FALSE)</f>
        <v>*Bridge railing or parapet (On bridge or approach)</v>
      </c>
      <c r="Q254" s="84"/>
    </row>
    <row r="255" spans="2:17" x14ac:dyDescent="0.25">
      <c r="B255" t="s">
        <v>267</v>
      </c>
      <c r="C255" s="71" t="e">
        <f ca="1">SUM(COUNTIFS(INDIRECT("Collision!"&amp;Event!$C$3&amp;":"&amp;Event!$C$3),$B255,INDIRECT("Collision!"&amp;Severity!$C$3&amp;":"&amp;Severity!$C$3),C$148), COUNTIFS(INDIRECT("Collision!"&amp;Event!$G$3&amp;":"&amp;Event!$G$3),$B255,INDIRECT("Collision!"&amp;Severity!$C$3&amp;":"&amp;Severity!$C$3),C$148), COUNTIFS(INDIRECT("Collision!"&amp;Event!$G$4&amp;":"&amp;Event!$G$4),$B255,INDIRECT("Collision!"&amp;Severity!$C$3&amp;":"&amp;Severity!$C$3),C$148))</f>
        <v>#REF!</v>
      </c>
      <c r="D255" s="71" t="e">
        <f ca="1">SUM(COUNTIFS(INDIRECT("Collision!"&amp;Event!$C$3&amp;":"&amp;Event!$C$3),$B255,INDIRECT("Collision!"&amp;Severity!$C$3&amp;":"&amp;Severity!$C$3),D$148), COUNTIFS(INDIRECT("Collision!"&amp;Event!$G$3&amp;":"&amp;Event!$G$3),$B255,INDIRECT("Collision!"&amp;Severity!$C$3&amp;":"&amp;Severity!$C$3),D$148), COUNTIFS(INDIRECT("Collision!"&amp;Event!$G$4&amp;":"&amp;Event!$G$4),$B255,INDIRECT("Collision!"&amp;Severity!$C$3&amp;":"&amp;Severity!$C$3),D$148))</f>
        <v>#REF!</v>
      </c>
      <c r="E255" s="71" t="e">
        <f t="array" aca="1" ref="E255" ca="1">SUM(COUNTIFS(INDIRECT("Collision!"&amp;Event!$C$3&amp;":"&amp;Event!$C$3),$B255,INDIRECT("Collision!"&amp;Severity!$C$3&amp;":"&amp;Severity!$C$3),{"Moderate Injury","Minor Injury"}), COUNTIFS(INDIRECT("Collision!"&amp;Event!$G$3&amp;":"&amp;Event!$G$3),$B255,INDIRECT("Collision!"&amp;Severity!$C$3&amp;":"&amp;Severity!$C$3),{"Moderate Injury","Minor Injury"}), COUNTIFS(INDIRECT("Collision!"&amp;Event!$G$4&amp;":"&amp;Event!$G$4),$B255,INDIRECT("Collision!"&amp;Severity!$C$3&amp;":"&amp;Severity!$C$3),{"Moderate Injury","Minor Injury"}))</f>
        <v>#REF!</v>
      </c>
      <c r="F255" s="71" t="e">
        <f ca="1">SUM(COUNTIFS(INDIRECT("Collision!"&amp;Event!$C$3&amp;":"&amp;Event!$C$3),$B255,INDIRECT("Collision!"&amp;Severity!$C$3&amp;":"&amp;Severity!$C$3),F$148), COUNTIFS(INDIRECT("Collision!"&amp;Event!$G$3&amp;":"&amp;Event!$G$3),$B255,INDIRECT("Collision!"&amp;Severity!$C$3&amp;":"&amp;Severity!$C$3),F$148), COUNTIFS(INDIRECT("Collision!"&amp;Event!$G$4&amp;":"&amp;Event!$G$4),$B255,INDIRECT("Collision!"&amp;Severity!$C$3&amp;":"&amp;Severity!$C$3),F$148))</f>
        <v>#REF!</v>
      </c>
      <c r="G255" s="71" t="e">
        <f t="shared" ca="1" si="9"/>
        <v>#REF!</v>
      </c>
      <c r="H255" s="69" t="e">
        <f t="shared" ca="1" si="10"/>
        <v>#REF!</v>
      </c>
      <c r="I255" s="71" t="e">
        <f t="shared" ca="1" si="11"/>
        <v>#REF!</v>
      </c>
      <c r="J255" s="69" t="e">
        <f ca="1">IF(G255=0,0,PCF_Severity2[[#This Row],[Crash Count]]/$I$283)</f>
        <v>#REF!</v>
      </c>
      <c r="K255" t="e">
        <f ca="1">SUM(PCF_Severity2[[#This Row],[Severe Injury]:[Other Injury]])</f>
        <v>#REF!</v>
      </c>
      <c r="L255" s="69" t="e">
        <f ca="1">PCF_Severity2[[#This Row],[Crash Count2]]/$K$283</f>
        <v>#REF!</v>
      </c>
      <c r="M255" s="86" t="str">
        <f>VLOOKUP(PCF_Severity2[[#This Row],[Crash Event]],PCF_3[[#Headers],[#Data]],4,FALSE)</f>
        <v>Jersey barrier</v>
      </c>
      <c r="Q255" s="84"/>
    </row>
    <row r="256" spans="2:17" ht="30" x14ac:dyDescent="0.25">
      <c r="B256" t="s">
        <v>278</v>
      </c>
      <c r="C256" s="71" t="e">
        <f ca="1">SUM(COUNTIFS(INDIRECT("Collision!"&amp;Event!$C$3&amp;":"&amp;Event!$C$3),$B256,INDIRECT("Collision!"&amp;Severity!$C$3&amp;":"&amp;Severity!$C$3),C$148), COUNTIFS(INDIRECT("Collision!"&amp;Event!$G$3&amp;":"&amp;Event!$G$3),$B256,INDIRECT("Collision!"&amp;Severity!$C$3&amp;":"&amp;Severity!$C$3),C$148), COUNTIFS(INDIRECT("Collision!"&amp;Event!$G$4&amp;":"&amp;Event!$G$4),$B256,INDIRECT("Collision!"&amp;Severity!$C$3&amp;":"&amp;Severity!$C$3),C$148))</f>
        <v>#REF!</v>
      </c>
      <c r="D256" s="71" t="e">
        <f ca="1">SUM(COUNTIFS(INDIRECT("Collision!"&amp;Event!$C$3&amp;":"&amp;Event!$C$3),$B256,INDIRECT("Collision!"&amp;Severity!$C$3&amp;":"&amp;Severity!$C$3),D$148), COUNTIFS(INDIRECT("Collision!"&amp;Event!$G$3&amp;":"&amp;Event!$G$3),$B256,INDIRECT("Collision!"&amp;Severity!$C$3&amp;":"&amp;Severity!$C$3),D$148), COUNTIFS(INDIRECT("Collision!"&amp;Event!$G$4&amp;":"&amp;Event!$G$4),$B256,INDIRECT("Collision!"&amp;Severity!$C$3&amp;":"&amp;Severity!$C$3),D$148))</f>
        <v>#REF!</v>
      </c>
      <c r="E256" s="71" t="e">
        <f t="array" aca="1" ref="E256" ca="1">SUM(COUNTIFS(INDIRECT("Collision!"&amp;Event!$C$3&amp;":"&amp;Event!$C$3),$B256,INDIRECT("Collision!"&amp;Severity!$C$3&amp;":"&amp;Severity!$C$3),{"Moderate Injury","Minor Injury"}), COUNTIFS(INDIRECT("Collision!"&amp;Event!$G$3&amp;":"&amp;Event!$G$3),$B256,INDIRECT("Collision!"&amp;Severity!$C$3&amp;":"&amp;Severity!$C$3),{"Moderate Injury","Minor Injury"}), COUNTIFS(INDIRECT("Collision!"&amp;Event!$G$4&amp;":"&amp;Event!$G$4),$B256,INDIRECT("Collision!"&amp;Severity!$C$3&amp;":"&amp;Severity!$C$3),{"Moderate Injury","Minor Injury"}))</f>
        <v>#REF!</v>
      </c>
      <c r="F256" s="71" t="e">
        <f ca="1">SUM(COUNTIFS(INDIRECT("Collision!"&amp;Event!$C$3&amp;":"&amp;Event!$C$3),$B256,INDIRECT("Collision!"&amp;Severity!$C$3&amp;":"&amp;Severity!$C$3),F$148), COUNTIFS(INDIRECT("Collision!"&amp;Event!$G$3&amp;":"&amp;Event!$G$3),$B256,INDIRECT("Collision!"&amp;Severity!$C$3&amp;":"&amp;Severity!$C$3),F$148), COUNTIFS(INDIRECT("Collision!"&amp;Event!$G$4&amp;":"&amp;Event!$G$4),$B256,INDIRECT("Collision!"&amp;Severity!$C$3&amp;":"&amp;Severity!$C$3),F$148))</f>
        <v>#REF!</v>
      </c>
      <c r="G256" s="71" t="e">
        <f t="shared" ca="1" si="9"/>
        <v>#REF!</v>
      </c>
      <c r="H256" s="69" t="e">
        <f t="shared" ca="1" si="10"/>
        <v>#REF!</v>
      </c>
      <c r="I256" s="71" t="e">
        <f t="shared" ca="1" si="11"/>
        <v>#REF!</v>
      </c>
      <c r="J256" s="69" t="e">
        <f ca="1">IF(G256=0,0,PCF_Severity2[[#This Row],[Crash Count]]/$I$283)</f>
        <v>#REF!</v>
      </c>
      <c r="K256" t="e">
        <f ca="1">SUM(PCF_Severity2[[#This Row],[Severe Injury]:[Other Injury]])</f>
        <v>#REF!</v>
      </c>
      <c r="L256" s="69" t="e">
        <f ca="1">PCF_Severity2[[#This Row],[Crash Count2]]/$K$283</f>
        <v>#REF!</v>
      </c>
      <c r="M256" s="86" t="str">
        <f>VLOOKUP(PCF_Severity2[[#This Row],[Crash Event]],PCF_3[[#Headers],[#Data]],4,FALSE)</f>
        <v>View obscured by vertical grade, hill (Do not use with code 129)</v>
      </c>
      <c r="Q256" s="84"/>
    </row>
    <row r="257" spans="2:17" ht="30" x14ac:dyDescent="0.25">
      <c r="B257" t="s">
        <v>153</v>
      </c>
      <c r="C257" s="71" t="e">
        <f ca="1">SUM(COUNTIFS(INDIRECT("Collision!"&amp;Event!$C$3&amp;":"&amp;Event!$C$3),$B257,INDIRECT("Collision!"&amp;Severity!$C$3&amp;":"&amp;Severity!$C$3),C$148), COUNTIFS(INDIRECT("Collision!"&amp;Event!$G$3&amp;":"&amp;Event!$G$3),$B257,INDIRECT("Collision!"&amp;Severity!$C$3&amp;":"&amp;Severity!$C$3),C$148), COUNTIFS(INDIRECT("Collision!"&amp;Event!$G$4&amp;":"&amp;Event!$G$4),$B257,INDIRECT("Collision!"&amp;Severity!$C$3&amp;":"&amp;Severity!$C$3),C$148))</f>
        <v>#REF!</v>
      </c>
      <c r="D257" s="71" t="e">
        <f ca="1">SUM(COUNTIFS(INDIRECT("Collision!"&amp;Event!$C$3&amp;":"&amp;Event!$C$3),$B257,INDIRECT("Collision!"&amp;Severity!$C$3&amp;":"&amp;Severity!$C$3),D$148), COUNTIFS(INDIRECT("Collision!"&amp;Event!$G$3&amp;":"&amp;Event!$G$3),$B257,INDIRECT("Collision!"&amp;Severity!$C$3&amp;":"&amp;Severity!$C$3),D$148), COUNTIFS(INDIRECT("Collision!"&amp;Event!$G$4&amp;":"&amp;Event!$G$4),$B257,INDIRECT("Collision!"&amp;Severity!$C$3&amp;":"&amp;Severity!$C$3),D$148))</f>
        <v>#REF!</v>
      </c>
      <c r="E257" s="71" t="e">
        <f t="array" aca="1" ref="E257" ca="1">SUM(COUNTIFS(INDIRECT("Collision!"&amp;Event!$C$3&amp;":"&amp;Event!$C$3),$B257,INDIRECT("Collision!"&amp;Severity!$C$3&amp;":"&amp;Severity!$C$3),{"Moderate Injury","Minor Injury"}), COUNTIFS(INDIRECT("Collision!"&amp;Event!$G$3&amp;":"&amp;Event!$G$3),$B257,INDIRECT("Collision!"&amp;Severity!$C$3&amp;":"&amp;Severity!$C$3),{"Moderate Injury","Minor Injury"}), COUNTIFS(INDIRECT("Collision!"&amp;Event!$G$4&amp;":"&amp;Event!$G$4),$B257,INDIRECT("Collision!"&amp;Severity!$C$3&amp;":"&amp;Severity!$C$3),{"Moderate Injury","Minor Injury"}))</f>
        <v>#REF!</v>
      </c>
      <c r="F257" s="71" t="e">
        <f ca="1">SUM(COUNTIFS(INDIRECT("Collision!"&amp;Event!$C$3&amp;":"&amp;Event!$C$3),$B257,INDIRECT("Collision!"&amp;Severity!$C$3&amp;":"&amp;Severity!$C$3),F$148), COUNTIFS(INDIRECT("Collision!"&amp;Event!$G$3&amp;":"&amp;Event!$G$3),$B257,INDIRECT("Collision!"&amp;Severity!$C$3&amp;":"&amp;Severity!$C$3),F$148), COUNTIFS(INDIRECT("Collision!"&amp;Event!$G$4&amp;":"&amp;Event!$G$4),$B257,INDIRECT("Collision!"&amp;Severity!$C$3&amp;":"&amp;Severity!$C$3),F$148))</f>
        <v>#REF!</v>
      </c>
      <c r="G257" s="71" t="e">
        <f t="shared" ca="1" si="9"/>
        <v>#REF!</v>
      </c>
      <c r="H257" s="69" t="e">
        <f t="shared" ca="1" si="10"/>
        <v>#REF!</v>
      </c>
      <c r="I257" s="71" t="e">
        <f t="shared" ca="1" si="11"/>
        <v>#REF!</v>
      </c>
      <c r="J257" s="69" t="e">
        <f ca="1">IF(G257=0,0,PCF_Severity2[[#This Row],[Crash Count]]/$I$283)</f>
        <v>#REF!</v>
      </c>
      <c r="K257" t="e">
        <f ca="1">SUM(PCF_Severity2[[#This Row],[Severe Injury]:[Other Injury]])</f>
        <v>#REF!</v>
      </c>
      <c r="L257" s="69" t="e">
        <f ca="1">PCF_Severity2[[#This Row],[Crash Count2]]/$K$283</f>
        <v>#REF!</v>
      </c>
      <c r="M257" s="86" t="str">
        <f>VLOOKUP(PCF_Severity2[[#This Row],[Crash Event]],PCF_3[[#Headers],[#Data]],4,FALSE)</f>
        <v>Animal or insect in vehicle interfered with driver</v>
      </c>
      <c r="Q257" s="84"/>
    </row>
    <row r="258" spans="2:17" ht="60" x14ac:dyDescent="0.25">
      <c r="B258" t="s">
        <v>228</v>
      </c>
      <c r="C258" s="71" t="e">
        <f ca="1">SUM(COUNTIFS(INDIRECT("Collision!"&amp;Event!$C$3&amp;":"&amp;Event!$C$3),$B258,INDIRECT("Collision!"&amp;Severity!$C$3&amp;":"&amp;Severity!$C$3),C$148), COUNTIFS(INDIRECT("Collision!"&amp;Event!$G$3&amp;":"&amp;Event!$G$3),$B258,INDIRECT("Collision!"&amp;Severity!$C$3&amp;":"&amp;Severity!$C$3),C$148), COUNTIFS(INDIRECT("Collision!"&amp;Event!$G$4&amp;":"&amp;Event!$G$4),$B258,INDIRECT("Collision!"&amp;Severity!$C$3&amp;":"&amp;Severity!$C$3),C$148))</f>
        <v>#REF!</v>
      </c>
      <c r="D258" s="71" t="e">
        <f ca="1">SUM(COUNTIFS(INDIRECT("Collision!"&amp;Event!$C$3&amp;":"&amp;Event!$C$3),$B258,INDIRECT("Collision!"&amp;Severity!$C$3&amp;":"&amp;Severity!$C$3),D$148), COUNTIFS(INDIRECT("Collision!"&amp;Event!$G$3&amp;":"&amp;Event!$G$3),$B258,INDIRECT("Collision!"&amp;Severity!$C$3&amp;":"&amp;Severity!$C$3),D$148), COUNTIFS(INDIRECT("Collision!"&amp;Event!$G$4&amp;":"&amp;Event!$G$4),$B258,INDIRECT("Collision!"&amp;Severity!$C$3&amp;":"&amp;Severity!$C$3),D$148))</f>
        <v>#REF!</v>
      </c>
      <c r="E258" s="71" t="e">
        <f t="array" aca="1" ref="E258" ca="1">SUM(COUNTIFS(INDIRECT("Collision!"&amp;Event!$C$3&amp;":"&amp;Event!$C$3),$B258,INDIRECT("Collision!"&amp;Severity!$C$3&amp;":"&amp;Severity!$C$3),{"Moderate Injury","Minor Injury"}), COUNTIFS(INDIRECT("Collision!"&amp;Event!$G$3&amp;":"&amp;Event!$G$3),$B258,INDIRECT("Collision!"&amp;Severity!$C$3&amp;":"&amp;Severity!$C$3),{"Moderate Injury","Minor Injury"}), COUNTIFS(INDIRECT("Collision!"&amp;Event!$G$4&amp;":"&amp;Event!$G$4),$B258,INDIRECT("Collision!"&amp;Severity!$C$3&amp;":"&amp;Severity!$C$3),{"Moderate Injury","Minor Injury"}))</f>
        <v>#REF!</v>
      </c>
      <c r="F258" s="71" t="e">
        <f ca="1">SUM(COUNTIFS(INDIRECT("Collision!"&amp;Event!$C$3&amp;":"&amp;Event!$C$3),$B258,INDIRECT("Collision!"&amp;Severity!$C$3&amp;":"&amp;Severity!$C$3),F$148), COUNTIFS(INDIRECT("Collision!"&amp;Event!$G$3&amp;":"&amp;Event!$G$3),$B258,INDIRECT("Collision!"&amp;Severity!$C$3&amp;":"&amp;Severity!$C$3),F$148), COUNTIFS(INDIRECT("Collision!"&amp;Event!$G$4&amp;":"&amp;Event!$G$4),$B258,INDIRECT("Collision!"&amp;Severity!$C$3&amp;":"&amp;Severity!$C$3),F$148))</f>
        <v>#REF!</v>
      </c>
      <c r="G258" s="71" t="e">
        <f t="shared" ca="1" si="9"/>
        <v>#REF!</v>
      </c>
      <c r="H258" s="69" t="e">
        <f t="shared" ca="1" si="10"/>
        <v>#REF!</v>
      </c>
      <c r="I258" s="71" t="e">
        <f t="shared" ca="1" si="11"/>
        <v>#REF!</v>
      </c>
      <c r="J258" s="69" t="e">
        <f ca="1">IF(G258=0,0,PCF_Severity2[[#This Row],[Crash Count]]/$I$283)</f>
        <v>#REF!</v>
      </c>
      <c r="K258" t="e">
        <f ca="1">SUM(PCF_Severity2[[#This Row],[Severe Injury]:[Other Injury]])</f>
        <v>#REF!</v>
      </c>
      <c r="L258" s="69" t="e">
        <f ca="1">PCF_Severity2[[#This Row],[Crash Count2]]/$K$283</f>
        <v>#REF!</v>
      </c>
      <c r="M258" s="86" t="str">
        <f>VLOOKUP(PCF_Severity2[[#This Row],[Crash Event]],PCF_3[[#Headers],[#Data]],4,FALSE)</f>
        <v>Struck by rock or other object set in motion by other vehicle, including lost loads  (Do not use
with code 081)</v>
      </c>
      <c r="Q258" s="84"/>
    </row>
    <row r="259" spans="2:17" ht="30" x14ac:dyDescent="0.25">
      <c r="B259" t="s">
        <v>237</v>
      </c>
      <c r="C259" s="71" t="e">
        <f ca="1">SUM(COUNTIFS(INDIRECT("Collision!"&amp;Event!$C$3&amp;":"&amp;Event!$C$3),$B259,INDIRECT("Collision!"&amp;Severity!$C$3&amp;":"&amp;Severity!$C$3),C$148), COUNTIFS(INDIRECT("Collision!"&amp;Event!$G$3&amp;":"&amp;Event!$G$3),$B259,INDIRECT("Collision!"&amp;Severity!$C$3&amp;":"&amp;Severity!$C$3),C$148), COUNTIFS(INDIRECT("Collision!"&amp;Event!$G$4&amp;":"&amp;Event!$G$4),$B259,INDIRECT("Collision!"&amp;Severity!$C$3&amp;":"&amp;Severity!$C$3),C$148))</f>
        <v>#REF!</v>
      </c>
      <c r="D259" s="71" t="e">
        <f ca="1">SUM(COUNTIFS(INDIRECT("Collision!"&amp;Event!$C$3&amp;":"&amp;Event!$C$3),$B259,INDIRECT("Collision!"&amp;Severity!$C$3&amp;":"&amp;Severity!$C$3),D$148), COUNTIFS(INDIRECT("Collision!"&amp;Event!$G$3&amp;":"&amp;Event!$G$3),$B259,INDIRECT("Collision!"&amp;Severity!$C$3&amp;":"&amp;Severity!$C$3),D$148), COUNTIFS(INDIRECT("Collision!"&amp;Event!$G$4&amp;":"&amp;Event!$G$4),$B259,INDIRECT("Collision!"&amp;Severity!$C$3&amp;":"&amp;Severity!$C$3),D$148))</f>
        <v>#REF!</v>
      </c>
      <c r="E259" s="71" t="e">
        <f t="array" aca="1" ref="E259" ca="1">SUM(COUNTIFS(INDIRECT("Collision!"&amp;Event!$C$3&amp;":"&amp;Event!$C$3),$B259,INDIRECT("Collision!"&amp;Severity!$C$3&amp;":"&amp;Severity!$C$3),{"Moderate Injury","Minor Injury"}), COUNTIFS(INDIRECT("Collision!"&amp;Event!$G$3&amp;":"&amp;Event!$G$3),$B259,INDIRECT("Collision!"&amp;Severity!$C$3&amp;":"&amp;Severity!$C$3),{"Moderate Injury","Minor Injury"}), COUNTIFS(INDIRECT("Collision!"&amp;Event!$G$4&amp;":"&amp;Event!$G$4),$B259,INDIRECT("Collision!"&amp;Severity!$C$3&amp;":"&amp;Severity!$C$3),{"Moderate Injury","Minor Injury"}))</f>
        <v>#REF!</v>
      </c>
      <c r="F259" s="71" t="e">
        <f ca="1">SUM(COUNTIFS(INDIRECT("Collision!"&amp;Event!$C$3&amp;":"&amp;Event!$C$3),$B259,INDIRECT("Collision!"&amp;Severity!$C$3&amp;":"&amp;Severity!$C$3),F$148), COUNTIFS(INDIRECT("Collision!"&amp;Event!$G$3&amp;":"&amp;Event!$G$3),$B259,INDIRECT("Collision!"&amp;Severity!$C$3&amp;":"&amp;Severity!$C$3),F$148), COUNTIFS(INDIRECT("Collision!"&amp;Event!$G$4&amp;":"&amp;Event!$G$4),$B259,INDIRECT("Collision!"&amp;Severity!$C$3&amp;":"&amp;Severity!$C$3),F$148))</f>
        <v>#REF!</v>
      </c>
      <c r="G259" s="71" t="e">
        <f t="shared" ca="1" si="9"/>
        <v>#REF!</v>
      </c>
      <c r="H259" s="69" t="e">
        <f t="shared" ca="1" si="10"/>
        <v>#REF!</v>
      </c>
      <c r="I259" s="71" t="e">
        <f t="shared" ca="1" si="11"/>
        <v>#REF!</v>
      </c>
      <c r="J259" s="69" t="e">
        <f ca="1">IF(G259=0,0,PCF_Severity2[[#This Row],[Crash Count]]/$I$283)</f>
        <v>#REF!</v>
      </c>
      <c r="K259" t="e">
        <f ca="1">SUM(PCF_Severity2[[#This Row],[Severe Injury]:[Other Injury]])</f>
        <v>#REF!</v>
      </c>
      <c r="L259" s="69" t="e">
        <f ca="1">PCF_Severity2[[#This Row],[Crash Count2]]/$K$283</f>
        <v>#REF!</v>
      </c>
      <c r="M259" s="86" t="str">
        <f>VLOOKUP(PCF_Severity2[[#This Row],[Crash Event]],PCF_3[[#Headers],[#Data]],4,FALSE)</f>
        <v>Crash related to another separate crash</v>
      </c>
      <c r="Q259" s="84"/>
    </row>
    <row r="260" spans="2:17" ht="30" customHeight="1" x14ac:dyDescent="0.25">
      <c r="B260" t="s">
        <v>264</v>
      </c>
      <c r="C260" s="71" t="e">
        <f ca="1">SUM(COUNTIFS(INDIRECT("Collision!"&amp;Event!$C$3&amp;":"&amp;Event!$C$3),$B260,INDIRECT("Collision!"&amp;Severity!$C$3&amp;":"&amp;Severity!$C$3),C$148), COUNTIFS(INDIRECT("Collision!"&amp;Event!$G$3&amp;":"&amp;Event!$G$3),$B260,INDIRECT("Collision!"&amp;Severity!$C$3&amp;":"&amp;Severity!$C$3),C$148), COUNTIFS(INDIRECT("Collision!"&amp;Event!$G$4&amp;":"&amp;Event!$G$4),$B260,INDIRECT("Collision!"&amp;Severity!$C$3&amp;":"&amp;Severity!$C$3),C$148))</f>
        <v>#REF!</v>
      </c>
      <c r="D260" s="71" t="e">
        <f ca="1">SUM(COUNTIFS(INDIRECT("Collision!"&amp;Event!$C$3&amp;":"&amp;Event!$C$3),$B260,INDIRECT("Collision!"&amp;Severity!$C$3&amp;":"&amp;Severity!$C$3),D$148), COUNTIFS(INDIRECT("Collision!"&amp;Event!$G$3&amp;":"&amp;Event!$G$3),$B260,INDIRECT("Collision!"&amp;Severity!$C$3&amp;":"&amp;Severity!$C$3),D$148), COUNTIFS(INDIRECT("Collision!"&amp;Event!$G$4&amp;":"&amp;Event!$G$4),$B260,INDIRECT("Collision!"&amp;Severity!$C$3&amp;":"&amp;Severity!$C$3),D$148))</f>
        <v>#REF!</v>
      </c>
      <c r="E260" s="71" t="e">
        <f t="array" aca="1" ref="E260" ca="1">SUM(COUNTIFS(INDIRECT("Collision!"&amp;Event!$C$3&amp;":"&amp;Event!$C$3),$B260,INDIRECT("Collision!"&amp;Severity!$C$3&amp;":"&amp;Severity!$C$3),{"Moderate Injury","Minor Injury"}), COUNTIFS(INDIRECT("Collision!"&amp;Event!$G$3&amp;":"&amp;Event!$G$3),$B260,INDIRECT("Collision!"&amp;Severity!$C$3&amp;":"&amp;Severity!$C$3),{"Moderate Injury","Minor Injury"}), COUNTIFS(INDIRECT("Collision!"&amp;Event!$G$4&amp;":"&amp;Event!$G$4),$B260,INDIRECT("Collision!"&amp;Severity!$C$3&amp;":"&amp;Severity!$C$3),{"Moderate Injury","Minor Injury"}))</f>
        <v>#REF!</v>
      </c>
      <c r="F260" s="71" t="e">
        <f ca="1">SUM(COUNTIFS(INDIRECT("Collision!"&amp;Event!$C$3&amp;":"&amp;Event!$C$3),$B260,INDIRECT("Collision!"&amp;Severity!$C$3&amp;":"&amp;Severity!$C$3),F$148), COUNTIFS(INDIRECT("Collision!"&amp;Event!$G$3&amp;":"&amp;Event!$G$3),$B260,INDIRECT("Collision!"&amp;Severity!$C$3&amp;":"&amp;Severity!$C$3),F$148), COUNTIFS(INDIRECT("Collision!"&amp;Event!$G$4&amp;":"&amp;Event!$G$4),$B260,INDIRECT("Collision!"&amp;Severity!$C$3&amp;":"&amp;Severity!$C$3),F$148))</f>
        <v>#REF!</v>
      </c>
      <c r="G260" s="71" t="e">
        <f t="shared" ca="1" si="9"/>
        <v>#REF!</v>
      </c>
      <c r="H260" s="69" t="e">
        <f t="shared" ca="1" si="10"/>
        <v>#REF!</v>
      </c>
      <c r="I260" s="71" t="e">
        <f t="shared" ca="1" si="11"/>
        <v>#REF!</v>
      </c>
      <c r="J260" s="69" t="e">
        <f ca="1">IF(G260=0,0,PCF_Severity2[[#This Row],[Crash Count]]/$I$283)</f>
        <v>#REF!</v>
      </c>
      <c r="K260" t="e">
        <f ca="1">SUM(PCF_Severity2[[#This Row],[Severe Injury]:[Other Injury]])</f>
        <v>#REF!</v>
      </c>
      <c r="L260" s="69" t="e">
        <f ca="1">PCF_Severity2[[#This Row],[Crash Count2]]/$K$283</f>
        <v>#REF!</v>
      </c>
      <c r="M260" s="86" t="str">
        <f>VLOOKUP(PCF_Severity2[[#This Row],[Crash Event]],PCF_3[[#Headers],[#Data]],4,FALSE)</f>
        <v>Distracted by other electronic device</v>
      </c>
      <c r="Q260" s="84"/>
    </row>
    <row r="261" spans="2:17" x14ac:dyDescent="0.25">
      <c r="B261" t="s">
        <v>171</v>
      </c>
      <c r="C261" s="71" t="e">
        <f ca="1">SUM(COUNTIFS(INDIRECT("Collision!"&amp;Event!$C$3&amp;":"&amp;Event!$C$3),$B261,INDIRECT("Collision!"&amp;Severity!$C$3&amp;":"&amp;Severity!$C$3),C$148), COUNTIFS(INDIRECT("Collision!"&amp;Event!$G$3&amp;":"&amp;Event!$G$3),$B261,INDIRECT("Collision!"&amp;Severity!$C$3&amp;":"&amp;Severity!$C$3),C$148), COUNTIFS(INDIRECT("Collision!"&amp;Event!$G$4&amp;":"&amp;Event!$G$4),$B261,INDIRECT("Collision!"&amp;Severity!$C$3&amp;":"&amp;Severity!$C$3),C$148))</f>
        <v>#REF!</v>
      </c>
      <c r="D261" s="71" t="e">
        <f ca="1">SUM(COUNTIFS(INDIRECT("Collision!"&amp;Event!$C$3&amp;":"&amp;Event!$C$3),$B261,INDIRECT("Collision!"&amp;Severity!$C$3&amp;":"&amp;Severity!$C$3),D$148), COUNTIFS(INDIRECT("Collision!"&amp;Event!$G$3&amp;":"&amp;Event!$G$3),$B261,INDIRECT("Collision!"&amp;Severity!$C$3&amp;":"&amp;Severity!$C$3),D$148), COUNTIFS(INDIRECT("Collision!"&amp;Event!$G$4&amp;":"&amp;Event!$G$4),$B261,INDIRECT("Collision!"&amp;Severity!$C$3&amp;":"&amp;Severity!$C$3),D$148))</f>
        <v>#REF!</v>
      </c>
      <c r="E261" s="71" t="e">
        <f t="array" aca="1" ref="E261" ca="1">SUM(COUNTIFS(INDIRECT("Collision!"&amp;Event!$C$3&amp;":"&amp;Event!$C$3),$B261,INDIRECT("Collision!"&amp;Severity!$C$3&amp;":"&amp;Severity!$C$3),{"Moderate Injury","Minor Injury"}), COUNTIFS(INDIRECT("Collision!"&amp;Event!$G$3&amp;":"&amp;Event!$G$3),$B261,INDIRECT("Collision!"&amp;Severity!$C$3&amp;":"&amp;Severity!$C$3),{"Moderate Injury","Minor Injury"}), COUNTIFS(INDIRECT("Collision!"&amp;Event!$G$4&amp;":"&amp;Event!$G$4),$B261,INDIRECT("Collision!"&amp;Severity!$C$3&amp;":"&amp;Severity!$C$3),{"Moderate Injury","Minor Injury"}))</f>
        <v>#REF!</v>
      </c>
      <c r="F261" s="71" t="e">
        <f ca="1">SUM(COUNTIFS(INDIRECT("Collision!"&amp;Event!$C$3&amp;":"&amp;Event!$C$3),$B261,INDIRECT("Collision!"&amp;Severity!$C$3&amp;":"&amp;Severity!$C$3),F$148), COUNTIFS(INDIRECT("Collision!"&amp;Event!$G$3&amp;":"&amp;Event!$G$3),$B261,INDIRECT("Collision!"&amp;Severity!$C$3&amp;":"&amp;Severity!$C$3),F$148), COUNTIFS(INDIRECT("Collision!"&amp;Event!$G$4&amp;":"&amp;Event!$G$4),$B261,INDIRECT("Collision!"&amp;Severity!$C$3&amp;":"&amp;Severity!$C$3),F$148))</f>
        <v>#REF!</v>
      </c>
      <c r="G261" s="71" t="e">
        <f t="shared" ca="1" si="9"/>
        <v>#REF!</v>
      </c>
      <c r="H261" s="69" t="e">
        <f t="shared" ca="1" si="10"/>
        <v>#REF!</v>
      </c>
      <c r="I261" s="71" t="e">
        <f t="shared" ca="1" si="11"/>
        <v>#REF!</v>
      </c>
      <c r="J261" s="69" t="e">
        <f ca="1">IF(G261=0,0,PCF_Severity2[[#This Row],[Crash Count]]/$I$283)</f>
        <v>#REF!</v>
      </c>
      <c r="K261" t="e">
        <f ca="1">SUM(PCF_Severity2[[#This Row],[Severe Injury]:[Other Injury]])</f>
        <v>#REF!</v>
      </c>
      <c r="L261" s="69" t="e">
        <f ca="1">PCF_Severity2[[#This Row],[Crash Count2]]/$K$283</f>
        <v>#REF!</v>
      </c>
      <c r="M261" s="86" t="str">
        <f>VLOOKUP(PCF_Severity2[[#This Row],[Crash Event]],PCF_3[[#Headers],[#Data]],4,FALSE)</f>
        <v>Trailer or towed vehicle overturned</v>
      </c>
      <c r="Q261" s="84"/>
    </row>
    <row r="262" spans="2:17" x14ac:dyDescent="0.25">
      <c r="B262" t="s">
        <v>178</v>
      </c>
      <c r="C262" s="71" t="e">
        <f ca="1">SUM(COUNTIFS(INDIRECT("Collision!"&amp;Event!$C$3&amp;":"&amp;Event!$C$3),$B262,INDIRECT("Collision!"&amp;Severity!$C$3&amp;":"&amp;Severity!$C$3),C$148), COUNTIFS(INDIRECT("Collision!"&amp;Event!$G$3&amp;":"&amp;Event!$G$3),$B262,INDIRECT("Collision!"&amp;Severity!$C$3&amp;":"&amp;Severity!$C$3),C$148), COUNTIFS(INDIRECT("Collision!"&amp;Event!$G$4&amp;":"&amp;Event!$G$4),$B262,INDIRECT("Collision!"&amp;Severity!$C$3&amp;":"&amp;Severity!$C$3),C$148))</f>
        <v>#REF!</v>
      </c>
      <c r="D262" s="71" t="e">
        <f ca="1">SUM(COUNTIFS(INDIRECT("Collision!"&amp;Event!$C$3&amp;":"&amp;Event!$C$3),$B262,INDIRECT("Collision!"&amp;Severity!$C$3&amp;":"&amp;Severity!$C$3),D$148), COUNTIFS(INDIRECT("Collision!"&amp;Event!$G$3&amp;":"&amp;Event!$G$3),$B262,INDIRECT("Collision!"&amp;Severity!$C$3&amp;":"&amp;Severity!$C$3),D$148), COUNTIFS(INDIRECT("Collision!"&amp;Event!$G$4&amp;":"&amp;Event!$G$4),$B262,INDIRECT("Collision!"&amp;Severity!$C$3&amp;":"&amp;Severity!$C$3),D$148))</f>
        <v>#REF!</v>
      </c>
      <c r="E262" s="71" t="e">
        <f t="array" aca="1" ref="E262" ca="1">SUM(COUNTIFS(INDIRECT("Collision!"&amp;Event!$C$3&amp;":"&amp;Event!$C$3),$B262,INDIRECT("Collision!"&amp;Severity!$C$3&amp;":"&amp;Severity!$C$3),{"Moderate Injury","Minor Injury"}), COUNTIFS(INDIRECT("Collision!"&amp;Event!$G$3&amp;":"&amp;Event!$G$3),$B262,INDIRECT("Collision!"&amp;Severity!$C$3&amp;":"&amp;Severity!$C$3),{"Moderate Injury","Minor Injury"}), COUNTIFS(INDIRECT("Collision!"&amp;Event!$G$4&amp;":"&amp;Event!$G$4),$B262,INDIRECT("Collision!"&amp;Severity!$C$3&amp;":"&amp;Severity!$C$3),{"Moderate Injury","Minor Injury"}))</f>
        <v>#REF!</v>
      </c>
      <c r="F262" s="71" t="e">
        <f ca="1">SUM(COUNTIFS(INDIRECT("Collision!"&amp;Event!$C$3&amp;":"&amp;Event!$C$3),$B262,INDIRECT("Collision!"&amp;Severity!$C$3&amp;":"&amp;Severity!$C$3),F$148), COUNTIFS(INDIRECT("Collision!"&amp;Event!$G$3&amp;":"&amp;Event!$G$3),$B262,INDIRECT("Collision!"&amp;Severity!$C$3&amp;":"&amp;Severity!$C$3),F$148), COUNTIFS(INDIRECT("Collision!"&amp;Event!$G$4&amp;":"&amp;Event!$G$4),$B262,INDIRECT("Collision!"&amp;Severity!$C$3&amp;":"&amp;Severity!$C$3),F$148))</f>
        <v>#REF!</v>
      </c>
      <c r="G262" s="71" t="e">
        <f t="shared" ca="1" si="9"/>
        <v>#REF!</v>
      </c>
      <c r="H262" s="69" t="e">
        <f t="shared" ca="1" si="10"/>
        <v>#REF!</v>
      </c>
      <c r="I262" s="71" t="e">
        <f t="shared" ca="1" si="11"/>
        <v>#REF!</v>
      </c>
      <c r="J262" s="69" t="e">
        <f ca="1">IF(G262=0,0,PCF_Severity2[[#This Row],[Crash Count]]/$I$283)</f>
        <v>#REF!</v>
      </c>
      <c r="K262" t="e">
        <f ca="1">SUM(PCF_Severity2[[#This Row],[Severe Injury]:[Other Injury]])</f>
        <v>#REF!</v>
      </c>
      <c r="L262" s="69" t="e">
        <f ca="1">PCF_Severity2[[#This Row],[Crash Count2]]/$K$283</f>
        <v>#REF!</v>
      </c>
      <c r="M262" s="86" t="str">
        <f>VLOOKUP(PCF_Severity2[[#This Row],[Crash Event]],PCF_3[[#Headers],[#Data]],4,FALSE)</f>
        <v>Pet: cat, dog and similar</v>
      </c>
      <c r="Q262" s="84"/>
    </row>
    <row r="263" spans="2:17" x14ac:dyDescent="0.25">
      <c r="B263" t="s">
        <v>152</v>
      </c>
      <c r="C263" s="71" t="e">
        <f ca="1">SUM(COUNTIFS(INDIRECT("Collision!"&amp;Event!$C$3&amp;":"&amp;Event!$C$3),$B263,INDIRECT("Collision!"&amp;Severity!$C$3&amp;":"&amp;Severity!$C$3),C$148), COUNTIFS(INDIRECT("Collision!"&amp;Event!$G$3&amp;":"&amp;Event!$G$3),$B263,INDIRECT("Collision!"&amp;Severity!$C$3&amp;":"&amp;Severity!$C$3),C$148), COUNTIFS(INDIRECT("Collision!"&amp;Event!$G$4&amp;":"&amp;Event!$G$4),$B263,INDIRECT("Collision!"&amp;Severity!$C$3&amp;":"&amp;Severity!$C$3),C$148))</f>
        <v>#REF!</v>
      </c>
      <c r="D263" s="71" t="e">
        <f ca="1">SUM(COUNTIFS(INDIRECT("Collision!"&amp;Event!$C$3&amp;":"&amp;Event!$C$3),$B263,INDIRECT("Collision!"&amp;Severity!$C$3&amp;":"&amp;Severity!$C$3),D$148), COUNTIFS(INDIRECT("Collision!"&amp;Event!$G$3&amp;":"&amp;Event!$G$3),$B263,INDIRECT("Collision!"&amp;Severity!$C$3&amp;":"&amp;Severity!$C$3),D$148), COUNTIFS(INDIRECT("Collision!"&amp;Event!$G$4&amp;":"&amp;Event!$G$4),$B263,INDIRECT("Collision!"&amp;Severity!$C$3&amp;":"&amp;Severity!$C$3),D$148))</f>
        <v>#REF!</v>
      </c>
      <c r="E263" s="71" t="e">
        <f t="array" aca="1" ref="E263" ca="1">SUM(COUNTIFS(INDIRECT("Collision!"&amp;Event!$C$3&amp;":"&amp;Event!$C$3),$B263,INDIRECT("Collision!"&amp;Severity!$C$3&amp;":"&amp;Severity!$C$3),{"Moderate Injury","Minor Injury"}), COUNTIFS(INDIRECT("Collision!"&amp;Event!$G$3&amp;":"&amp;Event!$G$3),$B263,INDIRECT("Collision!"&amp;Severity!$C$3&amp;":"&amp;Severity!$C$3),{"Moderate Injury","Minor Injury"}), COUNTIFS(INDIRECT("Collision!"&amp;Event!$G$4&amp;":"&amp;Event!$G$4),$B263,INDIRECT("Collision!"&amp;Severity!$C$3&amp;":"&amp;Severity!$C$3),{"Moderate Injury","Minor Injury"}))</f>
        <v>#REF!</v>
      </c>
      <c r="F263" s="71" t="e">
        <f ca="1">SUM(COUNTIFS(INDIRECT("Collision!"&amp;Event!$C$3&amp;":"&amp;Event!$C$3),$B263,INDIRECT("Collision!"&amp;Severity!$C$3&amp;":"&amp;Severity!$C$3),F$148), COUNTIFS(INDIRECT("Collision!"&amp;Event!$G$3&amp;":"&amp;Event!$G$3),$B263,INDIRECT("Collision!"&amp;Severity!$C$3&amp;":"&amp;Severity!$C$3),F$148), COUNTIFS(INDIRECT("Collision!"&amp;Event!$G$4&amp;":"&amp;Event!$G$4),$B263,INDIRECT("Collision!"&amp;Severity!$C$3&amp;":"&amp;Severity!$C$3),F$148))</f>
        <v>#REF!</v>
      </c>
      <c r="G263" s="71" t="e">
        <f t="shared" ca="1" si="9"/>
        <v>#REF!</v>
      </c>
      <c r="H263" s="69" t="e">
        <f t="shared" ca="1" si="10"/>
        <v>#REF!</v>
      </c>
      <c r="I263" s="71" t="e">
        <f t="shared" ca="1" si="11"/>
        <v>#REF!</v>
      </c>
      <c r="J263" s="69" t="e">
        <f ca="1">IF(G263=0,0,PCF_Severity2[[#This Row],[Crash Count]]/$I$283)</f>
        <v>#REF!</v>
      </c>
      <c r="K263" t="e">
        <f ca="1">SUM(PCF_Severity2[[#This Row],[Severe Injury]:[Other Injury]])</f>
        <v>#REF!</v>
      </c>
      <c r="L263" s="69" t="e">
        <f ca="1">PCF_Severity2[[#This Row],[Crash Count2]]/$K$283</f>
        <v>#REF!</v>
      </c>
      <c r="M263" s="86" t="str">
        <f>VLOOKUP(PCF_Severity2[[#This Row],[Crash Event]],PCF_3[[#Headers],[#Data]],4,FALSE)</f>
        <v>Passenger interfered with driver</v>
      </c>
      <c r="Q263" s="84"/>
    </row>
    <row r="264" spans="2:17" ht="30" customHeight="1" x14ac:dyDescent="0.25">
      <c r="B264" t="s">
        <v>151</v>
      </c>
      <c r="C264" s="71" t="e">
        <f ca="1">SUM(COUNTIFS(INDIRECT("Collision!"&amp;Event!$C$3&amp;":"&amp;Event!$C$3),$B264,INDIRECT("Collision!"&amp;Severity!$C$3&amp;":"&amp;Severity!$C$3),C$148), COUNTIFS(INDIRECT("Collision!"&amp;Event!$G$3&amp;":"&amp;Event!$G$3),$B264,INDIRECT("Collision!"&amp;Severity!$C$3&amp;":"&amp;Severity!$C$3),C$148), COUNTIFS(INDIRECT("Collision!"&amp;Event!$G$4&amp;":"&amp;Event!$G$4),$B264,INDIRECT("Collision!"&amp;Severity!$C$3&amp;":"&amp;Severity!$C$3),C$148))</f>
        <v>#REF!</v>
      </c>
      <c r="D264" s="71" t="e">
        <f ca="1">SUM(COUNTIFS(INDIRECT("Collision!"&amp;Event!$C$3&amp;":"&amp;Event!$C$3),$B264,INDIRECT("Collision!"&amp;Severity!$C$3&amp;":"&amp;Severity!$C$3),D$148), COUNTIFS(INDIRECT("Collision!"&amp;Event!$G$3&amp;":"&amp;Event!$G$3),$B264,INDIRECT("Collision!"&amp;Severity!$C$3&amp;":"&amp;Severity!$C$3),D$148), COUNTIFS(INDIRECT("Collision!"&amp;Event!$G$4&amp;":"&amp;Event!$G$4),$B264,INDIRECT("Collision!"&amp;Severity!$C$3&amp;":"&amp;Severity!$C$3),D$148))</f>
        <v>#REF!</v>
      </c>
      <c r="E264" s="71" t="e">
        <f t="array" aca="1" ref="E264" ca="1">SUM(COUNTIFS(INDIRECT("Collision!"&amp;Event!$C$3&amp;":"&amp;Event!$C$3),$B264,INDIRECT("Collision!"&amp;Severity!$C$3&amp;":"&amp;Severity!$C$3),{"Moderate Injury","Minor Injury"}), COUNTIFS(INDIRECT("Collision!"&amp;Event!$G$3&amp;":"&amp;Event!$G$3),$B264,INDIRECT("Collision!"&amp;Severity!$C$3&amp;":"&amp;Severity!$C$3),{"Moderate Injury","Minor Injury"}), COUNTIFS(INDIRECT("Collision!"&amp;Event!$G$4&amp;":"&amp;Event!$G$4),$B264,INDIRECT("Collision!"&amp;Severity!$C$3&amp;":"&amp;Severity!$C$3),{"Moderate Injury","Minor Injury"}))</f>
        <v>#REF!</v>
      </c>
      <c r="F264" s="71" t="e">
        <f ca="1">SUM(COUNTIFS(INDIRECT("Collision!"&amp;Event!$C$3&amp;":"&amp;Event!$C$3),$B264,INDIRECT("Collision!"&amp;Severity!$C$3&amp;":"&amp;Severity!$C$3),F$148), COUNTIFS(INDIRECT("Collision!"&amp;Event!$G$3&amp;":"&amp;Event!$G$3),$B264,INDIRECT("Collision!"&amp;Severity!$C$3&amp;":"&amp;Severity!$C$3),F$148), COUNTIFS(INDIRECT("Collision!"&amp;Event!$G$4&amp;":"&amp;Event!$G$4),$B264,INDIRECT("Collision!"&amp;Severity!$C$3&amp;":"&amp;Severity!$C$3),F$148))</f>
        <v>#REF!</v>
      </c>
      <c r="G264" s="71" t="e">
        <f t="shared" ca="1" si="9"/>
        <v>#REF!</v>
      </c>
      <c r="H264" s="69" t="e">
        <f t="shared" ca="1" si="10"/>
        <v>#REF!</v>
      </c>
      <c r="I264" s="71" t="e">
        <f t="shared" ca="1" si="11"/>
        <v>#REF!</v>
      </c>
      <c r="J264" s="69" t="e">
        <f ca="1">IF(G264=0,0,PCF_Severity2[[#This Row],[Crash Count]]/$I$283)</f>
        <v>#REF!</v>
      </c>
      <c r="K264" t="e">
        <f ca="1">SUM(PCF_Severity2[[#This Row],[Severe Injury]:[Other Injury]])</f>
        <v>#REF!</v>
      </c>
      <c r="L264" s="69" t="e">
        <f ca="1">PCF_Severity2[[#This Row],[Crash Count2]]/$K$283</f>
        <v>#REF!</v>
      </c>
      <c r="M264" s="86" t="str">
        <f>VLOOKUP(PCF_Severity2[[#This Row],[Crash Event]],PCF_3[[#Headers],[#Data]],4,FALSE)</f>
        <v>Occupant fell, jumped, or was ejected from moving vehicle</v>
      </c>
      <c r="Q264" s="84"/>
    </row>
    <row r="265" spans="2:17" ht="30" x14ac:dyDescent="0.25">
      <c r="B265" t="s">
        <v>188</v>
      </c>
      <c r="C265" s="71" t="e">
        <f ca="1">SUM(COUNTIFS(INDIRECT("Collision!"&amp;Event!$C$3&amp;":"&amp;Event!$C$3),$B265,INDIRECT("Collision!"&amp;Severity!$C$3&amp;":"&amp;Severity!$C$3),C$148), COUNTIFS(INDIRECT("Collision!"&amp;Event!$G$3&amp;":"&amp;Event!$G$3),$B265,INDIRECT("Collision!"&amp;Severity!$C$3&amp;":"&amp;Severity!$C$3),C$148), COUNTIFS(INDIRECT("Collision!"&amp;Event!$G$4&amp;":"&amp;Event!$G$4),$B265,INDIRECT("Collision!"&amp;Severity!$C$3&amp;":"&amp;Severity!$C$3),C$148))</f>
        <v>#REF!</v>
      </c>
      <c r="D265" s="71" t="e">
        <f ca="1">SUM(COUNTIFS(INDIRECT("Collision!"&amp;Event!$C$3&amp;":"&amp;Event!$C$3),$B265,INDIRECT("Collision!"&amp;Severity!$C$3&amp;":"&amp;Severity!$C$3),D$148), COUNTIFS(INDIRECT("Collision!"&amp;Event!$G$3&amp;":"&amp;Event!$G$3),$B265,INDIRECT("Collision!"&amp;Severity!$C$3&amp;":"&amp;Severity!$C$3),D$148), COUNTIFS(INDIRECT("Collision!"&amp;Event!$G$4&amp;":"&amp;Event!$G$4),$B265,INDIRECT("Collision!"&amp;Severity!$C$3&amp;":"&amp;Severity!$C$3),D$148))</f>
        <v>#REF!</v>
      </c>
      <c r="E265" s="71" t="e">
        <f t="array" aca="1" ref="E265" ca="1">SUM(COUNTIFS(INDIRECT("Collision!"&amp;Event!$C$3&amp;":"&amp;Event!$C$3),$B265,INDIRECT("Collision!"&amp;Severity!$C$3&amp;":"&amp;Severity!$C$3),{"Moderate Injury","Minor Injury"}), COUNTIFS(INDIRECT("Collision!"&amp;Event!$G$3&amp;":"&amp;Event!$G$3),$B265,INDIRECT("Collision!"&amp;Severity!$C$3&amp;":"&amp;Severity!$C$3),{"Moderate Injury","Minor Injury"}), COUNTIFS(INDIRECT("Collision!"&amp;Event!$G$4&amp;":"&amp;Event!$G$4),$B265,INDIRECT("Collision!"&amp;Severity!$C$3&amp;":"&amp;Severity!$C$3),{"Moderate Injury","Minor Injury"}))</f>
        <v>#REF!</v>
      </c>
      <c r="F265" s="71" t="e">
        <f ca="1">SUM(COUNTIFS(INDIRECT("Collision!"&amp;Event!$C$3&amp;":"&amp;Event!$C$3),$B265,INDIRECT("Collision!"&amp;Severity!$C$3&amp;":"&amp;Severity!$C$3),F$148), COUNTIFS(INDIRECT("Collision!"&amp;Event!$G$3&amp;":"&amp;Event!$G$3),$B265,INDIRECT("Collision!"&amp;Severity!$C$3&amp;":"&amp;Severity!$C$3),F$148), COUNTIFS(INDIRECT("Collision!"&amp;Event!$G$4&amp;":"&amp;Event!$G$4),$B265,INDIRECT("Collision!"&amp;Severity!$C$3&amp;":"&amp;Severity!$C$3),F$148))</f>
        <v>#REF!</v>
      </c>
      <c r="G265" s="71" t="e">
        <f t="shared" ca="1" si="9"/>
        <v>#REF!</v>
      </c>
      <c r="H265" s="69" t="e">
        <f t="shared" ca="1" si="10"/>
        <v>#REF!</v>
      </c>
      <c r="I265" s="71" t="e">
        <f t="shared" ca="1" si="11"/>
        <v>#REF!</v>
      </c>
      <c r="J265" s="69" t="e">
        <f ca="1">IF(G265=0,0,PCF_Severity2[[#This Row],[Crash Count]]/$I$283)</f>
        <v>#REF!</v>
      </c>
      <c r="K265" t="e">
        <f ca="1">SUM(PCF_Severity2[[#This Row],[Severe Injury]:[Other Injury]])</f>
        <v>#REF!</v>
      </c>
      <c r="L265" s="69" t="e">
        <f ca="1">PCF_Severity2[[#This Row],[Crash Count2]]/$K$283</f>
        <v>#REF!</v>
      </c>
      <c r="M265" s="86" t="str">
        <f>VLOOKUP(PCF_Severity2[[#This Row],[Crash Event]],PCF_3[[#Headers],[#Data]],4,FALSE)</f>
        <v>Curb (Also narrow sidewalks or bridges)</v>
      </c>
      <c r="Q265" s="84"/>
    </row>
    <row r="266" spans="2:17" ht="30" customHeight="1" x14ac:dyDescent="0.25">
      <c r="B266" t="s">
        <v>191</v>
      </c>
      <c r="C266" s="71" t="e">
        <f ca="1">SUM(COUNTIFS(INDIRECT("Collision!"&amp;Event!$C$3&amp;":"&amp;Event!$C$3),$B266,INDIRECT("Collision!"&amp;Severity!$C$3&amp;":"&amp;Severity!$C$3),C$148), COUNTIFS(INDIRECT("Collision!"&amp;Event!$G$3&amp;":"&amp;Event!$G$3),$B266,INDIRECT("Collision!"&amp;Severity!$C$3&amp;":"&amp;Severity!$C$3),C$148), COUNTIFS(INDIRECT("Collision!"&amp;Event!$G$4&amp;":"&amp;Event!$G$4),$B266,INDIRECT("Collision!"&amp;Severity!$C$3&amp;":"&amp;Severity!$C$3),C$148))</f>
        <v>#REF!</v>
      </c>
      <c r="D266" s="71" t="e">
        <f ca="1">SUM(COUNTIFS(INDIRECT("Collision!"&amp;Event!$C$3&amp;":"&amp;Event!$C$3),$B266,INDIRECT("Collision!"&amp;Severity!$C$3&amp;":"&amp;Severity!$C$3),D$148), COUNTIFS(INDIRECT("Collision!"&amp;Event!$G$3&amp;":"&amp;Event!$G$3),$B266,INDIRECT("Collision!"&amp;Severity!$C$3&amp;":"&amp;Severity!$C$3),D$148), COUNTIFS(INDIRECT("Collision!"&amp;Event!$G$4&amp;":"&amp;Event!$G$4),$B266,INDIRECT("Collision!"&amp;Severity!$C$3&amp;":"&amp;Severity!$C$3),D$148))</f>
        <v>#REF!</v>
      </c>
      <c r="E266" s="71" t="e">
        <f t="array" aca="1" ref="E266" ca="1">SUM(COUNTIFS(INDIRECT("Collision!"&amp;Event!$C$3&amp;":"&amp;Event!$C$3),$B266,INDIRECT("Collision!"&amp;Severity!$C$3&amp;":"&amp;Severity!$C$3),{"Moderate Injury","Minor Injury"}), COUNTIFS(INDIRECT("Collision!"&amp;Event!$G$3&amp;":"&amp;Event!$G$3),$B266,INDIRECT("Collision!"&amp;Severity!$C$3&amp;":"&amp;Severity!$C$3),{"Moderate Injury","Minor Injury"}), COUNTIFS(INDIRECT("Collision!"&amp;Event!$G$4&amp;":"&amp;Event!$G$4),$B266,INDIRECT("Collision!"&amp;Severity!$C$3&amp;":"&amp;Severity!$C$3),{"Moderate Injury","Minor Injury"}))</f>
        <v>#REF!</v>
      </c>
      <c r="F266" s="71" t="e">
        <f ca="1">SUM(COUNTIFS(INDIRECT("Collision!"&amp;Event!$C$3&amp;":"&amp;Event!$C$3),$B266,INDIRECT("Collision!"&amp;Severity!$C$3&amp;":"&amp;Severity!$C$3),F$148), COUNTIFS(INDIRECT("Collision!"&amp;Event!$G$3&amp;":"&amp;Event!$G$3),$B266,INDIRECT("Collision!"&amp;Severity!$C$3&amp;":"&amp;Severity!$C$3),F$148), COUNTIFS(INDIRECT("Collision!"&amp;Event!$G$4&amp;":"&amp;Event!$G$4),$B266,INDIRECT("Collision!"&amp;Severity!$C$3&amp;":"&amp;Severity!$C$3),F$148))</f>
        <v>#REF!</v>
      </c>
      <c r="G266" s="71" t="e">
        <f t="shared" ca="1" si="9"/>
        <v>#REF!</v>
      </c>
      <c r="H266" s="69" t="e">
        <f t="shared" ca="1" si="10"/>
        <v>#REF!</v>
      </c>
      <c r="I266" s="71" t="e">
        <f t="shared" ca="1" si="11"/>
        <v>#REF!</v>
      </c>
      <c r="J266" s="69" t="e">
        <f ca="1">IF(G266=0,0,PCF_Severity2[[#This Row],[Crash Count]]/$I$283)</f>
        <v>#REF!</v>
      </c>
      <c r="K266" t="e">
        <f ca="1">SUM(PCF_Severity2[[#This Row],[Severe Injury]:[Other Injury]])</f>
        <v>#REF!</v>
      </c>
      <c r="L266" s="69" t="e">
        <f ca="1">PCF_Severity2[[#This Row],[Crash Count2]]/$K$283</f>
        <v>#REF!</v>
      </c>
      <c r="M266" s="86" t="str">
        <f>VLOOKUP(PCF_Severity2[[#This Row],[Crash Event]],PCF_3[[#Headers],[#Data]],4,FALSE)</f>
        <v>Guard rail (Not metal median barrier)</v>
      </c>
      <c r="Q266" s="84"/>
    </row>
    <row r="267" spans="2:17" x14ac:dyDescent="0.25">
      <c r="B267" t="s">
        <v>206</v>
      </c>
      <c r="C267" s="71" t="e">
        <f ca="1">SUM(COUNTIFS(INDIRECT("Collision!"&amp;Event!$C$3&amp;":"&amp;Event!$C$3),$B267,INDIRECT("Collision!"&amp;Severity!$C$3&amp;":"&amp;Severity!$C$3),C$148), COUNTIFS(INDIRECT("Collision!"&amp;Event!$G$3&amp;":"&amp;Event!$G$3),$B267,INDIRECT("Collision!"&amp;Severity!$C$3&amp;":"&amp;Severity!$C$3),C$148), COUNTIFS(INDIRECT("Collision!"&amp;Event!$G$4&amp;":"&amp;Event!$G$4),$B267,INDIRECT("Collision!"&amp;Severity!$C$3&amp;":"&amp;Severity!$C$3),C$148))</f>
        <v>#REF!</v>
      </c>
      <c r="D267" s="71" t="e">
        <f ca="1">SUM(COUNTIFS(INDIRECT("Collision!"&amp;Event!$C$3&amp;":"&amp;Event!$C$3),$B267,INDIRECT("Collision!"&amp;Severity!$C$3&amp;":"&amp;Severity!$C$3),D$148), COUNTIFS(INDIRECT("Collision!"&amp;Event!$G$3&amp;":"&amp;Event!$G$3),$B267,INDIRECT("Collision!"&amp;Severity!$C$3&amp;":"&amp;Severity!$C$3),D$148), COUNTIFS(INDIRECT("Collision!"&amp;Event!$G$4&amp;":"&amp;Event!$G$4),$B267,INDIRECT("Collision!"&amp;Severity!$C$3&amp;":"&amp;Severity!$C$3),D$148))</f>
        <v>#REF!</v>
      </c>
      <c r="E267" s="71" t="e">
        <f t="array" aca="1" ref="E267" ca="1">SUM(COUNTIFS(INDIRECT("Collision!"&amp;Event!$C$3&amp;":"&amp;Event!$C$3),$B267,INDIRECT("Collision!"&amp;Severity!$C$3&amp;":"&amp;Severity!$C$3),{"Moderate Injury","Minor Injury"}), COUNTIFS(INDIRECT("Collision!"&amp;Event!$G$3&amp;":"&amp;Event!$G$3),$B267,INDIRECT("Collision!"&amp;Severity!$C$3&amp;":"&amp;Severity!$C$3),{"Moderate Injury","Minor Injury"}), COUNTIFS(INDIRECT("Collision!"&amp;Event!$G$4&amp;":"&amp;Event!$G$4),$B267,INDIRECT("Collision!"&amp;Severity!$C$3&amp;":"&amp;Severity!$C$3),{"Moderate Injury","Minor Injury"}))</f>
        <v>#REF!</v>
      </c>
      <c r="F267" s="71" t="e">
        <f ca="1">SUM(COUNTIFS(INDIRECT("Collision!"&amp;Event!$C$3&amp;":"&amp;Event!$C$3),$B267,INDIRECT("Collision!"&amp;Severity!$C$3&amp;":"&amp;Severity!$C$3),F$148), COUNTIFS(INDIRECT("Collision!"&amp;Event!$G$3&amp;":"&amp;Event!$G$3),$B267,INDIRECT("Collision!"&amp;Severity!$C$3&amp;":"&amp;Severity!$C$3),F$148), COUNTIFS(INDIRECT("Collision!"&amp;Event!$G$4&amp;":"&amp;Event!$G$4),$B267,INDIRECT("Collision!"&amp;Severity!$C$3&amp;":"&amp;Severity!$C$3),F$148))</f>
        <v>#REF!</v>
      </c>
      <c r="G267" s="71" t="e">
        <f t="shared" ca="1" si="9"/>
        <v>#REF!</v>
      </c>
      <c r="H267" s="69" t="e">
        <f t="shared" ca="1" si="10"/>
        <v>#REF!</v>
      </c>
      <c r="I267" s="71" t="e">
        <f t="shared" ca="1" si="11"/>
        <v>#REF!</v>
      </c>
      <c r="J267" s="69" t="e">
        <f ca="1">IF(G267=0,0,PCF_Severity2[[#This Row],[Crash Count]]/$I$283)</f>
        <v>#REF!</v>
      </c>
      <c r="K267" t="e">
        <f ca="1">SUM(PCF_Severity2[[#This Row],[Severe Injury]:[Other Injury]])</f>
        <v>#REF!</v>
      </c>
      <c r="L267" s="69" t="e">
        <f ca="1">PCF_Severity2[[#This Row],[Crash Count2]]/$K$283</f>
        <v>#REF!</v>
      </c>
      <c r="M267" s="86" t="str">
        <f>VLOOKUP(PCF_Severity2[[#This Row],[Crash Event]],PCF_3[[#Headers],[#Data]],4,FALSE)</f>
        <v>Other sign, including street signs</v>
      </c>
      <c r="Q267" s="84"/>
    </row>
    <row r="268" spans="2:17" x14ac:dyDescent="0.25">
      <c r="B268" t="s">
        <v>230</v>
      </c>
      <c r="C268" s="71" t="e">
        <f ca="1">SUM(COUNTIFS(INDIRECT("Collision!"&amp;Event!$C$3&amp;":"&amp;Event!$C$3),$B268,INDIRECT("Collision!"&amp;Severity!$C$3&amp;":"&amp;Severity!$C$3),C$148), COUNTIFS(INDIRECT("Collision!"&amp;Event!$G$3&amp;":"&amp;Event!$G$3),$B268,INDIRECT("Collision!"&amp;Severity!$C$3&amp;":"&amp;Severity!$C$3),C$148), COUNTIFS(INDIRECT("Collision!"&amp;Event!$G$4&amp;":"&amp;Event!$G$4),$B268,INDIRECT("Collision!"&amp;Severity!$C$3&amp;":"&amp;Severity!$C$3),C$148))</f>
        <v>#REF!</v>
      </c>
      <c r="D268" s="71" t="e">
        <f ca="1">SUM(COUNTIFS(INDIRECT("Collision!"&amp;Event!$C$3&amp;":"&amp;Event!$C$3),$B268,INDIRECT("Collision!"&amp;Severity!$C$3&amp;":"&amp;Severity!$C$3),D$148), COUNTIFS(INDIRECT("Collision!"&amp;Event!$G$3&amp;":"&amp;Event!$G$3),$B268,INDIRECT("Collision!"&amp;Severity!$C$3&amp;":"&amp;Severity!$C$3),D$148), COUNTIFS(INDIRECT("Collision!"&amp;Event!$G$4&amp;":"&amp;Event!$G$4),$B268,INDIRECT("Collision!"&amp;Severity!$C$3&amp;":"&amp;Severity!$C$3),D$148))</f>
        <v>#REF!</v>
      </c>
      <c r="E268" s="71" t="e">
        <f t="array" aca="1" ref="E268" ca="1">SUM(COUNTIFS(INDIRECT("Collision!"&amp;Event!$C$3&amp;":"&amp;Event!$C$3),$B268,INDIRECT("Collision!"&amp;Severity!$C$3&amp;":"&amp;Severity!$C$3),{"Moderate Injury","Minor Injury"}), COUNTIFS(INDIRECT("Collision!"&amp;Event!$G$3&amp;":"&amp;Event!$G$3),$B268,INDIRECT("Collision!"&amp;Severity!$C$3&amp;":"&amp;Severity!$C$3),{"Moderate Injury","Minor Injury"}), COUNTIFS(INDIRECT("Collision!"&amp;Event!$G$4&amp;":"&amp;Event!$G$4),$B268,INDIRECT("Collision!"&amp;Severity!$C$3&amp;":"&amp;Severity!$C$3),{"Moderate Injury","Minor Injury"}))</f>
        <v>#REF!</v>
      </c>
      <c r="F268" s="71" t="e">
        <f ca="1">SUM(COUNTIFS(INDIRECT("Collision!"&amp;Event!$C$3&amp;":"&amp;Event!$C$3),$B268,INDIRECT("Collision!"&amp;Severity!$C$3&amp;":"&amp;Severity!$C$3),F$148), COUNTIFS(INDIRECT("Collision!"&amp;Event!$G$3&amp;":"&amp;Event!$G$3),$B268,INDIRECT("Collision!"&amp;Severity!$C$3&amp;":"&amp;Severity!$C$3),F$148), COUNTIFS(INDIRECT("Collision!"&amp;Event!$G$4&amp;":"&amp;Event!$G$4),$B268,INDIRECT("Collision!"&amp;Severity!$C$3&amp;":"&amp;Severity!$C$3),F$148))</f>
        <v>#REF!</v>
      </c>
      <c r="G268" s="71" t="e">
        <f t="shared" ca="1" si="9"/>
        <v>#REF!</v>
      </c>
      <c r="H268" s="69" t="e">
        <f t="shared" ca="1" si="10"/>
        <v>#REF!</v>
      </c>
      <c r="I268" s="71" t="e">
        <f t="shared" ca="1" si="11"/>
        <v>#REF!</v>
      </c>
      <c r="J268" s="69" t="e">
        <f ca="1">IF(G268=0,0,PCF_Severity2[[#This Row],[Crash Count]]/$I$283)</f>
        <v>#REF!</v>
      </c>
      <c r="K268" t="e">
        <f ca="1">SUM(PCF_Severity2[[#This Row],[Severe Injury]:[Other Injury]])</f>
        <v>#REF!</v>
      </c>
      <c r="L268" s="69" t="e">
        <f ca="1">PCF_Severity2[[#This Row],[Crash Count2]]/$K$283</f>
        <v>#REF!</v>
      </c>
      <c r="M268" s="86" t="str">
        <f>VLOOKUP(PCF_Severity2[[#This Row],[Crash Event]],PCF_3[[#Headers],[#Data]],4,FALSE)</f>
        <v>Vehicle obscured view</v>
      </c>
      <c r="Q268" s="84"/>
    </row>
    <row r="269" spans="2:17" ht="30" customHeight="1" x14ac:dyDescent="0.25">
      <c r="B269" t="s">
        <v>241</v>
      </c>
      <c r="C269" s="71" t="e">
        <f ca="1">SUM(COUNTIFS(INDIRECT("Collision!"&amp;Event!$C$3&amp;":"&amp;Event!$C$3),$B269,INDIRECT("Collision!"&amp;Severity!$C$3&amp;":"&amp;Severity!$C$3),C$148), COUNTIFS(INDIRECT("Collision!"&amp;Event!$G$3&amp;":"&amp;Event!$G$3),$B269,INDIRECT("Collision!"&amp;Severity!$C$3&amp;":"&amp;Severity!$C$3),C$148), COUNTIFS(INDIRECT("Collision!"&amp;Event!$G$4&amp;":"&amp;Event!$G$4),$B269,INDIRECT("Collision!"&amp;Severity!$C$3&amp;":"&amp;Severity!$C$3),C$148))</f>
        <v>#REF!</v>
      </c>
      <c r="D269" s="71" t="e">
        <f ca="1">SUM(COUNTIFS(INDIRECT("Collision!"&amp;Event!$C$3&amp;":"&amp;Event!$C$3),$B269,INDIRECT("Collision!"&amp;Severity!$C$3&amp;":"&amp;Severity!$C$3),D$148), COUNTIFS(INDIRECT("Collision!"&amp;Event!$G$3&amp;":"&amp;Event!$G$3),$B269,INDIRECT("Collision!"&amp;Severity!$C$3&amp;":"&amp;Severity!$C$3),D$148), COUNTIFS(INDIRECT("Collision!"&amp;Event!$G$4&amp;":"&amp;Event!$G$4),$B269,INDIRECT("Collision!"&amp;Severity!$C$3&amp;":"&amp;Severity!$C$3),D$148))</f>
        <v>#REF!</v>
      </c>
      <c r="E269" s="71" t="e">
        <f t="array" aca="1" ref="E269" ca="1">SUM(COUNTIFS(INDIRECT("Collision!"&amp;Event!$C$3&amp;":"&amp;Event!$C$3),$B269,INDIRECT("Collision!"&amp;Severity!$C$3&amp;":"&amp;Severity!$C$3),{"Moderate Injury","Minor Injury"}), COUNTIFS(INDIRECT("Collision!"&amp;Event!$G$3&amp;":"&amp;Event!$G$3),$B269,INDIRECT("Collision!"&amp;Severity!$C$3&amp;":"&amp;Severity!$C$3),{"Moderate Injury","Minor Injury"}), COUNTIFS(INDIRECT("Collision!"&amp;Event!$G$4&amp;":"&amp;Event!$G$4),$B269,INDIRECT("Collision!"&amp;Severity!$C$3&amp;":"&amp;Severity!$C$3),{"Moderate Injury","Minor Injury"}))</f>
        <v>#REF!</v>
      </c>
      <c r="F269" s="71" t="e">
        <f ca="1">SUM(COUNTIFS(INDIRECT("Collision!"&amp;Event!$C$3&amp;":"&amp;Event!$C$3),$B269,INDIRECT("Collision!"&amp;Severity!$C$3&amp;":"&amp;Severity!$C$3),F$148), COUNTIFS(INDIRECT("Collision!"&amp;Event!$G$3&amp;":"&amp;Event!$G$3),$B269,INDIRECT("Collision!"&amp;Severity!$C$3&amp;":"&amp;Severity!$C$3),F$148), COUNTIFS(INDIRECT("Collision!"&amp;Event!$G$4&amp;":"&amp;Event!$G$4),$B269,INDIRECT("Collision!"&amp;Severity!$C$3&amp;":"&amp;Severity!$C$3),F$148))</f>
        <v>#REF!</v>
      </c>
      <c r="G269" s="71" t="e">
        <f t="shared" ca="1" si="9"/>
        <v>#REF!</v>
      </c>
      <c r="H269" s="69" t="e">
        <f t="shared" ca="1" si="10"/>
        <v>#REF!</v>
      </c>
      <c r="I269" s="71" t="e">
        <f t="shared" ca="1" si="11"/>
        <v>#REF!</v>
      </c>
      <c r="J269" s="69" t="e">
        <f ca="1">IF(G269=0,0,PCF_Severity2[[#This Row],[Crash Count]]/$I$283)</f>
        <v>#REF!</v>
      </c>
      <c r="K269" t="e">
        <f ca="1">SUM(PCF_Severity2[[#This Row],[Severe Injury]:[Other Injury]])</f>
        <v>#REF!</v>
      </c>
      <c r="L269" s="69" t="e">
        <f ca="1">PCF_Severity2[[#This Row],[Crash Count2]]/$K$283</f>
        <v>#REF!</v>
      </c>
      <c r="M269" s="86" t="str">
        <f>VLOOKUP(PCF_Severity2[[#This Row],[Crash Event]],PCF_3[[#Headers],[#Data]],4,FALSE)</f>
        <v>Cell phone (on PAR or report submitted by driver using phone)</v>
      </c>
      <c r="Q269" s="84"/>
    </row>
    <row r="270" spans="2:17" ht="30" x14ac:dyDescent="0.25">
      <c r="B270" t="s">
        <v>154</v>
      </c>
      <c r="C270" s="71" t="e">
        <f ca="1">SUM(COUNTIFS(INDIRECT("Collision!"&amp;Event!$C$3&amp;":"&amp;Event!$C$3),$B270,INDIRECT("Collision!"&amp;Severity!$C$3&amp;":"&amp;Severity!$C$3),C$148), COUNTIFS(INDIRECT("Collision!"&amp;Event!$G$3&amp;":"&amp;Event!$G$3),$B270,INDIRECT("Collision!"&amp;Severity!$C$3&amp;":"&amp;Severity!$C$3),C$148), COUNTIFS(INDIRECT("Collision!"&amp;Event!$G$4&amp;":"&amp;Event!$G$4),$B270,INDIRECT("Collision!"&amp;Severity!$C$3&amp;":"&amp;Severity!$C$3),C$148))</f>
        <v>#REF!</v>
      </c>
      <c r="D270" s="71" t="e">
        <f ca="1">SUM(COUNTIFS(INDIRECT("Collision!"&amp;Event!$C$3&amp;":"&amp;Event!$C$3),$B270,INDIRECT("Collision!"&amp;Severity!$C$3&amp;":"&amp;Severity!$C$3),D$148), COUNTIFS(INDIRECT("Collision!"&amp;Event!$G$3&amp;":"&amp;Event!$G$3),$B270,INDIRECT("Collision!"&amp;Severity!$C$3&amp;":"&amp;Severity!$C$3),D$148), COUNTIFS(INDIRECT("Collision!"&amp;Event!$G$4&amp;":"&amp;Event!$G$4),$B270,INDIRECT("Collision!"&amp;Severity!$C$3&amp;":"&amp;Severity!$C$3),D$148))</f>
        <v>#REF!</v>
      </c>
      <c r="E270" s="71" t="e">
        <f t="array" aca="1" ref="E270" ca="1">SUM(COUNTIFS(INDIRECT("Collision!"&amp;Event!$C$3&amp;":"&amp;Event!$C$3),$B270,INDIRECT("Collision!"&amp;Severity!$C$3&amp;":"&amp;Severity!$C$3),{"Moderate Injury","Minor Injury"}), COUNTIFS(INDIRECT("Collision!"&amp;Event!$G$3&amp;":"&amp;Event!$G$3),$B270,INDIRECT("Collision!"&amp;Severity!$C$3&amp;":"&amp;Severity!$C$3),{"Moderate Injury","Minor Injury"}), COUNTIFS(INDIRECT("Collision!"&amp;Event!$G$4&amp;":"&amp;Event!$G$4),$B270,INDIRECT("Collision!"&amp;Severity!$C$3&amp;":"&amp;Severity!$C$3),{"Moderate Injury","Minor Injury"}))</f>
        <v>#REF!</v>
      </c>
      <c r="F270" s="71" t="e">
        <f ca="1">SUM(COUNTIFS(INDIRECT("Collision!"&amp;Event!$C$3&amp;":"&amp;Event!$C$3),$B270,INDIRECT("Collision!"&amp;Severity!$C$3&amp;":"&amp;Severity!$C$3),F$148), COUNTIFS(INDIRECT("Collision!"&amp;Event!$G$3&amp;":"&amp;Event!$G$3),$B270,INDIRECT("Collision!"&amp;Severity!$C$3&amp;":"&amp;Severity!$C$3),F$148), COUNTIFS(INDIRECT("Collision!"&amp;Event!$G$4&amp;":"&amp;Event!$G$4),$B270,INDIRECT("Collision!"&amp;Severity!$C$3&amp;":"&amp;Severity!$C$3),F$148))</f>
        <v>#REF!</v>
      </c>
      <c r="G270" s="71" t="e">
        <f t="shared" ca="1" si="9"/>
        <v>#REF!</v>
      </c>
      <c r="H270" s="69" t="e">
        <f t="shared" ca="1" si="10"/>
        <v>#REF!</v>
      </c>
      <c r="I270" s="71" t="e">
        <f t="shared" ca="1" si="11"/>
        <v>#REF!</v>
      </c>
      <c r="J270" s="69" t="e">
        <f ca="1">IF(G270=0,0,PCF_Severity2[[#This Row],[Crash Count]]/$I$283)</f>
        <v>#REF!</v>
      </c>
      <c r="K270" t="e">
        <f ca="1">SUM(PCF_Severity2[[#This Row],[Severe Injury]:[Other Injury]])</f>
        <v>#REF!</v>
      </c>
      <c r="L270" s="69" t="e">
        <f ca="1">PCF_Severity2[[#This Row],[Crash Count2]]/$K$283</f>
        <v>#REF!</v>
      </c>
      <c r="M270" s="86" t="str">
        <f>VLOOKUP(PCF_Severity2[[#This Row],[Crash Event]],PCF_3[[#Headers],[#Data]],4,FALSE)</f>
        <v>Pedestrian indirectly involved (Not struck)</v>
      </c>
      <c r="Q270" s="84"/>
    </row>
    <row r="271" spans="2:17" x14ac:dyDescent="0.25">
      <c r="B271" t="s">
        <v>269</v>
      </c>
      <c r="C271" s="71" t="e">
        <f ca="1">SUM(COUNTIFS(INDIRECT("Collision!"&amp;Event!$C$3&amp;":"&amp;Event!$C$3),$B271,INDIRECT("Collision!"&amp;Severity!$C$3&amp;":"&amp;Severity!$C$3),C$148), COUNTIFS(INDIRECT("Collision!"&amp;Event!$G$3&amp;":"&amp;Event!$G$3),$B271,INDIRECT("Collision!"&amp;Severity!$C$3&amp;":"&amp;Severity!$C$3),C$148), COUNTIFS(INDIRECT("Collision!"&amp;Event!$G$4&amp;":"&amp;Event!$G$4),$B271,INDIRECT("Collision!"&amp;Severity!$C$3&amp;":"&amp;Severity!$C$3),C$148))</f>
        <v>#REF!</v>
      </c>
      <c r="D271" s="71" t="e">
        <f ca="1">SUM(COUNTIFS(INDIRECT("Collision!"&amp;Event!$C$3&amp;":"&amp;Event!$C$3),$B271,INDIRECT("Collision!"&amp;Severity!$C$3&amp;":"&amp;Severity!$C$3),D$148), COUNTIFS(INDIRECT("Collision!"&amp;Event!$G$3&amp;":"&amp;Event!$G$3),$B271,INDIRECT("Collision!"&amp;Severity!$C$3&amp;":"&amp;Severity!$C$3),D$148), COUNTIFS(INDIRECT("Collision!"&amp;Event!$G$4&amp;":"&amp;Event!$G$4),$B271,INDIRECT("Collision!"&amp;Severity!$C$3&amp;":"&amp;Severity!$C$3),D$148))</f>
        <v>#REF!</v>
      </c>
      <c r="E271" s="71" t="e">
        <f t="array" aca="1" ref="E271" ca="1">SUM(COUNTIFS(INDIRECT("Collision!"&amp;Event!$C$3&amp;":"&amp;Event!$C$3),$B271,INDIRECT("Collision!"&amp;Severity!$C$3&amp;":"&amp;Severity!$C$3),{"Moderate Injury","Minor Injury"}), COUNTIFS(INDIRECT("Collision!"&amp;Event!$G$3&amp;":"&amp;Event!$G$3),$B271,INDIRECT("Collision!"&amp;Severity!$C$3&amp;":"&amp;Severity!$C$3),{"Moderate Injury","Minor Injury"}), COUNTIFS(INDIRECT("Collision!"&amp;Event!$G$4&amp;":"&amp;Event!$G$4),$B271,INDIRECT("Collision!"&amp;Severity!$C$3&amp;":"&amp;Severity!$C$3),{"Moderate Injury","Minor Injury"}))</f>
        <v>#REF!</v>
      </c>
      <c r="F271" s="71" t="e">
        <f ca="1">SUM(COUNTIFS(INDIRECT("Collision!"&amp;Event!$C$3&amp;":"&amp;Event!$C$3),$B271,INDIRECT("Collision!"&amp;Severity!$C$3&amp;":"&amp;Severity!$C$3),F$148), COUNTIFS(INDIRECT("Collision!"&amp;Event!$G$3&amp;":"&amp;Event!$G$3),$B271,INDIRECT("Collision!"&amp;Severity!$C$3&amp;":"&amp;Severity!$C$3),F$148), COUNTIFS(INDIRECT("Collision!"&amp;Event!$G$4&amp;":"&amp;Event!$G$4),$B271,INDIRECT("Collision!"&amp;Severity!$C$3&amp;":"&amp;Severity!$C$3),F$148))</f>
        <v>#REF!</v>
      </c>
      <c r="G271" s="71" t="e">
        <f t="shared" ca="1" si="9"/>
        <v>#REF!</v>
      </c>
      <c r="H271" s="69" t="e">
        <f t="shared" ca="1" si="10"/>
        <v>#REF!</v>
      </c>
      <c r="I271" s="71" t="e">
        <f t="shared" ca="1" si="11"/>
        <v>#REF!</v>
      </c>
      <c r="J271" s="69" t="e">
        <f ca="1">IF(G271=0,0,PCF_Severity2[[#This Row],[Crash Count]]/$I$283)</f>
        <v>#REF!</v>
      </c>
      <c r="K271" t="e">
        <f ca="1">SUM(PCF_Severity2[[#This Row],[Severe Injury]:[Other Injury]])</f>
        <v>#REF!</v>
      </c>
      <c r="L271" s="69" t="e">
        <f ca="1">PCF_Severity2[[#This Row],[Crash Count2]]/$K$283</f>
        <v>#REF!</v>
      </c>
      <c r="M271" s="86" t="str">
        <f>VLOOKUP(PCF_Severity2[[#This Row],[Crash Event]],PCF_3[[#Headers],[#Data]],4,FALSE)</f>
        <v>Fence</v>
      </c>
      <c r="Q271" s="84"/>
    </row>
    <row r="272" spans="2:17" x14ac:dyDescent="0.25">
      <c r="B272" t="s">
        <v>183</v>
      </c>
      <c r="C272" s="71" t="e">
        <f ca="1">SUM(COUNTIFS(INDIRECT("Collision!"&amp;Event!$C$3&amp;":"&amp;Event!$C$3),$B272,INDIRECT("Collision!"&amp;Severity!$C$3&amp;":"&amp;Severity!$C$3),C$148), COUNTIFS(INDIRECT("Collision!"&amp;Event!$G$3&amp;":"&amp;Event!$G$3),$B272,INDIRECT("Collision!"&amp;Severity!$C$3&amp;":"&amp;Severity!$C$3),C$148), COUNTIFS(INDIRECT("Collision!"&amp;Event!$G$4&amp;":"&amp;Event!$G$4),$B272,INDIRECT("Collision!"&amp;Severity!$C$3&amp;":"&amp;Severity!$C$3),C$148))</f>
        <v>#REF!</v>
      </c>
      <c r="D272" s="71" t="e">
        <f ca="1">SUM(COUNTIFS(INDIRECT("Collision!"&amp;Event!$C$3&amp;":"&amp;Event!$C$3),$B272,INDIRECT("Collision!"&amp;Severity!$C$3&amp;":"&amp;Severity!$C$3),D$148), COUNTIFS(INDIRECT("Collision!"&amp;Event!$G$3&amp;":"&amp;Event!$G$3),$B272,INDIRECT("Collision!"&amp;Severity!$C$3&amp;":"&amp;Severity!$C$3),D$148), COUNTIFS(INDIRECT("Collision!"&amp;Event!$G$4&amp;":"&amp;Event!$G$4),$B272,INDIRECT("Collision!"&amp;Severity!$C$3&amp;":"&amp;Severity!$C$3),D$148))</f>
        <v>#REF!</v>
      </c>
      <c r="E272" s="71" t="e">
        <f t="array" aca="1" ref="E272" ca="1">SUM(COUNTIFS(INDIRECT("Collision!"&amp;Event!$C$3&amp;":"&amp;Event!$C$3),$B272,INDIRECT("Collision!"&amp;Severity!$C$3&amp;":"&amp;Severity!$C$3),{"Moderate Injury","Minor Injury"}), COUNTIFS(INDIRECT("Collision!"&amp;Event!$G$3&amp;":"&amp;Event!$G$3),$B272,INDIRECT("Collision!"&amp;Severity!$C$3&amp;":"&amp;Severity!$C$3),{"Moderate Injury","Minor Injury"}), COUNTIFS(INDIRECT("Collision!"&amp;Event!$G$4&amp;":"&amp;Event!$G$4),$B272,INDIRECT("Collision!"&amp;Severity!$C$3&amp;":"&amp;Severity!$C$3),{"Moderate Injury","Minor Injury"}))</f>
        <v>#REF!</v>
      </c>
      <c r="F272" s="71" t="e">
        <f ca="1">SUM(COUNTIFS(INDIRECT("Collision!"&amp;Event!$C$3&amp;":"&amp;Event!$C$3),$B272,INDIRECT("Collision!"&amp;Severity!$C$3&amp;":"&amp;Severity!$C$3),F$148), COUNTIFS(INDIRECT("Collision!"&amp;Event!$G$3&amp;":"&amp;Event!$G$3),$B272,INDIRECT("Collision!"&amp;Severity!$C$3&amp;":"&amp;Severity!$C$3),F$148), COUNTIFS(INDIRECT("Collision!"&amp;Event!$G$4&amp;":"&amp;Event!$G$4),$B272,INDIRECT("Collision!"&amp;Severity!$C$3&amp;":"&amp;Severity!$C$3),F$148))</f>
        <v>#REF!</v>
      </c>
      <c r="G272" s="71" t="e">
        <f t="shared" ca="1" si="9"/>
        <v>#REF!</v>
      </c>
      <c r="H272" s="69" t="e">
        <f t="shared" ca="1" si="10"/>
        <v>#REF!</v>
      </c>
      <c r="I272" s="71" t="e">
        <f t="shared" ca="1" si="11"/>
        <v>#REF!</v>
      </c>
      <c r="J272" s="69" t="e">
        <f ca="1">IF(G272=0,0,PCF_Severity2[[#This Row],[Crash Count]]/$I$283)</f>
        <v>#REF!</v>
      </c>
      <c r="K272" t="e">
        <f ca="1">SUM(PCF_Severity2[[#This Row],[Severe Injury]:[Other Injury]])</f>
        <v>#REF!</v>
      </c>
      <c r="L272" s="69" t="e">
        <f ca="1">PCF_Severity2[[#This Row],[Crash Count2]]/$K$283</f>
        <v>#REF!</v>
      </c>
      <c r="M272" s="86" t="str">
        <f>VLOOKUP(PCF_Severity2[[#This Row],[Crash Event]],PCF_3[[#Headers],[#Data]],4,FALSE)</f>
        <v>Deer or elk, wapiti</v>
      </c>
      <c r="Q272" s="84"/>
    </row>
    <row r="273" spans="2:17" ht="30" customHeight="1" x14ac:dyDescent="0.25">
      <c r="B273" t="s">
        <v>275</v>
      </c>
      <c r="C273" s="71" t="e">
        <f ca="1">SUM(COUNTIFS(INDIRECT("Collision!"&amp;Event!$C$3&amp;":"&amp;Event!$C$3),$B273,INDIRECT("Collision!"&amp;Severity!$C$3&amp;":"&amp;Severity!$C$3),C$148), COUNTIFS(INDIRECT("Collision!"&amp;Event!$G$3&amp;":"&amp;Event!$G$3),$B273,INDIRECT("Collision!"&amp;Severity!$C$3&amp;":"&amp;Severity!$C$3),C$148), COUNTIFS(INDIRECT("Collision!"&amp;Event!$G$4&amp;":"&amp;Event!$G$4),$B273,INDIRECT("Collision!"&amp;Severity!$C$3&amp;":"&amp;Severity!$C$3),C$148))</f>
        <v>#REF!</v>
      </c>
      <c r="D273" s="71" t="e">
        <f ca="1">SUM(COUNTIFS(INDIRECT("Collision!"&amp;Event!$C$3&amp;":"&amp;Event!$C$3),$B273,INDIRECT("Collision!"&amp;Severity!$C$3&amp;":"&amp;Severity!$C$3),D$148), COUNTIFS(INDIRECT("Collision!"&amp;Event!$G$3&amp;":"&amp;Event!$G$3),$B273,INDIRECT("Collision!"&amp;Severity!$C$3&amp;":"&amp;Severity!$C$3),D$148), COUNTIFS(INDIRECT("Collision!"&amp;Event!$G$4&amp;":"&amp;Event!$G$4),$B273,INDIRECT("Collision!"&amp;Severity!$C$3&amp;":"&amp;Severity!$C$3),D$148))</f>
        <v>#REF!</v>
      </c>
      <c r="E273" s="71" t="e">
        <f t="array" aca="1" ref="E273" ca="1">SUM(COUNTIFS(INDIRECT("Collision!"&amp;Event!$C$3&amp;":"&amp;Event!$C$3),$B273,INDIRECT("Collision!"&amp;Severity!$C$3&amp;":"&amp;Severity!$C$3),{"Moderate Injury","Minor Injury"}), COUNTIFS(INDIRECT("Collision!"&amp;Event!$G$3&amp;":"&amp;Event!$G$3),$B273,INDIRECT("Collision!"&amp;Severity!$C$3&amp;":"&amp;Severity!$C$3),{"Moderate Injury","Minor Injury"}), COUNTIFS(INDIRECT("Collision!"&amp;Event!$G$4&amp;":"&amp;Event!$G$4),$B273,INDIRECT("Collision!"&amp;Severity!$C$3&amp;":"&amp;Severity!$C$3),{"Moderate Injury","Minor Injury"}))</f>
        <v>#REF!</v>
      </c>
      <c r="F273" s="71" t="e">
        <f ca="1">SUM(COUNTIFS(INDIRECT("Collision!"&amp;Event!$C$3&amp;":"&amp;Event!$C$3),$B273,INDIRECT("Collision!"&amp;Severity!$C$3&amp;":"&amp;Severity!$C$3),F$148), COUNTIFS(INDIRECT("Collision!"&amp;Event!$G$3&amp;":"&amp;Event!$G$3),$B273,INDIRECT("Collision!"&amp;Severity!$C$3&amp;":"&amp;Severity!$C$3),F$148), COUNTIFS(INDIRECT("Collision!"&amp;Event!$G$4&amp;":"&amp;Event!$G$4),$B273,INDIRECT("Collision!"&amp;Severity!$C$3&amp;":"&amp;Severity!$C$3),F$148))</f>
        <v>#REF!</v>
      </c>
      <c r="G273" s="71" t="e">
        <f t="shared" ca="1" si="9"/>
        <v>#REF!</v>
      </c>
      <c r="H273" s="69" t="e">
        <f t="shared" ca="1" si="10"/>
        <v>#REF!</v>
      </c>
      <c r="I273" s="71" t="e">
        <f t="shared" ca="1" si="11"/>
        <v>#REF!</v>
      </c>
      <c r="J273" s="69" t="e">
        <f ca="1">IF(G273=0,0,PCF_Severity2[[#This Row],[Crash Count]]/$I$283)</f>
        <v>#REF!</v>
      </c>
      <c r="K273" t="e">
        <f ca="1">SUM(PCF_Severity2[[#This Row],[Severe Injury]:[Other Injury]])</f>
        <v>#REF!</v>
      </c>
      <c r="L273" s="69" t="e">
        <f ca="1">PCF_Severity2[[#This Row],[Crash Count2]]/$K$283</f>
        <v>#REF!</v>
      </c>
      <c r="M273" s="86" t="str">
        <f>VLOOKUP(PCF_Severity2[[#This Row],[Crash Event]],PCF_3[[#Headers],[#Data]],4,FALSE)</f>
        <v>Curve present at crash location (Do not use with code 130)</v>
      </c>
      <c r="Q273" s="84"/>
    </row>
    <row r="274" spans="2:17" x14ac:dyDescent="0.25">
      <c r="B274" t="s">
        <v>201</v>
      </c>
      <c r="C274" s="71" t="e">
        <f ca="1">SUM(COUNTIFS(INDIRECT("Collision!"&amp;Event!$C$3&amp;":"&amp;Event!$C$3),$B274,INDIRECT("Collision!"&amp;Severity!$C$3&amp;":"&amp;Severity!$C$3),C$148), COUNTIFS(INDIRECT("Collision!"&amp;Event!$G$3&amp;":"&amp;Event!$G$3),$B274,INDIRECT("Collision!"&amp;Severity!$C$3&amp;":"&amp;Severity!$C$3),C$148), COUNTIFS(INDIRECT("Collision!"&amp;Event!$G$4&amp;":"&amp;Event!$G$4),$B274,INDIRECT("Collision!"&amp;Severity!$C$3&amp;":"&amp;Severity!$C$3),C$148))</f>
        <v>#REF!</v>
      </c>
      <c r="D274" s="71" t="e">
        <f ca="1">SUM(COUNTIFS(INDIRECT("Collision!"&amp;Event!$C$3&amp;":"&amp;Event!$C$3),$B274,INDIRECT("Collision!"&amp;Severity!$C$3&amp;":"&amp;Severity!$C$3),D$148), COUNTIFS(INDIRECT("Collision!"&amp;Event!$G$3&amp;":"&amp;Event!$G$3),$B274,INDIRECT("Collision!"&amp;Severity!$C$3&amp;":"&amp;Severity!$C$3),D$148), COUNTIFS(INDIRECT("Collision!"&amp;Event!$G$4&amp;":"&amp;Event!$G$4),$B274,INDIRECT("Collision!"&amp;Severity!$C$3&amp;":"&amp;Severity!$C$3),D$148))</f>
        <v>#REF!</v>
      </c>
      <c r="E274" s="71" t="e">
        <f t="array" aca="1" ref="E274" ca="1">SUM(COUNTIFS(INDIRECT("Collision!"&amp;Event!$C$3&amp;":"&amp;Event!$C$3),$B274,INDIRECT("Collision!"&amp;Severity!$C$3&amp;":"&amp;Severity!$C$3),{"Moderate Injury","Minor Injury"}), COUNTIFS(INDIRECT("Collision!"&amp;Event!$G$3&amp;":"&amp;Event!$G$3),$B274,INDIRECT("Collision!"&amp;Severity!$C$3&amp;":"&amp;Severity!$C$3),{"Moderate Injury","Minor Injury"}), COUNTIFS(INDIRECT("Collision!"&amp;Event!$G$4&amp;":"&amp;Event!$G$4),$B274,INDIRECT("Collision!"&amp;Severity!$C$3&amp;":"&amp;Severity!$C$3),{"Moderate Injury","Minor Injury"}))</f>
        <v>#REF!</v>
      </c>
      <c r="F274" s="71" t="e">
        <f ca="1">SUM(COUNTIFS(INDIRECT("Collision!"&amp;Event!$C$3&amp;":"&amp;Event!$C$3),$B274,INDIRECT("Collision!"&amp;Severity!$C$3&amp;":"&amp;Severity!$C$3),F$148), COUNTIFS(INDIRECT("Collision!"&amp;Event!$G$3&amp;":"&amp;Event!$G$3),$B274,INDIRECT("Collision!"&amp;Severity!$C$3&amp;":"&amp;Severity!$C$3),F$148), COUNTIFS(INDIRECT("Collision!"&amp;Event!$G$4&amp;":"&amp;Event!$G$4),$B274,INDIRECT("Collision!"&amp;Severity!$C$3&amp;":"&amp;Severity!$C$3),F$148))</f>
        <v>#REF!</v>
      </c>
      <c r="G274" s="71" t="e">
        <f t="shared" ca="1" si="9"/>
        <v>#REF!</v>
      </c>
      <c r="H274" s="69" t="e">
        <f t="shared" ca="1" si="10"/>
        <v>#REF!</v>
      </c>
      <c r="I274" s="71" t="e">
        <f t="shared" ca="1" si="11"/>
        <v>#REF!</v>
      </c>
      <c r="J274" s="69" t="e">
        <f ca="1">IF(G274=0,0,PCF_Severity2[[#This Row],[Crash Count]]/$I$283)</f>
        <v>#REF!</v>
      </c>
      <c r="K274" t="e">
        <f ca="1">SUM(PCF_Severity2[[#This Row],[Severe Injury]:[Other Injury]])</f>
        <v>#REF!</v>
      </c>
      <c r="L274" s="69" t="e">
        <f ca="1">PCF_Severity2[[#This Row],[Crash Count2]]/$K$283</f>
        <v>#REF!</v>
      </c>
      <c r="M274" s="86" t="str">
        <f>VLOOKUP(PCF_Severity2[[#This Row],[Crash Event]],PCF_3[[#Headers],[#Data]],4,FALSE)</f>
        <v>Pole - power or telephone</v>
      </c>
      <c r="Q274" s="84"/>
    </row>
    <row r="275" spans="2:17" ht="45" customHeight="1" x14ac:dyDescent="0.25">
      <c r="B275" t="s">
        <v>240</v>
      </c>
      <c r="C275" s="71" t="e">
        <f ca="1">SUM(COUNTIFS(INDIRECT("Collision!"&amp;Event!$C$3&amp;":"&amp;Event!$C$3),$B275,INDIRECT("Collision!"&amp;Severity!$C$3&amp;":"&amp;Severity!$C$3),C$148), COUNTIFS(INDIRECT("Collision!"&amp;Event!$G$3&amp;":"&amp;Event!$G$3),$B275,INDIRECT("Collision!"&amp;Severity!$C$3&amp;":"&amp;Severity!$C$3),C$148), COUNTIFS(INDIRECT("Collision!"&amp;Event!$G$4&amp;":"&amp;Event!$G$4),$B275,INDIRECT("Collision!"&amp;Severity!$C$3&amp;":"&amp;Severity!$C$3),C$148))</f>
        <v>#REF!</v>
      </c>
      <c r="D275" s="71" t="e">
        <f ca="1">SUM(COUNTIFS(INDIRECT("Collision!"&amp;Event!$C$3&amp;":"&amp;Event!$C$3),$B275,INDIRECT("Collision!"&amp;Severity!$C$3&amp;":"&amp;Severity!$C$3),D$148), COUNTIFS(INDIRECT("Collision!"&amp;Event!$G$3&amp;":"&amp;Event!$G$3),$B275,INDIRECT("Collision!"&amp;Severity!$C$3&amp;":"&amp;Severity!$C$3),D$148), COUNTIFS(INDIRECT("Collision!"&amp;Event!$G$4&amp;":"&amp;Event!$G$4),$B275,INDIRECT("Collision!"&amp;Severity!$C$3&amp;":"&amp;Severity!$C$3),D$148))</f>
        <v>#REF!</v>
      </c>
      <c r="E275" s="71" t="e">
        <f t="array" aca="1" ref="E275" ca="1">SUM(COUNTIFS(INDIRECT("Collision!"&amp;Event!$C$3&amp;":"&amp;Event!$C$3),$B275,INDIRECT("Collision!"&amp;Severity!$C$3&amp;":"&amp;Severity!$C$3),{"Moderate Injury","Minor Injury"}), COUNTIFS(INDIRECT("Collision!"&amp;Event!$G$3&amp;":"&amp;Event!$G$3),$B275,INDIRECT("Collision!"&amp;Severity!$C$3&amp;":"&amp;Severity!$C$3),{"Moderate Injury","Minor Injury"}), COUNTIFS(INDIRECT("Collision!"&amp;Event!$G$4&amp;":"&amp;Event!$G$4),$B275,INDIRECT("Collision!"&amp;Severity!$C$3&amp;":"&amp;Severity!$C$3),{"Moderate Injury","Minor Injury"}))</f>
        <v>#REF!</v>
      </c>
      <c r="F275" s="71" t="e">
        <f ca="1">SUM(COUNTIFS(INDIRECT("Collision!"&amp;Event!$C$3&amp;":"&amp;Event!$C$3),$B275,INDIRECT("Collision!"&amp;Severity!$C$3&amp;":"&amp;Severity!$C$3),F$148), COUNTIFS(INDIRECT("Collision!"&amp;Event!$G$3&amp;":"&amp;Event!$G$3),$B275,INDIRECT("Collision!"&amp;Severity!$C$3&amp;":"&amp;Severity!$C$3),F$148), COUNTIFS(INDIRECT("Collision!"&amp;Event!$G$4&amp;":"&amp;Event!$G$4),$B275,INDIRECT("Collision!"&amp;Severity!$C$3&amp;":"&amp;Severity!$C$3),F$148))</f>
        <v>#REF!</v>
      </c>
      <c r="G275" s="71" t="e">
        <f t="shared" ca="1" si="9"/>
        <v>#REF!</v>
      </c>
      <c r="H275" s="69" t="e">
        <f t="shared" ca="1" si="10"/>
        <v>#REF!</v>
      </c>
      <c r="I275" s="71" t="e">
        <f t="shared" ca="1" si="11"/>
        <v>#REF!</v>
      </c>
      <c r="J275" s="69" t="e">
        <f ca="1">IF(G275=0,0,PCF_Severity2[[#This Row],[Crash Count]]/$I$283)</f>
        <v>#REF!</v>
      </c>
      <c r="K275" t="e">
        <f ca="1">SUM(PCF_Severity2[[#This Row],[Severe Injury]:[Other Injury]])</f>
        <v>#REF!</v>
      </c>
      <c r="L275" s="69" t="e">
        <f ca="1">PCF_Severity2[[#This Row],[Crash Count2]]/$K$283</f>
        <v>#REF!</v>
      </c>
      <c r="M275" s="86" t="str">
        <f>VLOOKUP(PCF_Severity2[[#This Row],[Crash Event]],PCF_3[[#Headers],[#Data]],4,FALSE)</f>
        <v>Other (phantom) non-contact vehicle (On PAR or witness statement)</v>
      </c>
      <c r="Q275" s="84"/>
    </row>
    <row r="276" spans="2:17" x14ac:dyDescent="0.25">
      <c r="B276" t="s">
        <v>210</v>
      </c>
      <c r="C276" s="71" t="e">
        <f ca="1">SUM(COUNTIFS(INDIRECT("Collision!"&amp;Event!$C$3&amp;":"&amp;Event!$C$3),$B276,INDIRECT("Collision!"&amp;Severity!$C$3&amp;":"&amp;Severity!$C$3),C$148), COUNTIFS(INDIRECT("Collision!"&amp;Event!$G$3&amp;":"&amp;Event!$G$3),$B276,INDIRECT("Collision!"&amp;Severity!$C$3&amp;":"&amp;Severity!$C$3),C$148), COUNTIFS(INDIRECT("Collision!"&amp;Event!$G$4&amp;":"&amp;Event!$G$4),$B276,INDIRECT("Collision!"&amp;Severity!$C$3&amp;":"&amp;Severity!$C$3),C$148))</f>
        <v>#REF!</v>
      </c>
      <c r="D276" s="71" t="e">
        <f ca="1">SUM(COUNTIFS(INDIRECT("Collision!"&amp;Event!$C$3&amp;":"&amp;Event!$C$3),$B276,INDIRECT("Collision!"&amp;Severity!$C$3&amp;":"&amp;Severity!$C$3),D$148), COUNTIFS(INDIRECT("Collision!"&amp;Event!$G$3&amp;":"&amp;Event!$G$3),$B276,INDIRECT("Collision!"&amp;Severity!$C$3&amp;":"&amp;Severity!$C$3),D$148), COUNTIFS(INDIRECT("Collision!"&amp;Event!$G$4&amp;":"&amp;Event!$G$4),$B276,INDIRECT("Collision!"&amp;Severity!$C$3&amp;":"&amp;Severity!$C$3),D$148))</f>
        <v>#REF!</v>
      </c>
      <c r="E276" s="71" t="e">
        <f t="array" aca="1" ref="E276" ca="1">SUM(COUNTIFS(INDIRECT("Collision!"&amp;Event!$C$3&amp;":"&amp;Event!$C$3),$B276,INDIRECT("Collision!"&amp;Severity!$C$3&amp;":"&amp;Severity!$C$3),{"Moderate Injury","Minor Injury"}), COUNTIFS(INDIRECT("Collision!"&amp;Event!$G$3&amp;":"&amp;Event!$G$3),$B276,INDIRECT("Collision!"&amp;Severity!$C$3&amp;":"&amp;Severity!$C$3),{"Moderate Injury","Minor Injury"}), COUNTIFS(INDIRECT("Collision!"&amp;Event!$G$4&amp;":"&amp;Event!$G$4),$B276,INDIRECT("Collision!"&amp;Severity!$C$3&amp;":"&amp;Severity!$C$3),{"Moderate Injury","Minor Injury"}))</f>
        <v>#REF!</v>
      </c>
      <c r="F276" s="71" t="e">
        <f ca="1">SUM(COUNTIFS(INDIRECT("Collision!"&amp;Event!$C$3&amp;":"&amp;Event!$C$3),$B276,INDIRECT("Collision!"&amp;Severity!$C$3&amp;":"&amp;Severity!$C$3),F$148), COUNTIFS(INDIRECT("Collision!"&amp;Event!$G$3&amp;":"&amp;Event!$G$3),$B276,INDIRECT("Collision!"&amp;Severity!$C$3&amp;":"&amp;Severity!$C$3),F$148), COUNTIFS(INDIRECT("Collision!"&amp;Event!$G$4&amp;":"&amp;Event!$G$4),$B276,INDIRECT("Collision!"&amp;Severity!$C$3&amp;":"&amp;Severity!$C$3),F$148))</f>
        <v>#REF!</v>
      </c>
      <c r="G276" s="71" t="e">
        <f t="shared" ca="1" si="9"/>
        <v>#REF!</v>
      </c>
      <c r="H276" s="69" t="e">
        <f t="shared" ca="1" si="10"/>
        <v>#REF!</v>
      </c>
      <c r="I276" s="71" t="e">
        <f t="shared" ca="1" si="11"/>
        <v>#REF!</v>
      </c>
      <c r="J276" s="69" t="e">
        <f ca="1">IF(G276=0,0,PCF_Severity2[[#This Row],[Crash Count]]/$I$283)</f>
        <v>#REF!</v>
      </c>
      <c r="K276" t="e">
        <f ca="1">SUM(PCF_Severity2[[#This Row],[Severe Injury]:[Other Injury]])</f>
        <v>#REF!</v>
      </c>
      <c r="L276" s="69" t="e">
        <f ca="1">PCF_Severity2[[#This Row],[Crash Count2]]/$K$283</f>
        <v>#REF!</v>
      </c>
      <c r="M276" s="86" t="str">
        <f>VLOOKUP(PCF_Severity2[[#This Row],[Crash Event]],PCF_3[[#Headers],[#Data]],4,FALSE)</f>
        <v>Tree, stump or shrubs</v>
      </c>
      <c r="Q276" s="84"/>
    </row>
    <row r="277" spans="2:17" x14ac:dyDescent="0.25">
      <c r="B277" t="s">
        <v>160</v>
      </c>
      <c r="C277" s="71" t="e">
        <f ca="1">SUM(COUNTIFS(INDIRECT("Collision!"&amp;Event!$C$3&amp;":"&amp;Event!$C$3),$B277,INDIRECT("Collision!"&amp;Severity!$C$3&amp;":"&amp;Severity!$C$3),C$148), COUNTIFS(INDIRECT("Collision!"&amp;Event!$G$3&amp;":"&amp;Event!$G$3),$B277,INDIRECT("Collision!"&amp;Severity!$C$3&amp;":"&amp;Severity!$C$3),C$148), COUNTIFS(INDIRECT("Collision!"&amp;Event!$G$4&amp;":"&amp;Event!$G$4),$B277,INDIRECT("Collision!"&amp;Severity!$C$3&amp;":"&amp;Severity!$C$3),C$148))</f>
        <v>#REF!</v>
      </c>
      <c r="D277" s="71" t="e">
        <f ca="1">SUM(COUNTIFS(INDIRECT("Collision!"&amp;Event!$C$3&amp;":"&amp;Event!$C$3),$B277,INDIRECT("Collision!"&amp;Severity!$C$3&amp;":"&amp;Severity!$C$3),D$148), COUNTIFS(INDIRECT("Collision!"&amp;Event!$G$3&amp;":"&amp;Event!$G$3),$B277,INDIRECT("Collision!"&amp;Severity!$C$3&amp;":"&amp;Severity!$C$3),D$148), COUNTIFS(INDIRECT("Collision!"&amp;Event!$G$4&amp;":"&amp;Event!$G$4),$B277,INDIRECT("Collision!"&amp;Severity!$C$3&amp;":"&amp;Severity!$C$3),D$148))</f>
        <v>#REF!</v>
      </c>
      <c r="E277" s="71" t="e">
        <f t="array" aca="1" ref="E277" ca="1">SUM(COUNTIFS(INDIRECT("Collision!"&amp;Event!$C$3&amp;":"&amp;Event!$C$3),$B277,INDIRECT("Collision!"&amp;Severity!$C$3&amp;":"&amp;Severity!$C$3),{"Moderate Injury","Minor Injury"}), COUNTIFS(INDIRECT("Collision!"&amp;Event!$G$3&amp;":"&amp;Event!$G$3),$B277,INDIRECT("Collision!"&amp;Severity!$C$3&amp;":"&amp;Severity!$C$3),{"Moderate Injury","Minor Injury"}), COUNTIFS(INDIRECT("Collision!"&amp;Event!$G$4&amp;":"&amp;Event!$G$4),$B277,INDIRECT("Collision!"&amp;Severity!$C$3&amp;":"&amp;Severity!$C$3),{"Moderate Injury","Minor Injury"}))</f>
        <v>#REF!</v>
      </c>
      <c r="F277" s="71" t="e">
        <f ca="1">SUM(COUNTIFS(INDIRECT("Collision!"&amp;Event!$C$3&amp;":"&amp;Event!$C$3),$B277,INDIRECT("Collision!"&amp;Severity!$C$3&amp;":"&amp;Severity!$C$3),F$148), COUNTIFS(INDIRECT("Collision!"&amp;Event!$G$3&amp;":"&amp;Event!$G$3),$B277,INDIRECT("Collision!"&amp;Severity!$C$3&amp;":"&amp;Severity!$C$3),F$148), COUNTIFS(INDIRECT("Collision!"&amp;Event!$G$4&amp;":"&amp;Event!$G$4),$B277,INDIRECT("Collision!"&amp;Severity!$C$3&amp;":"&amp;Severity!$C$3),F$148))</f>
        <v>#REF!</v>
      </c>
      <c r="G277" s="71" t="e">
        <f t="shared" ref="G277:G281" ca="1" si="12">SUM(C277:F277)</f>
        <v>#REF!</v>
      </c>
      <c r="H277" s="69" t="e">
        <f t="shared" ref="H277:H281" ca="1" si="13">G277/$G$283</f>
        <v>#REF!</v>
      </c>
      <c r="I277" s="71" t="e">
        <f t="shared" ca="1" si="11"/>
        <v>#REF!</v>
      </c>
      <c r="J277" s="69" t="e">
        <f ca="1">IF(G277=0,0,PCF_Severity2[[#This Row],[Crash Count]]/$I$283)</f>
        <v>#REF!</v>
      </c>
      <c r="K277" t="e">
        <f ca="1">SUM(PCF_Severity2[[#This Row],[Severe Injury]:[Other Injury]])</f>
        <v>#REF!</v>
      </c>
      <c r="L277" s="69" t="e">
        <f ca="1">PCF_Severity2[[#This Row],[Crash Count2]]/$K$283</f>
        <v>#REF!</v>
      </c>
      <c r="M277" s="86" t="str">
        <f>VLOOKUP(PCF_Severity2[[#This Row],[Crash Event]],PCF_3[[#Headers],[#Data]],4,FALSE)</f>
        <v>Overturned after first harmful event</v>
      </c>
      <c r="Q277" s="84"/>
    </row>
    <row r="278" spans="2:17" ht="45" customHeight="1" x14ac:dyDescent="0.25">
      <c r="B278" t="s">
        <v>163</v>
      </c>
      <c r="C278" s="71" t="e">
        <f ca="1">SUM(COUNTIFS(INDIRECT("Collision!"&amp;Event!$C$3&amp;":"&amp;Event!$C$3),$B278,INDIRECT("Collision!"&amp;Severity!$C$3&amp;":"&amp;Severity!$C$3),C$148), COUNTIFS(INDIRECT("Collision!"&amp;Event!$G$3&amp;":"&amp;Event!$G$3),$B278,INDIRECT("Collision!"&amp;Severity!$C$3&amp;":"&amp;Severity!$C$3),C$148), COUNTIFS(INDIRECT("Collision!"&amp;Event!$G$4&amp;":"&amp;Event!$G$4),$B278,INDIRECT("Collision!"&amp;Severity!$C$3&amp;":"&amp;Severity!$C$3),C$148))</f>
        <v>#REF!</v>
      </c>
      <c r="D278" s="71" t="e">
        <f ca="1">SUM(COUNTIFS(INDIRECT("Collision!"&amp;Event!$C$3&amp;":"&amp;Event!$C$3),$B278,INDIRECT("Collision!"&amp;Severity!$C$3&amp;":"&amp;Severity!$C$3),D$148), COUNTIFS(INDIRECT("Collision!"&amp;Event!$G$3&amp;":"&amp;Event!$G$3),$B278,INDIRECT("Collision!"&amp;Severity!$C$3&amp;":"&amp;Severity!$C$3),D$148), COUNTIFS(INDIRECT("Collision!"&amp;Event!$G$4&amp;":"&amp;Event!$G$4),$B278,INDIRECT("Collision!"&amp;Severity!$C$3&amp;":"&amp;Severity!$C$3),D$148))</f>
        <v>#REF!</v>
      </c>
      <c r="E278" s="71" t="e">
        <f t="array" aca="1" ref="E278" ca="1">SUM(COUNTIFS(INDIRECT("Collision!"&amp;Event!$C$3&amp;":"&amp;Event!$C$3),$B278,INDIRECT("Collision!"&amp;Severity!$C$3&amp;":"&amp;Severity!$C$3),{"Moderate Injury","Minor Injury"}), COUNTIFS(INDIRECT("Collision!"&amp;Event!$G$3&amp;":"&amp;Event!$G$3),$B278,INDIRECT("Collision!"&amp;Severity!$C$3&amp;":"&amp;Severity!$C$3),{"Moderate Injury","Minor Injury"}), COUNTIFS(INDIRECT("Collision!"&amp;Event!$G$4&amp;":"&amp;Event!$G$4),$B278,INDIRECT("Collision!"&amp;Severity!$C$3&amp;":"&amp;Severity!$C$3),{"Moderate Injury","Minor Injury"}))</f>
        <v>#REF!</v>
      </c>
      <c r="F278" s="71" t="e">
        <f ca="1">SUM(COUNTIFS(INDIRECT("Collision!"&amp;Event!$C$3&amp;":"&amp;Event!$C$3),$B278,INDIRECT("Collision!"&amp;Severity!$C$3&amp;":"&amp;Severity!$C$3),F$148), COUNTIFS(INDIRECT("Collision!"&amp;Event!$G$3&amp;":"&amp;Event!$G$3),$B278,INDIRECT("Collision!"&amp;Severity!$C$3&amp;":"&amp;Severity!$C$3),F$148), COUNTIFS(INDIRECT("Collision!"&amp;Event!$G$4&amp;":"&amp;Event!$G$4),$B278,INDIRECT("Collision!"&amp;Severity!$C$3&amp;":"&amp;Severity!$C$3),F$148))</f>
        <v>#REF!</v>
      </c>
      <c r="G278" s="71" t="e">
        <f t="shared" ca="1" si="12"/>
        <v>#REF!</v>
      </c>
      <c r="H278" s="69" t="e">
        <f t="shared" ca="1" si="13"/>
        <v>#REF!</v>
      </c>
      <c r="I278" s="71" t="e">
        <f t="shared" ca="1" si="11"/>
        <v>#REF!</v>
      </c>
      <c r="J278" s="69" t="e">
        <f ca="1">IF(G278=0,0,PCF_Severity2[[#This Row],[Crash Count]]/$I$283)</f>
        <v>#REF!</v>
      </c>
      <c r="K278" t="e">
        <f ca="1">SUM(PCF_Severity2[[#This Row],[Severe Injury]:[Other Injury]])</f>
        <v>#REF!</v>
      </c>
      <c r="L278" s="69" t="e">
        <f ca="1">PCF_Severity2[[#This Row],[Crash Count2]]/$K$283</f>
        <v>#REF!</v>
      </c>
      <c r="M278" s="86" t="str">
        <f>VLOOKUP(PCF_Severity2[[#This Row],[Crash Event]],PCF_3[[#Headers],[#Data]],4,FALSE)</f>
        <v>Vehicle forced by impact into another vehicle, cyclist or pedestrian</v>
      </c>
      <c r="Q278" s="84"/>
    </row>
    <row r="279" spans="2:17" ht="30" customHeight="1" x14ac:dyDescent="0.25">
      <c r="B279" t="s">
        <v>276</v>
      </c>
      <c r="C279" s="71" t="e">
        <f ca="1">SUM(COUNTIFS(INDIRECT("Collision!"&amp;Event!$C$3&amp;":"&amp;Event!$C$3),$B279,INDIRECT("Collision!"&amp;Severity!$C$3&amp;":"&amp;Severity!$C$3),C$148), COUNTIFS(INDIRECT("Collision!"&amp;Event!$G$3&amp;":"&amp;Event!$G$3),$B279,INDIRECT("Collision!"&amp;Severity!$C$3&amp;":"&amp;Severity!$C$3),C$148), COUNTIFS(INDIRECT("Collision!"&amp;Event!$G$4&amp;":"&amp;Event!$G$4),$B279,INDIRECT("Collision!"&amp;Severity!$C$3&amp;":"&amp;Severity!$C$3),C$148))</f>
        <v>#REF!</v>
      </c>
      <c r="D279" s="71" t="e">
        <f ca="1">SUM(COUNTIFS(INDIRECT("Collision!"&amp;Event!$C$3&amp;":"&amp;Event!$C$3),$B279,INDIRECT("Collision!"&amp;Severity!$C$3&amp;":"&amp;Severity!$C$3),D$148), COUNTIFS(INDIRECT("Collision!"&amp;Event!$G$3&amp;":"&amp;Event!$G$3),$B279,INDIRECT("Collision!"&amp;Severity!$C$3&amp;":"&amp;Severity!$C$3),D$148), COUNTIFS(INDIRECT("Collision!"&amp;Event!$G$4&amp;":"&amp;Event!$G$4),$B279,INDIRECT("Collision!"&amp;Severity!$C$3&amp;":"&amp;Severity!$C$3),D$148))</f>
        <v>#REF!</v>
      </c>
      <c r="E279" s="71" t="e">
        <f t="array" aca="1" ref="E279" ca="1">SUM(COUNTIFS(INDIRECT("Collision!"&amp;Event!$C$3&amp;":"&amp;Event!$C$3),$B279,INDIRECT("Collision!"&amp;Severity!$C$3&amp;":"&amp;Severity!$C$3),{"Moderate Injury","Minor Injury"}), COUNTIFS(INDIRECT("Collision!"&amp;Event!$G$3&amp;":"&amp;Event!$G$3),$B279,INDIRECT("Collision!"&amp;Severity!$C$3&amp;":"&amp;Severity!$C$3),{"Moderate Injury","Minor Injury"}), COUNTIFS(INDIRECT("Collision!"&amp;Event!$G$4&amp;":"&amp;Event!$G$4),$B279,INDIRECT("Collision!"&amp;Severity!$C$3&amp;":"&amp;Severity!$C$3),{"Moderate Injury","Minor Injury"}))</f>
        <v>#REF!</v>
      </c>
      <c r="F279" s="71" t="e">
        <f ca="1">SUM(COUNTIFS(INDIRECT("Collision!"&amp;Event!$C$3&amp;":"&amp;Event!$C$3),$B279,INDIRECT("Collision!"&amp;Severity!$C$3&amp;":"&amp;Severity!$C$3),F$148), COUNTIFS(INDIRECT("Collision!"&amp;Event!$G$3&amp;":"&amp;Event!$G$3),$B279,INDIRECT("Collision!"&amp;Severity!$C$3&amp;":"&amp;Severity!$C$3),F$148), COUNTIFS(INDIRECT("Collision!"&amp;Event!$G$4&amp;":"&amp;Event!$G$4),$B279,INDIRECT("Collision!"&amp;Severity!$C$3&amp;":"&amp;Severity!$C$3),F$148))</f>
        <v>#REF!</v>
      </c>
      <c r="G279" s="71" t="e">
        <f t="shared" ca="1" si="12"/>
        <v>#REF!</v>
      </c>
      <c r="H279" s="69" t="e">
        <f t="shared" ca="1" si="13"/>
        <v>#REF!</v>
      </c>
      <c r="I279" s="71" t="e">
        <f t="shared" ca="1" si="11"/>
        <v>#REF!</v>
      </c>
      <c r="J279" s="69" t="e">
        <f ca="1">IF(G279=0,0,PCF_Severity2[[#This Row],[Crash Count]]/$I$283)</f>
        <v>#REF!</v>
      </c>
      <c r="K279" t="e">
        <f ca="1">SUM(PCF_Severity2[[#This Row],[Severe Injury]:[Other Injury]])</f>
        <v>#REF!</v>
      </c>
      <c r="L279" s="69" t="e">
        <f ca="1">PCF_Severity2[[#This Row],[Crash Count2]]/$K$283</f>
        <v>#REF!</v>
      </c>
      <c r="M279" s="86" t="str">
        <f>VLOOKUP(PCF_Severity2[[#This Row],[Crash Event]],PCF_3[[#Headers],[#Data]],4,FALSE)</f>
        <v>Vertical grade, hill present at crash location (Do not use with code 131)</v>
      </c>
      <c r="Q279" s="84"/>
    </row>
    <row r="280" spans="2:17" ht="30" customHeight="1" x14ac:dyDescent="0.25">
      <c r="B280" t="s">
        <v>271</v>
      </c>
      <c r="C280" s="71" t="e">
        <f ca="1">SUM(COUNTIFS(INDIRECT("Collision!"&amp;Event!$C$3&amp;":"&amp;Event!$C$3),$B280,INDIRECT("Collision!"&amp;Severity!$C$3&amp;":"&amp;Severity!$C$3),C$148), COUNTIFS(INDIRECT("Collision!"&amp;Event!$G$3&amp;":"&amp;Event!$G$3),$B280,INDIRECT("Collision!"&amp;Severity!$C$3&amp;":"&amp;Severity!$C$3),C$148), COUNTIFS(INDIRECT("Collision!"&amp;Event!$G$4&amp;":"&amp;Event!$G$4),$B280,INDIRECT("Collision!"&amp;Severity!$C$3&amp;":"&amp;Severity!$C$3),C$148))</f>
        <v>#REF!</v>
      </c>
      <c r="D280" s="71" t="e">
        <f ca="1">SUM(COUNTIFS(INDIRECT("Collision!"&amp;Event!$C$3&amp;":"&amp;Event!$C$3),$B280,INDIRECT("Collision!"&amp;Severity!$C$3&amp;":"&amp;Severity!$C$3),D$148), COUNTIFS(INDIRECT("Collision!"&amp;Event!$G$3&amp;":"&amp;Event!$G$3),$B280,INDIRECT("Collision!"&amp;Severity!$C$3&amp;":"&amp;Severity!$C$3),D$148), COUNTIFS(INDIRECT("Collision!"&amp;Event!$G$4&amp;":"&amp;Event!$G$4),$B280,INDIRECT("Collision!"&amp;Severity!$C$3&amp;":"&amp;Severity!$C$3),D$148))</f>
        <v>#REF!</v>
      </c>
      <c r="E280" s="71" t="e">
        <f t="array" aca="1" ref="E280" ca="1">SUM(COUNTIFS(INDIRECT("Collision!"&amp;Event!$C$3&amp;":"&amp;Event!$C$3),$B280,INDIRECT("Collision!"&amp;Severity!$C$3&amp;":"&amp;Severity!$C$3),{"Moderate Injury","Minor Injury"}), COUNTIFS(INDIRECT("Collision!"&amp;Event!$G$3&amp;":"&amp;Event!$G$3),$B280,INDIRECT("Collision!"&amp;Severity!$C$3&amp;":"&amp;Severity!$C$3),{"Moderate Injury","Minor Injury"}), COUNTIFS(INDIRECT("Collision!"&amp;Event!$G$4&amp;":"&amp;Event!$G$4),$B280,INDIRECT("Collision!"&amp;Severity!$C$3&amp;":"&amp;Severity!$C$3),{"Moderate Injury","Minor Injury"}))</f>
        <v>#REF!</v>
      </c>
      <c r="F280" s="71" t="e">
        <f ca="1">SUM(COUNTIFS(INDIRECT("Collision!"&amp;Event!$C$3&amp;":"&amp;Event!$C$3),$B280,INDIRECT("Collision!"&amp;Severity!$C$3&amp;":"&amp;Severity!$C$3),F$148), COUNTIFS(INDIRECT("Collision!"&amp;Event!$G$3&amp;":"&amp;Event!$G$3),$B280,INDIRECT("Collision!"&amp;Severity!$C$3&amp;":"&amp;Severity!$C$3),F$148), COUNTIFS(INDIRECT("Collision!"&amp;Event!$G$4&amp;":"&amp;Event!$G$4),$B280,INDIRECT("Collision!"&amp;Severity!$C$3&amp;":"&amp;Severity!$C$3),F$148))</f>
        <v>#REF!</v>
      </c>
      <c r="G280" s="71" t="e">
        <f t="shared" ca="1" si="12"/>
        <v>#REF!</v>
      </c>
      <c r="H280" s="69" t="e">
        <f t="shared" ca="1" si="13"/>
        <v>#REF!</v>
      </c>
      <c r="I280" s="71" t="e">
        <f t="shared" ca="1" si="11"/>
        <v>#REF!</v>
      </c>
      <c r="J280" s="69" t="e">
        <f ca="1">IF(G280=0,0,PCF_Severity2[[#This Row],[Crash Count]]/$I$283)</f>
        <v>#REF!</v>
      </c>
      <c r="K280" t="e">
        <f ca="1">SUM(PCF_Severity2[[#This Row],[Severe Injury]:[Other Injury]])</f>
        <v>#REF!</v>
      </c>
      <c r="L280" s="69" t="e">
        <f ca="1">PCF_Severity2[[#This Row],[Crash Count2]]/$K$283</f>
        <v>#REF!</v>
      </c>
      <c r="M280" s="86" t="str">
        <f>VLOOKUP(PCF_Severity2[[#This Row],[Crash Event]],PCF_3[[#Headers],[#Data]],4,FALSE)</f>
        <v>Sliding or swerving due to wet, icy, slippery or loose surface</v>
      </c>
      <c r="Q280" s="84"/>
    </row>
    <row r="281" spans="2:17" x14ac:dyDescent="0.25">
      <c r="B281" t="s">
        <v>227</v>
      </c>
      <c r="C281" s="71" t="e">
        <f ca="1">SUM(COUNTIFS(INDIRECT("Collision!"&amp;Event!$C$3&amp;":"&amp;Event!$C$3),$B281,INDIRECT("Collision!"&amp;Severity!$C$3&amp;":"&amp;Severity!$C$3),C$148), COUNTIFS(INDIRECT("Collision!"&amp;Event!$G$3&amp;":"&amp;Event!$G$3),$B281,INDIRECT("Collision!"&amp;Severity!$C$3&amp;":"&amp;Severity!$C$3),C$148), COUNTIFS(INDIRECT("Collision!"&amp;Event!$G$4&amp;":"&amp;Event!$G$4),$B281,INDIRECT("Collision!"&amp;Severity!$C$3&amp;":"&amp;Severity!$C$3),C$148))</f>
        <v>#REF!</v>
      </c>
      <c r="D281" s="71" t="e">
        <f ca="1">SUM(COUNTIFS(INDIRECT("Collision!"&amp;Event!$C$3&amp;":"&amp;Event!$C$3),$B281,INDIRECT("Collision!"&amp;Severity!$C$3&amp;":"&amp;Severity!$C$3),D$148), COUNTIFS(INDIRECT("Collision!"&amp;Event!$G$3&amp;":"&amp;Event!$G$3),$B281,INDIRECT("Collision!"&amp;Severity!$C$3&amp;":"&amp;Severity!$C$3),D$148), COUNTIFS(INDIRECT("Collision!"&amp;Event!$G$4&amp;":"&amp;Event!$G$4),$B281,INDIRECT("Collision!"&amp;Severity!$C$3&amp;":"&amp;Severity!$C$3),D$148))</f>
        <v>#REF!</v>
      </c>
      <c r="E281" s="71" t="e">
        <f t="array" aca="1" ref="E281" ca="1">SUM(COUNTIFS(INDIRECT("Collision!"&amp;Event!$C$3&amp;":"&amp;Event!$C$3),$B281,INDIRECT("Collision!"&amp;Severity!$C$3&amp;":"&amp;Severity!$C$3),{"Moderate Injury","Minor Injury"}), COUNTIFS(INDIRECT("Collision!"&amp;Event!$G$3&amp;":"&amp;Event!$G$3),$B281,INDIRECT("Collision!"&amp;Severity!$C$3&amp;":"&amp;Severity!$C$3),{"Moderate Injury","Minor Injury"}), COUNTIFS(INDIRECT("Collision!"&amp;Event!$G$4&amp;":"&amp;Event!$G$4),$B281,INDIRECT("Collision!"&amp;Severity!$C$3&amp;":"&amp;Severity!$C$3),{"Moderate Injury","Minor Injury"}))</f>
        <v>#REF!</v>
      </c>
      <c r="F281" s="71" t="e">
        <f ca="1">SUM(COUNTIFS(INDIRECT("Collision!"&amp;Event!$C$3&amp;":"&amp;Event!$C$3),$B281,INDIRECT("Collision!"&amp;Severity!$C$3&amp;":"&amp;Severity!$C$3),F$148), COUNTIFS(INDIRECT("Collision!"&amp;Event!$G$3&amp;":"&amp;Event!$G$3),$B281,INDIRECT("Collision!"&amp;Severity!$C$3&amp;":"&amp;Severity!$C$3),F$148), COUNTIFS(INDIRECT("Collision!"&amp;Event!$G$4&amp;":"&amp;Event!$G$4),$B281,INDIRECT("Collision!"&amp;Severity!$C$3&amp;":"&amp;Severity!$C$3),F$148))</f>
        <v>#REF!</v>
      </c>
      <c r="G281" s="71" t="e">
        <f t="shared" ca="1" si="12"/>
        <v>#REF!</v>
      </c>
      <c r="H281" s="69" t="e">
        <f t="shared" ca="1" si="13"/>
        <v>#REF!</v>
      </c>
      <c r="I281" s="71" t="e">
        <f t="shared" ca="1" si="11"/>
        <v>#REF!</v>
      </c>
      <c r="J281" s="69" t="e">
        <f ca="1">IF(G281=0,0,PCF_Severity2[[#This Row],[Crash Count]]/$I$283)</f>
        <v>#REF!</v>
      </c>
      <c r="K281" t="e">
        <f ca="1">SUM(PCF_Severity2[[#This Row],[Severe Injury]:[Other Injury]])</f>
        <v>#REF!</v>
      </c>
      <c r="L281" s="69" t="e">
        <f ca="1">PCF_Severity2[[#This Row],[Crash Count2]]/$K$283</f>
        <v>#REF!</v>
      </c>
      <c r="M281" s="86" t="str">
        <f>VLOOKUP(PCF_Severity2[[#This Row],[Crash Event]],PCF_3[[#Headers],[#Data]],4,FALSE)</f>
        <v>Cut slope or ditch embankment</v>
      </c>
      <c r="Q281" s="84"/>
    </row>
    <row r="282" spans="2:17" x14ac:dyDescent="0.25">
      <c r="B282" t="s">
        <v>53</v>
      </c>
      <c r="C282" t="e">
        <f ca="1">SUBTOTAL(109,PCF_Severity2[Fatal])</f>
        <v>#REF!</v>
      </c>
      <c r="D282" t="e">
        <f ca="1">SUBTOTAL(109,PCF_Severity2[Severe Injury])</f>
        <v>#REF!</v>
      </c>
      <c r="E282" t="e">
        <f ca="1">SUBTOTAL(109,PCF_Severity2[Other Injury])</f>
        <v>#REF!</v>
      </c>
      <c r="F282" t="e">
        <f ca="1">SUBTOTAL(109,PCF_Severity2[PDO])</f>
        <v>#REF!</v>
      </c>
      <c r="G282" t="e">
        <f ca="1">SUBTOTAL(109,PCF_Severity2[Total])</f>
        <v>#REF!</v>
      </c>
      <c r="H282" s="82" t="e">
        <f ca="1">SUBTOTAL(109,PCF_Severity2[Crash Share])</f>
        <v>#REF!</v>
      </c>
      <c r="I282" t="e">
        <f ca="1">SUBTOTAL(109,PCF_Severity2[Crash Count])</f>
        <v>#REF!</v>
      </c>
      <c r="J282" s="82" t="e">
        <f ca="1">SUBTOTAL(109,PCF_Severity2[Crash Share2])</f>
        <v>#REF!</v>
      </c>
      <c r="K282" t="e">
        <f ca="1">SUBTOTAL(109,PCF_Severity2[Crash Count2])</f>
        <v>#REF!</v>
      </c>
      <c r="L282" s="82" t="e">
        <f ca="1">SUBTOTAL(109,PCF_Severity2[Crash Share3])</f>
        <v>#REF!</v>
      </c>
      <c r="Q282" s="84"/>
    </row>
    <row r="283" spans="2:17" x14ac:dyDescent="0.25">
      <c r="B283" s="80" t="s">
        <v>128</v>
      </c>
      <c r="C283" s="80" t="e">
        <f ca="1">Type_Severity[[#Totals],[Fatal]]</f>
        <v>#REF!</v>
      </c>
      <c r="D283" s="80" t="e">
        <f ca="1">Type_Severity[[#Totals],[Severe Injury]]</f>
        <v>#REF!</v>
      </c>
      <c r="E283" s="80" t="e">
        <f ca="1">Type_Severity[[#Totals],[Other Injury]]</f>
        <v>#REF!</v>
      </c>
      <c r="F283" s="80" t="e">
        <f ca="1">Type_Severity[[#Totals],[PDO]]</f>
        <v>#REF!</v>
      </c>
      <c r="G283" s="80" t="e">
        <f ca="1">Type_Severity[[#Totals],[Total]]</f>
        <v>#REF!</v>
      </c>
      <c r="H283" s="81"/>
      <c r="I283" s="80" t="e">
        <f ca="1">SUM(C283:D283)</f>
        <v>#REF!</v>
      </c>
      <c r="J283" s="81"/>
      <c r="K283" s="80" t="e">
        <f ca="1">SUM(D283:F283)</f>
        <v>#REF!</v>
      </c>
      <c r="L283" s="81"/>
      <c r="M283" s="80"/>
      <c r="Q283" s="84"/>
    </row>
    <row r="284" spans="2:17" x14ac:dyDescent="0.25">
      <c r="Q284" s="84"/>
    </row>
    <row r="285" spans="2:17" x14ac:dyDescent="0.25">
      <c r="B285" s="106"/>
      <c r="C285" s="105"/>
      <c r="D285" s="105"/>
      <c r="E285" s="105"/>
      <c r="Q285" s="84"/>
    </row>
    <row r="286" spans="2:17" x14ac:dyDescent="0.25">
      <c r="Q286" s="84"/>
    </row>
    <row r="287" spans="2:17" x14ac:dyDescent="0.25">
      <c r="Q287" s="84"/>
    </row>
    <row r="288" spans="2:17" x14ac:dyDescent="0.25">
      <c r="Q288" s="84"/>
    </row>
    <row r="289" spans="17:17" x14ac:dyDescent="0.25">
      <c r="Q289" s="84"/>
    </row>
    <row r="290" spans="17:17" x14ac:dyDescent="0.25">
      <c r="Q290" s="84"/>
    </row>
    <row r="291" spans="17:17" x14ac:dyDescent="0.25">
      <c r="Q291" s="84"/>
    </row>
    <row r="292" spans="17:17" x14ac:dyDescent="0.25">
      <c r="Q292" s="84"/>
    </row>
    <row r="293" spans="17:17" x14ac:dyDescent="0.25">
      <c r="Q293" s="84"/>
    </row>
    <row r="294" spans="17:17" x14ac:dyDescent="0.25">
      <c r="Q294" s="84"/>
    </row>
    <row r="295" spans="17:17" x14ac:dyDescent="0.25">
      <c r="Q295" s="84"/>
    </row>
    <row r="296" spans="17:17" x14ac:dyDescent="0.25">
      <c r="Q296" s="84"/>
    </row>
    <row r="297" spans="17:17" x14ac:dyDescent="0.25">
      <c r="Q297" s="84"/>
    </row>
    <row r="298" spans="17:17" x14ac:dyDescent="0.25">
      <c r="Q298" s="84"/>
    </row>
    <row r="299" spans="17:17" x14ac:dyDescent="0.25">
      <c r="Q299" s="84"/>
    </row>
    <row r="300" spans="17:17" x14ac:dyDescent="0.25">
      <c r="Q300" s="84"/>
    </row>
    <row r="301" spans="17:17" x14ac:dyDescent="0.25">
      <c r="Q301" s="84"/>
    </row>
    <row r="302" spans="17:17" x14ac:dyDescent="0.25">
      <c r="Q302" s="84"/>
    </row>
    <row r="303" spans="17:17" x14ac:dyDescent="0.25">
      <c r="Q303" s="84"/>
    </row>
    <row r="304" spans="17:17" x14ac:dyDescent="0.25">
      <c r="Q304" s="84"/>
    </row>
    <row r="305" spans="17:17" x14ac:dyDescent="0.25">
      <c r="Q305" s="84"/>
    </row>
    <row r="306" spans="17:17" x14ac:dyDescent="0.25">
      <c r="Q306" s="84"/>
    </row>
    <row r="307" spans="17:17" x14ac:dyDescent="0.25">
      <c r="Q307" s="84"/>
    </row>
    <row r="308" spans="17:17" x14ac:dyDescent="0.25">
      <c r="Q308" s="84"/>
    </row>
    <row r="309" spans="17:17" x14ac:dyDescent="0.25">
      <c r="Q309" s="84"/>
    </row>
    <row r="310" spans="17:17" x14ac:dyDescent="0.25">
      <c r="Q310" s="84"/>
    </row>
    <row r="311" spans="17:17" x14ac:dyDescent="0.25">
      <c r="Q311" s="84"/>
    </row>
    <row r="312" spans="17:17" x14ac:dyDescent="0.25">
      <c r="Q312" s="84"/>
    </row>
    <row r="313" spans="17:17" x14ac:dyDescent="0.25">
      <c r="Q313" s="84"/>
    </row>
    <row r="314" spans="17:17" x14ac:dyDescent="0.25">
      <c r="Q314" s="84"/>
    </row>
    <row r="315" spans="17:17" x14ac:dyDescent="0.25">
      <c r="Q315" s="84"/>
    </row>
    <row r="344" spans="2:6" x14ac:dyDescent="0.25">
      <c r="B344" s="77" t="s">
        <v>284</v>
      </c>
    </row>
    <row r="345" spans="2:6" x14ac:dyDescent="0.25">
      <c r="B345" s="11" t="s">
        <v>285</v>
      </c>
      <c r="C345" s="108" t="s">
        <v>153</v>
      </c>
      <c r="D345" s="105"/>
      <c r="E345" s="105"/>
    </row>
    <row r="347" spans="2:6" x14ac:dyDescent="0.25">
      <c r="B347" s="39" t="s">
        <v>138</v>
      </c>
      <c r="C347" s="104" t="str">
        <f>C345</f>
        <v>Animal or insect in vehicle interfered with driver</v>
      </c>
      <c r="D347" s="105"/>
      <c r="E347" s="104" t="s">
        <v>44</v>
      </c>
      <c r="F347" s="105"/>
    </row>
    <row r="348" spans="2:6" x14ac:dyDescent="0.25">
      <c r="B348" s="5" t="s">
        <v>45</v>
      </c>
      <c r="C348" s="5" t="s">
        <v>46</v>
      </c>
      <c r="D348" s="5" t="s">
        <v>47</v>
      </c>
      <c r="E348" s="8" t="s">
        <v>59</v>
      </c>
      <c r="F348" s="9" t="s">
        <v>60</v>
      </c>
    </row>
    <row r="349" spans="2:6" x14ac:dyDescent="0.25">
      <c r="B349" t="s">
        <v>48</v>
      </c>
      <c r="C349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49" s="69" t="e">
        <f ca="1">C349/Dynamic_Type204[[#Totals],[Crash Count]]</f>
        <v>#REF!</v>
      </c>
      <c r="E349" t="e">
        <f ca="1">VLOOKUP(Dynamic_Type204[[#This Row],[Crash Severity]],Severity[[#Headers],[#Data]],2,FALSE)</f>
        <v>#REF!</v>
      </c>
      <c r="F349" s="69" t="e">
        <f ca="1">E349/Dynamic_Type204[[#Totals],[Crash Count2]]</f>
        <v>#REF!</v>
      </c>
    </row>
    <row r="350" spans="2:6" x14ac:dyDescent="0.25">
      <c r="B350" t="s">
        <v>49</v>
      </c>
      <c r="C350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0" s="69" t="e">
        <f ca="1">C350/Dynamic_Type204[[#Totals],[Crash Count]]</f>
        <v>#REF!</v>
      </c>
      <c r="E350" t="e">
        <f ca="1">VLOOKUP(Dynamic_Type204[[#This Row],[Crash Severity]],Severity[[#Headers],[#Data]],2,FALSE)</f>
        <v>#REF!</v>
      </c>
      <c r="F350" s="69" t="e">
        <f ca="1">E350/Dynamic_Type204[[#Totals],[Crash Count2]]</f>
        <v>#REF!</v>
      </c>
    </row>
    <row r="351" spans="2:6" x14ac:dyDescent="0.25">
      <c r="B351" t="s">
        <v>50</v>
      </c>
      <c r="C351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1" s="69" t="e">
        <f ca="1">C351/Dynamic_Type204[[#Totals],[Crash Count]]</f>
        <v>#REF!</v>
      </c>
      <c r="E351" t="e">
        <f ca="1">VLOOKUP(Dynamic_Type204[[#This Row],[Crash Severity]],Severity[[#Headers],[#Data]],2,FALSE)</f>
        <v>#REF!</v>
      </c>
      <c r="F351" s="69" t="e">
        <f ca="1">E351/Dynamic_Type204[[#Totals],[Crash Count2]]</f>
        <v>#REF!</v>
      </c>
    </row>
    <row r="352" spans="2:6" x14ac:dyDescent="0.25">
      <c r="B352" t="s">
        <v>51</v>
      </c>
      <c r="C352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2" s="69" t="e">
        <f ca="1">C352/Dynamic_Type204[[#Totals],[Crash Count]]</f>
        <v>#REF!</v>
      </c>
      <c r="E352" t="e">
        <f ca="1">VLOOKUP(Dynamic_Type204[[#This Row],[Crash Severity]],Severity[[#Headers],[#Data]],2,FALSE)</f>
        <v>#REF!</v>
      </c>
      <c r="F352" s="69" t="e">
        <f ca="1">E352/Dynamic_Type204[[#Totals],[Crash Count2]]</f>
        <v>#REF!</v>
      </c>
    </row>
    <row r="353" spans="2:6" x14ac:dyDescent="0.25">
      <c r="B353" t="s">
        <v>52</v>
      </c>
      <c r="C353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3" s="69" t="e">
        <f ca="1">C353/Dynamic_Type204[[#Totals],[Crash Count]]</f>
        <v>#REF!</v>
      </c>
      <c r="E353" t="e">
        <f ca="1">VLOOKUP(Dynamic_Type204[[#This Row],[Crash Severity]],Severity[[#Headers],[#Data]],2,FALSE)</f>
        <v>#REF!</v>
      </c>
      <c r="F353" s="69" t="e">
        <f ca="1">E353/Dynamic_Type204[[#Totals],[Crash Count2]]</f>
        <v>#REF!</v>
      </c>
    </row>
    <row r="354" spans="2:6" x14ac:dyDescent="0.25">
      <c r="B354" t="s">
        <v>53</v>
      </c>
      <c r="C354" t="e">
        <f ca="1">SUBTOTAL(109,Dynamic_Type204[Crash Count])</f>
        <v>#REF!</v>
      </c>
      <c r="D354" s="82" t="e">
        <f ca="1">SUBTOTAL(109,Dynamic_Type204[Crash Share])</f>
        <v>#REF!</v>
      </c>
      <c r="E354" t="e">
        <f ca="1">SUBTOTAL(109,Dynamic_Type204[Crash Count2])</f>
        <v>#REF!</v>
      </c>
      <c r="F354" s="82" t="e">
        <f ca="1">SUBTOTAL(109,Dynamic_Type204[Crash Share2])</f>
        <v>#REF!</v>
      </c>
    </row>
  </sheetData>
  <mergeCells count="8">
    <mergeCell ref="C345:E345"/>
    <mergeCell ref="C347:D347"/>
    <mergeCell ref="E347:F347"/>
    <mergeCell ref="B7:D7"/>
    <mergeCell ref="B147:E147"/>
    <mergeCell ref="I147:J147"/>
    <mergeCell ref="K147:L147"/>
    <mergeCell ref="B285:E285"/>
  </mergeCells>
  <dataValidations disablePrompts="1" count="1">
    <dataValidation type="list" showInputMessage="1" showErrorMessage="1" sqref="C345" xr:uid="{00000000-0002-0000-0400-000000000000}">
      <formula1>$B$9:$B$141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M70"/>
  <sheetViews>
    <sheetView zoomScale="115" zoomScaleNormal="115" workbookViewId="0">
      <selection activeCell="F6" sqref="F6"/>
    </sheetView>
  </sheetViews>
  <sheetFormatPr defaultRowHeight="15" x14ac:dyDescent="0.25"/>
  <cols>
    <col min="1" max="1" width="3" customWidth="1"/>
    <col min="2" max="2" width="19.85546875" customWidth="1"/>
    <col min="3" max="3" width="18.7109375" customWidth="1"/>
    <col min="4" max="4" width="13.42578125" bestFit="1" customWidth="1"/>
    <col min="5" max="5" width="13.28515625" bestFit="1" customWidth="1"/>
    <col min="6" max="6" width="15.7109375" customWidth="1"/>
    <col min="7" max="7" width="13.28515625" bestFit="1" customWidth="1"/>
    <col min="8" max="8" width="11.140625" customWidth="1"/>
    <col min="9" max="9" width="8.7109375" bestFit="1" customWidth="1"/>
    <col min="10" max="10" width="11" bestFit="1" customWidth="1"/>
    <col min="11" max="12" width="11.28515625" bestFit="1" customWidth="1"/>
    <col min="13" max="13" width="16.28515625" bestFit="1" customWidth="1"/>
  </cols>
  <sheetData>
    <row r="2" spans="2:7" x14ac:dyDescent="0.25">
      <c r="B2" s="80" t="s">
        <v>41</v>
      </c>
    </row>
    <row r="3" spans="2:7" x14ac:dyDescent="0.25">
      <c r="B3" s="95" t="s">
        <v>286</v>
      </c>
      <c r="C3" s="96">
        <f>COI!E6</f>
        <v>0</v>
      </c>
    </row>
    <row r="4" spans="2:7" x14ac:dyDescent="0.25">
      <c r="B4" s="95" t="s">
        <v>287</v>
      </c>
      <c r="C4" s="96">
        <f>COI!E7</f>
        <v>0</v>
      </c>
    </row>
    <row r="5" spans="2:7" x14ac:dyDescent="0.25">
      <c r="B5" s="95" t="s">
        <v>288</v>
      </c>
      <c r="C5" s="96">
        <f>COI!E8</f>
        <v>0</v>
      </c>
    </row>
    <row r="6" spans="2:7" x14ac:dyDescent="0.25">
      <c r="B6" s="95" t="s">
        <v>289</v>
      </c>
      <c r="C6" s="96">
        <f>COI!E9</f>
        <v>0</v>
      </c>
    </row>
    <row r="8" spans="2:7" x14ac:dyDescent="0.25">
      <c r="B8" s="80" t="s">
        <v>290</v>
      </c>
      <c r="C8" s="103" t="s">
        <v>466</v>
      </c>
    </row>
    <row r="9" spans="2:7" x14ac:dyDescent="0.25">
      <c r="B9" s="80"/>
    </row>
    <row r="10" spans="2:7" x14ac:dyDescent="0.25">
      <c r="B10" s="95" t="s">
        <v>291</v>
      </c>
      <c r="C10" s="95"/>
      <c r="D10" s="95"/>
      <c r="E10" s="95"/>
    </row>
    <row r="11" spans="2:7" x14ac:dyDescent="0.25">
      <c r="B11" s="44" t="s">
        <v>292</v>
      </c>
      <c r="C11" s="45" t="s">
        <v>48</v>
      </c>
      <c r="D11" s="45" t="s">
        <v>49</v>
      </c>
      <c r="E11" s="45" t="s">
        <v>135</v>
      </c>
      <c r="F11" s="45" t="s">
        <v>52</v>
      </c>
      <c r="G11" s="45" t="s">
        <v>53</v>
      </c>
    </row>
    <row r="12" spans="2:7" x14ac:dyDescent="0.25">
      <c r="B12" t="e" cm="1">
        <f t="array" aca="1" ref="B12" ca="1">_xlfn._xlws.FILTER(_xlfn.UNIQUE(INDIRECT("Collision!"&amp;Temporal!$C$3&amp;":"&amp;Temporal!$C$3)),(_xlfn.UNIQUE(INDIRECT("Collision!"&amp;Temporal!$C$3&amp;":"&amp;Temporal!$C$3))&gt;0)*(_xlfn.UNIQUE(INDIRECT("Collision!"&amp;Temporal!$C$3&amp;":"&amp;Temporal!$C$3))&lt;&gt;"General Crash Information|Crash Year"))</f>
        <v>#REF!</v>
      </c>
      <c r="C12" t="e">
        <f ca="1">SUM((COUNTIFS(INDIRECT("Collision!"&amp;Temporal!$C$3&amp;":"&amp;Temporal!$C$3),$B12,INDIRECT("Collision!"&amp;Severity!$C$3&amp;":"&amp;Severity!$C$3),C$11)))</f>
        <v>#REF!</v>
      </c>
      <c r="D12" t="e">
        <f ca="1">SUM((COUNTIFS(INDIRECT("Collision!"&amp;Temporal!$C$3&amp;":"&amp;Temporal!$C$3),$B12,INDIRECT("Collision!"&amp;Severity!$C$3&amp;":"&amp;Severity!$C$3),D$11)))</f>
        <v>#REF!</v>
      </c>
      <c r="E12" t="e">
        <f t="array" aca="1" ref="E12" ca="1">SUM((COUNTIFS(INDIRECT("Collision!"&amp;Temporal!$C$3&amp;":"&amp;Temporal!$C$3),$B12,INDIRECT("Collision!"&amp;Severity!$C$3&amp;":"&amp;Severity!$C$3),{"Moderate Injury","Minor Injury"})))</f>
        <v>#REF!</v>
      </c>
      <c r="F12" t="e">
        <f ca="1">SUM((COUNTIFS(INDIRECT("Collision!"&amp;Temporal!$C$3&amp;":"&amp;Temporal!$C$3),$B12,INDIRECT("Collision!"&amp;Severity!$C$3&amp;":"&amp;Severity!$C$3),F$11)))</f>
        <v>#REF!</v>
      </c>
      <c r="G12" t="e">
        <f t="shared" ref="G12:G17" ca="1" si="0">SUM(C12:F12)</f>
        <v>#REF!</v>
      </c>
    </row>
    <row r="13" spans="2:7" x14ac:dyDescent="0.25">
      <c r="C13" t="e">
        <f ca="1">SUM((COUNTIFS(INDIRECT("Collision!"&amp;Temporal!$C$3&amp;":"&amp;Temporal!$C$3),$B13,INDIRECT("Collision!"&amp;Severity!$C$3&amp;":"&amp;Severity!$C$3),C$11)))</f>
        <v>#REF!</v>
      </c>
      <c r="D13" t="e">
        <f ca="1">SUM((COUNTIFS(INDIRECT("Collision!"&amp;Temporal!$C$3&amp;":"&amp;Temporal!$C$3),$B13,INDIRECT("Collision!"&amp;Severity!$C$3&amp;":"&amp;Severity!$C$3),D$11)))</f>
        <v>#REF!</v>
      </c>
      <c r="E13" t="e">
        <f t="array" aca="1" ref="E13" ca="1">SUM((COUNTIFS(INDIRECT("Collision!"&amp;Temporal!$C$3&amp;":"&amp;Temporal!$C$3),$B13,INDIRECT("Collision!"&amp;Severity!$C$3&amp;":"&amp;Severity!$C$3),{"Moderate Injury","Minor Injury"})))</f>
        <v>#REF!</v>
      </c>
      <c r="F13" t="e">
        <f ca="1">SUM((COUNTIFS(INDIRECT("Collision!"&amp;Temporal!$C$3&amp;":"&amp;Temporal!$C$3),$B13,INDIRECT("Collision!"&amp;Severity!$C$3&amp;":"&amp;Severity!$C$3),F$11)))</f>
        <v>#REF!</v>
      </c>
      <c r="G13" t="e">
        <f t="shared" ca="1" si="0"/>
        <v>#REF!</v>
      </c>
    </row>
    <row r="14" spans="2:7" x14ac:dyDescent="0.25">
      <c r="C14" t="e">
        <f ca="1">SUM((COUNTIFS(INDIRECT("Collision!"&amp;Temporal!$C$3&amp;":"&amp;Temporal!$C$3),$B14,INDIRECT("Collision!"&amp;Severity!$C$3&amp;":"&amp;Severity!$C$3),C$11)))</f>
        <v>#REF!</v>
      </c>
      <c r="D14" t="e">
        <f ca="1">SUM((COUNTIFS(INDIRECT("Collision!"&amp;Temporal!$C$3&amp;":"&amp;Temporal!$C$3),$B14,INDIRECT("Collision!"&amp;Severity!$C$3&amp;":"&amp;Severity!$C$3),D$11)))</f>
        <v>#REF!</v>
      </c>
      <c r="E14" t="e">
        <f t="array" aca="1" ref="E14" ca="1">SUM((COUNTIFS(INDIRECT("Collision!"&amp;Temporal!$C$3&amp;":"&amp;Temporal!$C$3),$B14,INDIRECT("Collision!"&amp;Severity!$C$3&amp;":"&amp;Severity!$C$3),{"Moderate Injury","Minor Injury"})))</f>
        <v>#REF!</v>
      </c>
      <c r="F14" t="e">
        <f ca="1">SUM((COUNTIFS(INDIRECT("Collision!"&amp;Temporal!$C$3&amp;":"&amp;Temporal!$C$3),$B14,INDIRECT("Collision!"&amp;Severity!$C$3&amp;":"&amp;Severity!$C$3),F$11)))</f>
        <v>#REF!</v>
      </c>
      <c r="G14" t="e">
        <f t="shared" ca="1" si="0"/>
        <v>#REF!</v>
      </c>
    </row>
    <row r="15" spans="2:7" x14ac:dyDescent="0.25">
      <c r="C15" t="e">
        <f ca="1">SUM((COUNTIFS(INDIRECT("Collision!"&amp;Temporal!$C$3&amp;":"&amp;Temporal!$C$3),$B15,INDIRECT("Collision!"&amp;Severity!$C$3&amp;":"&amp;Severity!$C$3),C$11)))</f>
        <v>#REF!</v>
      </c>
      <c r="D15" t="e">
        <f ca="1">SUM((COUNTIFS(INDIRECT("Collision!"&amp;Temporal!$C$3&amp;":"&amp;Temporal!$C$3),$B15,INDIRECT("Collision!"&amp;Severity!$C$3&amp;":"&amp;Severity!$C$3),D$11)))</f>
        <v>#REF!</v>
      </c>
      <c r="E15" t="e">
        <f t="array" aca="1" ref="E15" ca="1">SUM((COUNTIFS(INDIRECT("Collision!"&amp;Temporal!$C$3&amp;":"&amp;Temporal!$C$3),$B15,INDIRECT("Collision!"&amp;Severity!$C$3&amp;":"&amp;Severity!$C$3),{"Moderate Injury","Minor Injury"})))</f>
        <v>#REF!</v>
      </c>
      <c r="F15" t="e">
        <f ca="1">SUM((COUNTIFS(INDIRECT("Collision!"&amp;Temporal!$C$3&amp;":"&amp;Temporal!$C$3),$B15,INDIRECT("Collision!"&amp;Severity!$C$3&amp;":"&amp;Severity!$C$3),F$11)))</f>
        <v>#REF!</v>
      </c>
      <c r="G15" t="e">
        <f t="shared" ca="1" si="0"/>
        <v>#REF!</v>
      </c>
    </row>
    <row r="16" spans="2:7" x14ac:dyDescent="0.25">
      <c r="C16" t="e">
        <f ca="1">SUM((COUNTIFS(INDIRECT("Collision!"&amp;Temporal!$C$3&amp;":"&amp;Temporal!$C$3),$B16,INDIRECT("Collision!"&amp;Severity!$C$3&amp;":"&amp;Severity!$C$3),C$11)))</f>
        <v>#REF!</v>
      </c>
      <c r="D16" t="e">
        <f ca="1">SUM((COUNTIFS(INDIRECT("Collision!"&amp;Temporal!$C$3&amp;":"&amp;Temporal!$C$3),$B16,INDIRECT("Collision!"&amp;Severity!$C$3&amp;":"&amp;Severity!$C$3),D$11)))</f>
        <v>#REF!</v>
      </c>
      <c r="E16" t="e">
        <f t="array" aca="1" ref="E16" ca="1">SUM((COUNTIFS(INDIRECT("Collision!"&amp;Temporal!$C$3&amp;":"&amp;Temporal!$C$3),$B16,INDIRECT("Collision!"&amp;Severity!$C$3&amp;":"&amp;Severity!$C$3),{"Moderate Injury","Minor Injury"})))</f>
        <v>#REF!</v>
      </c>
      <c r="F16" t="e">
        <f ca="1">SUM((COUNTIFS(INDIRECT("Collision!"&amp;Temporal!$C$3&amp;":"&amp;Temporal!$C$3),$B16,INDIRECT("Collision!"&amp;Severity!$C$3&amp;":"&amp;Severity!$C$3),F$11)))</f>
        <v>#REF!</v>
      </c>
      <c r="G16" t="e">
        <f t="shared" ca="1" si="0"/>
        <v>#REF!</v>
      </c>
    </row>
    <row r="17" spans="2:11" ht="15.75" customHeight="1" thickBot="1" x14ac:dyDescent="0.3">
      <c r="C17" s="46" t="e">
        <f ca="1">SUM((COUNTIFS(INDIRECT("Collision!"&amp;Temporal!$C$3&amp;":"&amp;Temporal!$C$3),$B17,INDIRECT("Collision!"&amp;Severity!$C$3&amp;":"&amp;Severity!$C$3),C$11)))</f>
        <v>#REF!</v>
      </c>
      <c r="D17" s="46" t="e">
        <f ca="1">SUM((COUNTIFS(INDIRECT("Collision!"&amp;Temporal!$C$3&amp;":"&amp;Temporal!$C$3),$B17,INDIRECT("Collision!"&amp;Severity!$C$3&amp;":"&amp;Severity!$C$3),D$11)))</f>
        <v>#REF!</v>
      </c>
      <c r="E17" t="e">
        <f t="array" aca="1" ref="E17" ca="1">SUM((COUNTIFS(INDIRECT("Collision!"&amp;Temporal!$C$3&amp;":"&amp;Temporal!$C$3),$B17,INDIRECT("Collision!"&amp;Severity!$C$3&amp;":"&amp;Severity!$C$3),{"Moderate Injury","Minor Injury"})))</f>
        <v>#REF!</v>
      </c>
      <c r="F17" s="46" t="e">
        <f ca="1">SUM((COUNTIFS(INDIRECT("Collision!"&amp;Temporal!$C$3&amp;":"&amp;Temporal!$C$3),$B17,INDIRECT("Collision!"&amp;Severity!$C$3&amp;":"&amp;Severity!$C$3),F$11)))</f>
        <v>#REF!</v>
      </c>
      <c r="G17" s="46" t="e">
        <f t="shared" ca="1" si="0"/>
        <v>#REF!</v>
      </c>
    </row>
    <row r="18" spans="2:11" ht="15.75" customHeight="1" thickTop="1" x14ac:dyDescent="0.25">
      <c r="B18" s="51" t="s">
        <v>53</v>
      </c>
      <c r="C18" s="80" t="e">
        <f ca="1">SUM(C12:C17)</f>
        <v>#REF!</v>
      </c>
      <c r="D18" s="80" t="e">
        <f ca="1">SUM(D12:D17)</f>
        <v>#REF!</v>
      </c>
      <c r="E18" s="72" t="e">
        <f ca="1">SUM(E12:E17)</f>
        <v>#REF!</v>
      </c>
      <c r="F18" s="80" t="e">
        <f ca="1">SUM(F12:F17)</f>
        <v>#REF!</v>
      </c>
      <c r="G18" s="80" t="e">
        <f ca="1">SUM(G12:G17)</f>
        <v>#REF!</v>
      </c>
    </row>
    <row r="20" spans="2:11" x14ac:dyDescent="0.25">
      <c r="B20" s="80" t="s">
        <v>293</v>
      </c>
    </row>
    <row r="21" spans="2:11" x14ac:dyDescent="0.25">
      <c r="J21" s="104" t="s">
        <v>88</v>
      </c>
      <c r="K21" s="105"/>
    </row>
    <row r="22" spans="2:11" x14ac:dyDescent="0.25">
      <c r="B22" s="50" t="s">
        <v>294</v>
      </c>
      <c r="C22" s="50" t="s">
        <v>295</v>
      </c>
      <c r="D22" s="45" t="s">
        <v>48</v>
      </c>
      <c r="E22" s="45" t="s">
        <v>49</v>
      </c>
      <c r="F22" s="45" t="s">
        <v>135</v>
      </c>
      <c r="G22" s="45" t="s">
        <v>52</v>
      </c>
      <c r="H22" s="50" t="s">
        <v>53</v>
      </c>
      <c r="I22" s="50" t="s">
        <v>47</v>
      </c>
      <c r="J22" s="50" t="s">
        <v>59</v>
      </c>
      <c r="K22" s="50" t="s">
        <v>60</v>
      </c>
    </row>
    <row r="23" spans="2:11" x14ac:dyDescent="0.25">
      <c r="B23">
        <v>1</v>
      </c>
      <c r="C23" t="s">
        <v>296</v>
      </c>
      <c r="D23" t="e">
        <f ca="1">SUM((COUNTIFS(INDIRECT("Collision!"&amp;Temporal!$C$4&amp;":"&amp;Temporal!$C$4),$C23,INDIRECT("Collision!"&amp;Severity!$C$3&amp;":"&amp;Severity!$C$3),D$22)))</f>
        <v>#REF!</v>
      </c>
      <c r="E23" t="e">
        <f ca="1">SUM((COUNTIFS(INDIRECT("Collision!"&amp;Temporal!$C$4&amp;":"&amp;Temporal!$C$4),$C23,INDIRECT("Collision!"&amp;Severity!$C$3&amp;":"&amp;Severity!$C$3),E$22)))</f>
        <v>#REF!</v>
      </c>
      <c r="F23" t="e">
        <f t="array" aca="1" ref="F23" ca="1">SUM((COUNTIFS(INDIRECT("Collision!"&amp;Temporal!$C$4&amp;":"&amp;Temporal!$C$4),$C23,INDIRECT("Collision!"&amp;Severity!$C$3&amp;":"&amp;Severity!$C$3),{"Moderate Injury","Minor Injury"})))</f>
        <v>#REF!</v>
      </c>
      <c r="G23" t="e">
        <f ca="1">SUM((COUNTIFS(INDIRECT("Collision!"&amp;Temporal!$C$4&amp;":"&amp;Temporal!$C$4),$C23,INDIRECT("Collision!"&amp;Severity!$C$3&amp;":"&amp;Severity!$C$3),G$22)))</f>
        <v>#REF!</v>
      </c>
      <c r="H23" t="e">
        <f ca="1">SUM((COUNTIFS(INDIRECT("Collision!"&amp;Temporal!$C$4&amp;":"&amp;Temporal!$C$4),$C23)))</f>
        <v>#REF!</v>
      </c>
      <c r="I23" s="69" t="e">
        <f ca="1">Table28[[#This Row],[Total]]/Table28[[#Totals],[Total]]</f>
        <v>#REF!</v>
      </c>
      <c r="J23" t="e">
        <f ca="1">SUM(Table28[[#This Row],[Fatal]:[Severe Injury]])</f>
        <v>#REF!</v>
      </c>
      <c r="K23" s="69" t="e">
        <f ca="1">Table28[[#This Row],[Crash Count2]]/Table28[[#Totals],[Crash Count2]]</f>
        <v>#REF!</v>
      </c>
    </row>
    <row r="24" spans="2:11" x14ac:dyDescent="0.25">
      <c r="B24">
        <v>2</v>
      </c>
      <c r="C24" t="s">
        <v>297</v>
      </c>
      <c r="D24" t="e">
        <f ca="1">SUM((COUNTIFS(INDIRECT("Collision!"&amp;Temporal!$C$4&amp;":"&amp;Temporal!$C$4),$C24,INDIRECT("Collision!"&amp;Severity!$C$3&amp;":"&amp;Severity!$C$3),D$22)))</f>
        <v>#REF!</v>
      </c>
      <c r="E24" t="e">
        <f ca="1">SUM((COUNTIFS(INDIRECT("Collision!"&amp;Temporal!$C$4&amp;":"&amp;Temporal!$C$4),$C24,INDIRECT("Collision!"&amp;Severity!$C$3&amp;":"&amp;Severity!$C$3),E$22)))</f>
        <v>#REF!</v>
      </c>
      <c r="F24" t="e">
        <f t="array" aca="1" ref="F24" ca="1">SUM((COUNTIFS(INDIRECT("Collision!"&amp;Temporal!$C$4&amp;":"&amp;Temporal!$C$4),$C24,INDIRECT("Collision!"&amp;Severity!$C$3&amp;":"&amp;Severity!$C$3),{"Moderate Injury","Minor Injury"})))</f>
        <v>#REF!</v>
      </c>
      <c r="G24" t="e">
        <f ca="1">SUM((COUNTIFS(INDIRECT("Collision!"&amp;Temporal!$C$4&amp;":"&amp;Temporal!$C$4),$C24,INDIRECT("Collision!"&amp;Severity!$C$3&amp;":"&amp;Severity!$C$3),G$22)))</f>
        <v>#REF!</v>
      </c>
      <c r="H24" t="e">
        <f ca="1">SUM((COUNTIFS(INDIRECT("Collision!"&amp;Temporal!$C$4&amp;":"&amp;Temporal!$C$4),$C24)))</f>
        <v>#REF!</v>
      </c>
      <c r="I24" s="69" t="e">
        <f ca="1">Table28[[#This Row],[Total]]/Table28[[#Totals],[Total]]</f>
        <v>#REF!</v>
      </c>
      <c r="J24" t="e">
        <f ca="1">SUM(Table28[[#This Row],[Fatal]:[Severe Injury]])</f>
        <v>#REF!</v>
      </c>
      <c r="K24" s="69" t="e">
        <f ca="1">Table28[[#This Row],[Crash Count2]]/Table28[[#Totals],[Crash Count2]]</f>
        <v>#REF!</v>
      </c>
    </row>
    <row r="25" spans="2:11" x14ac:dyDescent="0.25">
      <c r="B25">
        <v>3</v>
      </c>
      <c r="C25" t="s">
        <v>298</v>
      </c>
      <c r="D25" t="e">
        <f ca="1">SUM((COUNTIFS(INDIRECT("Collision!"&amp;Temporal!$C$4&amp;":"&amp;Temporal!$C$4),$C25,INDIRECT("Collision!"&amp;Severity!$C$3&amp;":"&amp;Severity!$C$3),D$22)))</f>
        <v>#REF!</v>
      </c>
      <c r="E25" t="e">
        <f ca="1">SUM((COUNTIFS(INDIRECT("Collision!"&amp;Temporal!$C$4&amp;":"&amp;Temporal!$C$4),$C25,INDIRECT("Collision!"&amp;Severity!$C$3&amp;":"&amp;Severity!$C$3),E$22)))</f>
        <v>#REF!</v>
      </c>
      <c r="F25" t="e">
        <f t="array" aca="1" ref="F25" ca="1">SUM((COUNTIFS(INDIRECT("Collision!"&amp;Temporal!$C$4&amp;":"&amp;Temporal!$C$4),$C25,INDIRECT("Collision!"&amp;Severity!$C$3&amp;":"&amp;Severity!$C$3),{"Moderate Injury","Minor Injury"})))</f>
        <v>#REF!</v>
      </c>
      <c r="G25" t="e">
        <f ca="1">SUM((COUNTIFS(INDIRECT("Collision!"&amp;Temporal!$C$4&amp;":"&amp;Temporal!$C$4),$C25,INDIRECT("Collision!"&amp;Severity!$C$3&amp;":"&amp;Severity!$C$3),G$22)))</f>
        <v>#REF!</v>
      </c>
      <c r="H25" t="e">
        <f ca="1">SUM((COUNTIFS(INDIRECT("Collision!"&amp;Temporal!$C$4&amp;":"&amp;Temporal!$C$4),$C25)))</f>
        <v>#REF!</v>
      </c>
      <c r="I25" s="69" t="e">
        <f ca="1">Table28[[#This Row],[Total]]/Table28[[#Totals],[Total]]</f>
        <v>#REF!</v>
      </c>
      <c r="J25" t="e">
        <f ca="1">SUM(Table28[[#This Row],[Fatal]:[Severe Injury]])</f>
        <v>#REF!</v>
      </c>
      <c r="K25" s="69" t="e">
        <f ca="1">Table28[[#This Row],[Crash Count2]]/Table28[[#Totals],[Crash Count2]]</f>
        <v>#REF!</v>
      </c>
    </row>
    <row r="26" spans="2:11" x14ac:dyDescent="0.25">
      <c r="B26">
        <v>4</v>
      </c>
      <c r="C26" t="s">
        <v>299</v>
      </c>
      <c r="D26" t="e">
        <f ca="1">SUM((COUNTIFS(INDIRECT("Collision!"&amp;Temporal!$C$4&amp;":"&amp;Temporal!$C$4),$C26,INDIRECT("Collision!"&amp;Severity!$C$3&amp;":"&amp;Severity!$C$3),D$22)))</f>
        <v>#REF!</v>
      </c>
      <c r="E26" t="e">
        <f ca="1">SUM((COUNTIFS(INDIRECT("Collision!"&amp;Temporal!$C$4&amp;":"&amp;Temporal!$C$4),$C26,INDIRECT("Collision!"&amp;Severity!$C$3&amp;":"&amp;Severity!$C$3),E$22)))</f>
        <v>#REF!</v>
      </c>
      <c r="F26" t="e">
        <f t="array" aca="1" ref="F26" ca="1">SUM((COUNTIFS(INDIRECT("Collision!"&amp;Temporal!$C$4&amp;":"&amp;Temporal!$C$4),$C26,INDIRECT("Collision!"&amp;Severity!$C$3&amp;":"&amp;Severity!$C$3),{"Moderate Injury","Minor Injury"})))</f>
        <v>#REF!</v>
      </c>
      <c r="G26" t="e">
        <f ca="1">SUM((COUNTIFS(INDIRECT("Collision!"&amp;Temporal!$C$4&amp;":"&amp;Temporal!$C$4),$C26,INDIRECT("Collision!"&amp;Severity!$C$3&amp;":"&amp;Severity!$C$3),G$22)))</f>
        <v>#REF!</v>
      </c>
      <c r="H26" t="e">
        <f ca="1">SUM((COUNTIFS(INDIRECT("Collision!"&amp;Temporal!$C$4&amp;":"&amp;Temporal!$C$4),$C26)))</f>
        <v>#REF!</v>
      </c>
      <c r="I26" s="69" t="e">
        <f ca="1">Table28[[#This Row],[Total]]/Table28[[#Totals],[Total]]</f>
        <v>#REF!</v>
      </c>
      <c r="J26" t="e">
        <f ca="1">SUM(Table28[[#This Row],[Fatal]:[Severe Injury]])</f>
        <v>#REF!</v>
      </c>
      <c r="K26" s="69" t="e">
        <f ca="1">Table28[[#This Row],[Crash Count2]]/Table28[[#Totals],[Crash Count2]]</f>
        <v>#REF!</v>
      </c>
    </row>
    <row r="27" spans="2:11" x14ac:dyDescent="0.25">
      <c r="B27">
        <v>5</v>
      </c>
      <c r="C27" t="s">
        <v>300</v>
      </c>
      <c r="D27" t="e">
        <f ca="1">SUM((COUNTIFS(INDIRECT("Collision!"&amp;Temporal!$C$4&amp;":"&amp;Temporal!$C$4),$C27,INDIRECT("Collision!"&amp;Severity!$C$3&amp;":"&amp;Severity!$C$3),D$22)))</f>
        <v>#REF!</v>
      </c>
      <c r="E27" t="e">
        <f ca="1">SUM((COUNTIFS(INDIRECT("Collision!"&amp;Temporal!$C$4&amp;":"&amp;Temporal!$C$4),$C27,INDIRECT("Collision!"&amp;Severity!$C$3&amp;":"&amp;Severity!$C$3),E$22)))</f>
        <v>#REF!</v>
      </c>
      <c r="F27" t="e">
        <f t="array" aca="1" ref="F27" ca="1">SUM((COUNTIFS(INDIRECT("Collision!"&amp;Temporal!$C$4&amp;":"&amp;Temporal!$C$4),$C27,INDIRECT("Collision!"&amp;Severity!$C$3&amp;":"&amp;Severity!$C$3),{"Moderate Injury","Minor Injury"})))</f>
        <v>#REF!</v>
      </c>
      <c r="G27" t="e">
        <f ca="1">SUM((COUNTIFS(INDIRECT("Collision!"&amp;Temporal!$C$4&amp;":"&amp;Temporal!$C$4),$C27,INDIRECT("Collision!"&amp;Severity!$C$3&amp;":"&amp;Severity!$C$3),G$22)))</f>
        <v>#REF!</v>
      </c>
      <c r="H27" t="e">
        <f ca="1">SUM((COUNTIFS(INDIRECT("Collision!"&amp;Temporal!$C$4&amp;":"&amp;Temporal!$C$4),$C27)))</f>
        <v>#REF!</v>
      </c>
      <c r="I27" s="69" t="e">
        <f ca="1">Table28[[#This Row],[Total]]/Table28[[#Totals],[Total]]</f>
        <v>#REF!</v>
      </c>
      <c r="J27" t="e">
        <f ca="1">SUM(Table28[[#This Row],[Fatal]:[Severe Injury]])</f>
        <v>#REF!</v>
      </c>
      <c r="K27" s="69" t="e">
        <f ca="1">Table28[[#This Row],[Crash Count2]]/Table28[[#Totals],[Crash Count2]]</f>
        <v>#REF!</v>
      </c>
    </row>
    <row r="28" spans="2:11" x14ac:dyDescent="0.25">
      <c r="B28">
        <v>6</v>
      </c>
      <c r="C28" t="s">
        <v>301</v>
      </c>
      <c r="D28" t="e">
        <f ca="1">SUM((COUNTIFS(INDIRECT("Collision!"&amp;Temporal!$C$4&amp;":"&amp;Temporal!$C$4),$C28,INDIRECT("Collision!"&amp;Severity!$C$3&amp;":"&amp;Severity!$C$3),D$22)))</f>
        <v>#REF!</v>
      </c>
      <c r="E28" t="e">
        <f ca="1">SUM((COUNTIFS(INDIRECT("Collision!"&amp;Temporal!$C$4&amp;":"&amp;Temporal!$C$4),$C28,INDIRECT("Collision!"&amp;Severity!$C$3&amp;":"&amp;Severity!$C$3),E$22)))</f>
        <v>#REF!</v>
      </c>
      <c r="F28" t="e">
        <f t="array" aca="1" ref="F28" ca="1">SUM((COUNTIFS(INDIRECT("Collision!"&amp;Temporal!$C$4&amp;":"&amp;Temporal!$C$4),$C28,INDIRECT("Collision!"&amp;Severity!$C$3&amp;":"&amp;Severity!$C$3),{"Moderate Injury","Minor Injury"})))</f>
        <v>#REF!</v>
      </c>
      <c r="G28" t="e">
        <f ca="1">SUM((COUNTIFS(INDIRECT("Collision!"&amp;Temporal!$C$4&amp;":"&amp;Temporal!$C$4),$C28,INDIRECT("Collision!"&amp;Severity!$C$3&amp;":"&amp;Severity!$C$3),G$22)))</f>
        <v>#REF!</v>
      </c>
      <c r="H28" t="e">
        <f ca="1">SUM((COUNTIFS(INDIRECT("Collision!"&amp;Temporal!$C$4&amp;":"&amp;Temporal!$C$4),$C28)))</f>
        <v>#REF!</v>
      </c>
      <c r="I28" s="69" t="e">
        <f ca="1">Table28[[#This Row],[Total]]/Table28[[#Totals],[Total]]</f>
        <v>#REF!</v>
      </c>
      <c r="J28" t="e">
        <f ca="1">SUM(Table28[[#This Row],[Fatal]:[Severe Injury]])</f>
        <v>#REF!</v>
      </c>
      <c r="K28" s="69" t="e">
        <f ca="1">Table28[[#This Row],[Crash Count2]]/Table28[[#Totals],[Crash Count2]]</f>
        <v>#REF!</v>
      </c>
    </row>
    <row r="29" spans="2:11" x14ac:dyDescent="0.25">
      <c r="B29">
        <v>7</v>
      </c>
      <c r="C29" t="s">
        <v>302</v>
      </c>
      <c r="D29" t="e">
        <f ca="1">SUM((COUNTIFS(INDIRECT("Collision!"&amp;Temporal!$C$4&amp;":"&amp;Temporal!$C$4),$C29,INDIRECT("Collision!"&amp;Severity!$C$3&amp;":"&amp;Severity!$C$3),D$22)))</f>
        <v>#REF!</v>
      </c>
      <c r="E29" t="e">
        <f ca="1">SUM((COUNTIFS(INDIRECT("Collision!"&amp;Temporal!$C$4&amp;":"&amp;Temporal!$C$4),$C29,INDIRECT("Collision!"&amp;Severity!$C$3&amp;":"&amp;Severity!$C$3),E$22)))</f>
        <v>#REF!</v>
      </c>
      <c r="F29" t="e">
        <f t="array" aca="1" ref="F29" ca="1">SUM((COUNTIFS(INDIRECT("Collision!"&amp;Temporal!$C$4&amp;":"&amp;Temporal!$C$4),$C29,INDIRECT("Collision!"&amp;Severity!$C$3&amp;":"&amp;Severity!$C$3),{"Moderate Injury","Minor Injury"})))</f>
        <v>#REF!</v>
      </c>
      <c r="G29" t="e">
        <f ca="1">SUM((COUNTIFS(INDIRECT("Collision!"&amp;Temporal!$C$4&amp;":"&amp;Temporal!$C$4),$C29,INDIRECT("Collision!"&amp;Severity!$C$3&amp;":"&amp;Severity!$C$3),G$22)))</f>
        <v>#REF!</v>
      </c>
      <c r="H29" t="e">
        <f ca="1">SUM((COUNTIFS(INDIRECT("Collision!"&amp;Temporal!$C$4&amp;":"&amp;Temporal!$C$4),$C29)))</f>
        <v>#REF!</v>
      </c>
      <c r="I29" s="69" t="e">
        <f ca="1">Table28[[#This Row],[Total]]/Table28[[#Totals],[Total]]</f>
        <v>#REF!</v>
      </c>
      <c r="J29" t="e">
        <f ca="1">SUM(Table28[[#This Row],[Fatal]:[Severe Injury]])</f>
        <v>#REF!</v>
      </c>
      <c r="K29" s="69" t="e">
        <f ca="1">Table28[[#This Row],[Crash Count2]]/Table28[[#Totals],[Crash Count2]]</f>
        <v>#REF!</v>
      </c>
    </row>
    <row r="30" spans="2:11" x14ac:dyDescent="0.25">
      <c r="B30">
        <v>8</v>
      </c>
      <c r="C30" t="s">
        <v>303</v>
      </c>
      <c r="D30" t="e">
        <f ca="1">SUM((COUNTIFS(INDIRECT("Collision!"&amp;Temporal!$C$4&amp;":"&amp;Temporal!$C$4),$C30,INDIRECT("Collision!"&amp;Severity!$C$3&amp;":"&amp;Severity!$C$3),D$22)))</f>
        <v>#REF!</v>
      </c>
      <c r="E30" t="e">
        <f ca="1">SUM((COUNTIFS(INDIRECT("Collision!"&amp;Temporal!$C$4&amp;":"&amp;Temporal!$C$4),$C30,INDIRECT("Collision!"&amp;Severity!$C$3&amp;":"&amp;Severity!$C$3),E$22)))</f>
        <v>#REF!</v>
      </c>
      <c r="F30" t="e">
        <f t="array" aca="1" ref="F30" ca="1">SUM((COUNTIFS(INDIRECT("Collision!"&amp;Temporal!$C$4&amp;":"&amp;Temporal!$C$4),$C30,INDIRECT("Collision!"&amp;Severity!$C$3&amp;":"&amp;Severity!$C$3),{"Moderate Injury","Minor Injury"})))</f>
        <v>#REF!</v>
      </c>
      <c r="G30" t="e">
        <f ca="1">SUM((COUNTIFS(INDIRECT("Collision!"&amp;Temporal!$C$4&amp;":"&amp;Temporal!$C$4),$C30,INDIRECT("Collision!"&amp;Severity!$C$3&amp;":"&amp;Severity!$C$3),G$22)))</f>
        <v>#REF!</v>
      </c>
      <c r="H30" t="e">
        <f ca="1">SUM((COUNTIFS(INDIRECT("Collision!"&amp;Temporal!$C$4&amp;":"&amp;Temporal!$C$4),$C30)))</f>
        <v>#REF!</v>
      </c>
      <c r="I30" s="69" t="e">
        <f ca="1">Table28[[#This Row],[Total]]/Table28[[#Totals],[Total]]</f>
        <v>#REF!</v>
      </c>
      <c r="J30" t="e">
        <f ca="1">SUM(Table28[[#This Row],[Fatal]:[Severe Injury]])</f>
        <v>#REF!</v>
      </c>
      <c r="K30" s="69" t="e">
        <f ca="1">Table28[[#This Row],[Crash Count2]]/Table28[[#Totals],[Crash Count2]]</f>
        <v>#REF!</v>
      </c>
    </row>
    <row r="31" spans="2:11" x14ac:dyDescent="0.25">
      <c r="B31">
        <v>9</v>
      </c>
      <c r="C31" t="s">
        <v>304</v>
      </c>
      <c r="D31" t="e">
        <f ca="1">SUM((COUNTIFS(INDIRECT("Collision!"&amp;Temporal!$C$4&amp;":"&amp;Temporal!$C$4),$C31,INDIRECT("Collision!"&amp;Severity!$C$3&amp;":"&amp;Severity!$C$3),D$22)))</f>
        <v>#REF!</v>
      </c>
      <c r="E31" t="e">
        <f ca="1">SUM((COUNTIFS(INDIRECT("Collision!"&amp;Temporal!$C$4&amp;":"&amp;Temporal!$C$4),$C31,INDIRECT("Collision!"&amp;Severity!$C$3&amp;":"&amp;Severity!$C$3),E$22)))</f>
        <v>#REF!</v>
      </c>
      <c r="F31" t="e">
        <f t="array" aca="1" ref="F31" ca="1">SUM((COUNTIFS(INDIRECT("Collision!"&amp;Temporal!$C$4&amp;":"&amp;Temporal!$C$4),$C31,INDIRECT("Collision!"&amp;Severity!$C$3&amp;":"&amp;Severity!$C$3),{"Moderate Injury","Minor Injury"})))</f>
        <v>#REF!</v>
      </c>
      <c r="G31" t="e">
        <f ca="1">SUM((COUNTIFS(INDIRECT("Collision!"&amp;Temporal!$C$4&amp;":"&amp;Temporal!$C$4),$C31,INDIRECT("Collision!"&amp;Severity!$C$3&amp;":"&amp;Severity!$C$3),G$22)))</f>
        <v>#REF!</v>
      </c>
      <c r="H31" t="e">
        <f ca="1">SUM((COUNTIFS(INDIRECT("Collision!"&amp;Temporal!$C$4&amp;":"&amp;Temporal!$C$4),$C31)))</f>
        <v>#REF!</v>
      </c>
      <c r="I31" s="69" t="e">
        <f ca="1">Table28[[#This Row],[Total]]/Table28[[#Totals],[Total]]</f>
        <v>#REF!</v>
      </c>
      <c r="J31" t="e">
        <f ca="1">SUM(Table28[[#This Row],[Fatal]:[Severe Injury]])</f>
        <v>#REF!</v>
      </c>
      <c r="K31" s="69" t="e">
        <f ca="1">Table28[[#This Row],[Crash Count2]]/Table28[[#Totals],[Crash Count2]]</f>
        <v>#REF!</v>
      </c>
    </row>
    <row r="32" spans="2:11" x14ac:dyDescent="0.25">
      <c r="B32">
        <v>10</v>
      </c>
      <c r="C32" t="s">
        <v>305</v>
      </c>
      <c r="D32" t="e">
        <f ca="1">SUM((COUNTIFS(INDIRECT("Collision!"&amp;Temporal!$C$4&amp;":"&amp;Temporal!$C$4),$C32,INDIRECT("Collision!"&amp;Severity!$C$3&amp;":"&amp;Severity!$C$3),D$22)))</f>
        <v>#REF!</v>
      </c>
      <c r="E32" t="e">
        <f ca="1">SUM((COUNTIFS(INDIRECT("Collision!"&amp;Temporal!$C$4&amp;":"&amp;Temporal!$C$4),$C32,INDIRECT("Collision!"&amp;Severity!$C$3&amp;":"&amp;Severity!$C$3),E$22)))</f>
        <v>#REF!</v>
      </c>
      <c r="F32" t="e">
        <f t="array" aca="1" ref="F32" ca="1">SUM((COUNTIFS(INDIRECT("Collision!"&amp;Temporal!$C$4&amp;":"&amp;Temporal!$C$4),$C32,INDIRECT("Collision!"&amp;Severity!$C$3&amp;":"&amp;Severity!$C$3),{"Moderate Injury","Minor Injury"})))</f>
        <v>#REF!</v>
      </c>
      <c r="G32" t="e">
        <f ca="1">SUM((COUNTIFS(INDIRECT("Collision!"&amp;Temporal!$C$4&amp;":"&amp;Temporal!$C$4),$C32,INDIRECT("Collision!"&amp;Severity!$C$3&amp;":"&amp;Severity!$C$3),G$22)))</f>
        <v>#REF!</v>
      </c>
      <c r="H32" t="e">
        <f ca="1">SUM((COUNTIFS(INDIRECT("Collision!"&amp;Temporal!$C$4&amp;":"&amp;Temporal!$C$4),$C32)))</f>
        <v>#REF!</v>
      </c>
      <c r="I32" s="69" t="e">
        <f ca="1">Table28[[#This Row],[Total]]/Table28[[#Totals],[Total]]</f>
        <v>#REF!</v>
      </c>
      <c r="J32" t="e">
        <f ca="1">SUM(Table28[[#This Row],[Fatal]:[Severe Injury]])</f>
        <v>#REF!</v>
      </c>
      <c r="K32" s="69" t="e">
        <f ca="1">Table28[[#This Row],[Crash Count2]]/Table28[[#Totals],[Crash Count2]]</f>
        <v>#REF!</v>
      </c>
    </row>
    <row r="33" spans="2:13" x14ac:dyDescent="0.25">
      <c r="B33">
        <v>11</v>
      </c>
      <c r="C33" t="s">
        <v>306</v>
      </c>
      <c r="D33" t="e">
        <f ca="1">SUM((COUNTIFS(INDIRECT("Collision!"&amp;Temporal!$C$4&amp;":"&amp;Temporal!$C$4),$C33,INDIRECT("Collision!"&amp;Severity!$C$3&amp;":"&amp;Severity!$C$3),D$22)))</f>
        <v>#REF!</v>
      </c>
      <c r="E33" t="e">
        <f ca="1">SUM((COUNTIFS(INDIRECT("Collision!"&amp;Temporal!$C$4&amp;":"&amp;Temporal!$C$4),$C33,INDIRECT("Collision!"&amp;Severity!$C$3&amp;":"&amp;Severity!$C$3),E$22)))</f>
        <v>#REF!</v>
      </c>
      <c r="F33" t="e">
        <f t="array" aca="1" ref="F33" ca="1">SUM((COUNTIFS(INDIRECT("Collision!"&amp;Temporal!$C$4&amp;":"&amp;Temporal!$C$4),$C33,INDIRECT("Collision!"&amp;Severity!$C$3&amp;":"&amp;Severity!$C$3),{"Moderate Injury","Minor Injury"})))</f>
        <v>#REF!</v>
      </c>
      <c r="G33" t="e">
        <f ca="1">SUM((COUNTIFS(INDIRECT("Collision!"&amp;Temporal!$C$4&amp;":"&amp;Temporal!$C$4),$C33,INDIRECT("Collision!"&amp;Severity!$C$3&amp;":"&amp;Severity!$C$3),G$22)))</f>
        <v>#REF!</v>
      </c>
      <c r="H33" t="e">
        <f ca="1">SUM((COUNTIFS(INDIRECT("Collision!"&amp;Temporal!$C$4&amp;":"&amp;Temporal!$C$4),$C33)))</f>
        <v>#REF!</v>
      </c>
      <c r="I33" s="69" t="e">
        <f ca="1">Table28[[#This Row],[Total]]/Table28[[#Totals],[Total]]</f>
        <v>#REF!</v>
      </c>
      <c r="J33" t="e">
        <f ca="1">SUM(Table28[[#This Row],[Fatal]:[Severe Injury]])</f>
        <v>#REF!</v>
      </c>
      <c r="K33" s="69" t="e">
        <f ca="1">Table28[[#This Row],[Crash Count2]]/Table28[[#Totals],[Crash Count2]]</f>
        <v>#REF!</v>
      </c>
    </row>
    <row r="34" spans="2:13" x14ac:dyDescent="0.25">
      <c r="B34">
        <v>12</v>
      </c>
      <c r="C34" t="s">
        <v>307</v>
      </c>
      <c r="D34" t="e">
        <f ca="1">SUM((COUNTIFS(INDIRECT("Collision!"&amp;Temporal!$C$4&amp;":"&amp;Temporal!$C$4),$C34,INDIRECT("Collision!"&amp;Severity!$C$3&amp;":"&amp;Severity!$C$3),D$22)))</f>
        <v>#REF!</v>
      </c>
      <c r="E34" t="e">
        <f ca="1">SUM((COUNTIFS(INDIRECT("Collision!"&amp;Temporal!$C$4&amp;":"&amp;Temporal!$C$4),$C34,INDIRECT("Collision!"&amp;Severity!$C$3&amp;":"&amp;Severity!$C$3),E$22)))</f>
        <v>#REF!</v>
      </c>
      <c r="F34" t="e">
        <f t="array" aca="1" ref="F34" ca="1">SUM((COUNTIFS(INDIRECT("Collision!"&amp;Temporal!$C$4&amp;":"&amp;Temporal!$C$4),$C34,INDIRECT("Collision!"&amp;Severity!$C$3&amp;":"&amp;Severity!$C$3),{"Moderate Injury","Minor Injury"})))</f>
        <v>#REF!</v>
      </c>
      <c r="G34" t="e">
        <f ca="1">SUM((COUNTIFS(INDIRECT("Collision!"&amp;Temporal!$C$4&amp;":"&amp;Temporal!$C$4),$C34,INDIRECT("Collision!"&amp;Severity!$C$3&amp;":"&amp;Severity!$C$3),G$22)))</f>
        <v>#REF!</v>
      </c>
      <c r="H34" t="e">
        <f ca="1">SUM((COUNTIFS(INDIRECT("Collision!"&amp;Temporal!$C$4&amp;":"&amp;Temporal!$C$4),$C34)))</f>
        <v>#REF!</v>
      </c>
      <c r="I34" s="69" t="e">
        <f ca="1">Table28[[#This Row],[Total]]/Table28[[#Totals],[Total]]</f>
        <v>#REF!</v>
      </c>
      <c r="J34" t="e">
        <f ca="1">SUM(Table28[[#This Row],[Fatal]:[Severe Injury]])</f>
        <v>#REF!</v>
      </c>
      <c r="K34" s="69" t="e">
        <f ca="1">Table28[[#This Row],[Crash Count2]]/Table28[[#Totals],[Crash Count2]]</f>
        <v>#REF!</v>
      </c>
    </row>
    <row r="35" spans="2:13" x14ac:dyDescent="0.25">
      <c r="B35" t="s">
        <v>53</v>
      </c>
      <c r="D35" t="e">
        <f ca="1">SUBTOTAL(109,Table28[Fatal])</f>
        <v>#REF!</v>
      </c>
      <c r="E35" t="e">
        <f ca="1">SUBTOTAL(109,Table28[Severe Injury])</f>
        <v>#REF!</v>
      </c>
      <c r="F35" t="e">
        <f ca="1">SUBTOTAL(109,Table28[Other Injury])</f>
        <v>#REF!</v>
      </c>
      <c r="G35" t="e">
        <f ca="1">SUBTOTAL(109,Table28[PDO])</f>
        <v>#REF!</v>
      </c>
      <c r="H35" t="e">
        <f ca="1">SUBTOTAL(109,Table28[Total])</f>
        <v>#REF!</v>
      </c>
      <c r="I35" s="82" t="e">
        <f ca="1">SUBTOTAL(109,Table28[Crash Share])</f>
        <v>#REF!</v>
      </c>
      <c r="J35" t="e">
        <f ca="1">SUBTOTAL(109,Table28[Crash Count2])</f>
        <v>#REF!</v>
      </c>
      <c r="K35" s="82" t="e">
        <f ca="1">SUBTOTAL(109,Table28[Crash Share2])</f>
        <v>#REF!</v>
      </c>
    </row>
    <row r="37" spans="2:13" x14ac:dyDescent="0.25">
      <c r="B37" s="80" t="s">
        <v>308</v>
      </c>
    </row>
    <row r="38" spans="2:13" x14ac:dyDescent="0.25">
      <c r="B38" s="11" t="s">
        <v>67</v>
      </c>
      <c r="C38" s="96" t="s">
        <v>44</v>
      </c>
    </row>
    <row r="39" spans="2:13" x14ac:dyDescent="0.25">
      <c r="B39" s="11"/>
      <c r="C39" s="11"/>
    </row>
    <row r="40" spans="2:13" ht="14.45" customHeight="1" x14ac:dyDescent="0.25">
      <c r="B40" s="39" t="s">
        <v>309</v>
      </c>
      <c r="C40" s="37"/>
      <c r="D40" s="104" t="str">
        <f>C38</f>
        <v>All Crashes</v>
      </c>
      <c r="E40" s="105"/>
      <c r="F40" s="105"/>
      <c r="G40" s="105"/>
      <c r="H40" s="105"/>
      <c r="I40" s="105"/>
      <c r="J40" s="105"/>
      <c r="K40" s="105"/>
      <c r="L40" s="105"/>
      <c r="M40" s="105"/>
    </row>
    <row r="41" spans="2:13" ht="31.15" customHeight="1" x14ac:dyDescent="0.25">
      <c r="B41" s="50" t="s">
        <v>310</v>
      </c>
      <c r="C41" s="50" t="s">
        <v>311</v>
      </c>
      <c r="D41" s="50" t="s">
        <v>312</v>
      </c>
      <c r="E41" s="50" t="s">
        <v>313</v>
      </c>
      <c r="F41" s="50" t="s">
        <v>314</v>
      </c>
      <c r="G41" s="50" t="s">
        <v>315</v>
      </c>
      <c r="H41" s="50" t="s">
        <v>316</v>
      </c>
      <c r="I41" s="50" t="s">
        <v>317</v>
      </c>
      <c r="J41" s="50" t="s">
        <v>318</v>
      </c>
      <c r="K41" s="14" t="s">
        <v>319</v>
      </c>
      <c r="L41" s="14" t="s">
        <v>320</v>
      </c>
      <c r="M41" s="14" t="s">
        <v>321</v>
      </c>
    </row>
    <row r="42" spans="2:13" x14ac:dyDescent="0.25">
      <c r="B42">
        <v>0</v>
      </c>
      <c r="C42" t="s">
        <v>322</v>
      </c>
      <c r="D42" t="e">
        <f t="array" aca="1" ref="D42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2" t="e">
        <f t="array" aca="1" ref="E42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2" t="e">
        <f t="array" aca="1" ref="F42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2" t="e">
        <f t="array" aca="1" ref="G42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2" t="e">
        <f t="array" aca="1" ref="H42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2" t="e">
        <f t="array" aca="1" ref="I42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2" t="e">
        <f t="array" aca="1" ref="J42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2" s="99" t="e">
        <f t="shared" ref="K42:K66" ca="1" si="1">AVERAGE(D42,J42)</f>
        <v>#REF!</v>
      </c>
      <c r="L42" s="99" t="e">
        <f ca="1">AVERAGE(Table29[[#This Row],[Monday]:[Friday]])</f>
        <v>#REF!</v>
      </c>
      <c r="M42" s="47">
        <v>1</v>
      </c>
    </row>
    <row r="43" spans="2:13" x14ac:dyDescent="0.25">
      <c r="B43">
        <v>1</v>
      </c>
      <c r="C43" t="s">
        <v>323</v>
      </c>
      <c r="D43" t="e">
        <f t="array" aca="1" ref="D43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3" t="e">
        <f t="array" aca="1" ref="E43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3" t="e">
        <f t="array" aca="1" ref="F43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3" t="e">
        <f t="array" aca="1" ref="G43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3" t="e">
        <f t="array" aca="1" ref="H43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3" t="e">
        <f t="array" aca="1" ref="I43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3" t="e">
        <f t="array" aca="1" ref="J43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3" s="99" t="e">
        <f t="shared" ca="1" si="1"/>
        <v>#REF!</v>
      </c>
      <c r="L43" s="99" t="e">
        <f ca="1">AVERAGE(Table29[[#This Row],[Monday]:[Friday]])</f>
        <v>#REF!</v>
      </c>
      <c r="M43" s="47">
        <v>4.1666666666666657E-2</v>
      </c>
    </row>
    <row r="44" spans="2:13" x14ac:dyDescent="0.25">
      <c r="B44">
        <v>2</v>
      </c>
      <c r="C44" t="s">
        <v>324</v>
      </c>
      <c r="D44" t="e">
        <f t="array" aca="1" ref="D44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4" t="e">
        <f t="array" aca="1" ref="E44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4" t="e">
        <f t="array" aca="1" ref="F44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4" t="e">
        <f t="array" aca="1" ref="G44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4" t="e">
        <f t="array" aca="1" ref="H44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4" t="e">
        <f t="array" aca="1" ref="I44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4" t="e">
        <f t="array" aca="1" ref="J44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4" s="99" t="e">
        <f t="shared" ca="1" si="1"/>
        <v>#REF!</v>
      </c>
      <c r="L44" s="99" t="e">
        <f ca="1">AVERAGE(Table29[[#This Row],[Monday]:[Friday]])</f>
        <v>#REF!</v>
      </c>
      <c r="M44" s="47">
        <v>8.3333333333333329E-2</v>
      </c>
    </row>
    <row r="45" spans="2:13" x14ac:dyDescent="0.25">
      <c r="B45">
        <v>3</v>
      </c>
      <c r="C45" t="s">
        <v>325</v>
      </c>
      <c r="D45" t="e">
        <f t="array" aca="1" ref="D45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5" t="e">
        <f t="array" aca="1" ref="E45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5" t="e">
        <f t="array" aca="1" ref="F45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5" t="e">
        <f t="array" aca="1" ref="G45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5" t="e">
        <f t="array" aca="1" ref="H45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5" t="e">
        <f t="array" aca="1" ref="I45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5" t="e">
        <f t="array" aca="1" ref="J45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5" s="99" t="e">
        <f t="shared" ca="1" si="1"/>
        <v>#REF!</v>
      </c>
      <c r="L45" s="99" t="e">
        <f ca="1">AVERAGE(Table29[[#This Row],[Monday]:[Friday]])</f>
        <v>#REF!</v>
      </c>
      <c r="M45" s="47">
        <v>0.125</v>
      </c>
    </row>
    <row r="46" spans="2:13" x14ac:dyDescent="0.25">
      <c r="B46">
        <v>4</v>
      </c>
      <c r="C46" t="s">
        <v>326</v>
      </c>
      <c r="D46" t="e">
        <f t="array" aca="1" ref="D46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6" t="e">
        <f t="array" aca="1" ref="E46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6" t="e">
        <f t="array" aca="1" ref="F46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6" t="e">
        <f t="array" aca="1" ref="G46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6" t="e">
        <f t="array" aca="1" ref="H46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6" t="e">
        <f t="array" aca="1" ref="I46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6" t="e">
        <f t="array" aca="1" ref="J46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6" s="99" t="e">
        <f t="shared" ca="1" si="1"/>
        <v>#REF!</v>
      </c>
      <c r="L46" s="99" t="e">
        <f ca="1">AVERAGE(Table29[[#This Row],[Monday]:[Friday]])</f>
        <v>#REF!</v>
      </c>
      <c r="M46" s="47">
        <v>0.16666666666666671</v>
      </c>
    </row>
    <row r="47" spans="2:13" x14ac:dyDescent="0.25">
      <c r="B47">
        <v>5</v>
      </c>
      <c r="C47" t="s">
        <v>327</v>
      </c>
      <c r="D47" t="e">
        <f t="array" aca="1" ref="D47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7" t="e">
        <f t="array" aca="1" ref="E47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7" t="e">
        <f t="array" aca="1" ref="F47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7" t="e">
        <f t="array" aca="1" ref="G47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7" t="e">
        <f t="array" aca="1" ref="H47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7" t="e">
        <f t="array" aca="1" ref="I47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7" t="e">
        <f t="array" aca="1" ref="J47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7" s="99" t="e">
        <f t="shared" ca="1" si="1"/>
        <v>#REF!</v>
      </c>
      <c r="L47" s="99" t="e">
        <f ca="1">AVERAGE(Table29[[#This Row],[Monday]:[Friday]])</f>
        <v>#REF!</v>
      </c>
      <c r="M47" s="47">
        <v>0.20833333333333329</v>
      </c>
    </row>
    <row r="48" spans="2:13" x14ac:dyDescent="0.25">
      <c r="B48">
        <v>6</v>
      </c>
      <c r="C48" t="s">
        <v>328</v>
      </c>
      <c r="D48" t="e">
        <f t="array" aca="1" ref="D48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8" t="e">
        <f t="array" aca="1" ref="E48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8" t="e">
        <f t="array" aca="1" ref="F48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8" t="e">
        <f t="array" aca="1" ref="G48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8" t="e">
        <f t="array" aca="1" ref="H48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8" t="e">
        <f t="array" aca="1" ref="I48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8" t="e">
        <f t="array" aca="1" ref="J48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8" s="99" t="e">
        <f t="shared" ca="1" si="1"/>
        <v>#REF!</v>
      </c>
      <c r="L48" s="99" t="e">
        <f ca="1">AVERAGE(Table29[[#This Row],[Monday]:[Friday]])</f>
        <v>#REF!</v>
      </c>
      <c r="M48" s="47">
        <v>0.25</v>
      </c>
    </row>
    <row r="49" spans="2:13" x14ac:dyDescent="0.25">
      <c r="B49">
        <v>7</v>
      </c>
      <c r="C49" t="s">
        <v>329</v>
      </c>
      <c r="D49" t="e">
        <f t="array" aca="1" ref="D49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9" t="e">
        <f t="array" aca="1" ref="E49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9" t="e">
        <f t="array" aca="1" ref="F49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9" t="e">
        <f t="array" aca="1" ref="G49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9" t="e">
        <f t="array" aca="1" ref="H49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9" t="e">
        <f t="array" aca="1" ref="I49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9" t="e">
        <f t="array" aca="1" ref="J49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9" s="99" t="e">
        <f t="shared" ca="1" si="1"/>
        <v>#REF!</v>
      </c>
      <c r="L49" s="99" t="e">
        <f ca="1">AVERAGE(Table29[[#This Row],[Monday]:[Friday]])</f>
        <v>#REF!</v>
      </c>
      <c r="M49" s="47">
        <v>0.29166666666666669</v>
      </c>
    </row>
    <row r="50" spans="2:13" x14ac:dyDescent="0.25">
      <c r="B50">
        <v>8</v>
      </c>
      <c r="C50" t="s">
        <v>330</v>
      </c>
      <c r="D50" t="e">
        <f t="array" aca="1" ref="D50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0" t="e">
        <f t="array" aca="1" ref="E50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0" t="e">
        <f t="array" aca="1" ref="F50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0" t="e">
        <f t="array" aca="1" ref="G50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0" t="e">
        <f t="array" aca="1" ref="H50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0" t="e">
        <f t="array" aca="1" ref="I50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0" t="e">
        <f t="array" aca="1" ref="J50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0" s="99" t="e">
        <f t="shared" ca="1" si="1"/>
        <v>#REF!</v>
      </c>
      <c r="L50" s="99" t="e">
        <f ca="1">AVERAGE(Table29[[#This Row],[Monday]:[Friday]])</f>
        <v>#REF!</v>
      </c>
      <c r="M50" s="47">
        <v>0.33333333333333331</v>
      </c>
    </row>
    <row r="51" spans="2:13" x14ac:dyDescent="0.25">
      <c r="B51">
        <v>9</v>
      </c>
      <c r="C51" t="s">
        <v>331</v>
      </c>
      <c r="D51" t="e">
        <f t="array" aca="1" ref="D51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1" t="e">
        <f t="array" aca="1" ref="E51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1" t="e">
        <f t="array" aca="1" ref="F51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1" t="e">
        <f t="array" aca="1" ref="G51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1" t="e">
        <f t="array" aca="1" ref="H51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1" t="e">
        <f t="array" aca="1" ref="I51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1" t="e">
        <f t="array" aca="1" ref="J51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1" s="99" t="e">
        <f t="shared" ca="1" si="1"/>
        <v>#REF!</v>
      </c>
      <c r="L51" s="99" t="e">
        <f ca="1">AVERAGE(Table29[[#This Row],[Monday]:[Friday]])</f>
        <v>#REF!</v>
      </c>
      <c r="M51" s="47">
        <v>0.375</v>
      </c>
    </row>
    <row r="52" spans="2:13" x14ac:dyDescent="0.25">
      <c r="B52">
        <v>10</v>
      </c>
      <c r="C52" t="s">
        <v>332</v>
      </c>
      <c r="D52" t="e">
        <f t="array" aca="1" ref="D52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2" t="e">
        <f t="array" aca="1" ref="E52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2" t="e">
        <f t="array" aca="1" ref="F52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2" t="e">
        <f t="array" aca="1" ref="G52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2" t="e">
        <f t="array" aca="1" ref="H52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2" t="e">
        <f t="array" aca="1" ref="I52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2" t="e">
        <f t="array" aca="1" ref="J52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2" s="99" t="e">
        <f t="shared" ca="1" si="1"/>
        <v>#REF!</v>
      </c>
      <c r="L52" s="99" t="e">
        <f ca="1">AVERAGE(Table29[[#This Row],[Monday]:[Friday]])</f>
        <v>#REF!</v>
      </c>
      <c r="M52" s="47">
        <v>0.41666666666666669</v>
      </c>
    </row>
    <row r="53" spans="2:13" x14ac:dyDescent="0.25">
      <c r="B53">
        <v>11</v>
      </c>
      <c r="C53" t="s">
        <v>333</v>
      </c>
      <c r="D53" t="e">
        <f t="array" aca="1" ref="D53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3" t="e">
        <f t="array" aca="1" ref="E53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3" t="e">
        <f t="array" aca="1" ref="F53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3" t="e">
        <f t="array" aca="1" ref="G53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3" t="e">
        <f t="array" aca="1" ref="H53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3" t="e">
        <f t="array" aca="1" ref="I53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3" t="e">
        <f t="array" aca="1" ref="J53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3" s="99" t="e">
        <f t="shared" ca="1" si="1"/>
        <v>#REF!</v>
      </c>
      <c r="L53" s="99" t="e">
        <f ca="1">AVERAGE(Table29[[#This Row],[Monday]:[Friday]])</f>
        <v>#REF!</v>
      </c>
      <c r="M53" s="47">
        <v>0.45833333333333331</v>
      </c>
    </row>
    <row r="54" spans="2:13" x14ac:dyDescent="0.25">
      <c r="B54">
        <v>12</v>
      </c>
      <c r="C54" t="s">
        <v>334</v>
      </c>
      <c r="D54" t="e">
        <f t="array" aca="1" ref="D54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4" t="e">
        <f t="array" aca="1" ref="E54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4" t="e">
        <f t="array" aca="1" ref="F54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4" t="e">
        <f t="array" aca="1" ref="G54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4" t="e">
        <f t="array" aca="1" ref="H54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4" t="e">
        <f t="array" aca="1" ref="I54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4" t="e">
        <f t="array" aca="1" ref="J54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4" s="99" t="e">
        <f t="shared" ca="1" si="1"/>
        <v>#REF!</v>
      </c>
      <c r="L54" s="99" t="e">
        <f ca="1">AVERAGE(Table29[[#This Row],[Monday]:[Friday]])</f>
        <v>#REF!</v>
      </c>
      <c r="M54" s="47">
        <v>0.5</v>
      </c>
    </row>
    <row r="55" spans="2:13" x14ac:dyDescent="0.25">
      <c r="B55">
        <v>13</v>
      </c>
      <c r="C55" t="s">
        <v>335</v>
      </c>
      <c r="D55" t="e">
        <f t="array" aca="1" ref="D55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5" t="e">
        <f t="array" aca="1" ref="E55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5" t="e">
        <f t="array" aca="1" ref="F55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5" t="e">
        <f t="array" aca="1" ref="G55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5" t="e">
        <f t="array" aca="1" ref="H55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5" t="e">
        <f t="array" aca="1" ref="I55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5" t="e">
        <f t="array" aca="1" ref="J55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5" s="99" t="e">
        <f t="shared" ca="1" si="1"/>
        <v>#REF!</v>
      </c>
      <c r="L55" s="99" t="e">
        <f ca="1">AVERAGE(Table29[[#This Row],[Monday]:[Friday]])</f>
        <v>#REF!</v>
      </c>
      <c r="M55" s="47">
        <v>0.54166666666666663</v>
      </c>
    </row>
    <row r="56" spans="2:13" x14ac:dyDescent="0.25">
      <c r="B56">
        <v>14</v>
      </c>
      <c r="C56" t="s">
        <v>336</v>
      </c>
      <c r="D56" t="e">
        <f t="array" aca="1" ref="D56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6" t="e">
        <f t="array" aca="1" ref="E56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6" t="e">
        <f t="array" aca="1" ref="F56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6" t="e">
        <f t="array" aca="1" ref="G56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6" t="e">
        <f t="array" aca="1" ref="H56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6" t="e">
        <f t="array" aca="1" ref="I56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6" t="e">
        <f t="array" aca="1" ref="J56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6" s="99" t="e">
        <f t="shared" ca="1" si="1"/>
        <v>#REF!</v>
      </c>
      <c r="L56" s="99" t="e">
        <f ca="1">AVERAGE(Table29[[#This Row],[Monday]:[Friday]])</f>
        <v>#REF!</v>
      </c>
      <c r="M56" s="47">
        <v>0.58333333333333337</v>
      </c>
    </row>
    <row r="57" spans="2:13" x14ac:dyDescent="0.25">
      <c r="B57">
        <v>15</v>
      </c>
      <c r="C57" t="s">
        <v>337</v>
      </c>
      <c r="D57" t="e">
        <f t="array" aca="1" ref="D57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7" t="e">
        <f t="array" aca="1" ref="E57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7" t="e">
        <f t="array" aca="1" ref="F57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7" t="e">
        <f t="array" aca="1" ref="G57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7" t="e">
        <f t="array" aca="1" ref="H57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7" t="e">
        <f t="array" aca="1" ref="I57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7" t="e">
        <f t="array" aca="1" ref="J57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7" s="99" t="e">
        <f t="shared" ca="1" si="1"/>
        <v>#REF!</v>
      </c>
      <c r="L57" s="99" t="e">
        <f ca="1">AVERAGE(Table29[[#This Row],[Monday]:[Friday]])</f>
        <v>#REF!</v>
      </c>
      <c r="M57" s="47">
        <v>0.625</v>
      </c>
    </row>
    <row r="58" spans="2:13" x14ac:dyDescent="0.25">
      <c r="B58">
        <v>16</v>
      </c>
      <c r="C58" t="s">
        <v>338</v>
      </c>
      <c r="D58" t="e">
        <f t="array" aca="1" ref="D58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8" t="e">
        <f t="array" aca="1" ref="E58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8" t="e">
        <f t="array" aca="1" ref="F58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8" t="e">
        <f t="array" aca="1" ref="G58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8" t="e">
        <f t="array" aca="1" ref="H58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8" t="e">
        <f t="array" aca="1" ref="I58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8" t="e">
        <f t="array" aca="1" ref="J58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8" s="99" t="e">
        <f t="shared" ca="1" si="1"/>
        <v>#REF!</v>
      </c>
      <c r="L58" s="99" t="e">
        <f ca="1">AVERAGE(Table29[[#This Row],[Monday]:[Friday]])</f>
        <v>#REF!</v>
      </c>
      <c r="M58" s="47">
        <v>0.66666666666666663</v>
      </c>
    </row>
    <row r="59" spans="2:13" x14ac:dyDescent="0.25">
      <c r="B59">
        <v>17</v>
      </c>
      <c r="C59" t="s">
        <v>339</v>
      </c>
      <c r="D59" t="e">
        <f t="array" aca="1" ref="D59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9" t="e">
        <f t="array" aca="1" ref="E59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9" t="e">
        <f t="array" aca="1" ref="F59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9" t="e">
        <f t="array" aca="1" ref="G59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9" t="e">
        <f t="array" aca="1" ref="H59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9" t="e">
        <f t="array" aca="1" ref="I59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9" t="e">
        <f t="array" aca="1" ref="J59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9" s="99" t="e">
        <f t="shared" ca="1" si="1"/>
        <v>#REF!</v>
      </c>
      <c r="L59" s="99" t="e">
        <f ca="1">AVERAGE(Table29[[#This Row],[Monday]:[Friday]])</f>
        <v>#REF!</v>
      </c>
      <c r="M59" s="47">
        <v>0.70833333333333337</v>
      </c>
    </row>
    <row r="60" spans="2:13" x14ac:dyDescent="0.25">
      <c r="B60">
        <v>18</v>
      </c>
      <c r="C60" t="s">
        <v>340</v>
      </c>
      <c r="D60" t="e">
        <f t="array" aca="1" ref="D60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0" t="e">
        <f t="array" aca="1" ref="E60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0" t="e">
        <f t="array" aca="1" ref="F60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0" t="e">
        <f t="array" aca="1" ref="G60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0" t="e">
        <f t="array" aca="1" ref="H60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0" t="e">
        <f t="array" aca="1" ref="I60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0" t="e">
        <f t="array" aca="1" ref="J60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0" s="99" t="e">
        <f t="shared" ca="1" si="1"/>
        <v>#REF!</v>
      </c>
      <c r="L60" s="99" t="e">
        <f ca="1">AVERAGE(Table29[[#This Row],[Monday]:[Friday]])</f>
        <v>#REF!</v>
      </c>
      <c r="M60" s="47">
        <v>0.75</v>
      </c>
    </row>
    <row r="61" spans="2:13" x14ac:dyDescent="0.25">
      <c r="B61">
        <v>19</v>
      </c>
      <c r="C61" t="s">
        <v>341</v>
      </c>
      <c r="D61" t="e">
        <f t="array" aca="1" ref="D61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1" t="e">
        <f t="array" aca="1" ref="E61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1" t="e">
        <f t="array" aca="1" ref="F61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1" t="e">
        <f t="array" aca="1" ref="G61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1" t="e">
        <f t="array" aca="1" ref="H61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1" t="e">
        <f t="array" aca="1" ref="I61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1" t="e">
        <f t="array" aca="1" ref="J61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1" s="99" t="e">
        <f t="shared" ca="1" si="1"/>
        <v>#REF!</v>
      </c>
      <c r="L61" s="99" t="e">
        <f ca="1">AVERAGE(Table29[[#This Row],[Monday]:[Friday]])</f>
        <v>#REF!</v>
      </c>
      <c r="M61" s="47">
        <v>0.79166666666666663</v>
      </c>
    </row>
    <row r="62" spans="2:13" x14ac:dyDescent="0.25">
      <c r="B62">
        <v>20</v>
      </c>
      <c r="C62" t="s">
        <v>342</v>
      </c>
      <c r="D62" t="e">
        <f t="array" aca="1" ref="D62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2" t="e">
        <f t="array" aca="1" ref="E62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2" t="e">
        <f t="array" aca="1" ref="F62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2" t="e">
        <f t="array" aca="1" ref="G62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2" t="e">
        <f t="array" aca="1" ref="H62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2" t="e">
        <f t="array" aca="1" ref="I62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2" t="e">
        <f t="array" aca="1" ref="J62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2" s="99" t="e">
        <f t="shared" ca="1" si="1"/>
        <v>#REF!</v>
      </c>
      <c r="L62" s="99" t="e">
        <f ca="1">AVERAGE(Table29[[#This Row],[Monday]:[Friday]])</f>
        <v>#REF!</v>
      </c>
      <c r="M62" s="47">
        <v>0.83333333333333337</v>
      </c>
    </row>
    <row r="63" spans="2:13" x14ac:dyDescent="0.25">
      <c r="B63">
        <v>21</v>
      </c>
      <c r="C63" t="s">
        <v>343</v>
      </c>
      <c r="D63" t="e">
        <f t="array" aca="1" ref="D63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3" t="e">
        <f t="array" aca="1" ref="E63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3" t="e">
        <f t="array" aca="1" ref="F63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3" t="e">
        <f t="array" aca="1" ref="G63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3" t="e">
        <f t="array" aca="1" ref="H63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3" t="e">
        <f t="array" aca="1" ref="I63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3" t="e">
        <f t="array" aca="1" ref="J63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3" s="99" t="e">
        <f t="shared" ca="1" si="1"/>
        <v>#REF!</v>
      </c>
      <c r="L63" s="99" t="e">
        <f ca="1">AVERAGE(Table29[[#This Row],[Monday]:[Friday]])</f>
        <v>#REF!</v>
      </c>
      <c r="M63" s="47">
        <v>0.875</v>
      </c>
    </row>
    <row r="64" spans="2:13" x14ac:dyDescent="0.25">
      <c r="B64">
        <v>22</v>
      </c>
      <c r="C64" t="s">
        <v>344</v>
      </c>
      <c r="D64" t="e">
        <f t="array" aca="1" ref="D64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4" t="e">
        <f t="array" aca="1" ref="E64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4" t="e">
        <f t="array" aca="1" ref="F64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4" t="e">
        <f t="array" aca="1" ref="G64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4" t="e">
        <f t="array" aca="1" ref="H64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4" t="e">
        <f t="array" aca="1" ref="I64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4" t="e">
        <f t="array" aca="1" ref="J64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4" s="99" t="e">
        <f t="shared" ca="1" si="1"/>
        <v>#REF!</v>
      </c>
      <c r="L64" s="99" t="e">
        <f ca="1">AVERAGE(Table29[[#This Row],[Monday]:[Friday]])</f>
        <v>#REF!</v>
      </c>
      <c r="M64" s="47">
        <v>0.91666666666666663</v>
      </c>
    </row>
    <row r="65" spans="2:13" x14ac:dyDescent="0.25">
      <c r="B65">
        <v>23</v>
      </c>
      <c r="C65" t="s">
        <v>345</v>
      </c>
      <c r="D65" t="e">
        <f t="array" aca="1" ref="D65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5" t="e">
        <f t="array" aca="1" ref="E65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5" t="e">
        <f t="array" aca="1" ref="F65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5" t="e">
        <f t="array" aca="1" ref="G65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5" t="e">
        <f t="array" aca="1" ref="H65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5" t="e">
        <f t="array" aca="1" ref="I65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5" t="e">
        <f t="array" aca="1" ref="J65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5" s="99" t="e">
        <f t="shared" ca="1" si="1"/>
        <v>#REF!</v>
      </c>
      <c r="L65" s="99" t="e">
        <f ca="1">AVERAGE(Table29[[#This Row],[Monday]:[Friday]])</f>
        <v>#REF!</v>
      </c>
      <c r="M65" s="47">
        <v>0.95833333333333337</v>
      </c>
    </row>
    <row r="66" spans="2:13" x14ac:dyDescent="0.25">
      <c r="B66">
        <v>25</v>
      </c>
      <c r="C66" t="s">
        <v>346</v>
      </c>
      <c r="D66" t="e">
        <f t="array" aca="1" ref="D66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6" t="e">
        <f t="array" aca="1" ref="E66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6" t="e">
        <f t="array" aca="1" ref="F66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6" t="e">
        <f t="array" aca="1" ref="G66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6" t="e">
        <f t="array" aca="1" ref="H66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6" t="e">
        <f t="array" aca="1" ref="I66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6" t="e">
        <f t="array" aca="1" ref="J66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6" s="99" t="e">
        <f t="shared" ca="1" si="1"/>
        <v>#REF!</v>
      </c>
      <c r="L66" s="99" t="e">
        <f ca="1">AVERAGE(Table29[[#This Row],[Monday]:[Friday]])</f>
        <v>#REF!</v>
      </c>
      <c r="M66" t="s">
        <v>346</v>
      </c>
    </row>
    <row r="67" spans="2:13" x14ac:dyDescent="0.25">
      <c r="B67" t="s">
        <v>53</v>
      </c>
      <c r="D67" t="e">
        <f ca="1">SUBTOTAL(109,Table29[Sunday])</f>
        <v>#REF!</v>
      </c>
      <c r="E67" t="e">
        <f ca="1">SUBTOTAL(109,Table29[Monday])</f>
        <v>#REF!</v>
      </c>
      <c r="F67" t="e">
        <f ca="1">SUBTOTAL(109,Table29[Tuesday])</f>
        <v>#REF!</v>
      </c>
      <c r="G67" t="e">
        <f ca="1">SUBTOTAL(109,Table29[Wednesday])</f>
        <v>#REF!</v>
      </c>
      <c r="H67" t="e">
        <f ca="1">SUBTOTAL(109,Table29[Thursday])</f>
        <v>#REF!</v>
      </c>
      <c r="I67" t="e">
        <f ca="1">SUBTOTAL(109,Table29[Friday])</f>
        <v>#REF!</v>
      </c>
      <c r="J67" t="e">
        <f ca="1">SUBTOTAL(109,Table29[Saturday])</f>
        <v>#REF!</v>
      </c>
      <c r="K67" s="99" t="e">
        <f ca="1">SUBTOTAL(101,Table29[Average Weekend])</f>
        <v>#REF!</v>
      </c>
      <c r="L67" s="99" t="e">
        <f ca="1">SUBTOTAL(101,Table29[Average Weekday])</f>
        <v>#REF!</v>
      </c>
    </row>
    <row r="68" spans="2:13" x14ac:dyDescent="0.25">
      <c r="K68" t="s">
        <v>347</v>
      </c>
      <c r="L68" t="s">
        <v>347</v>
      </c>
    </row>
    <row r="69" spans="2:13" x14ac:dyDescent="0.25">
      <c r="C69" s="7" t="s">
        <v>44</v>
      </c>
    </row>
    <row r="70" spans="2:13" x14ac:dyDescent="0.25">
      <c r="C70" s="7" t="s">
        <v>88</v>
      </c>
    </row>
  </sheetData>
  <mergeCells count="2">
    <mergeCell ref="J21:K21"/>
    <mergeCell ref="D40:M40"/>
  </mergeCells>
  <conditionalFormatting sqref="D42:J66">
    <cfRule type="colorScale" priority="1">
      <colorScale>
        <cfvo type="min"/>
        <cfvo type="max"/>
        <color rgb="FFFCFCFF"/>
        <color rgb="FFF8696B"/>
      </colorScale>
    </cfRule>
  </conditionalFormatting>
  <dataValidations disablePrompts="1" count="2">
    <dataValidation type="list" showInputMessage="1" showErrorMessage="1" sqref="C40" xr:uid="{00000000-0002-0000-0500-000000000000}">
      <formula1>$C$64:$C$70</formula1>
    </dataValidation>
    <dataValidation type="list" showInputMessage="1" showErrorMessage="1" sqref="C38" xr:uid="{00000000-0002-0000-0500-000001000000}">
      <formula1>$C$69:$C$70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1:O162"/>
  <sheetViews>
    <sheetView zoomScale="79" zoomScaleNormal="115" workbookViewId="0">
      <selection activeCell="K14" sqref="K14"/>
    </sheetView>
  </sheetViews>
  <sheetFormatPr defaultRowHeight="15" x14ac:dyDescent="0.25"/>
  <cols>
    <col min="1" max="1" width="3.5703125" customWidth="1"/>
    <col min="2" max="2" width="31.42578125" customWidth="1"/>
    <col min="3" max="3" width="44.85546875" bestFit="1" customWidth="1"/>
    <col min="4" max="4" width="14.5703125" bestFit="1" customWidth="1"/>
    <col min="5" max="5" width="13.5703125" bestFit="1" customWidth="1"/>
    <col min="6" max="6" width="21.42578125" customWidth="1"/>
    <col min="7" max="7" width="12.7109375" customWidth="1"/>
    <col min="8" max="8" width="21.42578125" customWidth="1"/>
    <col min="9" max="9" width="15.7109375" bestFit="1" customWidth="1"/>
    <col min="10" max="10" width="16.28515625" bestFit="1" customWidth="1"/>
    <col min="11" max="11" width="31.140625" customWidth="1"/>
    <col min="13" max="13" width="21.42578125" customWidth="1"/>
  </cols>
  <sheetData>
    <row r="1" spans="2:15" x14ac:dyDescent="0.25">
      <c r="E1" s="93" t="s">
        <v>348</v>
      </c>
    </row>
    <row r="2" spans="2:15" x14ac:dyDescent="0.25">
      <c r="B2" s="80" t="s">
        <v>41</v>
      </c>
    </row>
    <row r="3" spans="2:15" x14ac:dyDescent="0.25">
      <c r="B3" s="95" t="s">
        <v>349</v>
      </c>
      <c r="C3" s="96">
        <f>COI!E10</f>
        <v>0</v>
      </c>
    </row>
    <row r="4" spans="2:15" x14ac:dyDescent="0.25">
      <c r="B4" s="95" t="s">
        <v>350</v>
      </c>
      <c r="C4" s="96">
        <f>COI!E11</f>
        <v>0</v>
      </c>
    </row>
    <row r="5" spans="2:15" x14ac:dyDescent="0.25">
      <c r="B5" s="95" t="s">
        <v>351</v>
      </c>
      <c r="C5" s="96">
        <f>COI!E12</f>
        <v>0</v>
      </c>
    </row>
    <row r="6" spans="2:15" x14ac:dyDescent="0.25">
      <c r="B6" s="95" t="s">
        <v>352</v>
      </c>
      <c r="C6" s="96">
        <f>COI!E13</f>
        <v>0</v>
      </c>
    </row>
    <row r="7" spans="2:15" x14ac:dyDescent="0.25">
      <c r="B7" s="95" t="s">
        <v>70</v>
      </c>
      <c r="C7" s="96">
        <f>COI!E25</f>
        <v>0</v>
      </c>
    </row>
    <row r="9" spans="2:15" x14ac:dyDescent="0.25">
      <c r="B9" s="70" t="s">
        <v>353</v>
      </c>
    </row>
    <row r="10" spans="2:15" x14ac:dyDescent="0.25">
      <c r="B10" s="80"/>
    </row>
    <row r="11" spans="2:15" ht="14.45" customHeight="1" x14ac:dyDescent="0.25">
      <c r="B11" s="106" t="s">
        <v>354</v>
      </c>
      <c r="C11" s="105"/>
      <c r="D11" s="105"/>
      <c r="E11" s="105"/>
      <c r="I11" s="104" t="s">
        <v>88</v>
      </c>
      <c r="J11" s="105"/>
    </row>
    <row r="12" spans="2:15" ht="29.45" customHeight="1" x14ac:dyDescent="0.25">
      <c r="B12" s="50" t="s">
        <v>355</v>
      </c>
      <c r="C12" s="50" t="s">
        <v>48</v>
      </c>
      <c r="D12" s="50" t="s">
        <v>49</v>
      </c>
      <c r="E12" s="50" t="s">
        <v>135</v>
      </c>
      <c r="F12" s="14" t="s">
        <v>52</v>
      </c>
      <c r="G12" s="50" t="s">
        <v>53</v>
      </c>
      <c r="H12" s="50" t="s">
        <v>47</v>
      </c>
      <c r="I12" s="50" t="s">
        <v>46</v>
      </c>
      <c r="J12" s="50" t="s">
        <v>60</v>
      </c>
      <c r="K12" s="50" t="s">
        <v>71</v>
      </c>
      <c r="L12" s="95"/>
      <c r="M12" s="95"/>
      <c r="N12" s="95"/>
      <c r="O12" s="95"/>
    </row>
    <row r="13" spans="2:15" ht="30" customHeight="1" x14ac:dyDescent="0.25">
      <c r="B13" s="86" t="s">
        <v>448</v>
      </c>
      <c r="C13" t="e">
        <f ca="1">SUM(COUNTIFS(INDIRECT("Collision!"&amp;'Road User'!$C$6&amp;":"&amp;'Road User'!$C$6),$B13,INDIRECT("Collision!"&amp;Severity!$C$3&amp;":"&amp;Severity!$C$3),Ped_Action[[#Headers],[Fatal]]))</f>
        <v>#REF!</v>
      </c>
      <c r="D13" t="e">
        <f ca="1">SUM(COUNTIFS(INDIRECT("Collision!"&amp;'Road User'!$C$6&amp;":"&amp;'Road User'!$C$6),$B13,INDIRECT("Collision!"&amp;Severity!$C$3&amp;":"&amp;Severity!$C$3),Ped_Action[[#Headers],[Severe Injury]]))</f>
        <v>#REF!</v>
      </c>
      <c r="E13" t="e">
        <f t="array" aca="1" ref="E13" ca="1">SUM(COUNTIFS(INDIRECT("Collision!"&amp;'Road User'!$C$6&amp;":"&amp;'Road User'!$C$6),$B13,INDIRECT("Collision!"&amp;Severity!$C$3&amp;":"&amp;Severity!$C$3),{"Moderate Injury","Minor Injury"}))</f>
        <v>#REF!</v>
      </c>
      <c r="F13" t="e">
        <f ca="1">SUM(COUNTIFS(INDIRECT("Collision!"&amp;'Road User'!$C$6&amp;":"&amp;'Road User'!$C$6),$B13,INDIRECT("Collision!"&amp;Severity!$C$3&amp;":"&amp;Severity!$C$3),Ped_Action[[#Headers],[PDO]]))</f>
        <v>#REF!</v>
      </c>
      <c r="G13" t="e">
        <f ca="1">SUM(Ped_Action[[#This Row],[Fatal]:[PDO]])</f>
        <v>#REF!</v>
      </c>
      <c r="H13" s="69">
        <f ca="1">IFERROR(Ped_Action[[#This Row],[Total]]/Ped_Action[[#Totals],[Total]],0)</f>
        <v>0</v>
      </c>
      <c r="I13" t="e">
        <f ca="1">SUM(Ped_Action[[#This Row],[Fatal]:[Severe Injury]])</f>
        <v>#REF!</v>
      </c>
      <c r="J13" s="69">
        <f ca="1">IFERROR(Ped_Action[[#This Row],[Crash Count]]/Ped_Action[[#Totals],[Crash Count]],0)</f>
        <v>0</v>
      </c>
      <c r="K13" s="86" t="str">
        <f>Ped_Action[[#This Row],[Pedestrian Action]]</f>
        <v>Struck, or was struck by, vehicle or pedestrian in prior collision before crash stabilized</v>
      </c>
    </row>
    <row r="14" spans="2:15" ht="30" x14ac:dyDescent="0.25">
      <c r="B14" s="86" t="s">
        <v>458</v>
      </c>
      <c r="C14" t="e">
        <f ca="1">SUM(COUNTIFS(INDIRECT("Collision!"&amp;'Road User'!$C$6&amp;":"&amp;'Road User'!$C$6),$B14,INDIRECT("Collision!"&amp;Severity!$C$3&amp;":"&amp;Severity!$C$3),Ped_Action[[#Headers],[Fatal]]))</f>
        <v>#REF!</v>
      </c>
      <c r="D14" t="e">
        <f ca="1">SUM(COUNTIFS(INDIRECT("Collision!"&amp;'Road User'!$C$6&amp;":"&amp;'Road User'!$C$6),$B14,INDIRECT("Collision!"&amp;Severity!$C$3&amp;":"&amp;Severity!$C$3),Ped_Action[[#Headers],[Severe Injury]]))</f>
        <v>#REF!</v>
      </c>
      <c r="E14" t="e">
        <f t="array" aca="1" ref="E14" ca="1">SUM(COUNTIFS(INDIRECT("Collision!"&amp;'Road User'!$C$6&amp;":"&amp;'Road User'!$C$6),$B14,INDIRECT("Collision!"&amp;Severity!$C$3&amp;":"&amp;Severity!$C$3),{"Moderate Injury","Minor Injury"}))</f>
        <v>#REF!</v>
      </c>
      <c r="F14" t="e">
        <f ca="1">SUM(COUNTIFS(INDIRECT("Collision!"&amp;'Road User'!$C$6&amp;":"&amp;'Road User'!$C$6),$B14,INDIRECT("Collision!"&amp;Severity!$C$3&amp;":"&amp;Severity!$C$3),Ped_Action[[#Headers],[PDO]]))</f>
        <v>#REF!</v>
      </c>
      <c r="G14" t="e">
        <f ca="1">SUM(Ped_Action[[#This Row],[Fatal]:[PDO]])</f>
        <v>#REF!</v>
      </c>
      <c r="H14" s="69">
        <f ca="1">IFERROR(Ped_Action[[#This Row],[Total]]/Ped_Action[[#Totals],[Total]],0)</f>
        <v>0</v>
      </c>
      <c r="I14" t="e">
        <f ca="1">SUM(Ped_Action[[#This Row],[Fatal]:[Severe Injury]])</f>
        <v>#REF!</v>
      </c>
      <c r="J14" s="69">
        <f ca="1">IFERROR(Ped_Action[[#This Row],[Crash Count]]/Ped_Action[[#Totals],[Crash Count]],0)</f>
        <v>0</v>
      </c>
      <c r="K14" t="str">
        <f>Ped_Action[[#This Row],[Pedestrian Action]]</f>
        <v>Non-Motorist walking, running, riding, etc., with traffic</v>
      </c>
    </row>
    <row r="15" spans="2:15" ht="30" x14ac:dyDescent="0.25">
      <c r="B15" s="86" t="s">
        <v>459</v>
      </c>
      <c r="C15" t="e">
        <f ca="1">SUM(COUNTIFS(INDIRECT("Collision!"&amp;'Road User'!$C$6&amp;":"&amp;'Road User'!$C$6),$B15,INDIRECT("Collision!"&amp;Severity!$C$3&amp;":"&amp;Severity!$C$3),Ped_Action[[#Headers],[Fatal]]))</f>
        <v>#REF!</v>
      </c>
      <c r="D15" t="e">
        <f ca="1">SUM(COUNTIFS(INDIRECT("Collision!"&amp;'Road User'!$C$6&amp;":"&amp;'Road User'!$C$6),$B15,INDIRECT("Collision!"&amp;Severity!$C$3&amp;":"&amp;Severity!$C$3),Ped_Action[[#Headers],[Severe Injury]]))</f>
        <v>#REF!</v>
      </c>
      <c r="E15" t="e">
        <f t="array" aca="1" ref="E15" ca="1">SUM(COUNTIFS(INDIRECT("Collision!"&amp;'Road User'!$C$6&amp;":"&amp;'Road User'!$C$6),$B15,INDIRECT("Collision!"&amp;Severity!$C$3&amp;":"&amp;Severity!$C$3),{"Moderate Injury","Minor Injury"}))</f>
        <v>#REF!</v>
      </c>
      <c r="F15" t="e">
        <f ca="1">SUM(COUNTIFS(INDIRECT("Collision!"&amp;'Road User'!$C$6&amp;":"&amp;'Road User'!$C$6),$B15,INDIRECT("Collision!"&amp;Severity!$C$3&amp;":"&amp;Severity!$C$3),Ped_Action[[#Headers],[PDO]]))</f>
        <v>#REF!</v>
      </c>
      <c r="G15" t="e">
        <f ca="1">SUM(Ped_Action[[#This Row],[Fatal]:[PDO]])</f>
        <v>#REF!</v>
      </c>
      <c r="H15" s="69">
        <f ca="1">IFERROR(Ped_Action[[#This Row],[Total]]/Ped_Action[[#Totals],[Total]],0)</f>
        <v>0</v>
      </c>
      <c r="I15" t="e">
        <f ca="1">SUM(Ped_Action[[#This Row],[Fatal]:[Severe Injury]])</f>
        <v>#REF!</v>
      </c>
      <c r="J15" s="69">
        <f ca="1">IFERROR(Ped_Action[[#This Row],[Crash Count]]/Ped_Action[[#Totals],[Crash Count]],0)</f>
        <v>0</v>
      </c>
      <c r="K15" t="str">
        <f>Ped_Action[[#This Row],[Pedestrian Action]]</f>
        <v>Non-Motorist walking, running, riding, etc., facing traffic</v>
      </c>
    </row>
    <row r="16" spans="2:15" ht="30" customHeight="1" x14ac:dyDescent="0.25">
      <c r="B16" s="86" t="s">
        <v>454</v>
      </c>
      <c r="C16" t="e">
        <f ca="1">SUM(COUNTIFS(INDIRECT("Collision!"&amp;'Road User'!$C$6&amp;":"&amp;'Road User'!$C$6),$B16,INDIRECT("Collision!"&amp;Severity!$C$3&amp;":"&amp;Severity!$C$3),Ped_Action[[#Headers],[Fatal]]))</f>
        <v>#REF!</v>
      </c>
      <c r="D16" t="e">
        <f ca="1">SUM(COUNTIFS(INDIRECT("Collision!"&amp;'Road User'!$C$6&amp;":"&amp;'Road User'!$C$6),$B16,INDIRECT("Collision!"&amp;Severity!$C$3&amp;":"&amp;Severity!$C$3),Ped_Action[[#Headers],[Severe Injury]]))</f>
        <v>#REF!</v>
      </c>
      <c r="E16" t="e">
        <f t="array" aca="1" ref="E16" ca="1">SUM(COUNTIFS(INDIRECT("Collision!"&amp;'Road User'!$C$6&amp;":"&amp;'Road User'!$C$6),$B16,INDIRECT("Collision!"&amp;Severity!$C$3&amp;":"&amp;Severity!$C$3),{"Moderate Injury","Minor Injury"}))</f>
        <v>#REF!</v>
      </c>
      <c r="F16" t="e">
        <f ca="1">SUM(COUNTIFS(INDIRECT("Collision!"&amp;'Road User'!$C$6&amp;":"&amp;'Road User'!$C$6),$B16,INDIRECT("Collision!"&amp;Severity!$C$3&amp;":"&amp;Severity!$C$3),Ped_Action[[#Headers],[PDO]]))</f>
        <v>#REF!</v>
      </c>
      <c r="G16" t="e">
        <f ca="1">SUM(Ped_Action[[#This Row],[Fatal]:[PDO]])</f>
        <v>#REF!</v>
      </c>
      <c r="H16" s="69">
        <f ca="1">IFERROR(Ped_Action[[#This Row],[Total]]/Ped_Action[[#Totals],[Total]],0)</f>
        <v>0</v>
      </c>
      <c r="I16" t="e">
        <f ca="1">SUM(Ped_Action[[#This Row],[Fatal]:[Severe Injury]])</f>
        <v>#REF!</v>
      </c>
      <c r="J16" s="69">
        <f ca="1">IFERROR(Ped_Action[[#This Row],[Crash Count]]/Ped_Action[[#Totals],[Crash Count]],0)</f>
        <v>0</v>
      </c>
      <c r="K16" s="86" t="str">
        <f>Ped_Action[[#This Row],[Pedestrian Action]]</f>
        <v>Crossing between intersections</v>
      </c>
    </row>
    <row r="17" spans="2:11" ht="30" x14ac:dyDescent="0.25">
      <c r="B17" s="86" t="s">
        <v>452</v>
      </c>
      <c r="C17" t="e">
        <f ca="1">SUM(COUNTIFS(INDIRECT("Collision!"&amp;'Road User'!$C$6&amp;":"&amp;'Road User'!$C$6),$B17,INDIRECT("Collision!"&amp;Severity!$C$3&amp;":"&amp;Severity!$C$3),Ped_Action[[#Headers],[Fatal]]))</f>
        <v>#REF!</v>
      </c>
      <c r="D17" t="e">
        <f ca="1">SUM(COUNTIFS(INDIRECT("Collision!"&amp;'Road User'!$C$6&amp;":"&amp;'Road User'!$C$6),$B17,INDIRECT("Collision!"&amp;Severity!$C$3&amp;":"&amp;Severity!$C$3),Ped_Action[[#Headers],[Severe Injury]]))</f>
        <v>#REF!</v>
      </c>
      <c r="E17" t="e">
        <f t="array" aca="1" ref="E17" ca="1">SUM(COUNTIFS(INDIRECT("Collision!"&amp;'Road User'!$C$6&amp;":"&amp;'Road User'!$C$6),$B17,INDIRECT("Collision!"&amp;Severity!$C$3&amp;":"&amp;Severity!$C$3),{"Moderate Injury","Minor Injury"}))</f>
        <v>#REF!</v>
      </c>
      <c r="F17" t="e">
        <f ca="1">SUM(COUNTIFS(INDIRECT("Collision!"&amp;'Road User'!$C$6&amp;":"&amp;'Road User'!$C$6),$B17,INDIRECT("Collision!"&amp;Severity!$C$3&amp;":"&amp;Severity!$C$3),Ped_Action[[#Headers],[PDO]]))</f>
        <v>#REF!</v>
      </c>
      <c r="G17" t="e">
        <f ca="1">SUM(Ped_Action[[#This Row],[Fatal]:[PDO]])</f>
        <v>#REF!</v>
      </c>
      <c r="H17" s="69">
        <f ca="1">IFERROR(Ped_Action[[#This Row],[Total]]/Ped_Action[[#Totals],[Total]],0)</f>
        <v>0</v>
      </c>
      <c r="I17" t="e">
        <f ca="1">SUM(Ped_Action[[#This Row],[Fatal]:[Severe Injury]])</f>
        <v>#REF!</v>
      </c>
      <c r="J17" s="69">
        <f ca="1">IFERROR(Ped_Action[[#This Row],[Crash Count]]/Ped_Action[[#Totals],[Crash Count]],0)</f>
        <v>0</v>
      </c>
      <c r="K17" t="str">
        <f>Ped_Action[[#This Row],[Pedestrian Action]]</f>
        <v>Crossing at intersection - traffic signal present</v>
      </c>
    </row>
    <row r="18" spans="2:11" ht="30" x14ac:dyDescent="0.25">
      <c r="B18" s="86" t="s">
        <v>451</v>
      </c>
      <c r="C18" t="e">
        <f ca="1">SUM(COUNTIFS(INDIRECT("Collision!"&amp;'Road User'!$C$6&amp;":"&amp;'Road User'!$C$6),$B18,INDIRECT("Collision!"&amp;Severity!$C$3&amp;":"&amp;Severity!$C$3),Ped_Action[[#Headers],[Fatal]]))</f>
        <v>#REF!</v>
      </c>
      <c r="D18" t="e">
        <f ca="1">SUM(COUNTIFS(INDIRECT("Collision!"&amp;'Road User'!$C$6&amp;":"&amp;'Road User'!$C$6),$B18,INDIRECT("Collision!"&amp;Severity!$C$3&amp;":"&amp;Severity!$C$3),Ped_Action[[#Headers],[Severe Injury]]))</f>
        <v>#REF!</v>
      </c>
      <c r="E18" t="e">
        <f t="array" aca="1" ref="E18" ca="1">SUM(COUNTIFS(INDIRECT("Collision!"&amp;'Road User'!$C$6&amp;":"&amp;'Road User'!$C$6),$B18,INDIRECT("Collision!"&amp;Severity!$C$3&amp;":"&amp;Severity!$C$3),{"Moderate Injury","Minor Injury"}))</f>
        <v>#REF!</v>
      </c>
      <c r="F18" t="e">
        <f ca="1">SUM(COUNTIFS(INDIRECT("Collision!"&amp;'Road User'!$C$6&amp;":"&amp;'Road User'!$C$6),$B18,INDIRECT("Collision!"&amp;Severity!$C$3&amp;":"&amp;Severity!$C$3),Ped_Action[[#Headers],[PDO]]))</f>
        <v>#REF!</v>
      </c>
      <c r="G18" t="e">
        <f ca="1">SUM(Ped_Action[[#This Row],[Fatal]:[PDO]])</f>
        <v>#REF!</v>
      </c>
      <c r="H18" s="69">
        <f ca="1">IFERROR(Ped_Action[[#This Row],[Total]]/Ped_Action[[#Totals],[Total]],0)</f>
        <v>0</v>
      </c>
      <c r="I18" t="e">
        <f ca="1">SUM(Ped_Action[[#This Row],[Fatal]:[Severe Injury]])</f>
        <v>#REF!</v>
      </c>
      <c r="J18" s="69">
        <f ca="1">IFERROR(Ped_Action[[#This Row],[Crash Count]]/Ped_Action[[#Totals],[Crash Count]],0)</f>
        <v>0</v>
      </c>
      <c r="K18" t="str">
        <f>Ped_Action[[#This Row],[Pedestrian Action]]</f>
        <v>Crossing at intersection - no traffic signal present</v>
      </c>
    </row>
    <row r="19" spans="2:11" x14ac:dyDescent="0.25">
      <c r="B19" s="86" t="s">
        <v>446</v>
      </c>
      <c r="C19" t="e">
        <f ca="1">SUM(COUNTIFS(INDIRECT("Collision!"&amp;'Road User'!$C$6&amp;":"&amp;'Road User'!$C$6),$B19,INDIRECT("Collision!"&amp;Severity!$C$3&amp;":"&amp;Severity!$C$3),Ped_Action[[#Headers],[Fatal]]))</f>
        <v>#REF!</v>
      </c>
      <c r="D19" t="e">
        <f ca="1">SUM(COUNTIFS(INDIRECT("Collision!"&amp;'Road User'!$C$6&amp;":"&amp;'Road User'!$C$6),$B19,INDIRECT("Collision!"&amp;Severity!$C$3&amp;":"&amp;Severity!$C$3),Ped_Action[[#Headers],[Severe Injury]]))</f>
        <v>#REF!</v>
      </c>
      <c r="E19" t="e">
        <f t="array" aca="1" ref="E19" ca="1">SUM(COUNTIFS(INDIRECT("Collision!"&amp;'Road User'!$C$6&amp;":"&amp;'Road User'!$C$6),$B19,INDIRECT("Collision!"&amp;Severity!$C$3&amp;":"&amp;Severity!$C$3),{"Moderate Injury","Minor Injury"}))</f>
        <v>#REF!</v>
      </c>
      <c r="F19" t="e">
        <f ca="1">SUM(COUNTIFS(INDIRECT("Collision!"&amp;'Road User'!$C$6&amp;":"&amp;'Road User'!$C$6),$B19,INDIRECT("Collision!"&amp;Severity!$C$3&amp;":"&amp;Severity!$C$3),Ped_Action[[#Headers],[PDO]]))</f>
        <v>#REF!</v>
      </c>
      <c r="G19" t="e">
        <f ca="1">SUM(Ped_Action[[#This Row],[Fatal]:[PDO]])</f>
        <v>#REF!</v>
      </c>
      <c r="H19" s="69">
        <f ca="1">IFERROR(Ped_Action[[#This Row],[Total]]/Ped_Action[[#Totals],[Total]],0)</f>
        <v>0</v>
      </c>
      <c r="I19" t="e">
        <f ca="1">SUM(Ped_Action[[#This Row],[Fatal]:[Severe Injury]])</f>
        <v>#REF!</v>
      </c>
      <c r="J19" s="69">
        <f ca="1">IFERROR(Ped_Action[[#This Row],[Crash Count]]/Ped_Action[[#Totals],[Crash Count]],0)</f>
        <v>0</v>
      </c>
      <c r="K19" t="str">
        <f>Ped_Action[[#This Row],[Pedestrian Action]]</f>
        <v>No action or non-warranted</v>
      </c>
    </row>
    <row r="20" spans="2:11" ht="30" customHeight="1" x14ac:dyDescent="0.25">
      <c r="B20" s="86" t="s">
        <v>463</v>
      </c>
      <c r="C20" t="e">
        <f ca="1">SUM(COUNTIFS(INDIRECT("Collision!"&amp;'Road User'!$C$6&amp;":"&amp;'Road User'!$C$6),$B20,INDIRECT("Collision!"&amp;Severity!$C$3&amp;":"&amp;Severity!$C$3),Ped_Action[[#Headers],[Fatal]]))</f>
        <v>#REF!</v>
      </c>
      <c r="D20" t="e">
        <f ca="1">SUM(COUNTIFS(INDIRECT("Collision!"&amp;'Road User'!$C$6&amp;":"&amp;'Road User'!$C$6),$B20,INDIRECT("Collision!"&amp;Severity!$C$3&amp;":"&amp;Severity!$C$3),Ped_Action[[#Headers],[Severe Injury]]))</f>
        <v>#REF!</v>
      </c>
      <c r="E20" t="e">
        <f t="array" aca="1" ref="E20" ca="1">SUM(COUNTIFS(INDIRECT("Collision!"&amp;'Road User'!$C$6&amp;":"&amp;'Road User'!$C$6),$B20,INDIRECT("Collision!"&amp;Severity!$C$3&amp;":"&amp;Severity!$C$3),{"Moderate Injury","Minor Injury"}))</f>
        <v>#REF!</v>
      </c>
      <c r="F20" t="e">
        <f ca="1">SUM(COUNTIFS(INDIRECT("Collision!"&amp;'Road User'!$C$6&amp;":"&amp;'Road User'!$C$6),$B20,INDIRECT("Collision!"&amp;Severity!$C$3&amp;":"&amp;Severity!$C$3),Ped_Action[[#Headers],[PDO]]))</f>
        <v>#REF!</v>
      </c>
      <c r="G20" t="e">
        <f ca="1">SUM(Ped_Action[[#This Row],[Fatal]:[PDO]])</f>
        <v>#REF!</v>
      </c>
      <c r="H20" s="69">
        <f ca="1">IFERROR(Ped_Action[[#This Row],[Total]]/Ped_Action[[#Totals],[Total]],0)</f>
        <v>0</v>
      </c>
      <c r="I20" t="e">
        <f ca="1">SUM(Ped_Action[[#This Row],[Fatal]:[Severe Injury]])</f>
        <v>#REF!</v>
      </c>
      <c r="J20" s="69">
        <f ca="1">IFERROR(Ped_Action[[#This Row],[Crash Count]]/Ped_Action[[#Totals],[Crash Count]],0)</f>
        <v>0</v>
      </c>
      <c r="K20" s="86" t="str">
        <f>Ped_Action[[#This Row],[Pedestrian Action]]</f>
        <v>Other action</v>
      </c>
    </row>
    <row r="21" spans="2:11" x14ac:dyDescent="0.25">
      <c r="B21" s="86" t="s">
        <v>53</v>
      </c>
      <c r="C21" t="e">
        <f ca="1">SUBTOTAL(109,Ped_Action[Fatal])</f>
        <v>#REF!</v>
      </c>
      <c r="D21" t="e">
        <f ca="1">SUBTOTAL(109,Ped_Action[Severe Injury])</f>
        <v>#REF!</v>
      </c>
      <c r="E21" t="e">
        <f ca="1">SUBTOTAL(109,Ped_Action[Other Injury])</f>
        <v>#REF!</v>
      </c>
      <c r="F21" t="e">
        <f ca="1">SUBTOTAL(109,Ped_Action[PDO])</f>
        <v>#REF!</v>
      </c>
      <c r="G21" t="e">
        <f ca="1">SUBTOTAL(109,Ped_Action[Total])</f>
        <v>#REF!</v>
      </c>
      <c r="H21" s="82">
        <f ca="1">IFERROR(SUBTOTAL(109,Ped_Action[Crash Share]),0)</f>
        <v>0</v>
      </c>
      <c r="I21" t="e">
        <f ca="1">SUBTOTAL(109,Ped_Action[Crash Count])</f>
        <v>#REF!</v>
      </c>
      <c r="J21" s="82">
        <f ca="1">IFERROR(SUBTOTAL(109,Ped_Action[Crash Share2]),0)</f>
        <v>0</v>
      </c>
    </row>
    <row r="23" spans="2:11" x14ac:dyDescent="0.25">
      <c r="B23" s="43"/>
    </row>
    <row r="40" spans="2:10" x14ac:dyDescent="0.25">
      <c r="B40" s="70" t="s">
        <v>356</v>
      </c>
    </row>
    <row r="42" spans="2:10" x14ac:dyDescent="0.25">
      <c r="B42" s="106" t="s">
        <v>68</v>
      </c>
      <c r="C42" s="105"/>
      <c r="D42" s="105"/>
      <c r="E42" s="105"/>
      <c r="I42" s="104" t="s">
        <v>88</v>
      </c>
      <c r="J42" s="105"/>
    </row>
    <row r="43" spans="2:10" x14ac:dyDescent="0.25">
      <c r="B43" s="5" t="s">
        <v>70</v>
      </c>
      <c r="C43" s="5" t="s">
        <v>48</v>
      </c>
      <c r="D43" s="5" t="s">
        <v>49</v>
      </c>
      <c r="E43" s="5" t="s">
        <v>135</v>
      </c>
      <c r="F43" s="5" t="s">
        <v>52</v>
      </c>
      <c r="G43" s="5" t="s">
        <v>53</v>
      </c>
      <c r="H43" s="5" t="s">
        <v>47</v>
      </c>
      <c r="I43" s="5" t="s">
        <v>46</v>
      </c>
      <c r="J43" s="5" t="s">
        <v>60</v>
      </c>
    </row>
    <row r="44" spans="2:10" x14ac:dyDescent="0.25">
      <c r="B44" t="s">
        <v>73</v>
      </c>
      <c r="C44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4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4" s="71" t="e">
        <f t="array" aca="1" ref="E44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4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4" s="71" t="e">
        <f ca="1">SUM(C44:F44)</f>
        <v>#REF!</v>
      </c>
      <c r="H44" s="69">
        <f ca="1">IFERROR(Table36[[#This Row],[Total]]/Table36[[#Totals],[Total]],0)</f>
        <v>0</v>
      </c>
      <c r="I44" s="71" t="e">
        <f ca="1">SUM(D44,C44)</f>
        <v>#REF!</v>
      </c>
      <c r="J44" s="69">
        <f ca="1">IFERROR(Table36[[#This Row],[Crash Count]]/Table36[[#Totals],[Crash Count]],0)</f>
        <v>0</v>
      </c>
    </row>
    <row r="45" spans="2:10" x14ac:dyDescent="0.25">
      <c r="B45" t="s">
        <v>74</v>
      </c>
      <c r="C45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5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5" s="71" t="e">
        <f t="array" aca="1" ref="E45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5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5" s="71" t="e">
        <f t="shared" ref="G45:G55" ca="1" si="0">SUM(C45:F45)</f>
        <v>#REF!</v>
      </c>
      <c r="H45" s="69">
        <f ca="1">IFERROR(Table36[[#This Row],[Total]]/Table36[[#Totals],[Total]],0)</f>
        <v>0</v>
      </c>
      <c r="I45" s="71" t="e">
        <f t="shared" ref="I45:I55" ca="1" si="1">SUM(D45,C45)</f>
        <v>#REF!</v>
      </c>
      <c r="J45" s="69">
        <f ca="1">IFERROR(Table36[[#This Row],[Crash Count]]/Table36[[#Totals],[Crash Count]],0)</f>
        <v>0</v>
      </c>
    </row>
    <row r="46" spans="2:10" x14ac:dyDescent="0.25">
      <c r="B46" t="s">
        <v>75</v>
      </c>
      <c r="C46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6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6" s="71" t="e">
        <f t="array" aca="1" ref="E46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6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6" s="71" t="e">
        <f t="shared" ca="1" si="0"/>
        <v>#REF!</v>
      </c>
      <c r="H46" s="69">
        <f ca="1">IFERROR(Table36[[#This Row],[Total]]/Table36[[#Totals],[Total]],0)</f>
        <v>0</v>
      </c>
      <c r="I46" s="71" t="e">
        <f t="shared" ca="1" si="1"/>
        <v>#REF!</v>
      </c>
      <c r="J46" s="69">
        <f ca="1">IFERROR(Table36[[#This Row],[Crash Count]]/Table36[[#Totals],[Crash Count]],0)</f>
        <v>0</v>
      </c>
    </row>
    <row r="47" spans="2:10" x14ac:dyDescent="0.25">
      <c r="B47" t="s">
        <v>76</v>
      </c>
      <c r="C47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7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7" s="71" t="e">
        <f t="array" aca="1" ref="E47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7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7" s="71" t="e">
        <f t="shared" ca="1" si="0"/>
        <v>#REF!</v>
      </c>
      <c r="H47" s="69">
        <f ca="1">IFERROR(Table36[[#This Row],[Total]]/Table36[[#Totals],[Total]],0)</f>
        <v>0</v>
      </c>
      <c r="I47" s="71" t="e">
        <f t="shared" ca="1" si="1"/>
        <v>#REF!</v>
      </c>
      <c r="J47" s="69">
        <f ca="1">IFERROR(Table36[[#This Row],[Crash Count]]/Table36[[#Totals],[Crash Count]],0)</f>
        <v>0</v>
      </c>
    </row>
    <row r="48" spans="2:10" x14ac:dyDescent="0.25">
      <c r="B48" t="s">
        <v>77</v>
      </c>
      <c r="C48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8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8" s="71" t="e">
        <f t="array" aca="1" ref="E48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8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8" s="71" t="e">
        <f t="shared" ca="1" si="0"/>
        <v>#REF!</v>
      </c>
      <c r="H48" s="69">
        <f ca="1">IFERROR(Table36[[#This Row],[Total]]/Table36[[#Totals],[Total]],0)</f>
        <v>0</v>
      </c>
      <c r="I48" s="71" t="e">
        <f t="shared" ca="1" si="1"/>
        <v>#REF!</v>
      </c>
      <c r="J48" s="69">
        <f ca="1">IFERROR(Table36[[#This Row],[Crash Count]]/Table36[[#Totals],[Crash Count]],0)</f>
        <v>0</v>
      </c>
    </row>
    <row r="49" spans="2:11" x14ac:dyDescent="0.25">
      <c r="B49" t="s">
        <v>78</v>
      </c>
      <c r="C49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9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9" s="71" t="e">
        <f t="array" aca="1" ref="E49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9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9" s="71" t="e">
        <f t="shared" ca="1" si="0"/>
        <v>#REF!</v>
      </c>
      <c r="H49" s="69">
        <f ca="1">IFERROR(Table36[[#This Row],[Total]]/Table36[[#Totals],[Total]],0)</f>
        <v>0</v>
      </c>
      <c r="I49" s="71" t="e">
        <f t="shared" ca="1" si="1"/>
        <v>#REF!</v>
      </c>
      <c r="J49" s="69">
        <f ca="1">IFERROR(Table36[[#This Row],[Crash Count]]/Table36[[#Totals],[Crash Count]],0)</f>
        <v>0</v>
      </c>
    </row>
    <row r="50" spans="2:11" x14ac:dyDescent="0.25">
      <c r="B50" s="102" t="s">
        <v>79</v>
      </c>
      <c r="C50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0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0" s="71" t="e">
        <f t="array" aca="1" ref="E50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0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0" s="71" t="e">
        <f t="shared" ca="1" si="0"/>
        <v>#REF!</v>
      </c>
      <c r="H50" s="69">
        <f ca="1">IFERROR(Table36[[#This Row],[Total]]/Table36[[#Totals],[Total]],0)</f>
        <v>0</v>
      </c>
      <c r="I50" s="71" t="e">
        <f t="shared" ca="1" si="1"/>
        <v>#REF!</v>
      </c>
      <c r="J50" s="69">
        <f ca="1">IFERROR(Table36[[#This Row],[Crash Count]]/Table36[[#Totals],[Crash Count]],0)</f>
        <v>0</v>
      </c>
    </row>
    <row r="51" spans="2:11" x14ac:dyDescent="0.25">
      <c r="B51" s="102" t="s">
        <v>80</v>
      </c>
      <c r="C51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1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1" s="71" t="e">
        <f t="array" aca="1" ref="E51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1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1" s="71" t="e">
        <f t="shared" ca="1" si="0"/>
        <v>#REF!</v>
      </c>
      <c r="H51" s="69">
        <f ca="1">IFERROR(Table36[[#This Row],[Total]]/Table36[[#Totals],[Total]],0)</f>
        <v>0</v>
      </c>
      <c r="I51" s="71" t="e">
        <f t="shared" ca="1" si="1"/>
        <v>#REF!</v>
      </c>
      <c r="J51" s="69">
        <f ca="1">IFERROR(Table36[[#This Row],[Crash Count]]/Table36[[#Totals],[Crash Count]],0)</f>
        <v>0</v>
      </c>
    </row>
    <row r="52" spans="2:11" x14ac:dyDescent="0.25">
      <c r="B52" s="102" t="s">
        <v>81</v>
      </c>
      <c r="C52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2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2" s="71" t="e">
        <f t="array" aca="1" ref="E52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2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2" s="71" t="e">
        <f t="shared" ca="1" si="0"/>
        <v>#REF!</v>
      </c>
      <c r="H52" s="69">
        <f ca="1">IFERROR(Table36[[#This Row],[Total]]/Table36[[#Totals],[Total]],0)</f>
        <v>0</v>
      </c>
      <c r="I52" s="71" t="e">
        <f t="shared" ca="1" si="1"/>
        <v>#REF!</v>
      </c>
      <c r="J52" s="69">
        <f ca="1">IFERROR(Table36[[#This Row],[Crash Count]]/Table36[[#Totals],[Crash Count]],0)</f>
        <v>0</v>
      </c>
    </row>
    <row r="53" spans="2:11" x14ac:dyDescent="0.25">
      <c r="B53" t="s">
        <v>83</v>
      </c>
      <c r="C53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3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3" s="71" t="e">
        <f t="array" aca="1" ref="E53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3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3" s="71" t="e">
        <f t="shared" ca="1" si="0"/>
        <v>#REF!</v>
      </c>
      <c r="H53" s="69">
        <f ca="1">IFERROR(Table36[[#This Row],[Total]]/Table36[[#Totals],[Total]],0)</f>
        <v>0</v>
      </c>
      <c r="I53" s="71" t="e">
        <f t="shared" ca="1" si="1"/>
        <v>#REF!</v>
      </c>
      <c r="J53" s="69">
        <f ca="1">IFERROR(Table36[[#This Row],[Crash Count]]/Table36[[#Totals],[Crash Count]],0)</f>
        <v>0</v>
      </c>
    </row>
    <row r="54" spans="2:11" x14ac:dyDescent="0.25">
      <c r="B54" s="102" t="s">
        <v>72</v>
      </c>
      <c r="C54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4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4" s="71" t="e">
        <f t="array" aca="1" ref="E54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4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4" s="71" t="e">
        <f t="shared" ca="1" si="0"/>
        <v>#REF!</v>
      </c>
      <c r="H54" s="69">
        <f ca="1">IFERROR(Table36[[#This Row],[Total]]/Table36[[#Totals],[Total]],0)</f>
        <v>0</v>
      </c>
      <c r="I54" s="71" t="e">
        <f ca="1">SUM(D54,C54)</f>
        <v>#REF!</v>
      </c>
      <c r="J54" s="69">
        <f ca="1">IFERROR(Table36[[#This Row],[Crash Count]]/Table36[[#Totals],[Crash Count]],0)</f>
        <v>0</v>
      </c>
    </row>
    <row r="55" spans="2:11" x14ac:dyDescent="0.25">
      <c r="B55" t="s">
        <v>84</v>
      </c>
      <c r="C55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5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5" s="71" t="e">
        <f t="array" aca="1" ref="E55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5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5" s="71" t="e">
        <f t="shared" ca="1" si="0"/>
        <v>#REF!</v>
      </c>
      <c r="H55" s="69">
        <f ca="1">IFERROR(Table36[[#This Row],[Total]]/Table36[[#Totals],[Total]],0)</f>
        <v>0</v>
      </c>
      <c r="I55" s="71" t="e">
        <f t="shared" ca="1" si="1"/>
        <v>#REF!</v>
      </c>
      <c r="J55" s="69">
        <f ca="1">IFERROR(Table36[[#This Row],[Crash Count]]/Table36[[#Totals],[Crash Count]],0)</f>
        <v>0</v>
      </c>
    </row>
    <row r="56" spans="2:11" x14ac:dyDescent="0.25">
      <c r="B56" t="s">
        <v>53</v>
      </c>
      <c r="C56" t="e">
        <f ca="1">SUBTOTAL(109,Table36[Fatal])</f>
        <v>#REF!</v>
      </c>
      <c r="D56" t="e">
        <f ca="1">SUBTOTAL(109,Table36[Severe Injury])</f>
        <v>#REF!</v>
      </c>
      <c r="E56" t="e">
        <f ca="1">SUBTOTAL(109,Table36[Other Injury])</f>
        <v>#REF!</v>
      </c>
      <c r="F56" t="e">
        <f ca="1">SUBTOTAL(109,Table36[PDO])</f>
        <v>#REF!</v>
      </c>
      <c r="G56" t="e">
        <f ca="1">SUBTOTAL(109,Table36[Total])</f>
        <v>#REF!</v>
      </c>
      <c r="H56" s="82">
        <f ca="1">SUBTOTAL(109,Table36[Crash Share])</f>
        <v>0</v>
      </c>
      <c r="I56" t="e">
        <f ca="1">SUBTOTAL(109,Table36[Crash Count])</f>
        <v>#REF!</v>
      </c>
      <c r="J56" s="82">
        <f ca="1">SUBTOTAL(109,Table36[Crash Share2])</f>
        <v>0</v>
      </c>
    </row>
    <row r="58" spans="2:11" x14ac:dyDescent="0.25">
      <c r="B58" s="70" t="s">
        <v>357</v>
      </c>
    </row>
    <row r="60" spans="2:11" x14ac:dyDescent="0.25">
      <c r="B60" s="106" t="s">
        <v>358</v>
      </c>
      <c r="C60" s="105"/>
      <c r="D60" s="105"/>
      <c r="E60" s="105"/>
      <c r="I60" s="104" t="s">
        <v>88</v>
      </c>
      <c r="J60" s="105"/>
    </row>
    <row r="61" spans="2:11" x14ac:dyDescent="0.25">
      <c r="B61" s="5" t="s">
        <v>14</v>
      </c>
      <c r="C61" s="5" t="s">
        <v>48</v>
      </c>
      <c r="D61" s="5" t="s">
        <v>49</v>
      </c>
      <c r="E61" s="5" t="s">
        <v>135</v>
      </c>
      <c r="F61" s="5" t="s">
        <v>52</v>
      </c>
      <c r="G61" s="5" t="s">
        <v>53</v>
      </c>
      <c r="H61" s="5" t="s">
        <v>47</v>
      </c>
      <c r="I61" s="5" t="s">
        <v>46</v>
      </c>
      <c r="J61" s="5" t="s">
        <v>60</v>
      </c>
      <c r="K61" s="12" t="s">
        <v>71</v>
      </c>
    </row>
    <row r="62" spans="2:11" ht="30" customHeight="1" x14ac:dyDescent="0.25">
      <c r="B62" s="86" t="s">
        <v>92</v>
      </c>
      <c r="C6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2" s="71" t="e">
        <f t="array" aca="1" ref="E6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2" s="71" t="e">
        <f t="shared" ref="G62:G97" ca="1" si="2">SUM(C62:F62)</f>
        <v>#REF!</v>
      </c>
      <c r="H62" s="69">
        <f ca="1">IFERROR(Table37[[#This Row],[Total]]/Table37[[#Totals],[Total]],0)</f>
        <v>0</v>
      </c>
      <c r="I62" s="71" t="e">
        <f ca="1">SUM(Table37[[#This Row],[Fatal]:[Severe Injury]])</f>
        <v>#REF!</v>
      </c>
      <c r="J62" s="82">
        <f ca="1">IFERROR(Table37[[#This Row],[Crash Count]]/Table37[[#Totals],[Crash Count]],0)</f>
        <v>0</v>
      </c>
      <c r="K62" s="56" t="str">
        <f>VLOOKUP(Table37[[#This Row],[PCF]],PCF[[#Headers],[#Data]],4,FALSE)</f>
        <v>No cause associated at this level</v>
      </c>
    </row>
    <row r="63" spans="2:11" ht="30" x14ac:dyDescent="0.25">
      <c r="B63" s="86" t="s">
        <v>93</v>
      </c>
      <c r="C6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3" s="71" t="e">
        <f t="array" aca="1" ref="E6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3" s="71" t="e">
        <f t="shared" ca="1" si="2"/>
        <v>#REF!</v>
      </c>
      <c r="H63" s="69">
        <f ca="1">IFERROR(Table37[[#This Row],[Total]]/Table37[[#Totals],[Total]],0)</f>
        <v>0</v>
      </c>
      <c r="I63" s="71" t="e">
        <f ca="1">SUM(Table37[[#This Row],[Fatal]:[Severe Injury]])</f>
        <v>#REF!</v>
      </c>
      <c r="J63" s="82">
        <f ca="1">IFERROR(Table37[[#This Row],[Crash Count]]/Table37[[#Totals],[Crash Count]],0)</f>
        <v>0</v>
      </c>
      <c r="K63" s="56" t="str">
        <f>VLOOKUP(Table37[[#This Row],[PCF]],PCF[[#Headers],[#Data]],4,FALSE)</f>
        <v>Speed too fast for conditions
(Not exceeding limit)</v>
      </c>
    </row>
    <row r="64" spans="2:11" x14ac:dyDescent="0.25">
      <c r="B64" s="86" t="s">
        <v>94</v>
      </c>
      <c r="C6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4" s="71" t="e">
        <f t="array" aca="1" ref="E6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4" s="71" t="e">
        <f t="shared" ca="1" si="2"/>
        <v>#REF!</v>
      </c>
      <c r="H64" s="69">
        <f ca="1">IFERROR(Table37[[#This Row],[Total]]/Table37[[#Totals],[Total]],0)</f>
        <v>0</v>
      </c>
      <c r="I64" s="71" t="e">
        <f ca="1">SUM(Table37[[#This Row],[Fatal]:[Severe Injury]])</f>
        <v>#REF!</v>
      </c>
      <c r="J64" s="82">
        <f ca="1">IFERROR(Table37[[#This Row],[Crash Count]]/Table37[[#Totals],[Crash Count]],0)</f>
        <v>0</v>
      </c>
      <c r="K64" s="56" t="str">
        <f>VLOOKUP(Table37[[#This Row],[PCF]],PCF[[#Headers],[#Data]],4,FALSE)</f>
        <v>Did not yield right-of-way</v>
      </c>
    </row>
    <row r="65" spans="2:11" x14ac:dyDescent="0.25">
      <c r="B65" s="86" t="s">
        <v>95</v>
      </c>
      <c r="C6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5" s="71" t="e">
        <f t="array" aca="1" ref="E6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5" s="71" t="e">
        <f t="shared" ca="1" si="2"/>
        <v>#REF!</v>
      </c>
      <c r="H65" s="69">
        <f ca="1">IFERROR(Table37[[#This Row],[Total]]/Table37[[#Totals],[Total]],0)</f>
        <v>0</v>
      </c>
      <c r="I65" s="71" t="e">
        <f ca="1">SUM(Table37[[#This Row],[Fatal]:[Severe Injury]])</f>
        <v>#REF!</v>
      </c>
      <c r="J65" s="69">
        <f ca="1">IFERROR(Table37[[#This Row],[Crash Count]]/Table37[[#Totals],[Crash Count]],0)</f>
        <v>0</v>
      </c>
      <c r="K65" s="56" t="str">
        <f>VLOOKUP(Table37[[#This Row],[PCF]],PCF[[#Headers],[#Data]],4,FALSE)</f>
        <v>Passed stop sign or red flasher</v>
      </c>
    </row>
    <row r="66" spans="2:11" x14ac:dyDescent="0.25">
      <c r="B66" s="86" t="s">
        <v>96</v>
      </c>
      <c r="C6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6" s="71" t="e">
        <f t="array" aca="1" ref="E6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6" s="71" t="e">
        <f t="shared" ca="1" si="2"/>
        <v>#REF!</v>
      </c>
      <c r="H66" s="69">
        <f ca="1">IFERROR(Table37[[#This Row],[Total]]/Table37[[#Totals],[Total]],0)</f>
        <v>0</v>
      </c>
      <c r="I66" s="71" t="e">
        <f ca="1">SUM(Table37[[#This Row],[Fatal]:[Severe Injury]])</f>
        <v>#REF!</v>
      </c>
      <c r="J66" s="82">
        <f ca="1">IFERROR(Table37[[#This Row],[Crash Count]]/Table37[[#Totals],[Crash Count]],0)</f>
        <v>0</v>
      </c>
      <c r="K66" s="56" t="str">
        <f>VLOOKUP(Table37[[#This Row],[PCF]],PCF[[#Headers],[#Data]],4,FALSE)</f>
        <v>Disregarded traffic signal</v>
      </c>
    </row>
    <row r="67" spans="2:11" ht="45" x14ac:dyDescent="0.25">
      <c r="B67" s="86" t="s">
        <v>97</v>
      </c>
      <c r="C6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7" s="71" t="e">
        <f t="array" aca="1" ref="E6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7" s="71" t="e">
        <f t="shared" ca="1" si="2"/>
        <v>#REF!</v>
      </c>
      <c r="H67" s="69">
        <f ca="1">IFERROR(Table37[[#This Row],[Total]]/Table37[[#Totals],[Total]],0)</f>
        <v>0</v>
      </c>
      <c r="I67" s="71" t="e">
        <f ca="1">SUM(Table37[[#This Row],[Fatal]:[Severe Injury]])</f>
        <v>#REF!</v>
      </c>
      <c r="J67" s="82">
        <f ca="1">IFERROR(Table37[[#This Row],[Crash Count]]/Table37[[#Totals],[Crash Count]],0)</f>
        <v>0</v>
      </c>
      <c r="K67" s="56" t="str">
        <f>VLOOKUP(Table37[[#This Row],[PCF]],PCF[[#Headers],[#Data]],4,FALSE)</f>
        <v>*Drove left of center on two-way road; 
straddling the center line</v>
      </c>
    </row>
    <row r="68" spans="2:11" x14ac:dyDescent="0.25">
      <c r="B68" s="86" t="s">
        <v>98</v>
      </c>
      <c r="C68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8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8" s="71" t="e">
        <f t="array" aca="1" ref="E68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8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8" s="71" t="e">
        <f t="shared" ca="1" si="2"/>
        <v>#REF!</v>
      </c>
      <c r="H68" s="69">
        <f ca="1">IFERROR(Table37[[#This Row],[Total]]/Table37[[#Totals],[Total]],0)</f>
        <v>0</v>
      </c>
      <c r="I68" s="71" t="e">
        <f ca="1">SUM(Table37[[#This Row],[Fatal]:[Severe Injury]])</f>
        <v>#REF!</v>
      </c>
      <c r="J68" s="69">
        <f ca="1">IFERROR(Table37[[#This Row],[Crash Count]]/Table37[[#Totals],[Crash Count]],0)</f>
        <v>0</v>
      </c>
      <c r="K68" s="56" t="str">
        <f>VLOOKUP(Table37[[#This Row],[PCF]],PCF[[#Headers],[#Data]],4,FALSE)</f>
        <v>Improper overtaking</v>
      </c>
    </row>
    <row r="69" spans="2:11" x14ac:dyDescent="0.25">
      <c r="B69" s="86" t="s">
        <v>99</v>
      </c>
      <c r="C69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9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9" s="71" t="e">
        <f t="array" aca="1" ref="E69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9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9" s="71" t="e">
        <f t="shared" ca="1" si="2"/>
        <v>#REF!</v>
      </c>
      <c r="H69" s="69">
        <f ca="1">IFERROR(Table37[[#This Row],[Total]]/Table37[[#Totals],[Total]],0)</f>
        <v>0</v>
      </c>
      <c r="I69" s="71" t="e">
        <f ca="1">SUM(Table37[[#This Row],[Fatal]:[Severe Injury]])</f>
        <v>#REF!</v>
      </c>
      <c r="J69" s="82">
        <f ca="1">IFERROR(Table37[[#This Row],[Crash Count]]/Table37[[#Totals],[Crash Count]],0)</f>
        <v>0</v>
      </c>
      <c r="K69" s="56" t="str">
        <f>VLOOKUP(Table37[[#This Row],[PCF]],PCF[[#Headers],[#Data]],4,FALSE)</f>
        <v>Followed too closely</v>
      </c>
    </row>
    <row r="70" spans="2:11" x14ac:dyDescent="0.25">
      <c r="B70" s="86" t="s">
        <v>100</v>
      </c>
      <c r="C70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0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0" s="71" t="e">
        <f t="array" aca="1" ref="E70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0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0" s="71" t="e">
        <f t="shared" ca="1" si="2"/>
        <v>#REF!</v>
      </c>
      <c r="H70" s="69">
        <f ca="1">IFERROR(Table37[[#This Row],[Total]]/Table37[[#Totals],[Total]],0)</f>
        <v>0</v>
      </c>
      <c r="I70" s="71" t="e">
        <f ca="1">SUM(Table37[[#This Row],[Fatal]:[Severe Injury]])</f>
        <v>#REF!</v>
      </c>
      <c r="J70" s="82">
        <f ca="1">IFERROR(Table37[[#This Row],[Crash Count]]/Table37[[#Totals],[Crash Count]],0)</f>
        <v>0</v>
      </c>
      <c r="K70" s="56" t="str">
        <f>VLOOKUP(Table37[[#This Row],[PCF]],PCF[[#Headers],[#Data]],4,FALSE)</f>
        <v>Made improper turn</v>
      </c>
    </row>
    <row r="71" spans="2:11" x14ac:dyDescent="0.25">
      <c r="B71" s="86" t="s">
        <v>101</v>
      </c>
      <c r="C71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1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1" s="71" t="e">
        <f t="array" aca="1" ref="E71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1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1" s="71" t="e">
        <f t="shared" ca="1" si="2"/>
        <v>#REF!</v>
      </c>
      <c r="H71" s="69">
        <f ca="1">IFERROR(Table37[[#This Row],[Total]]/Table37[[#Totals],[Total]],0)</f>
        <v>0</v>
      </c>
      <c r="I71" s="71" t="e">
        <f ca="1">SUM(Table37[[#This Row],[Fatal]:[Severe Injury]])</f>
        <v>#REF!</v>
      </c>
      <c r="J71" s="82">
        <f ca="1">IFERROR(Table37[[#This Row],[Crash Count]]/Table37[[#Totals],[Crash Count]],0)</f>
        <v>0</v>
      </c>
      <c r="K71" s="56" t="str">
        <f>VLOOKUP(Table37[[#This Row],[PCF]],PCF[[#Headers],[#Data]],4,FALSE)</f>
        <v>*Other improper driving</v>
      </c>
    </row>
    <row r="72" spans="2:11" ht="45" x14ac:dyDescent="0.25">
      <c r="B72" s="86" t="s">
        <v>102</v>
      </c>
      <c r="C7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2" s="71" t="e">
        <f t="array" aca="1" ref="E7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2" s="71" t="e">
        <f t="shared" ca="1" si="2"/>
        <v>#REF!</v>
      </c>
      <c r="H72" s="69">
        <f ca="1">IFERROR(Table37[[#This Row],[Total]]/Table37[[#Totals],[Total]],0)</f>
        <v>0</v>
      </c>
      <c r="I72" s="71" t="e">
        <f ca="1">SUM(Table37[[#This Row],[Fatal]:[Severe Injury]])</f>
        <v>#REF!</v>
      </c>
      <c r="J72" s="69">
        <f ca="1">IFERROR(Table37[[#This Row],[Crash Count]]/Table37[[#Totals],[Crash Count]],0)</f>
        <v>0</v>
      </c>
      <c r="K72" s="56" t="str">
        <f>VLOOKUP(Table37[[#This Row],[PCF]],PCF[[#Headers],[#Data]],4,FALSE)</f>
        <v>Mechanical defect - other than
represented by codes 21, 22, or 25</v>
      </c>
    </row>
    <row r="73" spans="2:11" x14ac:dyDescent="0.25">
      <c r="B73" s="86" t="s">
        <v>103</v>
      </c>
      <c r="C7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3" s="71" t="e">
        <f t="array" aca="1" ref="E7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3" s="71" t="e">
        <f t="shared" ca="1" si="2"/>
        <v>#REF!</v>
      </c>
      <c r="H73" s="69">
        <f ca="1">IFERROR(Table37[[#This Row],[Total]]/Table37[[#Totals],[Total]],0)</f>
        <v>0</v>
      </c>
      <c r="I73" s="71" t="e">
        <f ca="1">SUM(Table37[[#This Row],[Fatal]:[Severe Injury]])</f>
        <v>#REF!</v>
      </c>
      <c r="J73" s="82">
        <f ca="1">IFERROR(Table37[[#This Row],[Crash Count]]/Table37[[#Totals],[Crash Count]],0)</f>
        <v>0</v>
      </c>
      <c r="K73" s="56" t="str">
        <f>VLOOKUP(Table37[[#This Row],[PCF]],PCF[[#Headers],[#Data]],4,FALSE)</f>
        <v>*Other (Not improper driving)</v>
      </c>
    </row>
    <row r="74" spans="2:11" x14ac:dyDescent="0.25">
      <c r="B74" s="86" t="s">
        <v>104</v>
      </c>
      <c r="C7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4" s="71" t="e">
        <f t="array" aca="1" ref="E7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4" s="71" t="e">
        <f t="shared" ca="1" si="2"/>
        <v>#REF!</v>
      </c>
      <c r="H74" s="69">
        <f ca="1">IFERROR(Table37[[#This Row],[Total]]/Table37[[#Totals],[Total]],0)</f>
        <v>0</v>
      </c>
      <c r="I74" s="71" t="e">
        <f ca="1">SUM(Table37[[#This Row],[Fatal]:[Severe Injury]])</f>
        <v>#REF!</v>
      </c>
      <c r="J74" s="82">
        <f ca="1">IFERROR(Table37[[#This Row],[Crash Count]]/Table37[[#Totals],[Crash Count]],0)</f>
        <v>0</v>
      </c>
      <c r="K74" s="100" t="str">
        <f>VLOOKUP(Table37[[#This Row],[PCF]],PCF[[#Headers],[#Data]],4,FALSE)</f>
        <v>Improper change of traffic lanes</v>
      </c>
    </row>
    <row r="75" spans="2:11" ht="30" x14ac:dyDescent="0.25">
      <c r="B75" s="86" t="s">
        <v>105</v>
      </c>
      <c r="C7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5" s="71" t="e">
        <f t="array" aca="1" ref="E7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5" s="71" t="e">
        <f t="shared" ca="1" si="2"/>
        <v>#REF!</v>
      </c>
      <c r="H75" s="69">
        <f ca="1">IFERROR(Table37[[#This Row],[Total]]/Table37[[#Totals],[Total]],0)</f>
        <v>0</v>
      </c>
      <c r="I75" s="71" t="e">
        <f ca="1">SUM(Table37[[#This Row],[Fatal]:[Severe Injury]])</f>
        <v>#REF!</v>
      </c>
      <c r="J75" s="82">
        <f ca="1">IFERROR(Table37[[#This Row],[Crash Count]]/Table37[[#Totals],[Crash Count]],0)</f>
        <v>0</v>
      </c>
      <c r="K75" s="100" t="str">
        <f>VLOOKUP(Table37[[#This Row],[PCF]],PCF[[#Headers],[#Data]],4,FALSE)</f>
        <v>Disregarded other traffic control device</v>
      </c>
    </row>
    <row r="76" spans="2:11" x14ac:dyDescent="0.25">
      <c r="B76" s="86" t="s">
        <v>106</v>
      </c>
      <c r="C7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6" s="71" t="e">
        <f t="array" aca="1" ref="E7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6" s="71" t="e">
        <f t="shared" ca="1" si="2"/>
        <v>#REF!</v>
      </c>
      <c r="H76" s="69">
        <f ca="1">IFERROR(Table37[[#This Row],[Total]]/Table37[[#Totals],[Total]],0)</f>
        <v>0</v>
      </c>
      <c r="I76" s="71" t="e">
        <f ca="1">SUM(Table37[[#This Row],[Fatal]:[Severe Injury]])</f>
        <v>#REF!</v>
      </c>
      <c r="J76" s="82">
        <f ca="1">IFERROR(Table37[[#This Row],[Crash Count]]/Table37[[#Totals],[Crash Count]],0)</f>
        <v>0</v>
      </c>
      <c r="K76" s="100" t="str">
        <f>VLOOKUP(Table37[[#This Row],[PCF]],PCF[[#Headers],[#Data]],4,FALSE)</f>
        <v>Wrong way on one-way roadway</v>
      </c>
    </row>
    <row r="77" spans="2:11" x14ac:dyDescent="0.25">
      <c r="B77" s="86" t="s">
        <v>107</v>
      </c>
      <c r="C7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7" s="71" t="e">
        <f t="array" aca="1" ref="E7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7" s="71" t="e">
        <f t="shared" ca="1" si="2"/>
        <v>#REF!</v>
      </c>
      <c r="H77" s="69">
        <f ca="1">IFERROR(Table37[[#This Row],[Total]]/Table37[[#Totals],[Total]],0)</f>
        <v>0</v>
      </c>
      <c r="I77" s="71" t="e">
        <f ca="1">SUM(Table37[[#This Row],[Fatal]:[Severe Injury]])</f>
        <v>#REF!</v>
      </c>
      <c r="J77" s="82">
        <f ca="1">IFERROR(Table37[[#This Row],[Crash Count]]/Table37[[#Totals],[Crash Count]],0)</f>
        <v>0</v>
      </c>
      <c r="K77" s="100" t="str">
        <f>VLOOKUP(Table37[[#This Row],[PCF]],PCF[[#Headers],[#Data]],4,FALSE)</f>
        <v>Driver drowsy / fatigued / sleepy</v>
      </c>
    </row>
    <row r="78" spans="2:11" x14ac:dyDescent="0.25">
      <c r="B78" s="86" t="s">
        <v>108</v>
      </c>
      <c r="C78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8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8" s="71" t="e">
        <f t="array" aca="1" ref="E78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8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8" s="71" t="e">
        <f t="shared" ca="1" si="2"/>
        <v>#REF!</v>
      </c>
      <c r="H78" s="69">
        <f ca="1">IFERROR(Table37[[#This Row],[Total]]/Table37[[#Totals],[Total]],0)</f>
        <v>0</v>
      </c>
      <c r="I78" s="71" t="e">
        <f ca="1">SUM(Table37[[#This Row],[Fatal]:[Severe Injury]])</f>
        <v>#REF!</v>
      </c>
      <c r="J78" s="82">
        <f ca="1">IFERROR(Table37[[#This Row],[Crash Count]]/Table37[[#Totals],[Crash Count]],0)</f>
        <v>0</v>
      </c>
      <c r="K78" s="100" t="str">
        <f>VLOOKUP(Table37[[#This Row],[PCF]],PCF[[#Headers],[#Data]],4,FALSE)</f>
        <v>Physical Illness</v>
      </c>
    </row>
    <row r="79" spans="2:11" x14ac:dyDescent="0.25">
      <c r="B79" s="86" t="s">
        <v>109</v>
      </c>
      <c r="C79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9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9" s="71" t="e">
        <f t="array" aca="1" ref="E79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9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9" s="71" t="e">
        <f t="shared" ca="1" si="2"/>
        <v>#REF!</v>
      </c>
      <c r="H79" s="69">
        <f ca="1">IFERROR(Table37[[#This Row],[Total]]/Table37[[#Totals],[Total]],0)</f>
        <v>0</v>
      </c>
      <c r="I79" s="71" t="e">
        <f ca="1">SUM(Table37[[#This Row],[Fatal]:[Severe Injury]])</f>
        <v>#REF!</v>
      </c>
      <c r="J79" s="82">
        <f ca="1">IFERROR(Table37[[#This Row],[Crash Count]]/Table37[[#Totals],[Crash Count]],0)</f>
        <v>0</v>
      </c>
      <c r="K79" s="100" t="str">
        <f>VLOOKUP(Table37[[#This Row],[PCF]],PCF[[#Headers],[#Data]],4,FALSE)</f>
        <v>Non-Motorist illegally in roadway</v>
      </c>
    </row>
    <row r="80" spans="2:11" ht="30" x14ac:dyDescent="0.25">
      <c r="B80" s="86" t="s">
        <v>110</v>
      </c>
      <c r="C80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0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0" s="71" t="e">
        <f t="array" aca="1" ref="E80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0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0" s="71" t="e">
        <f t="shared" ca="1" si="2"/>
        <v>#REF!</v>
      </c>
      <c r="H80" s="69">
        <f ca="1">IFERROR(Table37[[#This Row],[Total]]/Table37[[#Totals],[Total]],0)</f>
        <v>0</v>
      </c>
      <c r="I80" s="71" t="e">
        <f ca="1">SUM(Table37[[#This Row],[Fatal]:[Severe Injury]])</f>
        <v>#REF!</v>
      </c>
      <c r="J80" s="82">
        <f ca="1">IFERROR(Table37[[#This Row],[Crash Count]]/Table37[[#Totals],[Crash Count]],0)</f>
        <v>0</v>
      </c>
      <c r="K80" s="100" t="str">
        <f>VLOOKUP(Table37[[#This Row],[PCF]],PCF[[#Headers],[#Data]],4,FALSE)</f>
        <v>Not visible: dark / non-reflective clothing</v>
      </c>
    </row>
    <row r="81" spans="2:11" x14ac:dyDescent="0.25">
      <c r="B81" s="86" t="s">
        <v>111</v>
      </c>
      <c r="C81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1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1" s="71" t="e">
        <f t="array" aca="1" ref="E81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1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1" s="71" t="e">
        <f t="shared" ca="1" si="2"/>
        <v>#REF!</v>
      </c>
      <c r="H81" s="69">
        <f ca="1">IFERROR(Table37[[#This Row],[Total]]/Table37[[#Totals],[Total]],0)</f>
        <v>0</v>
      </c>
      <c r="I81" s="71" t="e">
        <f ca="1">SUM(Table37[[#This Row],[Fatal]:[Severe Injury]])</f>
        <v>#REF!</v>
      </c>
      <c r="J81" s="82">
        <f ca="1">IFERROR(Table37[[#This Row],[Crash Count]]/Table37[[#Totals],[Crash Count]],0)</f>
        <v>0</v>
      </c>
      <c r="K81" s="100" t="str">
        <f>VLOOKUP(Table37[[#This Row],[PCF]],PCF[[#Headers],[#Data]],4,FALSE)</f>
        <v>Vehicle improperly parked</v>
      </c>
    </row>
    <row r="82" spans="2:11" x14ac:dyDescent="0.25">
      <c r="B82" s="86" t="s">
        <v>112</v>
      </c>
      <c r="C8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2" s="71" t="e">
        <f t="array" aca="1" ref="E8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2" s="71" t="e">
        <f t="shared" ca="1" si="2"/>
        <v>#REF!</v>
      </c>
      <c r="H82" s="69">
        <f ca="1">IFERROR(Table37[[#This Row],[Total]]/Table37[[#Totals],[Total]],0)</f>
        <v>0</v>
      </c>
      <c r="I82" s="71" t="e">
        <f ca="1">SUM(Table37[[#This Row],[Fatal]:[Severe Injury]])</f>
        <v>#REF!</v>
      </c>
      <c r="J82" s="82">
        <f ca="1">IFERROR(Table37[[#This Row],[Crash Count]]/Table37[[#Totals],[Crash Count]],0)</f>
        <v>0</v>
      </c>
      <c r="K82" s="100" t="str">
        <f>VLOOKUP(Table37[[#This Row],[PCF]],PCF[[#Headers],[#Data]],4,FALSE)</f>
        <v>Defective steering mechanism</v>
      </c>
    </row>
    <row r="83" spans="2:11" x14ac:dyDescent="0.25">
      <c r="B83" s="86" t="s">
        <v>113</v>
      </c>
      <c r="C8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3" s="71" t="e">
        <f t="array" aca="1" ref="E8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3" s="71" t="e">
        <f t="shared" ca="1" si="2"/>
        <v>#REF!</v>
      </c>
      <c r="H83" s="69">
        <f ca="1">IFERROR(Table37[[#This Row],[Total]]/Table37[[#Totals],[Total]],0)</f>
        <v>0</v>
      </c>
      <c r="I83" s="71" t="e">
        <f ca="1">SUM(Table37[[#This Row],[Fatal]:[Severe Injury]])</f>
        <v>#REF!</v>
      </c>
      <c r="J83" s="82">
        <f ca="1">IFERROR(Table37[[#This Row],[Crash Count]]/Table37[[#Totals],[Crash Count]],0)</f>
        <v>0</v>
      </c>
      <c r="K83" s="100" t="str">
        <f>VLOOKUP(Table37[[#This Row],[PCF]],PCF[[#Headers],[#Data]],4,FALSE)</f>
        <v>Inadequate or no brakes</v>
      </c>
    </row>
    <row r="84" spans="2:11" x14ac:dyDescent="0.25">
      <c r="B84" s="86" t="s">
        <v>114</v>
      </c>
      <c r="C8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4" s="71" t="e">
        <f t="array" aca="1" ref="E8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4" s="71" t="e">
        <f t="shared" ca="1" si="2"/>
        <v>#REF!</v>
      </c>
      <c r="H84" s="69">
        <f ca="1">IFERROR(Table37[[#This Row],[Total]]/Table37[[#Totals],[Total]],0)</f>
        <v>0</v>
      </c>
      <c r="I84" s="71" t="e">
        <f ca="1">SUM(Table37[[#This Row],[Fatal]:[Severe Injury]])</f>
        <v>#REF!</v>
      </c>
      <c r="J84" s="82">
        <f ca="1">IFERROR(Table37[[#This Row],[Crash Count]]/Table37[[#Totals],[Crash Count]],0)</f>
        <v>0</v>
      </c>
      <c r="K84" s="100" t="str">
        <f>VLOOKUP(Table37[[#This Row],[PCF]],PCF[[#Headers],[#Data]],4,FALSE)</f>
        <v>Vehicle lost load or load shifted</v>
      </c>
    </row>
    <row r="85" spans="2:11" x14ac:dyDescent="0.25">
      <c r="B85" s="86" t="s">
        <v>115</v>
      </c>
      <c r="C8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5" s="71" t="e">
        <f t="array" aca="1" ref="E8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5" s="71" t="e">
        <f t="shared" ca="1" si="2"/>
        <v>#REF!</v>
      </c>
      <c r="H85" s="101">
        <f ca="1">IFERROR(Table37[[#This Row],[Total]]/Table37[[#Totals],[Total]],0)</f>
        <v>0</v>
      </c>
      <c r="I85" s="71" t="e">
        <f ca="1">SUM(Table37[[#This Row],[Fatal]:[Severe Injury]])</f>
        <v>#REF!</v>
      </c>
      <c r="J85" s="101">
        <f ca="1">IFERROR(Table37[[#This Row],[Crash Count]]/Table37[[#Totals],[Crash Count]],0)</f>
        <v>0</v>
      </c>
      <c r="K85" s="100" t="str">
        <f>VLOOKUP(Table37[[#This Row],[PCF]],PCF[[#Headers],[#Data]],4,FALSE)</f>
        <v>Tire failure</v>
      </c>
    </row>
    <row r="86" spans="2:11" x14ac:dyDescent="0.25">
      <c r="B86" s="86" t="s">
        <v>116</v>
      </c>
      <c r="C8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6" s="71" t="e">
        <f t="array" aca="1" ref="E8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6" s="71" t="e">
        <f t="shared" ca="1" si="2"/>
        <v>#REF!</v>
      </c>
      <c r="H86" s="69">
        <f ca="1">IFERROR(Table37[[#This Row],[Total]]/Table37[[#Totals],[Total]],0)</f>
        <v>0</v>
      </c>
      <c r="I86" s="71" t="e">
        <f ca="1">SUM(Table37[[#This Row],[Fatal]:[Severe Injury]])</f>
        <v>#REF!</v>
      </c>
      <c r="J86" s="82">
        <f ca="1">IFERROR(Table37[[#This Row],[Crash Count]]/Table37[[#Totals],[Crash Count]],0)</f>
        <v>0</v>
      </c>
      <c r="K86" s="56" t="str">
        <f>VLOOKUP(Table37[[#This Row],[PCF]],PCF[[#Headers],[#Data]],4,FALSE)</f>
        <v>Phantom / non-contact vehicle</v>
      </c>
    </row>
    <row r="87" spans="2:11" x14ac:dyDescent="0.25">
      <c r="B87" s="38" t="s">
        <v>117</v>
      </c>
      <c r="C8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7" s="71" t="e">
        <f t="array" aca="1" ref="E8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7" s="71" t="e">
        <f t="shared" ca="1" si="2"/>
        <v>#REF!</v>
      </c>
      <c r="H87" s="69">
        <f ca="1">IFERROR(Table37[[#This Row],[Total]]/Table37[[#Totals],[Total]],0)</f>
        <v>0</v>
      </c>
      <c r="I87" s="71" t="e">
        <f ca="1">SUM(Table37[[#This Row],[Fatal]:[Severe Injury]])</f>
        <v>#REF!</v>
      </c>
      <c r="J87" s="82">
        <f ca="1">IFERROR(Table37[[#This Row],[Crash Count]]/Table37[[#Totals],[Crash Count]],0)</f>
        <v>0</v>
      </c>
      <c r="K87" s="56" t="str">
        <f>VLOOKUP(Table37[[#This Row],[PCF]],PCF[[#Headers],[#Data]],4,FALSE)</f>
        <v>Inattention</v>
      </c>
    </row>
    <row r="88" spans="2:11" x14ac:dyDescent="0.25">
      <c r="B88" s="86" t="s">
        <v>118</v>
      </c>
      <c r="C88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8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8" s="71" t="e">
        <f t="array" aca="1" ref="E88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8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8" s="71" t="e">
        <f t="shared" ca="1" si="2"/>
        <v>#REF!</v>
      </c>
      <c r="H88" s="69">
        <f ca="1">IFERROR(Table37[[#This Row],[Total]]/Table37[[#Totals],[Total]],0)</f>
        <v>0</v>
      </c>
      <c r="I88" s="71" t="e">
        <f ca="1">SUM(Table37[[#This Row],[Fatal]:[Severe Injury]])</f>
        <v>#REF!</v>
      </c>
      <c r="J88" s="69">
        <f ca="1">IFERROR(Table37[[#This Row],[Crash Count]]/Table37[[#Totals],[Crash Count]],0)</f>
        <v>0</v>
      </c>
      <c r="K88" s="56" t="str">
        <f>VLOOKUP(Table37[[#This Row],[PCF]],PCF[[#Headers],[#Data]],4,FALSE)</f>
        <v>Non-Motorist Inattention</v>
      </c>
    </row>
    <row r="89" spans="2:11" ht="30" customHeight="1" x14ac:dyDescent="0.25">
      <c r="B89" s="86" t="s">
        <v>119</v>
      </c>
      <c r="C89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9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9" s="71" t="e">
        <f t="array" aca="1" ref="E89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9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9" s="71" t="e">
        <f t="shared" ca="1" si="2"/>
        <v>#REF!</v>
      </c>
      <c r="H89" s="69">
        <f ca="1">IFERROR(Table37[[#This Row],[Total]]/Table37[[#Totals],[Total]],0)</f>
        <v>0</v>
      </c>
      <c r="I89" s="71" t="e">
        <f ca="1">SUM(Table37[[#This Row],[Fatal]:[Severe Injury]])</f>
        <v>#REF!</v>
      </c>
      <c r="J89" s="69">
        <f ca="1">IFERROR(Table37[[#This Row],[Crash Count]]/Table37[[#Totals],[Crash Count]],0)</f>
        <v>0</v>
      </c>
      <c r="K89" s="56" t="str">
        <f>VLOOKUP(Table37[[#This Row],[PCF]],PCF[[#Headers],[#Data]],4,FALSE)</f>
        <v>Failed to avoid vehicle ahead</v>
      </c>
    </row>
    <row r="90" spans="2:11" x14ac:dyDescent="0.25">
      <c r="B90" s="86" t="s">
        <v>120</v>
      </c>
      <c r="C90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0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0" s="71" t="e">
        <f t="array" aca="1" ref="E90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0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0" s="71" t="e">
        <f t="shared" ca="1" si="2"/>
        <v>#REF!</v>
      </c>
      <c r="H90" s="69">
        <f ca="1">IFERROR(Table37[[#This Row],[Total]]/Table37[[#Totals],[Total]],0)</f>
        <v>0</v>
      </c>
      <c r="I90" s="71" t="e">
        <f ca="1">SUM(Table37[[#This Row],[Fatal]:[Severe Injury]])</f>
        <v>#REF!</v>
      </c>
      <c r="J90" s="82">
        <f ca="1">IFERROR(Table37[[#This Row],[Crash Count]]/Table37[[#Totals],[Crash Count]],0)</f>
        <v>0</v>
      </c>
      <c r="K90" s="56" t="str">
        <f>VLOOKUP(Table37[[#This Row],[PCF]],PCF[[#Headers],[#Data]],4,FALSE)</f>
        <v>Driving in excess of posted speed</v>
      </c>
    </row>
    <row r="91" spans="2:11" ht="30" x14ac:dyDescent="0.25">
      <c r="B91" s="86" t="s">
        <v>121</v>
      </c>
      <c r="C91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1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1" s="71" t="e">
        <f t="array" aca="1" ref="E91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1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1" s="71" t="e">
        <f t="shared" ca="1" si="2"/>
        <v>#REF!</v>
      </c>
      <c r="H91" s="69">
        <f ca="1">IFERROR(Table37[[#This Row],[Total]]/Table37[[#Totals],[Total]],0)</f>
        <v>0</v>
      </c>
      <c r="I91" s="71" t="e">
        <f ca="1">SUM(Table37[[#This Row],[Fatal]:[Severe Injury]])</f>
        <v>#REF!</v>
      </c>
      <c r="J91" s="69">
        <f ca="1">IFERROR(Table37[[#This Row],[Crash Count]]/Table37[[#Totals],[Crash Count]],0)</f>
        <v>0</v>
      </c>
      <c r="K91" s="56" t="str">
        <f>VLOOKUP(Table37[[#This Row],[PCF]],PCF[[#Headers],[#Data]],4,FALSE)</f>
        <v>Speed Racing (Per PAR or self-reported)</v>
      </c>
    </row>
    <row r="92" spans="2:11" ht="30" x14ac:dyDescent="0.25">
      <c r="B92" s="86" t="s">
        <v>122</v>
      </c>
      <c r="C9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2" s="71" t="e">
        <f t="array" aca="1" ref="E9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2" s="71" t="e">
        <f t="shared" ca="1" si="2"/>
        <v>#REF!</v>
      </c>
      <c r="H92" s="69">
        <f ca="1">IFERROR(Table37[[#This Row],[Total]]/Table37[[#Totals],[Total]],0)</f>
        <v>0</v>
      </c>
      <c r="I92" s="71" t="e">
        <f ca="1">SUM(Table37[[#This Row],[Fatal]:[Severe Injury]])</f>
        <v>#REF!</v>
      </c>
      <c r="J92" s="69">
        <f ca="1">IFERROR(Table37[[#This Row],[Crash Count]]/Table37[[#Totals],[Crash Count]],0)</f>
        <v>0</v>
      </c>
      <c r="K92" s="56" t="str">
        <f>VLOOKUP(Table37[[#This Row],[PCF]],PCF[[#Headers],[#Data]],4,FALSE)</f>
        <v>Careless Driving (Per PAR or self-reported)</v>
      </c>
    </row>
    <row r="93" spans="2:11" ht="30" x14ac:dyDescent="0.25">
      <c r="B93" s="86" t="s">
        <v>123</v>
      </c>
      <c r="C9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3" s="71" t="e">
        <f t="array" aca="1" ref="E9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3" s="71" t="e">
        <f t="shared" ca="1" si="2"/>
        <v>#REF!</v>
      </c>
      <c r="H93" s="69">
        <f ca="1">IFERROR(Table37[[#This Row],[Total]]/Table37[[#Totals],[Total]],0)</f>
        <v>0</v>
      </c>
      <c r="I93" s="71" t="e">
        <f ca="1">SUM(Table37[[#This Row],[Fatal]:[Severe Injury]])</f>
        <v>#REF!</v>
      </c>
      <c r="J93" s="82">
        <f ca="1">IFERROR(Table37[[#This Row],[Crash Count]]/Table37[[#Totals],[Crash Count]],0)</f>
        <v>0</v>
      </c>
      <c r="K93" s="56" t="str">
        <f>VLOOKUP(Table37[[#This Row],[PCF]],PCF[[#Headers],[#Data]],4,FALSE)</f>
        <v>Reckless Driving (Per PAR or self-reported)</v>
      </c>
    </row>
    <row r="94" spans="2:11" x14ac:dyDescent="0.25">
      <c r="B94" s="86" t="s">
        <v>124</v>
      </c>
      <c r="C9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4" s="71" t="e">
        <f t="array" aca="1" ref="E9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4" s="71" t="e">
        <f t="shared" ca="1" si="2"/>
        <v>#REF!</v>
      </c>
      <c r="H94" s="69">
        <f ca="1">IFERROR(Table37[[#This Row],[Total]]/Table37[[#Totals],[Total]],0)</f>
        <v>0</v>
      </c>
      <c r="I94" s="71" t="e">
        <f ca="1">SUM(Table37[[#This Row],[Fatal]:[Severe Injury]])</f>
        <v>#REF!</v>
      </c>
      <c r="J94" s="82">
        <f ca="1">IFERROR(Table37[[#This Row],[Crash Count]]/Table37[[#Totals],[Crash Count]],0)</f>
        <v>0</v>
      </c>
      <c r="K94" s="56" t="str">
        <f>VLOOKUP(Table37[[#This Row],[PCF]],PCF[[#Headers],[#Data]],4,FALSE)</f>
        <v>*Aggressive Driving (Per PAR)</v>
      </c>
    </row>
    <row r="95" spans="2:11" x14ac:dyDescent="0.25">
      <c r="B95" s="86" t="s">
        <v>125</v>
      </c>
      <c r="C9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5" s="71" t="e">
        <f t="array" aca="1" ref="E9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5" s="71" t="e">
        <f t="shared" ca="1" si="2"/>
        <v>#REF!</v>
      </c>
      <c r="H95" s="69">
        <f ca="1">IFERROR(Table37[[#This Row],[Total]]/Table37[[#Totals],[Total]],0)</f>
        <v>0</v>
      </c>
      <c r="I95" s="71" t="e">
        <f ca="1">SUM(Table37[[#This Row],[Fatal]:[Severe Injury]])</f>
        <v>#REF!</v>
      </c>
      <c r="J95" s="69">
        <f ca="1">IFERROR(Table37[[#This Row],[Crash Count]]/Table37[[#Totals],[Crash Count]],0)</f>
        <v>0</v>
      </c>
      <c r="K95" s="56" t="str">
        <f>VLOOKUP(Table37[[#This Row],[PCF]],PCF[[#Headers],[#Data]],4,FALSE)</f>
        <v>*Road Rage (Per PAR)</v>
      </c>
    </row>
    <row r="96" spans="2:11" x14ac:dyDescent="0.25">
      <c r="B96" s="86" t="s">
        <v>126</v>
      </c>
      <c r="C9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6" s="71" t="e">
        <f t="array" aca="1" ref="E9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6" s="71" t="e">
        <f t="shared" ca="1" si="2"/>
        <v>#REF!</v>
      </c>
      <c r="H96" s="69">
        <f ca="1">IFERROR(Table37[[#This Row],[Total]]/Table37[[#Totals],[Total]],0)</f>
        <v>0</v>
      </c>
      <c r="I96" s="71" t="e">
        <f ca="1">SUM(Table37[[#This Row],[Fatal]:[Severe Injury]])</f>
        <v>#REF!</v>
      </c>
      <c r="J96" s="69">
        <f ca="1">IFERROR(Table37[[#This Row],[Crash Count]]/Table37[[#Totals],[Crash Count]],0)</f>
        <v>0</v>
      </c>
      <c r="K96" s="56" t="str">
        <f>VLOOKUP(Table37[[#This Row],[PCF]],PCF[[#Headers],[#Data]],4,FALSE)</f>
        <v>View Obscured</v>
      </c>
    </row>
    <row r="97" spans="2:13" ht="30" x14ac:dyDescent="0.25">
      <c r="B97" s="86" t="s">
        <v>127</v>
      </c>
      <c r="C9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7" s="71" t="e">
        <f t="array" aca="1" ref="E9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7" s="71" t="e">
        <f t="shared" ca="1" si="2"/>
        <v>#REF!</v>
      </c>
      <c r="H97" s="69">
        <f ca="1">IFERROR(Table37[[#This Row],[Total]]/Table37[[#Totals],[Total]],0)</f>
        <v>0</v>
      </c>
      <c r="I97" s="71" t="e">
        <f ca="1">SUM(Table37[[#This Row],[Fatal]:[Severe Injury]])</f>
        <v>#REF!</v>
      </c>
      <c r="J97" s="69">
        <f ca="1">IFERROR(Table37[[#This Row],[Crash Count]]/Table37[[#Totals],[Crash Count]],0)</f>
        <v>0</v>
      </c>
      <c r="K97" s="56" t="str">
        <f>VLOOKUP(Table37[[#This Row],[PCF]],PCF[[#Headers],[#Data]],4,FALSE)</f>
        <v>Improper use of median or shoulder</v>
      </c>
    </row>
    <row r="98" spans="2:13" x14ac:dyDescent="0.25">
      <c r="B98" s="86" t="s">
        <v>53</v>
      </c>
      <c r="C98" t="e">
        <f ca="1">SUBTOTAL(109,Table37[Fatal])</f>
        <v>#REF!</v>
      </c>
      <c r="D98" t="e">
        <f ca="1">SUBTOTAL(109,Table37[Severe Injury])</f>
        <v>#REF!</v>
      </c>
      <c r="E98" t="e">
        <f ca="1">SUBTOTAL(109,Table37[Other Injury])</f>
        <v>#REF!</v>
      </c>
      <c r="F98" t="e">
        <f ca="1">SUBTOTAL(109,Table37[PDO])</f>
        <v>#REF!</v>
      </c>
      <c r="G98" t="e">
        <f ca="1">SUBTOTAL(109,Table37[Total])</f>
        <v>#REF!</v>
      </c>
      <c r="H98" s="82">
        <f ca="1">IFERROR(SUBTOTAL(109,Table37[Crash Share]),0)</f>
        <v>0</v>
      </c>
      <c r="I98" t="e">
        <f ca="1">SUBTOTAL(109,Table37[Crash Count])</f>
        <v>#REF!</v>
      </c>
      <c r="J98" s="82">
        <f ca="1">IFERROR(SUBTOTAL(109,Table37[Crash Share2]),0)</f>
        <v>0</v>
      </c>
      <c r="K98" s="82"/>
    </row>
    <row r="100" spans="2:13" x14ac:dyDescent="0.25">
      <c r="B100" s="80" t="s">
        <v>359</v>
      </c>
    </row>
    <row r="101" spans="2:13" x14ac:dyDescent="0.25">
      <c r="B101" s="11" t="s">
        <v>360</v>
      </c>
      <c r="C101" s="96" t="s">
        <v>365</v>
      </c>
    </row>
    <row r="102" spans="2:13" x14ac:dyDescent="0.25">
      <c r="B102" s="11"/>
    </row>
    <row r="103" spans="2:13" x14ac:dyDescent="0.25">
      <c r="B103" s="39" t="s">
        <v>362</v>
      </c>
      <c r="C103" s="37"/>
      <c r="D103" s="104" t="str">
        <f>C101</f>
        <v>Pedalcyclist-Involved Crashes</v>
      </c>
      <c r="E103" s="105"/>
      <c r="F103" s="105"/>
      <c r="G103" s="105"/>
      <c r="H103" s="105"/>
      <c r="I103" s="105"/>
      <c r="J103" s="105"/>
      <c r="K103" s="105"/>
      <c r="L103" s="105"/>
      <c r="M103" s="105"/>
    </row>
    <row r="104" spans="2:13" ht="45" customHeight="1" x14ac:dyDescent="0.25">
      <c r="B104" s="50" t="s">
        <v>310</v>
      </c>
      <c r="C104" s="50" t="s">
        <v>311</v>
      </c>
      <c r="D104" s="50" t="s">
        <v>312</v>
      </c>
      <c r="E104" s="50" t="s">
        <v>313</v>
      </c>
      <c r="F104" s="50" t="s">
        <v>314</v>
      </c>
      <c r="G104" s="50" t="s">
        <v>315</v>
      </c>
      <c r="H104" s="50" t="s">
        <v>316</v>
      </c>
      <c r="I104" s="50" t="s">
        <v>317</v>
      </c>
      <c r="J104" s="50" t="s">
        <v>318</v>
      </c>
      <c r="K104" s="14" t="s">
        <v>319</v>
      </c>
      <c r="L104" s="14" t="s">
        <v>320</v>
      </c>
      <c r="M104" s="14" t="s">
        <v>321</v>
      </c>
    </row>
    <row r="105" spans="2:13" x14ac:dyDescent="0.25">
      <c r="B105">
        <v>0</v>
      </c>
      <c r="C105" t="s">
        <v>322</v>
      </c>
      <c r="D105" t="e">
        <f t="array" aca="1" ref="D105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5" t="e">
        <f t="array" aca="1" ref="E105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5" t="e">
        <f t="array" aca="1" ref="F105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5" t="e">
        <f t="array" aca="1" ref="G105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5" t="e">
        <f t="array" aca="1" ref="H105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5" t="e">
        <f t="array" aca="1" ref="I105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5" t="e">
        <f t="array" aca="1" ref="J105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5" s="48" t="e">
        <f t="shared" ref="K105:K129" ca="1" si="3">AVERAGE(D105,J105)</f>
        <v>#REF!</v>
      </c>
      <c r="L105" s="48" t="e">
        <f ca="1">AVERAGE(Table2935[[#This Row],[Monday]:[Friday]])</f>
        <v>#REF!</v>
      </c>
      <c r="M105" s="47">
        <v>1</v>
      </c>
    </row>
    <row r="106" spans="2:13" x14ac:dyDescent="0.25">
      <c r="B106">
        <v>1</v>
      </c>
      <c r="C106" t="s">
        <v>323</v>
      </c>
      <c r="D106" t="e">
        <f t="array" aca="1" ref="D106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6" t="e">
        <f t="array" aca="1" ref="E106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6" t="e">
        <f t="array" aca="1" ref="F106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6" t="e">
        <f t="array" aca="1" ref="G106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6" t="e">
        <f t="array" aca="1" ref="H106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6" t="e">
        <f t="array" aca="1" ref="I106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6" t="e">
        <f t="array" aca="1" ref="J106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6" s="48" t="e">
        <f t="shared" ca="1" si="3"/>
        <v>#REF!</v>
      </c>
      <c r="L106" s="48" t="e">
        <f ca="1">AVERAGE(Table2935[[#This Row],[Monday]:[Friday]])</f>
        <v>#REF!</v>
      </c>
      <c r="M106" s="47">
        <v>4.1666666666666657E-2</v>
      </c>
    </row>
    <row r="107" spans="2:13" x14ac:dyDescent="0.25">
      <c r="B107">
        <v>2</v>
      </c>
      <c r="C107" t="s">
        <v>324</v>
      </c>
      <c r="D107" t="e">
        <f t="array" aca="1" ref="D107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7" t="e">
        <f t="array" aca="1" ref="E107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7" t="e">
        <f t="array" aca="1" ref="F107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7" t="e">
        <f t="array" aca="1" ref="G107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7" t="e">
        <f t="array" aca="1" ref="H107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7" t="e">
        <f t="array" aca="1" ref="I107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7" t="e">
        <f t="array" aca="1" ref="J107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7" s="48" t="e">
        <f t="shared" ca="1" si="3"/>
        <v>#REF!</v>
      </c>
      <c r="L107" s="48" t="e">
        <f ca="1">AVERAGE(Table2935[[#This Row],[Monday]:[Friday]])</f>
        <v>#REF!</v>
      </c>
      <c r="M107" s="47">
        <v>8.3333333333333329E-2</v>
      </c>
    </row>
    <row r="108" spans="2:13" x14ac:dyDescent="0.25">
      <c r="B108">
        <v>3</v>
      </c>
      <c r="C108" t="s">
        <v>325</v>
      </c>
      <c r="D108" t="e">
        <f t="array" aca="1" ref="D108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8" t="e">
        <f t="array" aca="1" ref="E108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8" t="e">
        <f t="array" aca="1" ref="F108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8" t="e">
        <f t="array" aca="1" ref="G108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8" t="e">
        <f t="array" aca="1" ref="H108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8" t="e">
        <f t="array" aca="1" ref="I108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8" t="e">
        <f t="array" aca="1" ref="J108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8" s="48" t="e">
        <f t="shared" ca="1" si="3"/>
        <v>#REF!</v>
      </c>
      <c r="L108" s="48" t="e">
        <f ca="1">AVERAGE(Table2935[[#This Row],[Monday]:[Friday]])</f>
        <v>#REF!</v>
      </c>
      <c r="M108" s="47">
        <v>0.125</v>
      </c>
    </row>
    <row r="109" spans="2:13" x14ac:dyDescent="0.25">
      <c r="B109">
        <v>4</v>
      </c>
      <c r="C109" t="s">
        <v>326</v>
      </c>
      <c r="D109" t="e">
        <f t="array" aca="1" ref="D109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9" t="e">
        <f t="array" aca="1" ref="E109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9" t="e">
        <f t="array" aca="1" ref="F109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9" t="e">
        <f t="array" aca="1" ref="G109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9" t="e">
        <f t="array" aca="1" ref="H109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9" t="e">
        <f t="array" aca="1" ref="I109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9" t="e">
        <f t="array" aca="1" ref="J109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9" s="48" t="e">
        <f t="shared" ca="1" si="3"/>
        <v>#REF!</v>
      </c>
      <c r="L109" s="48" t="e">
        <f ca="1">AVERAGE(Table2935[[#This Row],[Monday]:[Friday]])</f>
        <v>#REF!</v>
      </c>
      <c r="M109" s="47">
        <v>0.16666666666666671</v>
      </c>
    </row>
    <row r="110" spans="2:13" x14ac:dyDescent="0.25">
      <c r="B110">
        <v>5</v>
      </c>
      <c r="C110" t="s">
        <v>327</v>
      </c>
      <c r="D110" t="e">
        <f t="array" aca="1" ref="D110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0" t="e">
        <f t="array" aca="1" ref="E110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0" t="e">
        <f t="array" aca="1" ref="F110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0" t="e">
        <f t="array" aca="1" ref="G110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0" t="e">
        <f t="array" aca="1" ref="H110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0" t="e">
        <f t="array" aca="1" ref="I110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0" t="e">
        <f t="array" aca="1" ref="J110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0" s="48" t="e">
        <f t="shared" ca="1" si="3"/>
        <v>#REF!</v>
      </c>
      <c r="L110" s="48" t="e">
        <f ca="1">AVERAGE(Table2935[[#This Row],[Monday]:[Friday]])</f>
        <v>#REF!</v>
      </c>
      <c r="M110" s="47">
        <v>0.20833333333333329</v>
      </c>
    </row>
    <row r="111" spans="2:13" x14ac:dyDescent="0.25">
      <c r="B111">
        <v>6</v>
      </c>
      <c r="C111" t="s">
        <v>328</v>
      </c>
      <c r="D111" t="e">
        <f t="array" aca="1" ref="D111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1" t="e">
        <f t="array" aca="1" ref="E111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1" t="e">
        <f t="array" aca="1" ref="F111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1" t="e">
        <f t="array" aca="1" ref="G111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1" t="e">
        <f t="array" aca="1" ref="H111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1" t="e">
        <f t="array" aca="1" ref="I111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1" t="e">
        <f t="array" aca="1" ref="J111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1" s="48" t="e">
        <f t="shared" ca="1" si="3"/>
        <v>#REF!</v>
      </c>
      <c r="L111" s="48" t="e">
        <f ca="1">AVERAGE(Table2935[[#This Row],[Monday]:[Friday]])</f>
        <v>#REF!</v>
      </c>
      <c r="M111" s="47">
        <v>0.25</v>
      </c>
    </row>
    <row r="112" spans="2:13" x14ac:dyDescent="0.25">
      <c r="B112">
        <v>7</v>
      </c>
      <c r="C112" t="s">
        <v>329</v>
      </c>
      <c r="D112" t="e">
        <f t="array" aca="1" ref="D112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2" t="e">
        <f t="array" aca="1" ref="E112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2" t="e">
        <f t="array" aca="1" ref="F112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2" t="e">
        <f t="array" aca="1" ref="G112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2" t="e">
        <f t="array" aca="1" ref="H112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2" t="e">
        <f t="array" aca="1" ref="I112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2" t="e">
        <f t="array" aca="1" ref="J112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2" s="48" t="e">
        <f t="shared" ca="1" si="3"/>
        <v>#REF!</v>
      </c>
      <c r="L112" s="48" t="e">
        <f ca="1">AVERAGE(Table2935[[#This Row],[Monday]:[Friday]])</f>
        <v>#REF!</v>
      </c>
      <c r="M112" s="47">
        <v>0.29166666666666669</v>
      </c>
    </row>
    <row r="113" spans="2:13" x14ac:dyDescent="0.25">
      <c r="B113">
        <v>8</v>
      </c>
      <c r="C113" t="s">
        <v>330</v>
      </c>
      <c r="D113" t="e">
        <f t="array" aca="1" ref="D113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3" t="e">
        <f t="array" aca="1" ref="E113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3" t="e">
        <f t="array" aca="1" ref="F113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3" t="e">
        <f t="array" aca="1" ref="G113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3" t="e">
        <f t="array" aca="1" ref="H113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3" t="e">
        <f t="array" aca="1" ref="I113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3" t="e">
        <f t="array" aca="1" ref="J113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3" s="48" t="e">
        <f t="shared" ca="1" si="3"/>
        <v>#REF!</v>
      </c>
      <c r="L113" s="48" t="e">
        <f ca="1">AVERAGE(Table2935[[#This Row],[Monday]:[Friday]])</f>
        <v>#REF!</v>
      </c>
      <c r="M113" s="47">
        <v>0.33333333333333331</v>
      </c>
    </row>
    <row r="114" spans="2:13" x14ac:dyDescent="0.25">
      <c r="B114">
        <v>9</v>
      </c>
      <c r="C114" t="s">
        <v>331</v>
      </c>
      <c r="D114" t="e">
        <f t="array" aca="1" ref="D114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4" t="e">
        <f t="array" aca="1" ref="E114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4" t="e">
        <f t="array" aca="1" ref="F114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4" t="e">
        <f t="array" aca="1" ref="G114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4" t="e">
        <f t="array" aca="1" ref="H114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4" t="e">
        <f t="array" aca="1" ref="I114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4" t="e">
        <f t="array" aca="1" ref="J114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4" s="48" t="e">
        <f t="shared" ca="1" si="3"/>
        <v>#REF!</v>
      </c>
      <c r="L114" s="48" t="e">
        <f ca="1">AVERAGE(Table2935[[#This Row],[Monday]:[Friday]])</f>
        <v>#REF!</v>
      </c>
      <c r="M114" s="47">
        <v>0.375</v>
      </c>
    </row>
    <row r="115" spans="2:13" x14ac:dyDescent="0.25">
      <c r="B115">
        <v>10</v>
      </c>
      <c r="C115" t="s">
        <v>332</v>
      </c>
      <c r="D115" t="e">
        <f t="array" aca="1" ref="D115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5" t="e">
        <f t="array" aca="1" ref="E115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5" t="e">
        <f t="array" aca="1" ref="F115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5" t="e">
        <f t="array" aca="1" ref="G115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5" t="e">
        <f t="array" aca="1" ref="H115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5" t="e">
        <f t="array" aca="1" ref="I115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5" t="e">
        <f t="array" aca="1" ref="J115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5" s="48" t="e">
        <f t="shared" ca="1" si="3"/>
        <v>#REF!</v>
      </c>
      <c r="L115" s="48" t="e">
        <f ca="1">AVERAGE(Table2935[[#This Row],[Monday]:[Friday]])</f>
        <v>#REF!</v>
      </c>
      <c r="M115" s="47">
        <v>0.41666666666666669</v>
      </c>
    </row>
    <row r="116" spans="2:13" x14ac:dyDescent="0.25">
      <c r="B116">
        <v>11</v>
      </c>
      <c r="C116" t="s">
        <v>333</v>
      </c>
      <c r="D116" t="e">
        <f t="array" aca="1" ref="D116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6" t="e">
        <f t="array" aca="1" ref="E116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6" t="e">
        <f t="array" aca="1" ref="F116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6" t="e">
        <f t="array" aca="1" ref="G116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6" t="e">
        <f t="array" aca="1" ref="H116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6" t="e">
        <f t="array" aca="1" ref="I116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6" t="e">
        <f t="array" aca="1" ref="J116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6" s="48" t="e">
        <f t="shared" ca="1" si="3"/>
        <v>#REF!</v>
      </c>
      <c r="L116" s="48" t="e">
        <f ca="1">AVERAGE(Table2935[[#This Row],[Monday]:[Friday]])</f>
        <v>#REF!</v>
      </c>
      <c r="M116" s="47">
        <v>0.45833333333333331</v>
      </c>
    </row>
    <row r="117" spans="2:13" x14ac:dyDescent="0.25">
      <c r="B117">
        <v>12</v>
      </c>
      <c r="C117" t="s">
        <v>334</v>
      </c>
      <c r="D117" t="e">
        <f t="array" aca="1" ref="D117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7" t="e">
        <f t="array" aca="1" ref="E117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7" t="e">
        <f t="array" aca="1" ref="F117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7" t="e">
        <f t="array" aca="1" ref="G117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7" t="e">
        <f t="array" aca="1" ref="H117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7" t="e">
        <f t="array" aca="1" ref="I117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7" t="e">
        <f t="array" aca="1" ref="J117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7" s="48" t="e">
        <f t="shared" ca="1" si="3"/>
        <v>#REF!</v>
      </c>
      <c r="L117" s="48" t="e">
        <f ca="1">AVERAGE(Table2935[[#This Row],[Monday]:[Friday]])</f>
        <v>#REF!</v>
      </c>
      <c r="M117" s="47">
        <v>0.5</v>
      </c>
    </row>
    <row r="118" spans="2:13" x14ac:dyDescent="0.25">
      <c r="B118">
        <v>13</v>
      </c>
      <c r="C118" t="s">
        <v>335</v>
      </c>
      <c r="D118" t="e">
        <f t="array" aca="1" ref="D118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8" t="e">
        <f t="array" aca="1" ref="E118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8" t="e">
        <f t="array" aca="1" ref="F118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8" t="e">
        <f t="array" aca="1" ref="G118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8" t="e">
        <f t="array" aca="1" ref="H118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8" t="e">
        <f t="array" aca="1" ref="I118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8" t="e">
        <f t="array" aca="1" ref="J118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8" s="48" t="e">
        <f t="shared" ca="1" si="3"/>
        <v>#REF!</v>
      </c>
      <c r="L118" s="48" t="e">
        <f ca="1">AVERAGE(Table2935[[#This Row],[Monday]:[Friday]])</f>
        <v>#REF!</v>
      </c>
      <c r="M118" s="47">
        <v>0.54166666666666663</v>
      </c>
    </row>
    <row r="119" spans="2:13" x14ac:dyDescent="0.25">
      <c r="B119">
        <v>14</v>
      </c>
      <c r="C119" t="s">
        <v>336</v>
      </c>
      <c r="D119" t="e">
        <f t="array" aca="1" ref="D119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9" t="e">
        <f t="array" aca="1" ref="E119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9" t="e">
        <f t="array" aca="1" ref="F119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9" t="e">
        <f t="array" aca="1" ref="G119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9" t="e">
        <f t="array" aca="1" ref="H119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9" t="e">
        <f t="array" aca="1" ref="I119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9" t="e">
        <f t="array" aca="1" ref="J119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9" s="48" t="e">
        <f t="shared" ca="1" si="3"/>
        <v>#REF!</v>
      </c>
      <c r="L119" s="48" t="e">
        <f ca="1">AVERAGE(Table2935[[#This Row],[Monday]:[Friday]])</f>
        <v>#REF!</v>
      </c>
      <c r="M119" s="47">
        <v>0.58333333333333337</v>
      </c>
    </row>
    <row r="120" spans="2:13" x14ac:dyDescent="0.25">
      <c r="B120">
        <v>15</v>
      </c>
      <c r="C120" t="s">
        <v>337</v>
      </c>
      <c r="D120" t="e">
        <f t="array" aca="1" ref="D120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0" t="e">
        <f t="array" aca="1" ref="E120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0" t="e">
        <f t="array" aca="1" ref="F120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0" t="e">
        <f t="array" aca="1" ref="G120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0" t="e">
        <f t="array" aca="1" ref="H120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0" t="e">
        <f t="array" aca="1" ref="I120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0" t="e">
        <f t="array" aca="1" ref="J120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0" s="48" t="e">
        <f t="shared" ca="1" si="3"/>
        <v>#REF!</v>
      </c>
      <c r="L120" s="48" t="e">
        <f ca="1">AVERAGE(Table2935[[#This Row],[Monday]:[Friday]])</f>
        <v>#REF!</v>
      </c>
      <c r="M120" s="47">
        <v>0.625</v>
      </c>
    </row>
    <row r="121" spans="2:13" x14ac:dyDescent="0.25">
      <c r="B121">
        <v>16</v>
      </c>
      <c r="C121" t="s">
        <v>338</v>
      </c>
      <c r="D121" t="e">
        <f t="array" aca="1" ref="D121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1" t="e">
        <f t="array" aca="1" ref="E121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1" t="e">
        <f t="array" aca="1" ref="F121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1" t="e">
        <f t="array" aca="1" ref="G121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1" t="e">
        <f t="array" aca="1" ref="H121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1" t="e">
        <f t="array" aca="1" ref="I121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1" t="e">
        <f t="array" aca="1" ref="J121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1" s="48" t="e">
        <f t="shared" ca="1" si="3"/>
        <v>#REF!</v>
      </c>
      <c r="L121" s="48" t="e">
        <f ca="1">AVERAGE(Table2935[[#This Row],[Monday]:[Friday]])</f>
        <v>#REF!</v>
      </c>
      <c r="M121" s="47">
        <v>0.66666666666666663</v>
      </c>
    </row>
    <row r="122" spans="2:13" x14ac:dyDescent="0.25">
      <c r="B122">
        <v>17</v>
      </c>
      <c r="C122" t="s">
        <v>339</v>
      </c>
      <c r="D122" t="e">
        <f t="array" aca="1" ref="D122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2" t="e">
        <f t="array" aca="1" ref="E122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2" t="e">
        <f t="array" aca="1" ref="F122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2" t="e">
        <f t="array" aca="1" ref="G122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2" t="e">
        <f t="array" aca="1" ref="H122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2" t="e">
        <f t="array" aca="1" ref="I122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2" t="e">
        <f t="array" aca="1" ref="J122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2" s="48" t="e">
        <f t="shared" ca="1" si="3"/>
        <v>#REF!</v>
      </c>
      <c r="L122" s="48" t="e">
        <f ca="1">AVERAGE(Table2935[[#This Row],[Monday]:[Friday]])</f>
        <v>#REF!</v>
      </c>
      <c r="M122" s="47">
        <v>0.70833333333333337</v>
      </c>
    </row>
    <row r="123" spans="2:13" x14ac:dyDescent="0.25">
      <c r="B123">
        <v>18</v>
      </c>
      <c r="C123" t="s">
        <v>340</v>
      </c>
      <c r="D123" t="e">
        <f t="array" aca="1" ref="D123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3" t="e">
        <f t="array" aca="1" ref="E123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3" t="e">
        <f t="array" aca="1" ref="F123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3" t="e">
        <f t="array" aca="1" ref="G123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3" t="e">
        <f t="array" aca="1" ref="H123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3" t="e">
        <f t="array" aca="1" ref="I123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3" t="e">
        <f t="array" aca="1" ref="J123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3" s="48" t="e">
        <f t="shared" ca="1" si="3"/>
        <v>#REF!</v>
      </c>
      <c r="L123" s="48" t="e">
        <f ca="1">AVERAGE(Table2935[[#This Row],[Monday]:[Friday]])</f>
        <v>#REF!</v>
      </c>
      <c r="M123" s="47">
        <v>0.75</v>
      </c>
    </row>
    <row r="124" spans="2:13" x14ac:dyDescent="0.25">
      <c r="B124">
        <v>19</v>
      </c>
      <c r="C124" t="s">
        <v>341</v>
      </c>
      <c r="D124" t="e">
        <f t="array" aca="1" ref="D124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4" t="e">
        <f t="array" aca="1" ref="E124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4" t="e">
        <f t="array" aca="1" ref="F124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4" t="e">
        <f t="array" aca="1" ref="G124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4" t="e">
        <f t="array" aca="1" ref="H124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4" t="e">
        <f t="array" aca="1" ref="I124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4" t="e">
        <f t="array" aca="1" ref="J124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4" s="48" t="e">
        <f t="shared" ca="1" si="3"/>
        <v>#REF!</v>
      </c>
      <c r="L124" s="48" t="e">
        <f ca="1">AVERAGE(Table2935[[#This Row],[Monday]:[Friday]])</f>
        <v>#REF!</v>
      </c>
      <c r="M124" s="47">
        <v>0.79166666666666663</v>
      </c>
    </row>
    <row r="125" spans="2:13" x14ac:dyDescent="0.25">
      <c r="B125">
        <v>20</v>
      </c>
      <c r="C125" t="s">
        <v>342</v>
      </c>
      <c r="D125" t="e">
        <f t="array" aca="1" ref="D125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5" t="e">
        <f t="array" aca="1" ref="E125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5" t="e">
        <f t="array" aca="1" ref="F125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5" t="e">
        <f t="array" aca="1" ref="G125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5" t="e">
        <f t="array" aca="1" ref="H125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5" t="e">
        <f t="array" aca="1" ref="I125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5" t="e">
        <f t="array" aca="1" ref="J125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5" s="48" t="e">
        <f t="shared" ca="1" si="3"/>
        <v>#REF!</v>
      </c>
      <c r="L125" s="48" t="e">
        <f ca="1">AVERAGE(Table2935[[#This Row],[Monday]:[Friday]])</f>
        <v>#REF!</v>
      </c>
      <c r="M125" s="47">
        <v>0.83333333333333337</v>
      </c>
    </row>
    <row r="126" spans="2:13" x14ac:dyDescent="0.25">
      <c r="B126">
        <v>21</v>
      </c>
      <c r="C126" t="s">
        <v>343</v>
      </c>
      <c r="D126" t="e">
        <f t="array" aca="1" ref="D126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6" t="e">
        <f t="array" aca="1" ref="E126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6" t="e">
        <f t="array" aca="1" ref="F126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6" t="e">
        <f t="array" aca="1" ref="G126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6" t="e">
        <f t="array" aca="1" ref="H126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6" t="e">
        <f t="array" aca="1" ref="I126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6" t="e">
        <f t="array" aca="1" ref="J126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6" s="48" t="e">
        <f t="shared" ca="1" si="3"/>
        <v>#REF!</v>
      </c>
      <c r="L126" s="48" t="e">
        <f ca="1">AVERAGE(Table2935[[#This Row],[Monday]:[Friday]])</f>
        <v>#REF!</v>
      </c>
      <c r="M126" s="47">
        <v>0.875</v>
      </c>
    </row>
    <row r="127" spans="2:13" x14ac:dyDescent="0.25">
      <c r="B127">
        <v>22</v>
      </c>
      <c r="C127" t="s">
        <v>344</v>
      </c>
      <c r="D127" t="e">
        <f t="array" aca="1" ref="D127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7" t="e">
        <f t="array" aca="1" ref="E127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7" t="e">
        <f t="array" aca="1" ref="F127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7" t="e">
        <f t="array" aca="1" ref="G127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7" t="e">
        <f t="array" aca="1" ref="H127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7" t="e">
        <f t="array" aca="1" ref="I127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7" t="e">
        <f t="array" aca="1" ref="J127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7" s="48" t="e">
        <f t="shared" ca="1" si="3"/>
        <v>#REF!</v>
      </c>
      <c r="L127" s="48" t="e">
        <f ca="1">AVERAGE(Table2935[[#This Row],[Monday]:[Friday]])</f>
        <v>#REF!</v>
      </c>
      <c r="M127" s="47">
        <v>0.91666666666666663</v>
      </c>
    </row>
    <row r="128" spans="2:13" x14ac:dyDescent="0.25">
      <c r="B128">
        <v>23</v>
      </c>
      <c r="C128" t="s">
        <v>345</v>
      </c>
      <c r="D128" t="e">
        <f t="array" aca="1" ref="D128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8" t="e">
        <f t="array" aca="1" ref="E128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8" t="e">
        <f t="array" aca="1" ref="F128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8" t="e">
        <f t="array" aca="1" ref="G128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8" t="e">
        <f t="array" aca="1" ref="H128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8" t="e">
        <f t="array" aca="1" ref="I128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8" t="e">
        <f t="array" aca="1" ref="J128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8" s="48" t="e">
        <f t="shared" ca="1" si="3"/>
        <v>#REF!</v>
      </c>
      <c r="L128" s="48" t="e">
        <f ca="1">AVERAGE(Table2935[[#This Row],[Monday]:[Friday]])</f>
        <v>#REF!</v>
      </c>
      <c r="M128" s="47">
        <v>0.95833333333333337</v>
      </c>
    </row>
    <row r="129" spans="2:13" x14ac:dyDescent="0.25">
      <c r="B129">
        <v>25</v>
      </c>
      <c r="C129" t="s">
        <v>346</v>
      </c>
      <c r="D129" t="e">
        <f t="array" aca="1" ref="D129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9" t="e">
        <f t="array" aca="1" ref="E129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9" t="e">
        <f t="array" aca="1" ref="F129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9" t="e">
        <f t="array" aca="1" ref="G129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9" t="e">
        <f t="array" aca="1" ref="H129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9" t="e">
        <f t="array" aca="1" ref="I129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9" t="e">
        <f t="array" aca="1" ref="J129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9" s="48" t="e">
        <f t="shared" ca="1" si="3"/>
        <v>#REF!</v>
      </c>
      <c r="L129" s="48" t="e">
        <f ca="1">AVERAGE(Table2935[[#This Row],[Monday]:[Friday]])</f>
        <v>#REF!</v>
      </c>
      <c r="M129" t="s">
        <v>346</v>
      </c>
    </row>
    <row r="130" spans="2:13" x14ac:dyDescent="0.25">
      <c r="B130" t="s">
        <v>363</v>
      </c>
      <c r="D130" t="e">
        <f ca="1">SUBTOTAL(109,Table2935[Sunday])</f>
        <v>#REF!</v>
      </c>
      <c r="E130" t="e">
        <f ca="1">SUBTOTAL(109,Table2935[Monday])</f>
        <v>#REF!</v>
      </c>
      <c r="F130" t="e">
        <f ca="1">SUBTOTAL(109,Table2935[Tuesday])</f>
        <v>#REF!</v>
      </c>
      <c r="G130" t="e">
        <f ca="1">SUBTOTAL(109,Table2935[Wednesday])</f>
        <v>#REF!</v>
      </c>
      <c r="H130" t="e">
        <f ca="1">SUBTOTAL(109,Table2935[Thursday])</f>
        <v>#REF!</v>
      </c>
      <c r="I130" t="e">
        <f ca="1">SUBTOTAL(109,Table2935[Friday])</f>
        <v>#REF!</v>
      </c>
      <c r="J130" t="e">
        <f ca="1">SUBTOTAL(109,Table2935[Saturday])</f>
        <v>#REF!</v>
      </c>
      <c r="K130" s="48" t="e">
        <f ca="1">SUBTOTAL(101,Table2935[Average Weekend])</f>
        <v>#REF!</v>
      </c>
      <c r="L130" s="48" t="e">
        <f ca="1">SUBTOTAL(101,Table2935[Average Weekday])</f>
        <v>#REF!</v>
      </c>
    </row>
    <row r="132" spans="2:13" x14ac:dyDescent="0.25">
      <c r="C132" s="55" t="s">
        <v>361</v>
      </c>
    </row>
    <row r="133" spans="2:13" x14ac:dyDescent="0.25">
      <c r="C133" s="55" t="s">
        <v>364</v>
      </c>
    </row>
    <row r="134" spans="2:13" x14ac:dyDescent="0.25">
      <c r="C134" s="55" t="s">
        <v>365</v>
      </c>
    </row>
    <row r="135" spans="2:13" x14ac:dyDescent="0.25">
      <c r="C135" s="55" t="s">
        <v>366</v>
      </c>
    </row>
    <row r="154" spans="2:10" x14ac:dyDescent="0.25">
      <c r="B154" s="39" t="s">
        <v>367</v>
      </c>
      <c r="G154" s="104" t="str">
        <f>IF(OR(C101=C132,C101=C133),C132,C134)</f>
        <v>Pedalcyclist-Involved Crashes</v>
      </c>
      <c r="H154" s="105"/>
      <c r="I154" s="104" t="str">
        <f>G154&amp;": Fatal/Severe Injury"</f>
        <v>Pedalcyclist-Involved Crashes: Fatal/Severe Injury</v>
      </c>
      <c r="J154" s="105"/>
    </row>
    <row r="155" spans="2:10" x14ac:dyDescent="0.25">
      <c r="B155" s="50" t="s">
        <v>368</v>
      </c>
      <c r="C155" s="50" t="s">
        <v>48</v>
      </c>
      <c r="D155" s="50" t="s">
        <v>49</v>
      </c>
      <c r="E155" s="50" t="s">
        <v>135</v>
      </c>
      <c r="F155" s="14" t="s">
        <v>52</v>
      </c>
      <c r="G155" s="50" t="s">
        <v>53</v>
      </c>
      <c r="H155" s="50" t="s">
        <v>47</v>
      </c>
      <c r="I155" s="50" t="s">
        <v>46</v>
      </c>
      <c r="J155" s="50" t="s">
        <v>60</v>
      </c>
    </row>
    <row r="156" spans="2:10" x14ac:dyDescent="0.25">
      <c r="B156" t="s">
        <v>369</v>
      </c>
      <c r="C156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6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6" t="e">
        <f t="array" aca="1" ref="E156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6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6" t="e">
        <f ca="1">SUM(Table1036[[#This Row],[Fatal]:[PDO]])</f>
        <v>#REF!</v>
      </c>
      <c r="H156" s="69" t="e">
        <f ca="1">Table1036[[#This Row],[Total]]/Table1036[[#Totals],[Total]]</f>
        <v>#REF!</v>
      </c>
      <c r="I156" t="e">
        <f ca="1">SUM(Table1036[[#This Row],[Fatal]:[Severe Injury]])</f>
        <v>#REF!</v>
      </c>
      <c r="J156" s="69" t="e">
        <f ca="1">Table1036[[#This Row],[Crash Count]]/Table1036[[#Totals],[Crash Count]]</f>
        <v>#REF!</v>
      </c>
    </row>
    <row r="157" spans="2:10" x14ac:dyDescent="0.25">
      <c r="B157" t="s">
        <v>370</v>
      </c>
      <c r="C157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7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7" t="e">
        <f t="array" aca="1" ref="E157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7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7" t="e">
        <f ca="1">SUM(Table1036[[#This Row],[Fatal]:[PDO]])</f>
        <v>#REF!</v>
      </c>
      <c r="H157" s="69" t="e">
        <f ca="1">Table1036[[#This Row],[Total]]/Table1036[[#Totals],[Total]]</f>
        <v>#REF!</v>
      </c>
      <c r="I157" t="e">
        <f ca="1">SUM(Table1036[[#This Row],[Fatal]:[Severe Injury]])</f>
        <v>#REF!</v>
      </c>
      <c r="J157" s="69" t="e">
        <f ca="1">Table1036[[#This Row],[Crash Count]]/Table1036[[#Totals],[Crash Count]]</f>
        <v>#REF!</v>
      </c>
    </row>
    <row r="158" spans="2:10" x14ac:dyDescent="0.25">
      <c r="B158" t="s">
        <v>371</v>
      </c>
      <c r="C158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8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8" t="e">
        <f t="array" aca="1" ref="E158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8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8" t="e">
        <f ca="1">SUM(Table1036[[#This Row],[Fatal]:[PDO]])</f>
        <v>#REF!</v>
      </c>
      <c r="H158" s="69" t="e">
        <f ca="1">Table1036[[#This Row],[Total]]/Table1036[[#Totals],[Total]]</f>
        <v>#REF!</v>
      </c>
      <c r="I158" t="e">
        <f ca="1">SUM(Table1036[[#This Row],[Fatal]:[Severe Injury]])</f>
        <v>#REF!</v>
      </c>
      <c r="J158" s="69" t="e">
        <f ca="1">Table1036[[#This Row],[Crash Count]]/Table1036[[#Totals],[Crash Count]]</f>
        <v>#REF!</v>
      </c>
    </row>
    <row r="159" spans="2:10" x14ac:dyDescent="0.25">
      <c r="B159" t="s">
        <v>372</v>
      </c>
      <c r="C159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9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9" t="e">
        <f t="array" aca="1" ref="E159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9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9" t="e">
        <f ca="1">SUM(Table1036[[#This Row],[Fatal]:[PDO]])</f>
        <v>#REF!</v>
      </c>
      <c r="H159" s="69" t="e">
        <f ca="1">Table1036[[#This Row],[Total]]/Table1036[[#Totals],[Total]]</f>
        <v>#REF!</v>
      </c>
      <c r="I159" t="e">
        <f ca="1">SUM(Table1036[[#This Row],[Fatal]:[Severe Injury]])</f>
        <v>#REF!</v>
      </c>
      <c r="J159" s="69" t="e">
        <f ca="1">Table1036[[#This Row],[Crash Count]]/Table1036[[#Totals],[Crash Count]]</f>
        <v>#REF!</v>
      </c>
    </row>
    <row r="160" spans="2:10" x14ac:dyDescent="0.25">
      <c r="B160" t="s">
        <v>373</v>
      </c>
      <c r="C160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60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60" t="e">
        <f t="array" aca="1" ref="E160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60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60" t="e">
        <f ca="1">SUM(Table1036[[#This Row],[Fatal]:[PDO]])</f>
        <v>#REF!</v>
      </c>
      <c r="H160" s="69" t="e">
        <f ca="1">Table1036[[#This Row],[Total]]/Table1036[[#Totals],[Total]]</f>
        <v>#REF!</v>
      </c>
      <c r="I160" t="e">
        <f ca="1">SUM(Table1036[[#This Row],[Fatal]:[Severe Injury]])</f>
        <v>#REF!</v>
      </c>
      <c r="J160" s="69" t="e">
        <f ca="1">Table1036[[#This Row],[Crash Count]]/Table1036[[#Totals],[Crash Count]]</f>
        <v>#REF!</v>
      </c>
    </row>
    <row r="161" spans="2:10" x14ac:dyDescent="0.25">
      <c r="B161" t="s">
        <v>346</v>
      </c>
      <c r="C161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61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61" t="e">
        <f t="array" aca="1" ref="E161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61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61" t="e">
        <f ca="1">SUM(Table1036[[#This Row],[Fatal]:[PDO]])</f>
        <v>#REF!</v>
      </c>
      <c r="H161" s="69" t="e">
        <f ca="1">Table1036[[#This Row],[Total]]/Table1036[[#Totals],[Total]]</f>
        <v>#REF!</v>
      </c>
      <c r="I161" t="e">
        <f ca="1">SUM(Table1036[[#This Row],[Fatal]:[Severe Injury]])</f>
        <v>#REF!</v>
      </c>
      <c r="J161" s="69" t="e">
        <f ca="1">Table1036[[#This Row],[Crash Count]]/Table1036[[#Totals],[Crash Count]]</f>
        <v>#REF!</v>
      </c>
    </row>
    <row r="162" spans="2:10" x14ac:dyDescent="0.25">
      <c r="B162" t="s">
        <v>53</v>
      </c>
      <c r="C162" t="e">
        <f ca="1">SUBTOTAL(109,Table1036[Fatal])</f>
        <v>#REF!</v>
      </c>
      <c r="D162" t="e">
        <f ca="1">SUBTOTAL(109,Table1036[Severe Injury])</f>
        <v>#REF!</v>
      </c>
      <c r="E162" t="e">
        <f ca="1">SUBTOTAL(109,Table1036[Other Injury])</f>
        <v>#REF!</v>
      </c>
      <c r="F162" t="e">
        <f ca="1">SUBTOTAL(109,Table1036[PDO])</f>
        <v>#REF!</v>
      </c>
      <c r="G162" t="e">
        <f ca="1">SUBTOTAL(109,Table1036[Total])</f>
        <v>#REF!</v>
      </c>
      <c r="H162" s="82" t="e">
        <f ca="1">SUBTOTAL(109,Table1036[Crash Share])</f>
        <v>#REF!</v>
      </c>
      <c r="I162" t="e">
        <f ca="1">SUBTOTAL(109,Table1036[Crash Count])</f>
        <v>#REF!</v>
      </c>
      <c r="J162" s="82" t="e">
        <f ca="1">SUBTOTAL(109,Table1036[Crash Share2])</f>
        <v>#REF!</v>
      </c>
    </row>
  </sheetData>
  <mergeCells count="9">
    <mergeCell ref="I11:J11"/>
    <mergeCell ref="B11:E11"/>
    <mergeCell ref="D103:M103"/>
    <mergeCell ref="I154:J154"/>
    <mergeCell ref="G154:H154"/>
    <mergeCell ref="B42:E42"/>
    <mergeCell ref="I42:J42"/>
    <mergeCell ref="B60:E60"/>
    <mergeCell ref="I60:J60"/>
  </mergeCells>
  <conditionalFormatting sqref="D105:J129">
    <cfRule type="colorScale" priority="1">
      <colorScale>
        <cfvo type="min"/>
        <cfvo type="max"/>
        <color rgb="FFFCFCFF"/>
        <color rgb="FFF8696B"/>
      </colorScale>
    </cfRule>
  </conditionalFormatting>
  <dataValidations disablePrompts="1" count="2">
    <dataValidation type="list" showInputMessage="1" showErrorMessage="1" sqref="C103" xr:uid="{00000000-0002-0000-0600-000000000000}">
      <formula1>$C$122:$C$128</formula1>
    </dataValidation>
    <dataValidation type="list" showInputMessage="1" showErrorMessage="1" sqref="C101" xr:uid="{00000000-0002-0000-0600-000001000000}">
      <formula1>$C$132:$C$135</formula1>
    </dataValidation>
  </dataValidations>
  <pageMargins left="0.7" right="0.7" top="0.75" bottom="0.75" header="0.3" footer="0.3"/>
  <pageSetup orientation="portrait"/>
  <drawing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B2:K34"/>
  <sheetViews>
    <sheetView tabSelected="1" zoomScale="85" zoomScaleNormal="85" workbookViewId="0">
      <selection activeCell="H32" sqref="H32"/>
    </sheetView>
  </sheetViews>
  <sheetFormatPr defaultRowHeight="15" x14ac:dyDescent="0.25"/>
  <cols>
    <col min="1" max="1" width="3.28515625" customWidth="1"/>
    <col min="2" max="2" width="34.140625" bestFit="1" customWidth="1"/>
    <col min="3" max="3" width="18" bestFit="1" customWidth="1"/>
    <col min="4" max="4" width="16.85546875" bestFit="1" customWidth="1"/>
    <col min="5" max="5" width="16" bestFit="1" customWidth="1"/>
    <col min="6" max="7" width="20.28515625" bestFit="1" customWidth="1"/>
    <col min="8" max="9" width="15.7109375" bestFit="1" customWidth="1"/>
    <col min="10" max="10" width="16.7109375" bestFit="1" customWidth="1"/>
    <col min="11" max="11" width="11.85546875" bestFit="1" customWidth="1"/>
  </cols>
  <sheetData>
    <row r="2" spans="2:11" x14ac:dyDescent="0.25">
      <c r="B2" s="80" t="s">
        <v>41</v>
      </c>
    </row>
    <row r="3" spans="2:11" x14ac:dyDescent="0.25">
      <c r="B3" s="95" t="s">
        <v>374</v>
      </c>
      <c r="C3" s="96">
        <f>COI!E14</f>
        <v>0</v>
      </c>
    </row>
    <row r="4" spans="2:11" x14ac:dyDescent="0.25">
      <c r="B4" s="95" t="s">
        <v>375</v>
      </c>
      <c r="C4" s="96">
        <f>COI!E15</f>
        <v>0</v>
      </c>
      <c r="D4" s="49"/>
    </row>
    <row r="5" spans="2:11" x14ac:dyDescent="0.25">
      <c r="B5" s="95" t="s">
        <v>376</v>
      </c>
      <c r="C5" s="96">
        <f>COI!E16</f>
        <v>0</v>
      </c>
    </row>
    <row r="6" spans="2:11" x14ac:dyDescent="0.25">
      <c r="B6" s="95" t="s">
        <v>377</v>
      </c>
      <c r="C6" s="96">
        <f>COI!E17</f>
        <v>0</v>
      </c>
    </row>
    <row r="8" spans="2:11" x14ac:dyDescent="0.25">
      <c r="B8" s="80" t="s">
        <v>378</v>
      </c>
    </row>
    <row r="9" spans="2:11" x14ac:dyDescent="0.25">
      <c r="I9" s="104" t="s">
        <v>88</v>
      </c>
      <c r="J9" s="105"/>
    </row>
    <row r="10" spans="2:11" s="50" customFormat="1" x14ac:dyDescent="0.25">
      <c r="B10" s="50" t="s">
        <v>379</v>
      </c>
      <c r="C10" s="50" t="s">
        <v>380</v>
      </c>
      <c r="D10" s="50" t="s">
        <v>48</v>
      </c>
      <c r="E10" s="50" t="s">
        <v>49</v>
      </c>
      <c r="F10" s="50" t="s">
        <v>135</v>
      </c>
      <c r="G10" s="50" t="s">
        <v>52</v>
      </c>
      <c r="H10" s="50" t="s">
        <v>53</v>
      </c>
      <c r="I10" s="50" t="s">
        <v>47</v>
      </c>
      <c r="J10" s="50" t="s">
        <v>46</v>
      </c>
      <c r="K10" s="50" t="s">
        <v>60</v>
      </c>
    </row>
    <row r="11" spans="2:11" x14ac:dyDescent="0.25">
      <c r="B11">
        <v>1</v>
      </c>
      <c r="C11" t="s">
        <v>380</v>
      </c>
      <c r="D11" t="e">
        <f ca="1">SUM((COUNTIFS(INDIRECT("Collision!"&amp;'Drvr Cond'!$C$3&amp;":"&amp;'Drvr Cond'!$C$3),$B11,INDIRECT("Collision!"&amp;Severity!$C$3&amp;":"&amp;Severity!$C$3),D$10)))</f>
        <v>#REF!</v>
      </c>
      <c r="E11" t="e">
        <f ca="1">SUM((COUNTIFS(INDIRECT("Collision!"&amp;'Drvr Cond'!$C$3&amp;":"&amp;'Drvr Cond'!$C$3),$B11,INDIRECT("Collision!"&amp;Severity!$C$3&amp;":"&amp;Severity!$C$3),E$10)))</f>
        <v>#REF!</v>
      </c>
      <c r="F11" t="e">
        <f t="array" aca="1" ref="F11" ca="1">SUM((COUNTIFS(INDIRECT("Collision!"&amp;'Drvr Cond'!$C$3&amp;":"&amp;'Drvr Cond'!$C$3),$B11,INDIRECT("Collision!"&amp;Severity!$C$3&amp;":"&amp;Severity!$C$3),{"Moderate Injury","Minor Injury"})))</f>
        <v>#REF!</v>
      </c>
      <c r="G11" t="e">
        <f ca="1">SUM((COUNTIFS(INDIRECT("Collision!"&amp;'Drvr Cond'!$C$3&amp;":"&amp;'Drvr Cond'!$C$3),$B11,INDIRECT("Collision!"&amp;Severity!$C$3&amp;":"&amp;Severity!$C$3),G$10)))</f>
        <v>#REF!</v>
      </c>
      <c r="H11" t="e">
        <f ca="1">SUM(Table27[[#This Row],[Fatal]:[PDO]])</f>
        <v>#REF!</v>
      </c>
      <c r="I11" s="69" t="e">
        <f ca="1">Table27[[#This Row],[Total]]/Table27[[#Totals],[Total]]</f>
        <v>#REF!</v>
      </c>
      <c r="J11" t="e">
        <f ca="1">SUM(Table27[[#This Row],[Fatal]:[Severe Injury]])</f>
        <v>#REF!</v>
      </c>
      <c r="K11" s="69" t="e">
        <f ca="1">Table27[[#This Row],[Crash Count]]/Table27[[#Totals],[Crash Count]]</f>
        <v>#REF!</v>
      </c>
    </row>
    <row r="12" spans="2:11" x14ac:dyDescent="0.25">
      <c r="B12">
        <v>0</v>
      </c>
      <c r="C12" t="s">
        <v>381</v>
      </c>
      <c r="D12" t="e">
        <f ca="1">SUM((COUNTIFS(INDIRECT("Collision!"&amp;'Drvr Cond'!$C$3&amp;":"&amp;'Drvr Cond'!$C$3),$B12,INDIRECT("Collision!"&amp;Severity!$C$3&amp;":"&amp;Severity!$C$3),D$10)))</f>
        <v>#REF!</v>
      </c>
      <c r="E12" t="e">
        <f ca="1">SUM((COUNTIFS(INDIRECT("Collision!"&amp;'Drvr Cond'!$C$3&amp;":"&amp;'Drvr Cond'!$C$3),$B12,INDIRECT("Collision!"&amp;Severity!$C$3&amp;":"&amp;Severity!$C$3),E$10)))</f>
        <v>#REF!</v>
      </c>
      <c r="F12" t="e">
        <f t="array" aca="1" ref="F12" ca="1">SUM((COUNTIFS(INDIRECT("Collision!"&amp;'Drvr Cond'!$C$3&amp;":"&amp;'Drvr Cond'!$C$3),$B12,INDIRECT("Collision!"&amp;Severity!$C$3&amp;":"&amp;Severity!$C$3),{"Moderate Injury","Minor Injury"})))</f>
        <v>#REF!</v>
      </c>
      <c r="G12" t="e">
        <f ca="1">SUM((COUNTIFS(INDIRECT("Collision!"&amp;'Drvr Cond'!$C$3&amp;":"&amp;'Drvr Cond'!$C$3),$B12,INDIRECT("Collision!"&amp;Severity!$C$3&amp;":"&amp;Severity!$C$3),G$10)))</f>
        <v>#REF!</v>
      </c>
      <c r="H12" t="e">
        <f ca="1">SUM(Table27[[#This Row],[Fatal]:[PDO]])</f>
        <v>#REF!</v>
      </c>
      <c r="I12" s="69" t="e">
        <f ca="1">Table27[[#This Row],[Total]]/Table27[[#Totals],[Total]]</f>
        <v>#REF!</v>
      </c>
      <c r="J12" t="e">
        <f ca="1">SUM(Table27[[#This Row],[Fatal]:[Severe Injury]])</f>
        <v>#REF!</v>
      </c>
      <c r="K12" s="69" t="e">
        <f ca="1">Table27[[#This Row],[Crash Count]]/Table27[[#Totals],[Crash Count]]</f>
        <v>#REF!</v>
      </c>
    </row>
    <row r="13" spans="2:11" x14ac:dyDescent="0.25">
      <c r="B13" t="s">
        <v>53</v>
      </c>
      <c r="D13" t="e">
        <f ca="1">SUBTOTAL(109,Table27[Fatal])</f>
        <v>#REF!</v>
      </c>
      <c r="E13" t="e">
        <f ca="1">SUBTOTAL(109,Table27[Severe Injury])</f>
        <v>#REF!</v>
      </c>
      <c r="F13" t="e">
        <f ca="1">SUBTOTAL(109,Table27[Other Injury])</f>
        <v>#REF!</v>
      </c>
      <c r="G13" t="e">
        <f ca="1">SUBTOTAL(109,Table27[PDO])</f>
        <v>#REF!</v>
      </c>
      <c r="H13" t="e">
        <f ca="1">SUBTOTAL(109,Table27[Total])</f>
        <v>#REF!</v>
      </c>
      <c r="I13" s="82" t="e">
        <f ca="1">SUBTOTAL(109,Table27[Crash Share])</f>
        <v>#REF!</v>
      </c>
      <c r="J13" t="e">
        <f ca="1">SUBTOTAL(109,Table27[Crash Count])</f>
        <v>#REF!</v>
      </c>
      <c r="K13" s="82" t="e">
        <f ca="1">SUBTOTAL(109,Table27[Crash Share2])</f>
        <v>#REF!</v>
      </c>
    </row>
    <row r="15" spans="2:11" x14ac:dyDescent="0.25">
      <c r="B15" s="80" t="s">
        <v>382</v>
      </c>
    </row>
    <row r="16" spans="2:11" x14ac:dyDescent="0.25">
      <c r="J16" s="104" t="s">
        <v>88</v>
      </c>
      <c r="K16" s="105"/>
    </row>
    <row r="17" spans="2:11" x14ac:dyDescent="0.25">
      <c r="B17" s="53" t="s">
        <v>383</v>
      </c>
      <c r="C17" s="53" t="s">
        <v>384</v>
      </c>
      <c r="D17" s="50" t="s">
        <v>48</v>
      </c>
      <c r="E17" s="50" t="s">
        <v>49</v>
      </c>
      <c r="F17" s="50" t="s">
        <v>135</v>
      </c>
      <c r="G17" s="50" t="s">
        <v>52</v>
      </c>
      <c r="H17" s="53" t="s">
        <v>46</v>
      </c>
      <c r="I17" s="53" t="s">
        <v>47</v>
      </c>
      <c r="J17" s="50" t="s">
        <v>59</v>
      </c>
      <c r="K17" s="50" t="s">
        <v>60</v>
      </c>
    </row>
    <row r="18" spans="2:11" x14ac:dyDescent="0.25">
      <c r="B18" s="52">
        <v>1</v>
      </c>
      <c r="C18" s="52" t="s">
        <v>385</v>
      </c>
      <c r="D18" s="52" t="e">
        <f ca="1">SUM((COUNTIFS(INDIRECT("Collision!"&amp;'Drvr Cond'!$C$4&amp;":"&amp;'Drvr Cond'!$C$4),$B18,INDIRECT("Collision!"&amp;Severity!$C$3&amp;":"&amp;Severity!$C$3),D$17)))</f>
        <v>#REF!</v>
      </c>
      <c r="E18" s="52" t="e">
        <f ca="1">SUM((COUNTIFS(INDIRECT("Collision!"&amp;'Drvr Cond'!$C$4&amp;":"&amp;'Drvr Cond'!$C$4),$B18,INDIRECT("Collision!"&amp;Severity!$C$3&amp;":"&amp;Severity!$C$3),E$17)))</f>
        <v>#REF!</v>
      </c>
      <c r="F18" s="52" t="e">
        <f t="array" aca="1" ref="F18" ca="1">SUM((COUNTIFS(INDIRECT("Collision!"&amp;'Drvr Cond'!$C$4&amp;":"&amp;'Drvr Cond'!$C$4),$B18,INDIRECT("Collision!"&amp;Severity!$C$3&amp;":"&amp;Severity!$C$3),{"Moderate Injury","Minor Injury"})))</f>
        <v>#REF!</v>
      </c>
      <c r="G18" s="52" t="e">
        <f ca="1">SUM((COUNTIFS(INDIRECT("Collision!"&amp;'Drvr Cond'!$C$4&amp;":"&amp;'Drvr Cond'!$C$4),$B18,INDIRECT("Collision!"&amp;Severity!$C$3&amp;":"&amp;Severity!$C$3),G$17)))</f>
        <v>#REF!</v>
      </c>
      <c r="H18" s="52" t="e">
        <f ca="1">COUNTIF(INDIRECT("Collision!"&amp;'Drvr Cond'!$C$4&amp;":"&amp;'Drvr Cond'!$C$4),Table31[[#This Row],[Equipment Flag]])</f>
        <v>#REF!</v>
      </c>
      <c r="I18" s="92" t="e">
        <f ca="1">Table31[[#This Row],[Crash Count]]/Table31[[#Totals],[Crash Count]]</f>
        <v>#REF!</v>
      </c>
      <c r="J18" s="52" t="e">
        <f ca="1">SUM(Table31[[#This Row],[Fatal]:[Severe Injury]])</f>
        <v>#REF!</v>
      </c>
      <c r="K18" s="92" t="e">
        <f ca="1">Table31[[#This Row],[Crash Count2]]/Table31[[#Totals],[Crash Count2]]</f>
        <v>#REF!</v>
      </c>
    </row>
    <row r="19" spans="2:11" x14ac:dyDescent="0.25">
      <c r="B19" s="52">
        <v>0</v>
      </c>
      <c r="C19" s="52" t="s">
        <v>384</v>
      </c>
      <c r="D19" s="52" t="e">
        <f ca="1">SUM((COUNTIFS(INDIRECT("Collision!"&amp;'Drvr Cond'!$C$4&amp;":"&amp;'Drvr Cond'!$C$4),$B19,INDIRECT("Collision!"&amp;Severity!$C$3&amp;":"&amp;Severity!$C$3),D$17)))</f>
        <v>#REF!</v>
      </c>
      <c r="E19" s="54" t="e">
        <f ca="1">SUM((COUNTIFS(INDIRECT("Collision!"&amp;'Drvr Cond'!$C$4&amp;":"&amp;'Drvr Cond'!$C$4),$B19,INDIRECT("Collision!"&amp;Severity!$C$3&amp;":"&amp;Severity!$C$3),E$17)))</f>
        <v>#REF!</v>
      </c>
      <c r="F19" s="52" t="e">
        <f t="array" aca="1" ref="F19" ca="1">SUM((COUNTIFS(INDIRECT("Collision!"&amp;'Drvr Cond'!$C$4&amp;":"&amp;'Drvr Cond'!$C$4),$B19,INDIRECT("Collision!"&amp;Severity!$C$3&amp;":"&amp;Severity!$C$3),{"Moderate Injury","Minor Injury"})))</f>
        <v>#REF!</v>
      </c>
      <c r="G19" s="52" t="e">
        <f ca="1">SUM((COUNTIFS(INDIRECT("Collision!"&amp;'Drvr Cond'!$C$4&amp;":"&amp;'Drvr Cond'!$C$4),$B19,INDIRECT("Collision!"&amp;Severity!$C$3&amp;":"&amp;Severity!$C$3),G$17)))</f>
        <v>#REF!</v>
      </c>
      <c r="H19" s="52" t="e">
        <f ca="1">COUNTIF(INDIRECT("Collision!"&amp;'Drvr Cond'!$C$4&amp;":"&amp;'Drvr Cond'!$C$4),Table31[[#This Row],[Equipment Flag]])</f>
        <v>#REF!</v>
      </c>
      <c r="I19" s="92" t="e">
        <f ca="1">Table31[[#This Row],[Crash Count]]/Table31[[#Totals],[Crash Count]]</f>
        <v>#REF!</v>
      </c>
      <c r="J19" s="52" t="e">
        <f ca="1">SUM(Table31[[#This Row],[Fatal]:[Severe Injury]])</f>
        <v>#REF!</v>
      </c>
      <c r="K19" s="92" t="e">
        <f ca="1">Table31[[#This Row],[Crash Count2]]/Table31[[#Totals],[Crash Count2]]</f>
        <v>#REF!</v>
      </c>
    </row>
    <row r="20" spans="2:11" x14ac:dyDescent="0.25">
      <c r="B20" t="s">
        <v>53</v>
      </c>
      <c r="D20" t="e">
        <f ca="1">SUBTOTAL(109,Table31[Fatal])</f>
        <v>#REF!</v>
      </c>
      <c r="E20" t="e">
        <f ca="1">SUBTOTAL(109,Table31[Severe Injury])</f>
        <v>#REF!</v>
      </c>
      <c r="F20" t="e">
        <f ca="1">SUBTOTAL(109,Table31[Other Injury])</f>
        <v>#REF!</v>
      </c>
      <c r="G20" t="e">
        <f ca="1">SUBTOTAL(109,Table31[PDO])</f>
        <v>#REF!</v>
      </c>
      <c r="H20" t="e">
        <f ca="1">SUBTOTAL(109,Table31[Crash Count])</f>
        <v>#REF!</v>
      </c>
      <c r="I20" s="82" t="e">
        <f ca="1">SUBTOTAL(109,Table31[Crash Share])</f>
        <v>#REF!</v>
      </c>
      <c r="J20" t="e">
        <f ca="1">SUBTOTAL(109,Table31[Crash Count2])</f>
        <v>#REF!</v>
      </c>
      <c r="K20" s="82" t="e">
        <f ca="1">SUBTOTAL(109,Table31[Crash Share2])</f>
        <v>#REF!</v>
      </c>
    </row>
    <row r="22" spans="2:11" x14ac:dyDescent="0.25">
      <c r="B22" s="80" t="s">
        <v>386</v>
      </c>
    </row>
    <row r="23" spans="2:11" x14ac:dyDescent="0.25">
      <c r="J23" s="104" t="s">
        <v>88</v>
      </c>
      <c r="K23" s="105"/>
    </row>
    <row r="24" spans="2:11" x14ac:dyDescent="0.25">
      <c r="B24" s="53" t="s">
        <v>387</v>
      </c>
      <c r="C24" s="53" t="s">
        <v>388</v>
      </c>
      <c r="D24" s="50" t="s">
        <v>48</v>
      </c>
      <c r="E24" s="50" t="s">
        <v>49</v>
      </c>
      <c r="F24" s="50" t="s">
        <v>135</v>
      </c>
      <c r="G24" s="50" t="s">
        <v>52</v>
      </c>
      <c r="H24" s="53" t="s">
        <v>46</v>
      </c>
      <c r="I24" s="53" t="s">
        <v>47</v>
      </c>
      <c r="J24" s="50" t="s">
        <v>59</v>
      </c>
      <c r="K24" s="50" t="s">
        <v>60</v>
      </c>
    </row>
    <row r="25" spans="2:11" x14ac:dyDescent="0.25">
      <c r="B25" s="52">
        <v>1</v>
      </c>
      <c r="C25" s="52" t="s">
        <v>389</v>
      </c>
      <c r="D25" s="52" t="e">
        <f ca="1">SUM((COUNTIFS(INDIRECT("Collision!"&amp;'Drvr Cond'!$C$5&amp;":"&amp;'Drvr Cond'!$C$5),$B25,INDIRECT("Collision!"&amp;Severity!$C$3&amp;":"&amp;Severity!$C$3),D$24)))</f>
        <v>#REF!</v>
      </c>
      <c r="E25" s="52" t="e">
        <f ca="1">SUM((COUNTIFS(INDIRECT("Collision!"&amp;'Drvr Cond'!$C$5&amp;":"&amp;'Drvr Cond'!$C$5),$B25,INDIRECT("Collision!"&amp;Severity!$C$3&amp;":"&amp;Severity!$C$3),E$24)))</f>
        <v>#REF!</v>
      </c>
      <c r="F25" s="52" t="e">
        <f t="array" aca="1" ref="F25" ca="1">SUM((COUNTIFS(INDIRECT("Collision!"&amp;'Drvr Cond'!$C$5&amp;":"&amp;'Drvr Cond'!$C$5),$B25,INDIRECT("Collision!"&amp;Severity!$C$3&amp;":"&amp;Severity!$C$3),{"Moderate Injury","Minor Injury"})))</f>
        <v>#REF!</v>
      </c>
      <c r="G25" s="52" t="e">
        <f ca="1">SUM((COUNTIFS(INDIRECT("Collision!"&amp;'Drvr Cond'!$C$5&amp;":"&amp;'Drvr Cond'!$C$5),$B25,INDIRECT("Collision!"&amp;Severity!$C$3&amp;":"&amp;Severity!$C$3),G$24)))</f>
        <v>#REF!</v>
      </c>
      <c r="H25" s="52" t="e">
        <f ca="1">COUNTIF(INDIRECT("Collision!"&amp;'Drvr Cond'!$C$5&amp;":"&amp;'Drvr Cond'!$C$5),Table3133[[#This Row],[Distracted Flag]])</f>
        <v>#REF!</v>
      </c>
      <c r="I25" s="92" t="e">
        <f ca="1">Table3133[[#This Row],[Crash Count]]/Table3133[[#Totals],[Crash Count]]</f>
        <v>#REF!</v>
      </c>
      <c r="J25" s="52" t="e">
        <f ca="1">SUM(Table3133[[#This Row],[Fatal]:[Severe Injury]])</f>
        <v>#REF!</v>
      </c>
      <c r="K25" s="92" t="e">
        <f ca="1">Table3133[[#This Row],[Crash Count2]]/Table3133[[#Totals],[Crash Count2]]</f>
        <v>#REF!</v>
      </c>
    </row>
    <row r="26" spans="2:11" x14ac:dyDescent="0.25">
      <c r="B26" s="52">
        <v>0</v>
      </c>
      <c r="C26" s="52" t="s">
        <v>390</v>
      </c>
      <c r="D26" s="52" t="e">
        <f ca="1">SUM((COUNTIFS(INDIRECT("Collision!"&amp;'Drvr Cond'!$C$5&amp;":"&amp;'Drvr Cond'!$C$5),$B26,INDIRECT("Collision!"&amp;Severity!$C$3&amp;":"&amp;Severity!$C$3),D$24)))</f>
        <v>#REF!</v>
      </c>
      <c r="E26" s="54" t="e">
        <f ca="1">SUM((COUNTIFS(INDIRECT("Collision!"&amp;'Drvr Cond'!$C$5&amp;":"&amp;'Drvr Cond'!$C$5),$B26,INDIRECT("Collision!"&amp;Severity!$C$3&amp;":"&amp;Severity!$C$3),E$24)))</f>
        <v>#REF!</v>
      </c>
      <c r="F26" s="52" t="e">
        <f t="array" aca="1" ref="F26" ca="1">SUM((COUNTIFS(INDIRECT("Collision!"&amp;'Drvr Cond'!$C$5&amp;":"&amp;'Drvr Cond'!$C$5),$B26,INDIRECT("Collision!"&amp;Severity!$C$3&amp;":"&amp;Severity!$C$3),{"Moderate Injury","Minor Injury"})))</f>
        <v>#REF!</v>
      </c>
      <c r="G26" s="52" t="e">
        <f ca="1">SUM((COUNTIFS(INDIRECT("Collision!"&amp;'Drvr Cond'!$C$5&amp;":"&amp;'Drvr Cond'!$C$5),$B26,INDIRECT("Collision!"&amp;Severity!$C$3&amp;":"&amp;Severity!$C$3),G$24)))</f>
        <v>#REF!</v>
      </c>
      <c r="H26" s="52" t="e">
        <f ca="1">COUNTIF(INDIRECT("Collision!"&amp;'Drvr Cond'!$C$5&amp;":"&amp;'Drvr Cond'!$C$5),Table3133[[#This Row],[Distracted Flag]])</f>
        <v>#REF!</v>
      </c>
      <c r="I26" s="92" t="e">
        <f ca="1">Table3133[[#This Row],[Crash Count]]/Table3133[[#Totals],[Crash Count]]</f>
        <v>#REF!</v>
      </c>
      <c r="J26" s="52" t="e">
        <f ca="1">SUM(Table3133[[#This Row],[Fatal]:[Severe Injury]])</f>
        <v>#REF!</v>
      </c>
      <c r="K26" s="92" t="e">
        <f ca="1">Table3133[[#This Row],[Crash Count2]]/Table3133[[#Totals],[Crash Count2]]</f>
        <v>#REF!</v>
      </c>
    </row>
    <row r="27" spans="2:11" x14ac:dyDescent="0.25">
      <c r="B27" t="s">
        <v>53</v>
      </c>
      <c r="D27" t="e">
        <f ca="1">SUBTOTAL(109,Table3133[Fatal])</f>
        <v>#REF!</v>
      </c>
      <c r="E27" t="e">
        <f ca="1">SUBTOTAL(109,Table3133[Severe Injury])</f>
        <v>#REF!</v>
      </c>
      <c r="F27" t="e">
        <f ca="1">SUBTOTAL(109,Table3133[Other Injury])</f>
        <v>#REF!</v>
      </c>
      <c r="G27" t="e">
        <f ca="1">SUBTOTAL(109,Table3133[PDO])</f>
        <v>#REF!</v>
      </c>
      <c r="H27" t="e">
        <f ca="1">SUBTOTAL(109,Table3133[Crash Count])</f>
        <v>#REF!</v>
      </c>
      <c r="I27" s="82" t="e">
        <f ca="1">SUBTOTAL(109,Table3133[Crash Share])</f>
        <v>#REF!</v>
      </c>
      <c r="J27" t="e">
        <f ca="1">SUBTOTAL(109,Table3133[Crash Count2])</f>
        <v>#REF!</v>
      </c>
      <c r="K27" s="82" t="e">
        <f ca="1">SUBTOTAL(109,Table3133[Crash Share2])</f>
        <v>#REF!</v>
      </c>
    </row>
    <row r="29" spans="2:11" x14ac:dyDescent="0.25">
      <c r="B29" s="80" t="s">
        <v>391</v>
      </c>
    </row>
    <row r="30" spans="2:11" x14ac:dyDescent="0.25">
      <c r="J30" s="104" t="s">
        <v>88</v>
      </c>
      <c r="K30" s="105"/>
    </row>
    <row r="31" spans="2:11" x14ac:dyDescent="0.25">
      <c r="B31" s="53" t="s">
        <v>392</v>
      </c>
      <c r="C31" s="53" t="s">
        <v>393</v>
      </c>
      <c r="D31" s="50" t="s">
        <v>48</v>
      </c>
      <c r="E31" s="50" t="s">
        <v>49</v>
      </c>
      <c r="F31" s="50" t="s">
        <v>135</v>
      </c>
      <c r="G31" s="50" t="s">
        <v>52</v>
      </c>
      <c r="H31" s="53" t="s">
        <v>46</v>
      </c>
      <c r="I31" s="53" t="s">
        <v>47</v>
      </c>
      <c r="J31" s="50" t="s">
        <v>59</v>
      </c>
      <c r="K31" s="50" t="s">
        <v>60</v>
      </c>
    </row>
    <row r="32" spans="2:11" x14ac:dyDescent="0.25">
      <c r="B32" s="52">
        <v>1</v>
      </c>
      <c r="C32" s="52" t="s">
        <v>393</v>
      </c>
      <c r="D32" s="52" t="e">
        <f ca="1">SUM((COUNTIFS(INDIRECT("Collision!"&amp;'Drvr Cond'!$C$6&amp;":"&amp;'Drvr Cond'!$C$6),$B32,INDIRECT("Collision!"&amp;Severity!$C$3&amp;":"&amp;Severity!$C$3),D$31)))</f>
        <v>#REF!</v>
      </c>
      <c r="E32" s="52" t="e">
        <f ca="1">SUM((COUNTIFS(INDIRECT("Collision!"&amp;'Drvr Cond'!$C$6&amp;":"&amp;'Drvr Cond'!$C$6),$B32,INDIRECT("Collision!"&amp;Severity!$C$3&amp;":"&amp;Severity!$C$3),E$31)))</f>
        <v>#REF!</v>
      </c>
      <c r="F32" s="52" t="e">
        <f ca="1">SUM((COUNTIFS(INDIRECT("Collision!"&amp;'Drvr Cond'!$C$6&amp;":"&amp;'Drvr Cond'!$C$6),$B32,INDIRECT("Collision!"&amp;Severity!$C$3&amp;":"&amp;Severity!$C$3),F$31)))</f>
        <v>#REF!</v>
      </c>
      <c r="G32" s="52" t="e">
        <f ca="1">SUM((COUNTIFS(INDIRECT("Collision!"&amp;'Drvr Cond'!$C$6&amp;":"&amp;'Drvr Cond'!$C$6),$B32,INDIRECT("Collision!"&amp;Severity!$C$3&amp;":"&amp;Severity!$C$3),G$31)))</f>
        <v>#REF!</v>
      </c>
      <c r="H32" s="52" t="e">
        <f ca="1">COUNTIF(INDIRECT("Collision!"&amp;'Drvr Cond'!$C$6&amp;":"&amp;'Drvr Cond'!$C$6),Table313322[[#This Row],[Local Driving Flag]])</f>
        <v>#REF!</v>
      </c>
      <c r="I32" s="92" t="e">
        <f ca="1">Table313322[[#This Row],[Crash Count]]/Table313322[[#Totals],[Crash Count]]</f>
        <v>#REF!</v>
      </c>
      <c r="J32" s="52" t="e">
        <f ca="1">SUM(Table313322[[#This Row],[Fatal]:[Severe Injury]])</f>
        <v>#REF!</v>
      </c>
      <c r="K32" s="92" t="e">
        <f ca="1">Table313322[[#This Row],[Crash Count2]]/Table313322[[#Totals],[Crash Count2]]</f>
        <v>#REF!</v>
      </c>
    </row>
    <row r="33" spans="2:11" x14ac:dyDescent="0.25">
      <c r="B33" s="52">
        <v>0</v>
      </c>
      <c r="C33" s="52" t="s">
        <v>394</v>
      </c>
      <c r="D33" s="52" t="e">
        <f ca="1">SUM((COUNTIFS(INDIRECT("Collision!"&amp;'Drvr Cond'!$C$6&amp;":"&amp;'Drvr Cond'!$C$6),$B33,INDIRECT("Collision!"&amp;Severity!$C$3&amp;":"&amp;Severity!$C$3),D$31)))</f>
        <v>#REF!</v>
      </c>
      <c r="E33" s="52" t="e">
        <f ca="1">SUM((COUNTIFS(INDIRECT("Collision!"&amp;'Drvr Cond'!$C$6&amp;":"&amp;'Drvr Cond'!$C$6),$B33,INDIRECT("Collision!"&amp;Severity!$C$3&amp;":"&amp;Severity!$C$3),E$31)))</f>
        <v>#REF!</v>
      </c>
      <c r="F33" s="52" t="e">
        <f ca="1">SUM((COUNTIFS(INDIRECT("Collision!"&amp;'Drvr Cond'!$C$6&amp;":"&amp;'Drvr Cond'!$C$6),$B33,INDIRECT("Collision!"&amp;Severity!$C$3&amp;":"&amp;Severity!$C$3),F$31)))</f>
        <v>#REF!</v>
      </c>
      <c r="G33" s="52" t="e">
        <f ca="1">SUM((COUNTIFS(INDIRECT("Collision!"&amp;'Drvr Cond'!$C$6&amp;":"&amp;'Drvr Cond'!$C$6),$B33,INDIRECT("Collision!"&amp;Severity!$C$3&amp;":"&amp;Severity!$C$3),G$31)))</f>
        <v>#REF!</v>
      </c>
      <c r="H33" s="52" t="e">
        <f ca="1">COUNTIF(INDIRECT("Collision!"&amp;'Drvr Cond'!$C$6&amp;":"&amp;'Drvr Cond'!$C$6),Table313322[[#This Row],[Local Driving Flag]])</f>
        <v>#REF!</v>
      </c>
      <c r="I33" s="92" t="e">
        <f ca="1">Table313322[[#This Row],[Crash Count]]/Table313322[[#Totals],[Crash Count]]</f>
        <v>#REF!</v>
      </c>
      <c r="J33" s="52" t="e">
        <f ca="1">SUM(Table313322[[#This Row],[Fatal]:[Severe Injury]])</f>
        <v>#REF!</v>
      </c>
      <c r="K33" s="92" t="e">
        <f ca="1">Table313322[[#This Row],[Crash Count2]]/Table313322[[#Totals],[Crash Count2]]</f>
        <v>#REF!</v>
      </c>
    </row>
    <row r="34" spans="2:11" x14ac:dyDescent="0.25">
      <c r="B34" t="s">
        <v>53</v>
      </c>
      <c r="D34" t="e">
        <f ca="1">SUBTOTAL(109,Table313322[Fatal])</f>
        <v>#REF!</v>
      </c>
      <c r="E34" t="e">
        <f ca="1">SUBTOTAL(109,Table313322[Severe Injury])</f>
        <v>#REF!</v>
      </c>
      <c r="F34" t="e">
        <f ca="1">SUBTOTAL(109,Table313322[Other Injury])</f>
        <v>#REF!</v>
      </c>
      <c r="G34" t="e">
        <f ca="1">SUBTOTAL(109,Table313322[PDO])</f>
        <v>#REF!</v>
      </c>
      <c r="H34" t="e">
        <f ca="1">SUBTOTAL(109,Table313322[Crash Count])</f>
        <v>#REF!</v>
      </c>
      <c r="I34" s="82" t="e">
        <f ca="1">SUBTOTAL(109,Table313322[Crash Share])</f>
        <v>#REF!</v>
      </c>
      <c r="J34" t="e">
        <f ca="1">SUBTOTAL(109,Table313322[Crash Count2])</f>
        <v>#REF!</v>
      </c>
      <c r="K34" s="82" t="e">
        <f ca="1">SUBTOTAL(109,Table313322[Crash Share2])</f>
        <v>#REF!</v>
      </c>
    </row>
  </sheetData>
  <mergeCells count="4">
    <mergeCell ref="I9:J9"/>
    <mergeCell ref="J16:K16"/>
    <mergeCell ref="J23:K23"/>
    <mergeCell ref="J30:K30"/>
  </mergeCells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2:K41"/>
  <sheetViews>
    <sheetView zoomScale="85" zoomScaleNormal="85" workbookViewId="0">
      <selection activeCell="F49" sqref="F49"/>
    </sheetView>
  </sheetViews>
  <sheetFormatPr defaultRowHeight="15" x14ac:dyDescent="0.25"/>
  <cols>
    <col min="1" max="1" width="3.42578125" customWidth="1"/>
    <col min="2" max="2" width="32.7109375" customWidth="1"/>
    <col min="3" max="3" width="10.42578125" bestFit="1" customWidth="1"/>
    <col min="4" max="4" width="16.85546875" bestFit="1" customWidth="1"/>
    <col min="5" max="5" width="16" bestFit="1" customWidth="1"/>
    <col min="6" max="6" width="20.7109375" customWidth="1"/>
    <col min="7" max="9" width="15.7109375" bestFit="1" customWidth="1"/>
    <col min="10" max="10" width="16.7109375" bestFit="1" customWidth="1"/>
    <col min="11" max="11" width="17" customWidth="1"/>
  </cols>
  <sheetData>
    <row r="2" spans="2:10" x14ac:dyDescent="0.25">
      <c r="B2" s="80" t="s">
        <v>41</v>
      </c>
    </row>
    <row r="3" spans="2:10" x14ac:dyDescent="0.25">
      <c r="B3" s="95" t="s">
        <v>395</v>
      </c>
      <c r="C3" s="96">
        <f>COI!E18</f>
        <v>0</v>
      </c>
    </row>
    <row r="4" spans="2:10" x14ac:dyDescent="0.25">
      <c r="B4" s="95" t="s">
        <v>396</v>
      </c>
      <c r="C4" s="96">
        <f>COI!E19</f>
        <v>0</v>
      </c>
    </row>
    <row r="5" spans="2:10" x14ac:dyDescent="0.25">
      <c r="B5" s="95" t="s">
        <v>397</v>
      </c>
      <c r="C5" s="96">
        <f>COI!E20</f>
        <v>0</v>
      </c>
    </row>
    <row r="7" spans="2:10" x14ac:dyDescent="0.25">
      <c r="B7" s="80" t="s">
        <v>367</v>
      </c>
    </row>
    <row r="8" spans="2:10" x14ac:dyDescent="0.25">
      <c r="B8" s="80"/>
      <c r="I8" s="104" t="s">
        <v>88</v>
      </c>
      <c r="J8" s="105"/>
    </row>
    <row r="9" spans="2:10" x14ac:dyDescent="0.25">
      <c r="B9" s="50" t="s">
        <v>368</v>
      </c>
      <c r="C9" s="50" t="s">
        <v>48</v>
      </c>
      <c r="D9" s="50" t="s">
        <v>49</v>
      </c>
      <c r="E9" s="50" t="s">
        <v>135</v>
      </c>
      <c r="F9" s="14" t="s">
        <v>52</v>
      </c>
      <c r="G9" s="50" t="s">
        <v>53</v>
      </c>
      <c r="H9" s="50" t="s">
        <v>47</v>
      </c>
      <c r="I9" s="50" t="s">
        <v>46</v>
      </c>
      <c r="J9" s="50" t="s">
        <v>60</v>
      </c>
    </row>
    <row r="10" spans="2:10" x14ac:dyDescent="0.25">
      <c r="B10" t="s">
        <v>346</v>
      </c>
      <c r="C10" t="e">
        <f ca="1">SUM((COUNTIFS(INDIRECT("Collision!"&amp;'Rdwy Cond'!$C$3&amp;":"&amp;'Rdwy Cond'!$C$3),$B10,INDIRECT("Collision!"&amp;Severity!$C$3&amp;":"&amp;Severity!$C$3),C$9)))</f>
        <v>#REF!</v>
      </c>
      <c r="D10" t="e">
        <f ca="1">SUM((COUNTIFS(INDIRECT("Collision!"&amp;'Rdwy Cond'!$C$3&amp;":"&amp;'Rdwy Cond'!$C$3),$B10,INDIRECT("Collision!"&amp;Severity!$C$3&amp;":"&amp;Severity!$C$3),D$9)))</f>
        <v>#REF!</v>
      </c>
      <c r="E10" t="e">
        <f t="array" aca="1" ref="E10" ca="1">SUM((COUNTIFS(INDIRECT("Collision!"&amp;'Rdwy Cond'!$C$3&amp;":"&amp;'Rdwy Cond'!$C$3),$B10,INDIRECT("Collision!"&amp;Severity!$C$3&amp;":"&amp;Severity!$C$3),{"Moderate Injury","Minor Injury"})))</f>
        <v>#REF!</v>
      </c>
      <c r="F10" t="e">
        <f ca="1">SUM((COUNTIFS(INDIRECT("Collision!"&amp;'Rdwy Cond'!$C$3&amp;":"&amp;'Rdwy Cond'!$C$3),$B10,INDIRECT("Collision!"&amp;Severity!$C$3&amp;":"&amp;Severity!$C$3),F$9)))</f>
        <v>#REF!</v>
      </c>
      <c r="G10" t="e">
        <f ca="1">SUM(Table10[[#This Row],[Fatal]:[PDO]])</f>
        <v>#REF!</v>
      </c>
      <c r="H10" s="69" t="e">
        <f ca="1">Table10[[#This Row],[Total]]/Table10[[#Totals],[Total]]</f>
        <v>#REF!</v>
      </c>
      <c r="I10" t="e">
        <f ca="1">SUM(Table10[[#This Row],[Fatal]:[Severe Injury]])</f>
        <v>#REF!</v>
      </c>
      <c r="J10" s="69" t="e">
        <f ca="1">Table10[[#This Row],[Crash Count]]/Table10[[#Totals],[Crash Count]]</f>
        <v>#REF!</v>
      </c>
    </row>
    <row r="11" spans="2:10" x14ac:dyDescent="0.25">
      <c r="B11" t="s">
        <v>370</v>
      </c>
      <c r="C11" t="e">
        <f ca="1">SUM((COUNTIFS(INDIRECT("Collision!"&amp;'Rdwy Cond'!$C$3&amp;":"&amp;'Rdwy Cond'!$C$3),$B11,INDIRECT("Collision!"&amp;Severity!$C$3&amp;":"&amp;Severity!$C$3),C$9)))</f>
        <v>#REF!</v>
      </c>
      <c r="D11" t="e">
        <f ca="1">SUM((COUNTIFS(INDIRECT("Collision!"&amp;'Rdwy Cond'!$C$3&amp;":"&amp;'Rdwy Cond'!$C$3),$B11,INDIRECT("Collision!"&amp;Severity!$C$3&amp;":"&amp;Severity!$C$3),D$9)))</f>
        <v>#REF!</v>
      </c>
      <c r="E11" t="e">
        <f t="array" aca="1" ref="E11" ca="1">SUM((COUNTIFS(INDIRECT("Collision!"&amp;'Rdwy Cond'!$C$3&amp;":"&amp;'Rdwy Cond'!$C$3),$B11,INDIRECT("Collision!"&amp;Severity!$C$3&amp;":"&amp;Severity!$C$3),{"Moderate Injury","Minor Injury"})))</f>
        <v>#REF!</v>
      </c>
      <c r="F11" t="e">
        <f ca="1">SUM((COUNTIFS(INDIRECT("Collision!"&amp;'Rdwy Cond'!$C$3&amp;":"&amp;'Rdwy Cond'!$C$3),$B11,INDIRECT("Collision!"&amp;Severity!$C$3&amp;":"&amp;Severity!$C$3),F$9)))</f>
        <v>#REF!</v>
      </c>
      <c r="G11" t="e">
        <f ca="1">SUM(Table10[[#This Row],[Fatal]:[PDO]])</f>
        <v>#REF!</v>
      </c>
      <c r="H11" s="69" t="e">
        <f ca="1">Table10[[#This Row],[Total]]/Table10[[#Totals],[Total]]</f>
        <v>#REF!</v>
      </c>
      <c r="I11" t="e">
        <f ca="1">SUM(Table10[[#This Row],[Fatal]:[Severe Injury]])</f>
        <v>#REF!</v>
      </c>
      <c r="J11" s="69" t="e">
        <f ca="1">Table10[[#This Row],[Crash Count]]/Table10[[#Totals],[Crash Count]]</f>
        <v>#REF!</v>
      </c>
    </row>
    <row r="12" spans="2:10" x14ac:dyDescent="0.25">
      <c r="B12" t="s">
        <v>371</v>
      </c>
      <c r="C12" t="e">
        <f ca="1">SUM((COUNTIFS(INDIRECT("Collision!"&amp;'Rdwy Cond'!$C$3&amp;":"&amp;'Rdwy Cond'!$C$3),$B12,INDIRECT("Collision!"&amp;Severity!$C$3&amp;":"&amp;Severity!$C$3),C$9)))</f>
        <v>#REF!</v>
      </c>
      <c r="D12" t="e">
        <f ca="1">SUM((COUNTIFS(INDIRECT("Collision!"&amp;'Rdwy Cond'!$C$3&amp;":"&amp;'Rdwy Cond'!$C$3),$B12,INDIRECT("Collision!"&amp;Severity!$C$3&amp;":"&amp;Severity!$C$3),D$9)))</f>
        <v>#REF!</v>
      </c>
      <c r="E12" t="e">
        <f t="array" aca="1" ref="E12" ca="1">SUM((COUNTIFS(INDIRECT("Collision!"&amp;'Rdwy Cond'!$C$3&amp;":"&amp;'Rdwy Cond'!$C$3),$B12,INDIRECT("Collision!"&amp;Severity!$C$3&amp;":"&amp;Severity!$C$3),{"Moderate Injury","Minor Injury"})))</f>
        <v>#REF!</v>
      </c>
      <c r="F12" t="e">
        <f ca="1">SUM((COUNTIFS(INDIRECT("Collision!"&amp;'Rdwy Cond'!$C$3&amp;":"&amp;'Rdwy Cond'!$C$3),$B12,INDIRECT("Collision!"&amp;Severity!$C$3&amp;":"&amp;Severity!$C$3),F$9)))</f>
        <v>#REF!</v>
      </c>
      <c r="G12" t="e">
        <f ca="1">SUM(Table10[[#This Row],[Fatal]:[PDO]])</f>
        <v>#REF!</v>
      </c>
      <c r="H12" s="69" t="e">
        <f ca="1">Table10[[#This Row],[Total]]/Table10[[#Totals],[Total]]</f>
        <v>#REF!</v>
      </c>
      <c r="I12" t="e">
        <f ca="1">SUM(Table10[[#This Row],[Fatal]:[Severe Injury]])</f>
        <v>#REF!</v>
      </c>
      <c r="J12" s="69" t="e">
        <f ca="1">Table10[[#This Row],[Crash Count]]/Table10[[#Totals],[Crash Count]]</f>
        <v>#REF!</v>
      </c>
    </row>
    <row r="13" spans="2:10" x14ac:dyDescent="0.25">
      <c r="B13" t="s">
        <v>369</v>
      </c>
      <c r="C13" t="e">
        <f ca="1">SUM((COUNTIFS(INDIRECT("Collision!"&amp;'Rdwy Cond'!$C$3&amp;":"&amp;'Rdwy Cond'!$C$3),$B13,INDIRECT("Collision!"&amp;Severity!$C$3&amp;":"&amp;Severity!$C$3),C$9)))</f>
        <v>#REF!</v>
      </c>
      <c r="D13" t="e">
        <f ca="1">SUM((COUNTIFS(INDIRECT("Collision!"&amp;'Rdwy Cond'!$C$3&amp;":"&amp;'Rdwy Cond'!$C$3),$B13,INDIRECT("Collision!"&amp;Severity!$C$3&amp;":"&amp;Severity!$C$3),D$9)))</f>
        <v>#REF!</v>
      </c>
      <c r="E13" t="e">
        <f t="array" aca="1" ref="E13" ca="1">SUM((COUNTIFS(INDIRECT("Collision!"&amp;'Rdwy Cond'!$C$3&amp;":"&amp;'Rdwy Cond'!$C$3),$B13,INDIRECT("Collision!"&amp;Severity!$C$3&amp;":"&amp;Severity!$C$3),{"Moderate Injury","Minor Injury"})))</f>
        <v>#REF!</v>
      </c>
      <c r="F13" t="e">
        <f ca="1">SUM((COUNTIFS(INDIRECT("Collision!"&amp;'Rdwy Cond'!$C$3&amp;":"&amp;'Rdwy Cond'!$C$3),$B13,INDIRECT("Collision!"&amp;Severity!$C$3&amp;":"&amp;Severity!$C$3),F$9)))</f>
        <v>#REF!</v>
      </c>
      <c r="G13" t="e">
        <f ca="1">SUM(Table10[[#This Row],[Fatal]:[PDO]])</f>
        <v>#REF!</v>
      </c>
      <c r="H13" s="69" t="e">
        <f ca="1">Table10[[#This Row],[Total]]/Table10[[#Totals],[Total]]</f>
        <v>#REF!</v>
      </c>
      <c r="I13" t="e">
        <f ca="1">SUM(Table10[[#This Row],[Fatal]:[Severe Injury]])</f>
        <v>#REF!</v>
      </c>
      <c r="J13" s="69" t="e">
        <f ca="1">Table10[[#This Row],[Crash Count]]/Table10[[#Totals],[Crash Count]]</f>
        <v>#REF!</v>
      </c>
    </row>
    <row r="14" spans="2:10" x14ac:dyDescent="0.25">
      <c r="B14" t="s">
        <v>373</v>
      </c>
      <c r="C14" t="e">
        <f ca="1">SUM((COUNTIFS(INDIRECT("Collision!"&amp;'Rdwy Cond'!$C$3&amp;":"&amp;'Rdwy Cond'!$C$3),$B14,INDIRECT("Collision!"&amp;Severity!$C$3&amp;":"&amp;Severity!$C$3),C$9)))</f>
        <v>#REF!</v>
      </c>
      <c r="D14" t="e">
        <f ca="1">SUM((COUNTIFS(INDIRECT("Collision!"&amp;'Rdwy Cond'!$C$3&amp;":"&amp;'Rdwy Cond'!$C$3),$B14,INDIRECT("Collision!"&amp;Severity!$C$3&amp;":"&amp;Severity!$C$3),D$9)))</f>
        <v>#REF!</v>
      </c>
      <c r="E14" t="e">
        <f t="array" aca="1" ref="E14" ca="1">SUM((COUNTIFS(INDIRECT("Collision!"&amp;'Rdwy Cond'!$C$3&amp;":"&amp;'Rdwy Cond'!$C$3),$B14,INDIRECT("Collision!"&amp;Severity!$C$3&amp;":"&amp;Severity!$C$3),{"Moderate Injury","Minor Injury"})))</f>
        <v>#REF!</v>
      </c>
      <c r="F14" t="e">
        <f ca="1">SUM((COUNTIFS(INDIRECT("Collision!"&amp;'Rdwy Cond'!$C$3&amp;":"&amp;'Rdwy Cond'!$C$3),$B14,INDIRECT("Collision!"&amp;Severity!$C$3&amp;":"&amp;Severity!$C$3),F$9)))</f>
        <v>#REF!</v>
      </c>
      <c r="G14" t="e">
        <f ca="1">SUM(Table10[[#This Row],[Fatal]:[PDO]])</f>
        <v>#REF!</v>
      </c>
      <c r="H14" s="69" t="e">
        <f ca="1">Table10[[#This Row],[Total]]/Table10[[#Totals],[Total]]</f>
        <v>#REF!</v>
      </c>
      <c r="I14" t="e">
        <f ca="1">SUM(Table10[[#This Row],[Fatal]:[Severe Injury]])</f>
        <v>#REF!</v>
      </c>
      <c r="J14" s="69" t="e">
        <f ca="1">Table10[[#This Row],[Crash Count]]/Table10[[#Totals],[Crash Count]]</f>
        <v>#REF!</v>
      </c>
    </row>
    <row r="15" spans="2:10" x14ac:dyDescent="0.25">
      <c r="B15" t="s">
        <v>372</v>
      </c>
      <c r="C15" t="e">
        <f ca="1">SUM((COUNTIFS(INDIRECT("Collision!"&amp;'Rdwy Cond'!$C$3&amp;":"&amp;'Rdwy Cond'!$C$3),$B15,INDIRECT("Collision!"&amp;Severity!$C$3&amp;":"&amp;Severity!$C$3),C$9)))</f>
        <v>#REF!</v>
      </c>
      <c r="D15" t="e">
        <f ca="1">SUM((COUNTIFS(INDIRECT("Collision!"&amp;'Rdwy Cond'!$C$3&amp;":"&amp;'Rdwy Cond'!$C$3),$B15,INDIRECT("Collision!"&amp;Severity!$C$3&amp;":"&amp;Severity!$C$3),D$9)))</f>
        <v>#REF!</v>
      </c>
      <c r="E15" t="e">
        <f t="array" aca="1" ref="E15" ca="1">SUM((COUNTIFS(INDIRECT("Collision!"&amp;'Rdwy Cond'!$C$3&amp;":"&amp;'Rdwy Cond'!$C$3),$B15,INDIRECT("Collision!"&amp;Severity!$C$3&amp;":"&amp;Severity!$C$3),{"Moderate Injury","Minor Injury"})))</f>
        <v>#REF!</v>
      </c>
      <c r="F15" t="e">
        <f ca="1">SUM((COUNTIFS(INDIRECT("Collision!"&amp;'Rdwy Cond'!$C$3&amp;":"&amp;'Rdwy Cond'!$C$3),$B15,INDIRECT("Collision!"&amp;Severity!$C$3&amp;":"&amp;Severity!$C$3),F$9)))</f>
        <v>#REF!</v>
      </c>
      <c r="G15" t="e">
        <f ca="1">SUM(Table10[[#This Row],[Fatal]:[PDO]])</f>
        <v>#REF!</v>
      </c>
      <c r="H15" s="69" t="e">
        <f ca="1">Table10[[#This Row],[Total]]/Table10[[#Totals],[Total]]</f>
        <v>#REF!</v>
      </c>
      <c r="I15" t="e">
        <f ca="1">SUM(Table10[[#This Row],[Fatal]:[Severe Injury]])</f>
        <v>#REF!</v>
      </c>
      <c r="J15" s="69" t="e">
        <f ca="1">Table10[[#This Row],[Crash Count]]/Table10[[#Totals],[Crash Count]]</f>
        <v>#REF!</v>
      </c>
    </row>
    <row r="16" spans="2:10" x14ac:dyDescent="0.25">
      <c r="B16" t="s">
        <v>53</v>
      </c>
      <c r="C16" t="e">
        <f ca="1">SUBTOTAL(109,Table10[Fatal])</f>
        <v>#REF!</v>
      </c>
      <c r="D16" t="e">
        <f ca="1">SUBTOTAL(109,Table10[Severe Injury])</f>
        <v>#REF!</v>
      </c>
      <c r="E16" t="e">
        <f ca="1">SUBTOTAL(109,Table10[Other Injury])</f>
        <v>#REF!</v>
      </c>
      <c r="F16" t="e">
        <f ca="1">SUBTOTAL(109,Table10[PDO])</f>
        <v>#REF!</v>
      </c>
      <c r="G16" t="e">
        <f ca="1">SUBTOTAL(109,Table10[Total])</f>
        <v>#REF!</v>
      </c>
      <c r="H16" s="82" t="e">
        <f ca="1">SUBTOTAL(109,Table10[Crash Share])</f>
        <v>#REF!</v>
      </c>
      <c r="I16" t="e">
        <f ca="1">SUBTOTAL(109,Table10[Crash Count])</f>
        <v>#REF!</v>
      </c>
      <c r="J16" s="82" t="e">
        <f ca="1">SUBTOTAL(109,Table10[Crash Share2])</f>
        <v>#REF!</v>
      </c>
    </row>
    <row r="18" spans="2:11" x14ac:dyDescent="0.25">
      <c r="B18" s="80" t="s">
        <v>398</v>
      </c>
    </row>
    <row r="19" spans="2:11" x14ac:dyDescent="0.25">
      <c r="B19" s="95"/>
      <c r="C19" s="95"/>
      <c r="D19" s="95"/>
      <c r="E19" s="95"/>
      <c r="I19" s="109" t="s">
        <v>88</v>
      </c>
      <c r="J19" s="110"/>
    </row>
    <row r="20" spans="2:11" x14ac:dyDescent="0.25">
      <c r="B20" s="88" t="s">
        <v>399</v>
      </c>
      <c r="C20" s="89" t="s">
        <v>48</v>
      </c>
      <c r="D20" s="89" t="s">
        <v>49</v>
      </c>
      <c r="E20" s="89" t="s">
        <v>135</v>
      </c>
      <c r="F20" s="90" t="s">
        <v>52</v>
      </c>
      <c r="G20" s="90" t="s">
        <v>46</v>
      </c>
      <c r="H20" s="90" t="s">
        <v>47</v>
      </c>
      <c r="I20" s="90" t="s">
        <v>59</v>
      </c>
      <c r="J20" s="90" t="s">
        <v>60</v>
      </c>
      <c r="K20" s="91" t="s">
        <v>71</v>
      </c>
    </row>
    <row r="21" spans="2:11" x14ac:dyDescent="0.25">
      <c r="B21" t="s">
        <v>346</v>
      </c>
      <c r="C21" t="e">
        <f ca="1">SUM((COUNTIFS(INDIRECT("Collision!"&amp;'Rdwy Cond'!$C$4&amp;":"&amp;'Rdwy Cond'!$C$4),$B21,INDIRECT("Collision!"&amp;Severity!$C$3&amp;":"&amp;Severity!$C$3),C$20)))</f>
        <v>#REF!</v>
      </c>
      <c r="D21" t="e">
        <f ca="1">SUM((COUNTIFS(INDIRECT("Collision!"&amp;'Rdwy Cond'!$C$4&amp;":"&amp;'Rdwy Cond'!$C$4),$B21,INDIRECT("Collision!"&amp;Severity!$C$3&amp;":"&amp;Severity!$C$3),D$20)))</f>
        <v>#REF!</v>
      </c>
      <c r="E21" t="e">
        <f t="array" aca="1" ref="E21" ca="1">SUM((COUNTIFS(INDIRECT("Collision!"&amp;'Rdwy Cond'!$C$4&amp;":"&amp;'Rdwy Cond'!$C$4),$B21,INDIRECT("Collision!"&amp;Severity!$C$3&amp;":"&amp;Severity!$C$3),{"Moderate Injury","Minor Injury"})))</f>
        <v>#REF!</v>
      </c>
      <c r="F21" t="e">
        <f ca="1">SUM((COUNTIFS(INDIRECT("Collision!"&amp;'Rdwy Cond'!$C$4&amp;":"&amp;'Rdwy Cond'!$C$4),$B21,INDIRECT("Collision!"&amp;Severity!$C$3&amp;":"&amp;Severity!$C$3),F$20)))</f>
        <v>#REF!</v>
      </c>
      <c r="G21" s="71" t="e">
        <f t="shared" ref="G21:G30" ca="1" si="0">SUM(C21:F21)</f>
        <v>#REF!</v>
      </c>
      <c r="H21" s="69" t="e">
        <f ca="1">G21/Table7[[#Totals],[Crash Count]]</f>
        <v>#REF!</v>
      </c>
      <c r="I21" s="71" t="e">
        <f t="shared" ref="I21:I30" ca="1" si="1">SUM(C21:D21)</f>
        <v>#REF!</v>
      </c>
      <c r="J21" s="69">
        <f ca="1">IFERROR(I21/Table7[[#Totals],[Crash Count2]],0)</f>
        <v>0</v>
      </c>
      <c r="K21" t="s">
        <v>346</v>
      </c>
    </row>
    <row r="22" spans="2:11" x14ac:dyDescent="0.25">
      <c r="B22" t="s">
        <v>400</v>
      </c>
      <c r="C22" t="e">
        <f ca="1">SUM((COUNTIFS(INDIRECT("Collision!"&amp;'Rdwy Cond'!$C$4&amp;":"&amp;'Rdwy Cond'!$C$4),$B22,INDIRECT("Collision!"&amp;Severity!$C$3&amp;":"&amp;Severity!$C$3),C$20)))</f>
        <v>#REF!</v>
      </c>
      <c r="D22" t="e">
        <f ca="1">SUM((COUNTIFS(INDIRECT("Collision!"&amp;'Rdwy Cond'!$C$4&amp;":"&amp;'Rdwy Cond'!$C$4),$B22,INDIRECT("Collision!"&amp;Severity!$C$3&amp;":"&amp;Severity!$C$3),D$20)))</f>
        <v>#REF!</v>
      </c>
      <c r="E22" t="e">
        <f t="array" aca="1" ref="E22" ca="1">SUM((COUNTIFS(INDIRECT("Collision!"&amp;'Rdwy Cond'!$C$4&amp;":"&amp;'Rdwy Cond'!$C$4),$B22,INDIRECT("Collision!"&amp;Severity!$C$3&amp;":"&amp;Severity!$C$3),{"Moderate Injury","Minor Injury"})))</f>
        <v>#REF!</v>
      </c>
      <c r="F22" t="e">
        <f ca="1">SUM((COUNTIFS(INDIRECT("Collision!"&amp;'Rdwy Cond'!$C$4&amp;":"&amp;'Rdwy Cond'!$C$4),$B22,INDIRECT("Collision!"&amp;Severity!$C$3&amp;":"&amp;Severity!$C$3),F$20)))</f>
        <v>#REF!</v>
      </c>
      <c r="G22" s="71" t="e">
        <f t="shared" ca="1" si="0"/>
        <v>#REF!</v>
      </c>
      <c r="H22" s="69" t="e">
        <f ca="1">G22/Table7[[#Totals],[Crash Count]]</f>
        <v>#REF!</v>
      </c>
      <c r="I22" s="71" t="e">
        <f t="shared" ca="1" si="1"/>
        <v>#REF!</v>
      </c>
      <c r="J22" s="69">
        <f ca="1">IFERROR(I22/Table7[[#Totals],[Crash Count2]],0)</f>
        <v>0</v>
      </c>
      <c r="K22" t="s">
        <v>400</v>
      </c>
    </row>
    <row r="23" spans="2:11" x14ac:dyDescent="0.25">
      <c r="B23" t="s">
        <v>401</v>
      </c>
      <c r="C23" t="e">
        <f ca="1">SUM((COUNTIFS(INDIRECT("Collision!"&amp;'Rdwy Cond'!$C$4&amp;":"&amp;'Rdwy Cond'!$C$4),$B23,INDIRECT("Collision!"&amp;Severity!$C$3&amp;":"&amp;Severity!$C$3),C$20)))</f>
        <v>#REF!</v>
      </c>
      <c r="D23" t="e">
        <f ca="1">SUM((COUNTIFS(INDIRECT("Collision!"&amp;'Rdwy Cond'!$C$4&amp;":"&amp;'Rdwy Cond'!$C$4),$B23,INDIRECT("Collision!"&amp;Severity!$C$3&amp;":"&amp;Severity!$C$3),D$20)))</f>
        <v>#REF!</v>
      </c>
      <c r="E23" t="e">
        <f t="array" aca="1" ref="E23" ca="1">SUM((COUNTIFS(INDIRECT("Collision!"&amp;'Rdwy Cond'!$C$4&amp;":"&amp;'Rdwy Cond'!$C$4),$B23,INDIRECT("Collision!"&amp;Severity!$C$3&amp;":"&amp;Severity!$C$3),{"Moderate Injury","Minor Injury"})))</f>
        <v>#REF!</v>
      </c>
      <c r="F23" t="e">
        <f ca="1">SUM((COUNTIFS(INDIRECT("Collision!"&amp;'Rdwy Cond'!$C$4&amp;":"&amp;'Rdwy Cond'!$C$4),$B23,INDIRECT("Collision!"&amp;Severity!$C$3&amp;":"&amp;Severity!$C$3),F$20)))</f>
        <v>#REF!</v>
      </c>
      <c r="G23" s="71" t="e">
        <f t="shared" ca="1" si="0"/>
        <v>#REF!</v>
      </c>
      <c r="H23" s="69" t="e">
        <f ca="1">G23/Table7[[#Totals],[Crash Count]]</f>
        <v>#REF!</v>
      </c>
      <c r="I23" s="71" t="e">
        <f t="shared" ca="1" si="1"/>
        <v>#REF!</v>
      </c>
      <c r="J23" s="69">
        <f ca="1">IFERROR(I23/Table7[[#Totals],[Crash Count2]],0)</f>
        <v>0</v>
      </c>
      <c r="K23" t="s">
        <v>401</v>
      </c>
    </row>
    <row r="24" spans="2:11" x14ac:dyDescent="0.25">
      <c r="B24" t="s">
        <v>402</v>
      </c>
      <c r="C24" t="e">
        <f ca="1">SUM((COUNTIFS(INDIRECT("Collision!"&amp;'Rdwy Cond'!$C$4&amp;":"&amp;'Rdwy Cond'!$C$4),$B24,INDIRECT("Collision!"&amp;Severity!$C$3&amp;":"&amp;Severity!$C$3),C$20)))</f>
        <v>#REF!</v>
      </c>
      <c r="D24" t="e">
        <f ca="1">SUM((COUNTIFS(INDIRECT("Collision!"&amp;'Rdwy Cond'!$C$4&amp;":"&amp;'Rdwy Cond'!$C$4),$B24,INDIRECT("Collision!"&amp;Severity!$C$3&amp;":"&amp;Severity!$C$3),D$20)))</f>
        <v>#REF!</v>
      </c>
      <c r="E24" t="e">
        <f t="array" aca="1" ref="E24" ca="1">SUM((COUNTIFS(INDIRECT("Collision!"&amp;'Rdwy Cond'!$C$4&amp;":"&amp;'Rdwy Cond'!$C$4),$B24,INDIRECT("Collision!"&amp;Severity!$C$3&amp;":"&amp;Severity!$C$3),{"Moderate Injury","Minor Injury"})))</f>
        <v>#REF!</v>
      </c>
      <c r="F24" t="e">
        <f ca="1">SUM((COUNTIFS(INDIRECT("Collision!"&amp;'Rdwy Cond'!$C$4&amp;":"&amp;'Rdwy Cond'!$C$4),$B24,INDIRECT("Collision!"&amp;Severity!$C$3&amp;":"&amp;Severity!$C$3),F$20)))</f>
        <v>#REF!</v>
      </c>
      <c r="G24" s="71" t="e">
        <f t="shared" ca="1" si="0"/>
        <v>#REF!</v>
      </c>
      <c r="H24" s="69" t="e">
        <f ca="1">G24/Table7[[#Totals],[Crash Count]]</f>
        <v>#REF!</v>
      </c>
      <c r="I24" s="71" t="e">
        <f t="shared" ca="1" si="1"/>
        <v>#REF!</v>
      </c>
      <c r="J24" s="69">
        <f ca="1">IFERROR(I24/Table7[[#Totals],[Crash Count2]],0)</f>
        <v>0</v>
      </c>
      <c r="K24" t="s">
        <v>402</v>
      </c>
    </row>
    <row r="25" spans="2:11" ht="30" customHeight="1" x14ac:dyDescent="0.25">
      <c r="B25" t="s">
        <v>403</v>
      </c>
      <c r="C25" t="e">
        <f ca="1">SUM((COUNTIFS(INDIRECT("Collision!"&amp;'Rdwy Cond'!$C$4&amp;":"&amp;'Rdwy Cond'!$C$4),$B25,INDIRECT("Collision!"&amp;Severity!$C$3&amp;":"&amp;Severity!$C$3),C$20)))</f>
        <v>#REF!</v>
      </c>
      <c r="D25" t="e">
        <f ca="1">SUM((COUNTIFS(INDIRECT("Collision!"&amp;'Rdwy Cond'!$C$4&amp;":"&amp;'Rdwy Cond'!$C$4),$B25,INDIRECT("Collision!"&amp;Severity!$C$3&amp;":"&amp;Severity!$C$3),D$20)))</f>
        <v>#REF!</v>
      </c>
      <c r="E25" t="e">
        <f t="array" aca="1" ref="E25" ca="1">SUM((COUNTIFS(INDIRECT("Collision!"&amp;'Rdwy Cond'!$C$4&amp;":"&amp;'Rdwy Cond'!$C$4),$B25,INDIRECT("Collision!"&amp;Severity!$C$3&amp;":"&amp;Severity!$C$3),{"Moderate Injury","Minor Injury"})))</f>
        <v>#REF!</v>
      </c>
      <c r="F25" t="e">
        <f ca="1">SUM((COUNTIFS(INDIRECT("Collision!"&amp;'Rdwy Cond'!$C$4&amp;":"&amp;'Rdwy Cond'!$C$4),$B25,INDIRECT("Collision!"&amp;Severity!$C$3&amp;":"&amp;Severity!$C$3),F$20)))</f>
        <v>#REF!</v>
      </c>
      <c r="G25" s="71" t="e">
        <f t="shared" ca="1" si="0"/>
        <v>#REF!</v>
      </c>
      <c r="H25" s="69" t="e">
        <f ca="1">G25/Table7[[#Totals],[Crash Count]]</f>
        <v>#REF!</v>
      </c>
      <c r="I25" s="71" t="e">
        <f t="shared" ca="1" si="1"/>
        <v>#REF!</v>
      </c>
      <c r="J25" s="69">
        <f ca="1">IFERROR(I25/Table7[[#Totals],[Crash Count2]],0)</f>
        <v>0</v>
      </c>
      <c r="K25" s="86" t="s">
        <v>404</v>
      </c>
    </row>
    <row r="26" spans="2:11" x14ac:dyDescent="0.25">
      <c r="B26" t="s">
        <v>405</v>
      </c>
      <c r="C26" t="e">
        <f ca="1">SUM((COUNTIFS(INDIRECT("Collision!"&amp;'Rdwy Cond'!$C$4&amp;":"&amp;'Rdwy Cond'!$C$4),$B26,INDIRECT("Collision!"&amp;Severity!$C$3&amp;":"&amp;Severity!$C$3),C$20)))</f>
        <v>#REF!</v>
      </c>
      <c r="D26" t="e">
        <f ca="1">SUM((COUNTIFS(INDIRECT("Collision!"&amp;'Rdwy Cond'!$C$4&amp;":"&amp;'Rdwy Cond'!$C$4),$B26,INDIRECT("Collision!"&amp;Severity!$C$3&amp;":"&amp;Severity!$C$3),D$20)))</f>
        <v>#REF!</v>
      </c>
      <c r="E26" t="e">
        <f t="array" aca="1" ref="E26" ca="1">SUM((COUNTIFS(INDIRECT("Collision!"&amp;'Rdwy Cond'!$C$4&amp;":"&amp;'Rdwy Cond'!$C$4),$B26,INDIRECT("Collision!"&amp;Severity!$C$3&amp;":"&amp;Severity!$C$3),{"Moderate Injury","Minor Injury"})))</f>
        <v>#REF!</v>
      </c>
      <c r="F26" t="e">
        <f ca="1">SUM((COUNTIFS(INDIRECT("Collision!"&amp;'Rdwy Cond'!$C$4&amp;":"&amp;'Rdwy Cond'!$C$4),$B26,INDIRECT("Collision!"&amp;Severity!$C$3&amp;":"&amp;Severity!$C$3),F$20)))</f>
        <v>#REF!</v>
      </c>
      <c r="G26" s="71" t="e">
        <f t="shared" ca="1" si="0"/>
        <v>#REF!</v>
      </c>
      <c r="H26" s="69" t="e">
        <f ca="1">G26/Table7[[#Totals],[Crash Count]]</f>
        <v>#REF!</v>
      </c>
      <c r="I26" s="71" t="e">
        <f t="shared" ca="1" si="1"/>
        <v>#REF!</v>
      </c>
      <c r="J26" s="69">
        <f ca="1">IFERROR(I26/Table7[[#Totals],[Crash Count2]],0)</f>
        <v>0</v>
      </c>
      <c r="K26" t="s">
        <v>405</v>
      </c>
    </row>
    <row r="27" spans="2:11" x14ac:dyDescent="0.25">
      <c r="B27" t="s">
        <v>406</v>
      </c>
      <c r="C27" t="e">
        <f ca="1">SUM((COUNTIFS(INDIRECT("Collision!"&amp;'Rdwy Cond'!$C$4&amp;":"&amp;'Rdwy Cond'!$C$4),$B27,INDIRECT("Collision!"&amp;Severity!$C$3&amp;":"&amp;Severity!$C$3),C$20)))</f>
        <v>#REF!</v>
      </c>
      <c r="D27" t="e">
        <f ca="1">SUM((COUNTIFS(INDIRECT("Collision!"&amp;'Rdwy Cond'!$C$4&amp;":"&amp;'Rdwy Cond'!$C$4),$B27,INDIRECT("Collision!"&amp;Severity!$C$3&amp;":"&amp;Severity!$C$3),D$20)))</f>
        <v>#REF!</v>
      </c>
      <c r="E27" t="e">
        <f t="array" aca="1" ref="E27" ca="1">SUM((COUNTIFS(INDIRECT("Collision!"&amp;'Rdwy Cond'!$C$4&amp;":"&amp;'Rdwy Cond'!$C$4),$B27,INDIRECT("Collision!"&amp;Severity!$C$3&amp;":"&amp;Severity!$C$3),{"Moderate Injury","Minor Injury"})))</f>
        <v>#REF!</v>
      </c>
      <c r="F27" t="e">
        <f ca="1">SUM((COUNTIFS(INDIRECT("Collision!"&amp;'Rdwy Cond'!$C$4&amp;":"&amp;'Rdwy Cond'!$C$4),$B27,INDIRECT("Collision!"&amp;Severity!$C$3&amp;":"&amp;Severity!$C$3),F$20)))</f>
        <v>#REF!</v>
      </c>
      <c r="G27" s="71" t="e">
        <f t="shared" ca="1" si="0"/>
        <v>#REF!</v>
      </c>
      <c r="H27" s="69" t="e">
        <f ca="1">G27/Table7[[#Totals],[Crash Count]]</f>
        <v>#REF!</v>
      </c>
      <c r="I27" s="71" t="e">
        <f t="shared" ca="1" si="1"/>
        <v>#REF!</v>
      </c>
      <c r="J27" s="69">
        <f ca="1">IFERROR(I27/Table7[[#Totals],[Crash Count2]],0)</f>
        <v>0</v>
      </c>
      <c r="K27" t="s">
        <v>406</v>
      </c>
    </row>
    <row r="28" spans="2:11" x14ac:dyDescent="0.25">
      <c r="B28" t="s">
        <v>407</v>
      </c>
      <c r="C28" t="e">
        <f ca="1">SUM((COUNTIFS(INDIRECT("Collision!"&amp;'Rdwy Cond'!$C$4&amp;":"&amp;'Rdwy Cond'!$C$4),$B28,INDIRECT("Collision!"&amp;Severity!$C$3&amp;":"&amp;Severity!$C$3),C$20)))</f>
        <v>#REF!</v>
      </c>
      <c r="D28" t="e">
        <f ca="1">SUM((COUNTIFS(INDIRECT("Collision!"&amp;'Rdwy Cond'!$C$4&amp;":"&amp;'Rdwy Cond'!$C$4),$B28,INDIRECT("Collision!"&amp;Severity!$C$3&amp;":"&amp;Severity!$C$3),D$20)))</f>
        <v>#REF!</v>
      </c>
      <c r="E28" t="e">
        <f t="array" aca="1" ref="E28" ca="1">SUM((COUNTIFS(INDIRECT("Collision!"&amp;'Rdwy Cond'!$C$4&amp;":"&amp;'Rdwy Cond'!$C$4),$B28,INDIRECT("Collision!"&amp;Severity!$C$3&amp;":"&amp;Severity!$C$3),{"Moderate Injury","Minor Injury"})))</f>
        <v>#REF!</v>
      </c>
      <c r="F28" t="e">
        <f ca="1">SUM((COUNTIFS(INDIRECT("Collision!"&amp;'Rdwy Cond'!$C$4&amp;":"&amp;'Rdwy Cond'!$C$4),$B28,INDIRECT("Collision!"&amp;Severity!$C$3&amp;":"&amp;Severity!$C$3),F$20)))</f>
        <v>#REF!</v>
      </c>
      <c r="G28" s="71" t="e">
        <f t="shared" ca="1" si="0"/>
        <v>#REF!</v>
      </c>
      <c r="H28" s="69" t="e">
        <f ca="1">G28/Table7[[#Totals],[Crash Count]]</f>
        <v>#REF!</v>
      </c>
      <c r="I28" s="71" t="e">
        <f t="shared" ca="1" si="1"/>
        <v>#REF!</v>
      </c>
      <c r="J28" s="69">
        <f ca="1">IFERROR(I28/Table7[[#Totals],[Crash Count2]],0)</f>
        <v>0</v>
      </c>
      <c r="K28" t="s">
        <v>407</v>
      </c>
    </row>
    <row r="29" spans="2:11" x14ac:dyDescent="0.25">
      <c r="B29" t="s">
        <v>408</v>
      </c>
      <c r="C29" t="e">
        <f ca="1">SUM((COUNTIFS(INDIRECT("Collision!"&amp;'Rdwy Cond'!$C$4&amp;":"&amp;'Rdwy Cond'!$C$4),$B29,INDIRECT("Collision!"&amp;Severity!$C$3&amp;":"&amp;Severity!$C$3),C$20)))</f>
        <v>#REF!</v>
      </c>
      <c r="D29" t="e">
        <f ca="1">SUM((COUNTIFS(INDIRECT("Collision!"&amp;'Rdwy Cond'!$C$4&amp;":"&amp;'Rdwy Cond'!$C$4),$B29,INDIRECT("Collision!"&amp;Severity!$C$3&amp;":"&amp;Severity!$C$3),D$20)))</f>
        <v>#REF!</v>
      </c>
      <c r="E29" t="e">
        <f t="array" aca="1" ref="E29" ca="1">SUM((COUNTIFS(INDIRECT("Collision!"&amp;'Rdwy Cond'!$C$4&amp;":"&amp;'Rdwy Cond'!$C$4),$B29,INDIRECT("Collision!"&amp;Severity!$C$3&amp;":"&amp;Severity!$C$3),{"Moderate Injury","Minor Injury"})))</f>
        <v>#REF!</v>
      </c>
      <c r="F29" t="e">
        <f ca="1">SUM((COUNTIFS(INDIRECT("Collision!"&amp;'Rdwy Cond'!$C$4&amp;":"&amp;'Rdwy Cond'!$C$4),$B29,INDIRECT("Collision!"&amp;Severity!$C$3&amp;":"&amp;Severity!$C$3),F$20)))</f>
        <v>#REF!</v>
      </c>
      <c r="G29" s="71" t="e">
        <f t="shared" ca="1" si="0"/>
        <v>#REF!</v>
      </c>
      <c r="H29" s="69" t="e">
        <f ca="1">G29/Table7[[#Totals],[Crash Count]]</f>
        <v>#REF!</v>
      </c>
      <c r="I29" s="71" t="e">
        <f t="shared" ca="1" si="1"/>
        <v>#REF!</v>
      </c>
      <c r="J29" s="69">
        <f ca="1">IFERROR(I29/Table7[[#Totals],[Crash Count2]],0)</f>
        <v>0</v>
      </c>
      <c r="K29" t="s">
        <v>408</v>
      </c>
    </row>
    <row r="30" spans="2:11" x14ac:dyDescent="0.25">
      <c r="B30" t="s">
        <v>409</v>
      </c>
      <c r="C30" t="e">
        <f ca="1">SUM((COUNTIFS(INDIRECT("Collision!"&amp;'Rdwy Cond'!$C$4&amp;":"&amp;'Rdwy Cond'!$C$4),$B30,INDIRECT("Collision!"&amp;Severity!$C$3&amp;":"&amp;Severity!$C$3),C$20)))</f>
        <v>#REF!</v>
      </c>
      <c r="D30" t="e">
        <f ca="1">SUM((COUNTIFS(INDIRECT("Collision!"&amp;'Rdwy Cond'!$C$4&amp;":"&amp;'Rdwy Cond'!$C$4),$B30,INDIRECT("Collision!"&amp;Severity!$C$3&amp;":"&amp;Severity!$C$3),D$20)))</f>
        <v>#REF!</v>
      </c>
      <c r="E30" t="e">
        <f t="array" aca="1" ref="E30" ca="1">SUM((COUNTIFS(INDIRECT("Collision!"&amp;'Rdwy Cond'!$C$4&amp;":"&amp;'Rdwy Cond'!$C$4),$B30,INDIRECT("Collision!"&amp;Severity!$C$3&amp;":"&amp;Severity!$C$3),{"Moderate Injury","Minor Injury"})))</f>
        <v>#REF!</v>
      </c>
      <c r="F30" t="e">
        <f ca="1">SUM((COUNTIFS(INDIRECT("Collision!"&amp;'Rdwy Cond'!$C$4&amp;":"&amp;'Rdwy Cond'!$C$4),$B30,INDIRECT("Collision!"&amp;Severity!$C$3&amp;":"&amp;Severity!$C$3),F$20)))</f>
        <v>#REF!</v>
      </c>
      <c r="G30" s="71" t="e">
        <f t="shared" ca="1" si="0"/>
        <v>#REF!</v>
      </c>
      <c r="H30" s="69" t="e">
        <f ca="1">G30/Table7[[#Totals],[Crash Count]]</f>
        <v>#REF!</v>
      </c>
      <c r="I30" s="71" t="e">
        <f t="shared" ca="1" si="1"/>
        <v>#REF!</v>
      </c>
      <c r="J30" s="69">
        <f ca="1">IFERROR(I30/Table7[[#Totals],[Crash Count2]],0)</f>
        <v>0</v>
      </c>
      <c r="K30" t="s">
        <v>409</v>
      </c>
    </row>
    <row r="31" spans="2:11" x14ac:dyDescent="0.25">
      <c r="B31" t="s">
        <v>53</v>
      </c>
      <c r="C31" t="e">
        <f ca="1">SUBTOTAL(109,Table7[Fatal])</f>
        <v>#REF!</v>
      </c>
      <c r="D31" t="e">
        <f ca="1">SUBTOTAL(109,Table7[Severe Injury])</f>
        <v>#REF!</v>
      </c>
      <c r="E31" t="e">
        <f ca="1">SUBTOTAL(109,Table7[Other Injury])</f>
        <v>#REF!</v>
      </c>
      <c r="F31" t="e">
        <f ca="1">SUBTOTAL(109,Table7[PDO])</f>
        <v>#REF!</v>
      </c>
      <c r="G31" t="e">
        <f ca="1">SUBTOTAL(109,Table7[Crash Count])</f>
        <v>#REF!</v>
      </c>
      <c r="H31" s="82" t="e">
        <f ca="1">SUBTOTAL(109,Table7[Crash Share])</f>
        <v>#REF!</v>
      </c>
      <c r="I31" t="e">
        <f ca="1">SUBTOTAL(109,Table7[Crash Count2])</f>
        <v>#REF!</v>
      </c>
      <c r="J31" s="82">
        <f ca="1">SUBTOTAL(109,Table7[Crash Share2])</f>
        <v>0</v>
      </c>
    </row>
    <row r="33" spans="2:10" x14ac:dyDescent="0.25">
      <c r="B33" s="80" t="s">
        <v>410</v>
      </c>
    </row>
    <row r="34" spans="2:10" x14ac:dyDescent="0.25">
      <c r="I34" s="104" t="s">
        <v>88</v>
      </c>
      <c r="J34" s="105"/>
    </row>
    <row r="35" spans="2:10" x14ac:dyDescent="0.25">
      <c r="B35" s="50" t="s">
        <v>411</v>
      </c>
      <c r="C35" s="50" t="s">
        <v>48</v>
      </c>
      <c r="D35" s="50" t="s">
        <v>49</v>
      </c>
      <c r="E35" s="50" t="s">
        <v>135</v>
      </c>
      <c r="F35" s="14" t="s">
        <v>52</v>
      </c>
      <c r="G35" s="50" t="s">
        <v>53</v>
      </c>
      <c r="H35" s="50" t="s">
        <v>47</v>
      </c>
      <c r="I35" s="50" t="s">
        <v>46</v>
      </c>
      <c r="J35" s="50" t="s">
        <v>60</v>
      </c>
    </row>
    <row r="36" spans="2:10" x14ac:dyDescent="0.25">
      <c r="B36" t="s">
        <v>346</v>
      </c>
      <c r="C36" t="e">
        <f ca="1">SUM((COUNTIFS(INDIRECT("Collision!"&amp;'Rdwy Cond'!$C$5&amp;":"&amp;'Rdwy Cond'!$C$5),$B36,INDIRECT("Collision!"&amp;Severity!$C$3&amp;":"&amp;Severity!$C$3),C$35)))</f>
        <v>#REF!</v>
      </c>
      <c r="D36" t="e">
        <f ca="1">SUM((COUNTIFS(INDIRECT("Collision!"&amp;'Rdwy Cond'!$C$5&amp;":"&amp;'Rdwy Cond'!$C$5),$B36,INDIRECT("Collision!"&amp;Severity!$C$3&amp;":"&amp;Severity!$C$3),D$35)))</f>
        <v>#REF!</v>
      </c>
      <c r="E36" t="e">
        <f t="array" aca="1" ref="E36" ca="1">SUM((COUNTIFS(INDIRECT("Collision!"&amp;'Rdwy Cond'!$C$5&amp;":"&amp;'Rdwy Cond'!$C$5),$B36,INDIRECT("Collision!"&amp;Severity!$C$3&amp;":"&amp;Severity!$C$3),{"Moderate Injury","Minor Injury"})))</f>
        <v>#REF!</v>
      </c>
      <c r="F36" t="e">
        <f ca="1">SUM((COUNTIFS(INDIRECT("Collision!"&amp;'Rdwy Cond'!$C$5&amp;":"&amp;'Rdwy Cond'!$C$5),$B36,INDIRECT("Collision!"&amp;Severity!$C$3&amp;":"&amp;Severity!$C$3),F$35)))</f>
        <v>#REF!</v>
      </c>
      <c r="G36" t="e">
        <f ca="1">SUM(Table14[[#This Row],[Fatal]:[PDO]])</f>
        <v>#REF!</v>
      </c>
      <c r="H36" s="69" t="e">
        <f ca="1">Table14[[#This Row],[Total]]/Table14[[#Totals],[Total]]</f>
        <v>#REF!</v>
      </c>
      <c r="I36" t="e">
        <f ca="1">SUM(Table14[[#This Row],[Fatal]:[Severe Injury]])</f>
        <v>#REF!</v>
      </c>
      <c r="J36" s="69" t="e">
        <f ca="1">Table14[[#This Row],[Crash Count]]/Table14[[#Totals],[Crash Count]]</f>
        <v>#REF!</v>
      </c>
    </row>
    <row r="37" spans="2:10" x14ac:dyDescent="0.25">
      <c r="B37" t="s">
        <v>412</v>
      </c>
      <c r="C37" t="e">
        <f ca="1">SUM((COUNTIFS(INDIRECT("Collision!"&amp;'Rdwy Cond'!$C$5&amp;":"&amp;'Rdwy Cond'!$C$5),$B37,INDIRECT("Collision!"&amp;Severity!$C$3&amp;":"&amp;Severity!$C$3),C$35)))</f>
        <v>#REF!</v>
      </c>
      <c r="D37" t="e">
        <f ca="1">SUM((COUNTIFS(INDIRECT("Collision!"&amp;'Rdwy Cond'!$C$5&amp;":"&amp;'Rdwy Cond'!$C$5),$B37,INDIRECT("Collision!"&amp;Severity!$C$3&amp;":"&amp;Severity!$C$3),D$35)))</f>
        <v>#REF!</v>
      </c>
      <c r="E37" t="e">
        <f t="array" aca="1" ref="E37" ca="1">SUM((COUNTIFS(INDIRECT("Collision!"&amp;'Rdwy Cond'!$C$5&amp;":"&amp;'Rdwy Cond'!$C$5),$B37,INDIRECT("Collision!"&amp;Severity!$C$3&amp;":"&amp;Severity!$C$3),{"Moderate Injury","Minor Injury"})))</f>
        <v>#REF!</v>
      </c>
      <c r="F37" t="e">
        <f ca="1">SUM((COUNTIFS(INDIRECT("Collision!"&amp;'Rdwy Cond'!$C$5&amp;":"&amp;'Rdwy Cond'!$C$5),$B37,INDIRECT("Collision!"&amp;Severity!$C$3&amp;":"&amp;Severity!$C$3),F$35)))</f>
        <v>#REF!</v>
      </c>
      <c r="G37" t="e">
        <f ca="1">SUM(Table14[[#This Row],[Fatal]:[PDO]])</f>
        <v>#REF!</v>
      </c>
      <c r="H37" s="69" t="e">
        <f ca="1">Table14[[#This Row],[Total]]/Table14[[#Totals],[Total]]</f>
        <v>#REF!</v>
      </c>
      <c r="I37" t="e">
        <f ca="1">SUM(Table14[[#This Row],[Fatal]:[Severe Injury]])</f>
        <v>#REF!</v>
      </c>
      <c r="J37" s="69" t="e">
        <f ca="1">Table14[[#This Row],[Crash Count]]/Table14[[#Totals],[Crash Count]]</f>
        <v>#REF!</v>
      </c>
    </row>
    <row r="38" spans="2:10" x14ac:dyDescent="0.25">
      <c r="B38" t="s">
        <v>413</v>
      </c>
      <c r="C38" t="e">
        <f ca="1">SUM((COUNTIFS(INDIRECT("Collision!"&amp;'Rdwy Cond'!$C$5&amp;":"&amp;'Rdwy Cond'!$C$5),$B38,INDIRECT("Collision!"&amp;Severity!$C$3&amp;":"&amp;Severity!$C$3),C$35)))</f>
        <v>#REF!</v>
      </c>
      <c r="D38" t="e">
        <f ca="1">SUM((COUNTIFS(INDIRECT("Collision!"&amp;'Rdwy Cond'!$C$5&amp;":"&amp;'Rdwy Cond'!$C$5),$B38,INDIRECT("Collision!"&amp;Severity!$C$3&amp;":"&amp;Severity!$C$3),D$35)))</f>
        <v>#REF!</v>
      </c>
      <c r="E38" t="e">
        <f t="array" aca="1" ref="E38" ca="1">SUM((COUNTIFS(INDIRECT("Collision!"&amp;'Rdwy Cond'!$C$5&amp;":"&amp;'Rdwy Cond'!$C$5),$B38,INDIRECT("Collision!"&amp;Severity!$C$3&amp;":"&amp;Severity!$C$3),{"Moderate Injury","Minor Injury"})))</f>
        <v>#REF!</v>
      </c>
      <c r="F38" t="e">
        <f ca="1">SUM((COUNTIFS(INDIRECT("Collision!"&amp;'Rdwy Cond'!$C$5&amp;":"&amp;'Rdwy Cond'!$C$5),$B38,INDIRECT("Collision!"&amp;Severity!$C$3&amp;":"&amp;Severity!$C$3),F$35)))</f>
        <v>#REF!</v>
      </c>
      <c r="G38" t="e">
        <f ca="1">SUM(Table14[[#This Row],[Fatal]:[PDO]])</f>
        <v>#REF!</v>
      </c>
      <c r="H38" s="69" t="e">
        <f ca="1">Table14[[#This Row],[Total]]/Table14[[#Totals],[Total]]</f>
        <v>#REF!</v>
      </c>
      <c r="I38" t="e">
        <f ca="1">SUM(Table14[[#This Row],[Fatal]:[Severe Injury]])</f>
        <v>#REF!</v>
      </c>
      <c r="J38" s="69" t="e">
        <f ca="1">Table14[[#This Row],[Crash Count]]/Table14[[#Totals],[Crash Count]]</f>
        <v>#REF!</v>
      </c>
    </row>
    <row r="39" spans="2:10" x14ac:dyDescent="0.25">
      <c r="B39" t="s">
        <v>406</v>
      </c>
      <c r="C39" t="e">
        <f ca="1">SUM((COUNTIFS(INDIRECT("Collision!"&amp;'Rdwy Cond'!$C$5&amp;":"&amp;'Rdwy Cond'!$C$5),$B39,INDIRECT("Collision!"&amp;Severity!$C$3&amp;":"&amp;Severity!$C$3),C$35)))</f>
        <v>#REF!</v>
      </c>
      <c r="D39" t="e">
        <f ca="1">SUM((COUNTIFS(INDIRECT("Collision!"&amp;'Rdwy Cond'!$C$5&amp;":"&amp;'Rdwy Cond'!$C$5),$B39,INDIRECT("Collision!"&amp;Severity!$C$3&amp;":"&amp;Severity!$C$3),D$35)))</f>
        <v>#REF!</v>
      </c>
      <c r="E39" t="e">
        <f t="array" aca="1" ref="E39" ca="1">SUM((COUNTIFS(INDIRECT("Collision!"&amp;'Rdwy Cond'!$C$5&amp;":"&amp;'Rdwy Cond'!$C$5),$B39,INDIRECT("Collision!"&amp;Severity!$C$3&amp;":"&amp;Severity!$C$3),{"Moderate Injury","Minor Injury"})))</f>
        <v>#REF!</v>
      </c>
      <c r="F39" t="e">
        <f ca="1">SUM((COUNTIFS(INDIRECT("Collision!"&amp;'Rdwy Cond'!$C$5&amp;":"&amp;'Rdwy Cond'!$C$5),$B39,INDIRECT("Collision!"&amp;Severity!$C$3&amp;":"&amp;Severity!$C$3),F$35)))</f>
        <v>#REF!</v>
      </c>
      <c r="G39" t="e">
        <f ca="1">SUM(Table14[[#This Row],[Fatal]:[PDO]])</f>
        <v>#REF!</v>
      </c>
      <c r="H39" s="69" t="e">
        <f ca="1">Table14[[#This Row],[Total]]/Table14[[#Totals],[Total]]</f>
        <v>#REF!</v>
      </c>
      <c r="I39" t="e">
        <f ca="1">SUM(Table14[[#This Row],[Fatal]:[Severe Injury]])</f>
        <v>#REF!</v>
      </c>
      <c r="J39" s="69" t="e">
        <f ca="1">Table14[[#This Row],[Crash Count]]/Table14[[#Totals],[Crash Count]]</f>
        <v>#REF!</v>
      </c>
    </row>
    <row r="40" spans="2:10" x14ac:dyDescent="0.25">
      <c r="B40" t="s">
        <v>414</v>
      </c>
      <c r="C40" t="e">
        <f ca="1">SUM((COUNTIFS(INDIRECT("Collision!"&amp;'Rdwy Cond'!$C$5&amp;":"&amp;'Rdwy Cond'!$C$5),$B40,INDIRECT("Collision!"&amp;Severity!$C$3&amp;":"&amp;Severity!$C$3),C$35)))</f>
        <v>#REF!</v>
      </c>
      <c r="D40" t="e">
        <f ca="1">SUM((COUNTIFS(INDIRECT("Collision!"&amp;'Rdwy Cond'!$C$5&amp;":"&amp;'Rdwy Cond'!$C$5),$B40,INDIRECT("Collision!"&amp;Severity!$C$3&amp;":"&amp;Severity!$C$3),D$35)))</f>
        <v>#REF!</v>
      </c>
      <c r="E40" t="e">
        <f t="array" aca="1" ref="E40" ca="1">SUM((COUNTIFS(INDIRECT("Collision!"&amp;'Rdwy Cond'!$C$5&amp;":"&amp;'Rdwy Cond'!$C$5),$B40,INDIRECT("Collision!"&amp;Severity!$C$3&amp;":"&amp;Severity!$C$3),{"Moderate Injury","Minor Injury"})))</f>
        <v>#REF!</v>
      </c>
      <c r="F40" t="e">
        <f ca="1">SUM((COUNTIFS(INDIRECT("Collision!"&amp;'Rdwy Cond'!$C$5&amp;":"&amp;'Rdwy Cond'!$C$5),$B40,INDIRECT("Collision!"&amp;Severity!$C$3&amp;":"&amp;Severity!$C$3),F$35)))</f>
        <v>#REF!</v>
      </c>
      <c r="G40" t="e">
        <f ca="1">SUM(Table14[[#This Row],[Fatal]:[PDO]])</f>
        <v>#REF!</v>
      </c>
      <c r="H40" s="69" t="e">
        <f ca="1">Table14[[#This Row],[Total]]/Table14[[#Totals],[Total]]</f>
        <v>#REF!</v>
      </c>
      <c r="I40" t="e">
        <f ca="1">SUM(Table14[[#This Row],[Fatal]:[Severe Injury]])</f>
        <v>#REF!</v>
      </c>
      <c r="J40" s="69" t="e">
        <f ca="1">Table14[[#This Row],[Crash Count]]/Table14[[#Totals],[Crash Count]]</f>
        <v>#REF!</v>
      </c>
    </row>
    <row r="41" spans="2:10" x14ac:dyDescent="0.25">
      <c r="B41" t="s">
        <v>53</v>
      </c>
      <c r="C41" t="e">
        <f ca="1">SUBTOTAL(109,Table14[Fatal])</f>
        <v>#REF!</v>
      </c>
      <c r="D41" t="e">
        <f ca="1">SUBTOTAL(109,Table14[Severe Injury])</f>
        <v>#REF!</v>
      </c>
      <c r="E41" t="e">
        <f ca="1">SUBTOTAL(109,Table14[Other Injury])</f>
        <v>#REF!</v>
      </c>
      <c r="F41" t="e">
        <f ca="1">SUBTOTAL(109,Table14[PDO])</f>
        <v>#REF!</v>
      </c>
      <c r="G41" t="e">
        <f ca="1">SUBTOTAL(109,Table14[Total])</f>
        <v>#REF!</v>
      </c>
      <c r="H41" s="82" t="e">
        <f ca="1">SUBTOTAL(109,Table14[Crash Share])</f>
        <v>#REF!</v>
      </c>
      <c r="I41" t="e">
        <f ca="1">SUBTOTAL(109,Table14[Crash Count])</f>
        <v>#REF!</v>
      </c>
      <c r="J41" s="82" t="e">
        <f ca="1">SUBTOTAL(109,Table14[Crash Share2])</f>
        <v>#REF!</v>
      </c>
    </row>
  </sheetData>
  <mergeCells count="3">
    <mergeCell ref="I34:J34"/>
    <mergeCell ref="I19:J19"/>
    <mergeCell ref="I8:J8"/>
  </mergeCells>
  <conditionalFormatting sqref="G21:G30">
    <cfRule type="top10" dxfId="5" priority="7" rank="3"/>
  </conditionalFormatting>
  <conditionalFormatting sqref="H21:H30">
    <cfRule type="top10" dxfId="4" priority="5" rank="3"/>
  </conditionalFormatting>
  <conditionalFormatting sqref="I21:I30">
    <cfRule type="top10" dxfId="3" priority="8" rank="3"/>
  </conditionalFormatting>
  <conditionalFormatting sqref="J21:J30">
    <cfRule type="top10" dxfId="2" priority="6" rank="3"/>
  </conditionalFormatting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2:O49"/>
  <sheetViews>
    <sheetView showGridLines="0" topLeftCell="A10" zoomScaleNormal="100" workbookViewId="0">
      <selection activeCell="Q21" sqref="Q21"/>
    </sheetView>
  </sheetViews>
  <sheetFormatPr defaultRowHeight="15" x14ac:dyDescent="0.25"/>
  <cols>
    <col min="1" max="1" width="3.140625" customWidth="1"/>
    <col min="2" max="2" width="26.5703125" bestFit="1" customWidth="1"/>
    <col min="6" max="6" width="9.140625" customWidth="1"/>
    <col min="7" max="7" width="8.85546875" customWidth="1"/>
  </cols>
  <sheetData>
    <row r="2" spans="2:13" x14ac:dyDescent="0.25">
      <c r="B2" s="80" t="s">
        <v>41</v>
      </c>
    </row>
    <row r="3" spans="2:13" x14ac:dyDescent="0.25">
      <c r="B3" s="95" t="s">
        <v>415</v>
      </c>
      <c r="C3" s="96">
        <f>COI!E21</f>
        <v>0</v>
      </c>
    </row>
    <row r="5" spans="2:13" ht="18" customHeight="1" x14ac:dyDescent="0.25">
      <c r="H5" s="28" t="s">
        <v>416</v>
      </c>
    </row>
    <row r="6" spans="2:13" x14ac:dyDescent="0.25">
      <c r="G6" s="111" t="s">
        <v>416</v>
      </c>
      <c r="H6" s="105"/>
      <c r="I6" s="29" t="e">
        <f ca="1">Severity[[#Totals],[Crash Count]]</f>
        <v>#REF!</v>
      </c>
    </row>
    <row r="7" spans="2:13" x14ac:dyDescent="0.25">
      <c r="F7" s="111" t="s">
        <v>417</v>
      </c>
      <c r="G7" s="105"/>
      <c r="H7" s="105"/>
      <c r="I7" s="29" t="e">
        <f ca="1">SUM(Severity!C9:C10)</f>
        <v>#REF!</v>
      </c>
    </row>
    <row r="8" spans="2:13" x14ac:dyDescent="0.25">
      <c r="H8" s="3"/>
    </row>
    <row r="9" spans="2:13" x14ac:dyDescent="0.25">
      <c r="H9" s="3"/>
    </row>
    <row r="10" spans="2:13" x14ac:dyDescent="0.25">
      <c r="E10" s="1"/>
      <c r="F10" s="2"/>
      <c r="G10" s="2"/>
      <c r="H10" s="2"/>
      <c r="I10" s="2"/>
      <c r="J10" s="30"/>
    </row>
    <row r="11" spans="2:13" x14ac:dyDescent="0.25">
      <c r="B11" s="16"/>
      <c r="C11" s="17"/>
      <c r="D11" s="17"/>
      <c r="E11" s="17"/>
      <c r="F11" s="18"/>
      <c r="I11" s="16"/>
      <c r="J11" s="17"/>
      <c r="K11" s="17"/>
      <c r="L11" s="17"/>
      <c r="M11" s="18"/>
    </row>
    <row r="12" spans="2:13" x14ac:dyDescent="0.25">
      <c r="B12" s="19"/>
      <c r="C12" s="20"/>
      <c r="D12" s="20"/>
      <c r="E12" s="20"/>
      <c r="F12" s="21"/>
      <c r="I12" s="19"/>
      <c r="J12" s="20"/>
      <c r="K12" s="20"/>
      <c r="L12" s="20"/>
      <c r="M12" s="21"/>
    </row>
    <row r="13" spans="2:13" x14ac:dyDescent="0.25">
      <c r="B13" s="19"/>
      <c r="C13" s="20"/>
      <c r="D13" s="20"/>
      <c r="E13" s="20"/>
      <c r="F13" s="21"/>
      <c r="I13" s="19"/>
      <c r="J13" s="20"/>
      <c r="K13" s="20"/>
      <c r="L13" s="20"/>
      <c r="M13" s="21"/>
    </row>
    <row r="14" spans="2:13" ht="18" customHeight="1" x14ac:dyDescent="0.25">
      <c r="B14" s="19"/>
      <c r="C14" s="20"/>
      <c r="D14" s="25" t="s">
        <v>418</v>
      </c>
      <c r="E14" s="20"/>
      <c r="F14" s="21"/>
      <c r="I14" s="19"/>
      <c r="J14" s="20"/>
      <c r="K14" s="25" t="s">
        <v>419</v>
      </c>
      <c r="L14" s="20"/>
      <c r="M14" s="21"/>
    </row>
    <row r="15" spans="2:13" x14ac:dyDescent="0.25">
      <c r="B15" s="26"/>
      <c r="C15" s="112" t="s">
        <v>416</v>
      </c>
      <c r="D15" s="105"/>
      <c r="E15" s="27" t="e">
        <f ca="1">SUM(COUNTIF(INDIRECT("Collision!"&amp;Location!$C$3&amp;":"&amp;Location!$C$3),1))</f>
        <v>#REF!</v>
      </c>
      <c r="F15" s="31" t="e">
        <f ca="1">E15/$I$6</f>
        <v>#REF!</v>
      </c>
      <c r="I15" s="26"/>
      <c r="J15" s="112" t="s">
        <v>416</v>
      </c>
      <c r="K15" s="105"/>
      <c r="L15" s="27" t="e">
        <f ca="1">I6-E15</f>
        <v>#REF!</v>
      </c>
      <c r="M15" s="31" t="e">
        <f ca="1">L15/$I$6</f>
        <v>#REF!</v>
      </c>
    </row>
    <row r="16" spans="2:13" x14ac:dyDescent="0.25">
      <c r="B16" s="113" t="s">
        <v>417</v>
      </c>
      <c r="C16" s="105"/>
      <c r="D16" s="105"/>
      <c r="E16" s="27" t="e">
        <f t="array" aca="1" ref="E16" ca="1">SUM(COUNTIFS(INDIRECT("Collision!"&amp;Location!$C$3&amp;":"&amp;Location!$C$3),1,INDIRECT("Collision!"&amp;Severity!$C$3&amp;":"&amp;Severity!$C$3),{"Fatal","Severe Injury"}))</f>
        <v>#REF!</v>
      </c>
      <c r="F16" s="31" t="e">
        <f ca="1">E16/$I$7</f>
        <v>#REF!</v>
      </c>
      <c r="I16" s="113" t="s">
        <v>417</v>
      </c>
      <c r="J16" s="105"/>
      <c r="K16" s="105"/>
      <c r="L16" s="27" t="e">
        <f ca="1">I7-E16</f>
        <v>#REF!</v>
      </c>
      <c r="M16" s="31" t="e">
        <f ca="1">L16/$I$7</f>
        <v>#REF!</v>
      </c>
    </row>
    <row r="17" spans="2:15" x14ac:dyDescent="0.25">
      <c r="B17" s="22"/>
      <c r="C17" s="23"/>
      <c r="D17" s="23"/>
      <c r="E17" s="23"/>
      <c r="F17" s="24"/>
      <c r="I17" s="22"/>
      <c r="J17" s="23"/>
      <c r="K17" s="23"/>
      <c r="L17" s="23"/>
      <c r="M17" s="24"/>
    </row>
    <row r="18" spans="2:15" x14ac:dyDescent="0.25">
      <c r="B18" s="30"/>
      <c r="D18" s="33"/>
      <c r="E18" s="33"/>
      <c r="I18" s="32"/>
      <c r="J18" s="3"/>
      <c r="K18" s="4"/>
      <c r="L18" s="4"/>
    </row>
    <row r="19" spans="2:15" x14ac:dyDescent="0.25">
      <c r="B19" s="32"/>
      <c r="D19" s="16"/>
      <c r="E19" s="17"/>
      <c r="F19" s="17"/>
      <c r="G19" s="17"/>
      <c r="H19" s="18"/>
      <c r="I19" s="32"/>
      <c r="K19" s="16"/>
      <c r="L19" s="17"/>
      <c r="M19" s="17"/>
      <c r="N19" s="17"/>
      <c r="O19" s="18"/>
    </row>
    <row r="20" spans="2:15" x14ac:dyDescent="0.25">
      <c r="B20" s="32"/>
      <c r="D20" s="19"/>
      <c r="E20" s="20"/>
      <c r="F20" s="20"/>
      <c r="G20" s="20"/>
      <c r="H20" s="21"/>
      <c r="I20" s="32"/>
      <c r="K20" s="19"/>
      <c r="L20" s="20"/>
      <c r="M20" s="20"/>
      <c r="N20" s="20"/>
      <c r="O20" s="21"/>
    </row>
    <row r="21" spans="2:15" x14ac:dyDescent="0.25">
      <c r="B21" s="32"/>
      <c r="D21" s="19"/>
      <c r="E21" s="20"/>
      <c r="F21" s="20"/>
      <c r="G21" s="20"/>
      <c r="H21" s="21"/>
      <c r="I21" s="32"/>
      <c r="K21" s="19"/>
      <c r="L21" s="20"/>
      <c r="M21" s="20"/>
      <c r="N21" s="20"/>
      <c r="O21" s="21"/>
    </row>
    <row r="22" spans="2:15" ht="18" customHeight="1" x14ac:dyDescent="0.25">
      <c r="B22" s="32"/>
      <c r="C22" s="35"/>
      <c r="D22" s="19"/>
      <c r="E22" s="20"/>
      <c r="F22" s="25" t="s">
        <v>420</v>
      </c>
      <c r="G22" s="20"/>
      <c r="H22" s="21"/>
      <c r="I22" s="32"/>
      <c r="J22" s="35"/>
      <c r="K22" s="19"/>
      <c r="L22" s="20"/>
      <c r="M22" s="25" t="s">
        <v>420</v>
      </c>
      <c r="N22" s="20"/>
      <c r="O22" s="21"/>
    </row>
    <row r="23" spans="2:15" x14ac:dyDescent="0.25">
      <c r="B23" s="32"/>
      <c r="D23" s="26"/>
      <c r="E23" s="112" t="s">
        <v>416</v>
      </c>
      <c r="F23" s="105"/>
      <c r="G23" s="27" t="e">
        <f ca="1">SUM(COUNTIFS(INDIRECT("Collision!"&amp;Location!$C$3&amp;":"&amp;Location!$C$3),1,INDIRECT("Collision!"&amp;'Road User'!$C$3&amp;":"&amp;'Road User'!$C$3),1))</f>
        <v>#REF!</v>
      </c>
      <c r="H23" s="31" t="e">
        <f ca="1">G23/$I$6</f>
        <v>#REF!</v>
      </c>
      <c r="I23" s="32"/>
      <c r="K23" s="26"/>
      <c r="L23" s="112" t="s">
        <v>416</v>
      </c>
      <c r="M23" s="105"/>
      <c r="N23" s="27" t="e">
        <f ca="1">SUM(COUNTIFS(INDIRECT("Collision!"&amp;Location!$C$3&amp;":"&amp;Location!$C$3),0,INDIRECT("Collision!"&amp;'Road User'!$C$3&amp;":"&amp;'Road User'!$C$3),1))</f>
        <v>#REF!</v>
      </c>
      <c r="O23" s="31" t="e">
        <f ca="1">N23/$I$6</f>
        <v>#REF!</v>
      </c>
    </row>
    <row r="24" spans="2:15" x14ac:dyDescent="0.25">
      <c r="B24" s="32"/>
      <c r="D24" s="113" t="s">
        <v>417</v>
      </c>
      <c r="E24" s="105"/>
      <c r="F24" s="105"/>
      <c r="G24" s="27" t="e">
        <f t="array" aca="1" ref="G24" ca="1">SUM(COUNTIFS(INDIRECT("Collision!"&amp;Location!$C$3&amp;":"&amp;Location!$C$3),1,INDIRECT("Collision!"&amp;Severity!$C$3&amp;":"&amp;Severity!$C$3),{"Fatal","Severe Injury"},INDIRECT("Collision!"&amp;'Road User'!$C$3&amp;":"&amp;'Road User'!$C$3),1))</f>
        <v>#REF!</v>
      </c>
      <c r="H24" s="31" t="e">
        <f ca="1">G24/$I$7</f>
        <v>#REF!</v>
      </c>
      <c r="I24" s="32"/>
      <c r="K24" s="113" t="s">
        <v>417</v>
      </c>
      <c r="L24" s="105"/>
      <c r="M24" s="105"/>
      <c r="N24" s="27" t="e">
        <f t="array" aca="1" ref="N24" ca="1">SUM(COUNTIFS(INDIRECT("Collision!"&amp;Location!$C$3&amp;":"&amp;Location!$C$3),0,INDIRECT("Collision!"&amp;Severity!$C$3&amp;":"&amp;Severity!$C$3),{"Fatal","Severe Injury"},INDIRECT("Collision!"&amp;'Road User'!$C$3&amp;":"&amp;'Road User'!$C$3),1))</f>
        <v>#REF!</v>
      </c>
      <c r="O24" s="31" t="e">
        <f ca="1">N24/$I$7</f>
        <v>#REF!</v>
      </c>
    </row>
    <row r="25" spans="2:15" x14ac:dyDescent="0.25">
      <c r="B25" s="32"/>
      <c r="D25" s="22"/>
      <c r="E25" s="23"/>
      <c r="F25" s="23"/>
      <c r="G25" s="23"/>
      <c r="H25" s="24"/>
      <c r="I25" s="32"/>
      <c r="K25" s="22"/>
      <c r="L25" s="23"/>
      <c r="M25" s="23"/>
      <c r="N25" s="23"/>
      <c r="O25" s="24"/>
    </row>
    <row r="26" spans="2:15" x14ac:dyDescent="0.25">
      <c r="B26" s="32"/>
      <c r="F26" s="33"/>
      <c r="G26" s="33"/>
      <c r="I26" s="32"/>
      <c r="L26" s="33"/>
      <c r="M26" s="33"/>
    </row>
    <row r="27" spans="2:15" x14ac:dyDescent="0.25">
      <c r="B27" s="32"/>
      <c r="D27" s="16"/>
      <c r="E27" s="17"/>
      <c r="F27" s="17"/>
      <c r="G27" s="17"/>
      <c r="H27" s="18"/>
      <c r="I27" s="32"/>
      <c r="K27" s="16"/>
      <c r="L27" s="17"/>
      <c r="M27" s="17"/>
      <c r="N27" s="17"/>
      <c r="O27" s="18"/>
    </row>
    <row r="28" spans="2:15" x14ac:dyDescent="0.25">
      <c r="B28" s="32"/>
      <c r="D28" s="19"/>
      <c r="E28" s="20"/>
      <c r="F28" s="20"/>
      <c r="G28" s="20"/>
      <c r="H28" s="21"/>
      <c r="I28" s="32"/>
      <c r="K28" s="19"/>
      <c r="L28" s="20"/>
      <c r="M28" s="20"/>
      <c r="N28" s="20"/>
      <c r="O28" s="21"/>
    </row>
    <row r="29" spans="2:15" x14ac:dyDescent="0.25">
      <c r="B29" s="32"/>
      <c r="C29" s="34"/>
      <c r="D29" s="19"/>
      <c r="E29" s="20"/>
      <c r="F29" s="20"/>
      <c r="G29" s="20"/>
      <c r="H29" s="21"/>
      <c r="I29" s="32"/>
      <c r="J29" s="34"/>
      <c r="K29" s="19"/>
      <c r="L29" s="20"/>
      <c r="M29" s="20"/>
      <c r="N29" s="20"/>
      <c r="O29" s="21"/>
    </row>
    <row r="30" spans="2:15" ht="18" customHeight="1" x14ac:dyDescent="0.25">
      <c r="B30" s="32"/>
      <c r="D30" s="19"/>
      <c r="E30" s="20"/>
      <c r="F30" s="25" t="s">
        <v>421</v>
      </c>
      <c r="G30" s="20"/>
      <c r="H30" s="21"/>
      <c r="I30" s="32"/>
      <c r="K30" s="19"/>
      <c r="L30" s="20"/>
      <c r="M30" s="25" t="s">
        <v>421</v>
      </c>
      <c r="N30" s="20"/>
      <c r="O30" s="21"/>
    </row>
    <row r="31" spans="2:15" x14ac:dyDescent="0.25">
      <c r="B31" s="32"/>
      <c r="D31" s="26"/>
      <c r="E31" s="112" t="s">
        <v>416</v>
      </c>
      <c r="F31" s="105"/>
      <c r="G31" s="27" t="e">
        <f ca="1">SUM(COUNTIFS(INDIRECT("Collision!"&amp;Location!$C$3&amp;":"&amp;Location!$C$3),1,INDIRECT("Collision!"&amp;'Road User'!$C$4&amp;":"&amp;'Road User'!$C$4),1))</f>
        <v>#REF!</v>
      </c>
      <c r="H31" s="31" t="e">
        <f ca="1">G31/$I$6</f>
        <v>#REF!</v>
      </c>
      <c r="I31" s="32"/>
      <c r="K31" s="26"/>
      <c r="L31" s="112" t="s">
        <v>416</v>
      </c>
      <c r="M31" s="105"/>
      <c r="N31" s="27" t="e">
        <f ca="1">SUM(COUNTIFS(INDIRECT("Collision!"&amp;Location!$C$3&amp;":"&amp;Location!$C$3),0,INDIRECT("Collision!"&amp;'Road User'!$C$4&amp;":"&amp;'Road User'!$C$4),1))</f>
        <v>#REF!</v>
      </c>
      <c r="O31" s="31" t="e">
        <f ca="1">N31/$I$6</f>
        <v>#REF!</v>
      </c>
    </row>
    <row r="32" spans="2:15" x14ac:dyDescent="0.25">
      <c r="B32" s="32"/>
      <c r="D32" s="113" t="s">
        <v>417</v>
      </c>
      <c r="E32" s="105"/>
      <c r="F32" s="105"/>
      <c r="G32" s="27" t="e">
        <f t="array" aca="1" ref="G32" ca="1">SUM(COUNTIFS(INDIRECT("Collision!"&amp;Location!$C$3&amp;":"&amp;Location!$C$3),1,INDIRECT("Collision!"&amp;Severity!$C$3&amp;":"&amp;Severity!$C$3),{"Fatal","Severe Injury"},INDIRECT("Collision!"&amp;'Road User'!$C$4&amp;":"&amp;'Road User'!$C$4),1))</f>
        <v>#REF!</v>
      </c>
      <c r="H32" s="31" t="e">
        <f ca="1">G32/$I$7</f>
        <v>#REF!</v>
      </c>
      <c r="I32" s="32"/>
      <c r="K32" s="113" t="s">
        <v>417</v>
      </c>
      <c r="L32" s="105"/>
      <c r="M32" s="105"/>
      <c r="N32" s="27" t="e">
        <f t="array" aca="1" ref="N32" ca="1">SUM(COUNTIFS(INDIRECT("Collision!"&amp;Location!$C$3&amp;":"&amp;Location!$C$3),0,INDIRECT("Collision!"&amp;Severity!$C$3&amp;":"&amp;Severity!$C$3),{"Fatal","Severe Injury"},INDIRECT("Collision!"&amp;'Road User'!$C$4&amp;":"&amp;'Road User'!$C$4),1))</f>
        <v>#REF!</v>
      </c>
      <c r="O32" s="31" t="e">
        <f ca="1">N32/$I$7</f>
        <v>#REF!</v>
      </c>
    </row>
    <row r="33" spans="2:15" x14ac:dyDescent="0.25">
      <c r="B33" s="32"/>
      <c r="D33" s="22"/>
      <c r="E33" s="23"/>
      <c r="F33" s="23"/>
      <c r="G33" s="23"/>
      <c r="H33" s="24"/>
      <c r="I33" s="32"/>
      <c r="K33" s="22"/>
      <c r="L33" s="23"/>
      <c r="M33" s="23"/>
      <c r="N33" s="23"/>
      <c r="O33" s="24"/>
    </row>
    <row r="34" spans="2:15" x14ac:dyDescent="0.25">
      <c r="B34" s="32"/>
      <c r="F34" s="33"/>
      <c r="G34" s="33"/>
      <c r="I34" s="32"/>
      <c r="M34" s="33"/>
    </row>
    <row r="35" spans="2:15" x14ac:dyDescent="0.25">
      <c r="B35" s="32"/>
      <c r="D35" s="16"/>
      <c r="E35" s="17"/>
      <c r="F35" s="17"/>
      <c r="G35" s="17"/>
      <c r="H35" s="18"/>
      <c r="I35" s="32"/>
      <c r="K35" s="16"/>
      <c r="L35" s="17"/>
      <c r="M35" s="17"/>
      <c r="N35" s="17"/>
      <c r="O35" s="18"/>
    </row>
    <row r="36" spans="2:15" x14ac:dyDescent="0.25">
      <c r="B36" s="32"/>
      <c r="D36" s="19"/>
      <c r="E36" s="20"/>
      <c r="F36" s="20"/>
      <c r="G36" s="20"/>
      <c r="H36" s="21"/>
      <c r="I36" s="32"/>
      <c r="K36" s="19"/>
      <c r="L36" s="20"/>
      <c r="M36" s="20"/>
      <c r="N36" s="20"/>
      <c r="O36" s="21"/>
    </row>
    <row r="37" spans="2:15" x14ac:dyDescent="0.25">
      <c r="B37" s="32"/>
      <c r="D37" s="19"/>
      <c r="E37" s="20"/>
      <c r="F37" s="20"/>
      <c r="G37" s="20"/>
      <c r="H37" s="21"/>
      <c r="I37" s="32"/>
      <c r="K37" s="19"/>
      <c r="L37" s="20"/>
      <c r="M37" s="20"/>
      <c r="N37" s="20"/>
      <c r="O37" s="21"/>
    </row>
    <row r="38" spans="2:15" ht="18" customHeight="1" x14ac:dyDescent="0.25">
      <c r="B38" s="32"/>
      <c r="C38" s="35"/>
      <c r="D38" s="19"/>
      <c r="E38" s="20"/>
      <c r="F38" s="25" t="s">
        <v>422</v>
      </c>
      <c r="G38" s="20"/>
      <c r="H38" s="21"/>
      <c r="I38" s="32"/>
      <c r="J38" s="35"/>
      <c r="K38" s="19"/>
      <c r="L38" s="20"/>
      <c r="M38" s="25" t="s">
        <v>422</v>
      </c>
      <c r="N38" s="20"/>
      <c r="O38" s="21"/>
    </row>
    <row r="39" spans="2:15" x14ac:dyDescent="0.25">
      <c r="B39" s="32"/>
      <c r="D39" s="26"/>
      <c r="E39" s="112" t="s">
        <v>416</v>
      </c>
      <c r="F39" s="105"/>
      <c r="G39" s="27" t="e">
        <f ca="1">SUM(COUNTIFS(INDIRECT("Collision!"&amp;Location!$C$3&amp;":"&amp;Location!$C$3),1,INDIRECT("Collision!"&amp;'Road User'!$C$5&amp;":"&amp;'Road User'!$C$5),1))</f>
        <v>#REF!</v>
      </c>
      <c r="H39" s="31" t="e">
        <f ca="1">G39/$I$6</f>
        <v>#REF!</v>
      </c>
      <c r="I39" s="32"/>
      <c r="K39" s="26"/>
      <c r="L39" s="112" t="s">
        <v>416</v>
      </c>
      <c r="M39" s="105"/>
      <c r="N39" s="27" t="e">
        <f ca="1">SUM(COUNTIFS(INDIRECT("Collision!"&amp;Location!$C$3&amp;":"&amp;Location!$C$3),0,INDIRECT("Collision!"&amp;'Road User'!$C$5&amp;":"&amp;'Road User'!$C$5),1))</f>
        <v>#REF!</v>
      </c>
      <c r="O39" s="31" t="e">
        <f ca="1">N39/$I$6</f>
        <v>#REF!</v>
      </c>
    </row>
    <row r="40" spans="2:15" x14ac:dyDescent="0.25">
      <c r="B40" s="32"/>
      <c r="D40" s="113" t="s">
        <v>417</v>
      </c>
      <c r="E40" s="105"/>
      <c r="F40" s="105"/>
      <c r="G40" s="27" t="e">
        <f t="array" aca="1" ref="G40" ca="1">SUM(COUNTIFS(INDIRECT("Collision!"&amp;Location!$C$3&amp;":"&amp;Location!$C$3),1,INDIRECT("Collision!"&amp;Severity!$C$3&amp;":"&amp;Severity!$C$3),{"Fatal","Severe Injury"},INDIRECT("Collision!"&amp;'Road User'!$C$5&amp;":"&amp;'Road User'!$C$5),1))</f>
        <v>#REF!</v>
      </c>
      <c r="H40" s="31" t="e">
        <f ca="1">G40/$I$7</f>
        <v>#REF!</v>
      </c>
      <c r="I40" s="32"/>
      <c r="K40" s="113" t="s">
        <v>417</v>
      </c>
      <c r="L40" s="105"/>
      <c r="M40" s="105"/>
      <c r="N40" s="27" t="e">
        <f t="array" aca="1" ref="N40" ca="1">SUM(COUNTIFS(INDIRECT("Collision!"&amp;Location!$C$3&amp;":"&amp;Location!$C$3),0,INDIRECT("Collision!"&amp;Severity!$C$3&amp;":"&amp;Severity!$C$3),{"Fatal","Severe Injury"},INDIRECT("Collision!"&amp;'Road User'!$C$5&amp;":"&amp;'Road User'!$C$5),1))</f>
        <v>#REF!</v>
      </c>
      <c r="O40" s="31" t="e">
        <f ca="1">N40/$I$7</f>
        <v>#REF!</v>
      </c>
    </row>
    <row r="41" spans="2:15" x14ac:dyDescent="0.25">
      <c r="B41" s="32"/>
      <c r="D41" s="22"/>
      <c r="E41" s="23"/>
      <c r="F41" s="23"/>
      <c r="G41" s="23"/>
      <c r="H41" s="24"/>
      <c r="I41" s="32"/>
      <c r="K41" s="22"/>
      <c r="L41" s="23"/>
      <c r="M41" s="23"/>
      <c r="N41" s="23"/>
      <c r="O41" s="24"/>
    </row>
    <row r="42" spans="2:15" x14ac:dyDescent="0.25">
      <c r="B42" s="32"/>
      <c r="F42" s="33"/>
      <c r="G42" s="33"/>
      <c r="I42" s="32"/>
      <c r="M42" s="33"/>
    </row>
    <row r="43" spans="2:15" x14ac:dyDescent="0.25">
      <c r="B43" s="32"/>
      <c r="D43" s="16"/>
      <c r="E43" s="17"/>
      <c r="F43" s="17"/>
      <c r="G43" s="17"/>
      <c r="H43" s="18"/>
      <c r="I43" s="32"/>
      <c r="K43" s="16"/>
      <c r="L43" s="17"/>
      <c r="M43" s="17"/>
      <c r="N43" s="17"/>
      <c r="O43" s="18"/>
    </row>
    <row r="44" spans="2:15" x14ac:dyDescent="0.25">
      <c r="B44" s="32"/>
      <c r="D44" s="19"/>
      <c r="E44" s="20"/>
      <c r="F44" s="20"/>
      <c r="G44" s="20"/>
      <c r="H44" s="21"/>
      <c r="I44" s="32"/>
      <c r="K44" s="19"/>
      <c r="L44" s="20"/>
      <c r="M44" s="20"/>
      <c r="N44" s="20"/>
      <c r="O44" s="21"/>
    </row>
    <row r="45" spans="2:15" x14ac:dyDescent="0.25">
      <c r="B45" s="32"/>
      <c r="D45" s="19"/>
      <c r="E45" s="20"/>
      <c r="F45" s="20"/>
      <c r="G45" s="20"/>
      <c r="H45" s="21"/>
      <c r="I45" s="32"/>
      <c r="J45" s="34"/>
      <c r="K45" s="19"/>
      <c r="L45" s="20"/>
      <c r="M45" s="20"/>
      <c r="N45" s="20"/>
      <c r="O45" s="21"/>
    </row>
    <row r="46" spans="2:15" ht="18" customHeight="1" x14ac:dyDescent="0.25">
      <c r="C46" s="30"/>
      <c r="D46" s="19"/>
      <c r="E46" s="20"/>
      <c r="F46" s="25" t="s">
        <v>423</v>
      </c>
      <c r="G46" s="20"/>
      <c r="H46" s="21"/>
      <c r="K46" s="19"/>
      <c r="L46" s="20"/>
      <c r="M46" s="25" t="s">
        <v>423</v>
      </c>
      <c r="N46" s="20"/>
      <c r="O46" s="21"/>
    </row>
    <row r="47" spans="2:15" x14ac:dyDescent="0.25">
      <c r="D47" s="26"/>
      <c r="E47" s="112" t="s">
        <v>416</v>
      </c>
      <c r="F47" s="105"/>
      <c r="G47" s="27" t="e">
        <f ca="1">SUM(COUNTIFS(INDIRECT("Collision!"&amp;Location!$C$3&amp;":"&amp;Location!$C$3),1,INDIRECT("Collision!"&amp;'Road User'!$C$3&amp;":"&amp;'Road User'!$C$3),0,INDIRECT("Collision!"&amp;'Road User'!$C$4&amp;":"&amp;'Road User'!$C$4),0,INDIRECT("Collision!"&amp;'Road User'!$C$5&amp;":"&amp;'Road User'!$C$5),0))</f>
        <v>#REF!</v>
      </c>
      <c r="H47" s="31" t="e">
        <f ca="1">G47/$I$6</f>
        <v>#REF!</v>
      </c>
      <c r="K47" s="26"/>
      <c r="L47" s="112" t="s">
        <v>416</v>
      </c>
      <c r="M47" s="105"/>
      <c r="N47" s="27" t="e">
        <f ca="1">SUM(COUNTIFS(INDIRECT("Collision!"&amp;Location!$C$3&amp;":"&amp;Location!$C$3),0,INDIRECT("Collision!"&amp;'Road User'!$C$3&amp;":"&amp;'Road User'!$C$3),0,INDIRECT("Collision!"&amp;'Road User'!$C$4&amp;":"&amp;'Road User'!$C$4),0,INDIRECT("Collision!"&amp;'Road User'!$C$5&amp;":"&amp;'Road User'!$C$5),0))</f>
        <v>#REF!</v>
      </c>
      <c r="O47" s="31" t="e">
        <f ca="1">N47/$I$6</f>
        <v>#REF!</v>
      </c>
    </row>
    <row r="48" spans="2:15" x14ac:dyDescent="0.25">
      <c r="D48" s="113" t="s">
        <v>417</v>
      </c>
      <c r="E48" s="105"/>
      <c r="F48" s="105"/>
      <c r="G48" s="27" t="e">
        <f t="array" aca="1" ref="G48" ca="1">SUM(COUNTIFS(INDIRECT("Collision!"&amp;Location!$C$3&amp;":"&amp;Location!$C$3),1,INDIRECT("Collision!"&amp;Severity!$C$3&amp;":"&amp;Severity!$C$3),{"Fatal","Severe Injury"},INDIRECT("Collision!"&amp;'Road User'!$C$3&amp;":"&amp;'Road User'!$C$3),0,INDIRECT("Collision!"&amp;'Road User'!$C$4&amp;":"&amp;'Road User'!$C$4),0,INDIRECT("Collision!"&amp;'Road User'!$C$5&amp;":"&amp;'Road User'!$C$5),0))</f>
        <v>#REF!</v>
      </c>
      <c r="H48" s="31" t="e">
        <f ca="1">G48/$I$7</f>
        <v>#REF!</v>
      </c>
      <c r="K48" s="113" t="s">
        <v>417</v>
      </c>
      <c r="L48" s="105"/>
      <c r="M48" s="105"/>
      <c r="N48" s="27" t="e">
        <f t="array" aca="1" ref="N48" ca="1">SUM(COUNTIFS(INDIRECT("Collision!"&amp;Location!$C$3&amp;":"&amp;Location!$C$3),0,INDIRECT("Collision!"&amp;Severity!$C$3&amp;":"&amp;Severity!$C$3),{"Fatal","Severe Injury"},INDIRECT("Collision!"&amp;'Road User'!$C$3&amp;":"&amp;'Road User'!$C$3),0,INDIRECT("Collision!"&amp;'Road User'!$C$4&amp;":"&amp;'Road User'!$C$4),0,INDIRECT("Collision!"&amp;'Road User'!$C$5&amp;":"&amp;'Road User'!$C$5),0))</f>
        <v>#REF!</v>
      </c>
      <c r="O48" s="31" t="e">
        <f ca="1">N48/$I$7</f>
        <v>#REF!</v>
      </c>
    </row>
    <row r="49" spans="4:15" x14ac:dyDescent="0.25">
      <c r="D49" s="22"/>
      <c r="E49" s="23"/>
      <c r="F49" s="23"/>
      <c r="G49" s="23"/>
      <c r="H49" s="24"/>
      <c r="K49" s="22"/>
      <c r="L49" s="23"/>
      <c r="M49" s="23"/>
      <c r="N49" s="23"/>
      <c r="O49" s="24"/>
    </row>
  </sheetData>
  <mergeCells count="22">
    <mergeCell ref="D40:F40"/>
    <mergeCell ref="K40:M40"/>
    <mergeCell ref="E47:F47"/>
    <mergeCell ref="L47:M47"/>
    <mergeCell ref="D48:F48"/>
    <mergeCell ref="K48:M48"/>
    <mergeCell ref="E31:F31"/>
    <mergeCell ref="L31:M31"/>
    <mergeCell ref="D32:F32"/>
    <mergeCell ref="K32:M32"/>
    <mergeCell ref="E39:F39"/>
    <mergeCell ref="L39:M39"/>
    <mergeCell ref="G6:H6"/>
    <mergeCell ref="F7:H7"/>
    <mergeCell ref="E23:F23"/>
    <mergeCell ref="L23:M23"/>
    <mergeCell ref="D24:F24"/>
    <mergeCell ref="K24:M24"/>
    <mergeCell ref="J15:K15"/>
    <mergeCell ref="I16:K16"/>
    <mergeCell ref="C15:D15"/>
    <mergeCell ref="B16:D16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B2:H41"/>
  <sheetViews>
    <sheetView zoomScale="85" zoomScaleNormal="85" workbookViewId="0">
      <selection activeCell="J27" sqref="J27"/>
    </sheetView>
  </sheetViews>
  <sheetFormatPr defaultRowHeight="15" x14ac:dyDescent="0.25"/>
  <cols>
    <col min="1" max="1" width="3" customWidth="1"/>
    <col min="2" max="2" width="26.42578125" bestFit="1" customWidth="1"/>
    <col min="3" max="3" width="12.85546875" customWidth="1"/>
    <col min="4" max="4" width="12.7109375" customWidth="1"/>
    <col min="5" max="5" width="13.28515625" customWidth="1"/>
    <col min="6" max="6" width="14.28515625" customWidth="1"/>
    <col min="7" max="7" width="26.85546875" customWidth="1"/>
    <col min="8" max="8" width="13.7109375" customWidth="1"/>
    <col min="9" max="9" width="11" bestFit="1" customWidth="1"/>
  </cols>
  <sheetData>
    <row r="2" spans="2:8" x14ac:dyDescent="0.25">
      <c r="B2" s="80" t="s">
        <v>41</v>
      </c>
      <c r="D2" s="49"/>
    </row>
    <row r="3" spans="2:8" x14ac:dyDescent="0.25">
      <c r="B3" s="95" t="s">
        <v>424</v>
      </c>
      <c r="C3" s="96">
        <f>COI!E22</f>
        <v>0</v>
      </c>
      <c r="D3" s="49" t="s">
        <v>425</v>
      </c>
    </row>
    <row r="4" spans="2:8" x14ac:dyDescent="0.25">
      <c r="B4" s="95" t="s">
        <v>426</v>
      </c>
      <c r="C4" s="96">
        <f>COI!E23</f>
        <v>0</v>
      </c>
      <c r="D4" s="49" t="s">
        <v>425</v>
      </c>
    </row>
    <row r="5" spans="2:8" x14ac:dyDescent="0.25">
      <c r="B5" s="95" t="s">
        <v>427</v>
      </c>
      <c r="C5" s="96">
        <f>COI!E24</f>
        <v>0</v>
      </c>
      <c r="D5" s="49" t="s">
        <v>425</v>
      </c>
    </row>
    <row r="7" spans="2:8" x14ac:dyDescent="0.25">
      <c r="B7" s="80" t="s">
        <v>428</v>
      </c>
    </row>
    <row r="9" spans="2:8" x14ac:dyDescent="0.25">
      <c r="C9" s="104" t="s">
        <v>429</v>
      </c>
      <c r="D9" s="105"/>
      <c r="E9" s="104" t="s">
        <v>72</v>
      </c>
      <c r="F9" s="105"/>
      <c r="G9" s="104" t="s">
        <v>82</v>
      </c>
      <c r="H9" s="105"/>
    </row>
    <row r="10" spans="2:8" x14ac:dyDescent="0.25">
      <c r="B10" s="53" t="s">
        <v>430</v>
      </c>
      <c r="C10" s="5" t="s">
        <v>431</v>
      </c>
      <c r="D10" s="5" t="s">
        <v>432</v>
      </c>
      <c r="E10" s="5" t="s">
        <v>433</v>
      </c>
      <c r="F10" s="5" t="s">
        <v>434</v>
      </c>
      <c r="G10" s="5" t="s">
        <v>435</v>
      </c>
      <c r="H10" s="5" t="s">
        <v>436</v>
      </c>
    </row>
    <row r="11" spans="2:8" x14ac:dyDescent="0.25">
      <c r="B11" t="s">
        <v>437</v>
      </c>
      <c r="C11" s="57" t="e">
        <f ca="1">SUM(COUNTIFS(INDIRECT("Party!"&amp;'Age + Action'!$C$3&amp;":"&amp;'Age + Action'!$C$3),C$9,INDIRECT("Party!"&amp;'Age + Action'!$C$4&amp;":"&amp;'Age + Action'!$C$4),"&gt;0",INDIRECT("Party!"&amp;'Age + Action'!$C$4&amp;":"&amp;'Age + Action'!$C$4),"&lt;18"))</f>
        <v>#REF!</v>
      </c>
      <c r="D11" s="69" t="e">
        <f ca="1">Table39[[#This Row],[Party Count]]/Table39[[#Totals],[Party Count]]</f>
        <v>#REF!</v>
      </c>
      <c r="E11" s="57" t="e">
        <f t="array" aca="1" ref="E11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Action'!$C$4),"&gt;0",INDIRECT("Party!"&amp;'Age + Action'!$C$4&amp;":"&amp;'Age + Action'!$C$4),"&lt;18"))</f>
        <v>#REF!</v>
      </c>
      <c r="F11" s="69" t="e">
        <f ca="1">Table39[[#This Row],[Party Count2]]/Table39[[#Totals],[Party Count2]]</f>
        <v>#REF!</v>
      </c>
      <c r="G11" s="57" t="e">
        <f t="array" aca="1" ref="G11" ca="1">SUM(COUNTIFS(INDIRECT("Party!"&amp;'Age + Action'!$C$3&amp;":"&amp;'Age + Action'!$C$3),{"Pedalcyclist","Pedalcyclist towing an object, other participant"},INDIRECT("Party!"&amp;'Age + Action'!$C$4&amp;":"&amp;'Age + Action'!$C$4),"&gt;0",INDIRECT("Party!"&amp;'Age + Action'!$C$4&amp;":"&amp;'Age + Action'!$C$4),"&lt;18"))</f>
        <v>#REF!</v>
      </c>
      <c r="H11" s="69" t="e">
        <f ca="1">Table39[[#This Row],[Party Count3]]/Table39[[#Totals],[Party Count3]]</f>
        <v>#REF!</v>
      </c>
    </row>
    <row r="12" spans="2:8" x14ac:dyDescent="0.25">
      <c r="B12" t="s">
        <v>438</v>
      </c>
      <c r="C12" s="57" t="e">
        <f ca="1">SUM(COUNTIFS(INDIRECT("Party!"&amp;'Age + Action'!$C$3&amp;":"&amp;'Age + Action'!$C$3),C$9,INDIRECT("Party!"&amp;'Age + Action'!$C$4&amp;":"&amp;'Age + Action'!$C$4),"&gt;=18",INDIRECT("Party!"&amp;'Age + Action'!$C$4&amp;":"&amp;'Age + Action'!$C$4),"&lt;=24"))</f>
        <v>#REF!</v>
      </c>
      <c r="D12" s="69" t="e">
        <f ca="1">Table39[[#This Row],[Party Count]]/Table39[[#Totals],[Party Count]]</f>
        <v>#REF!</v>
      </c>
      <c r="E12" s="57" t="e">
        <f t="array" aca="1" ref="E12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Action'!$C$4),"&gt;=18",INDIRECT("Party!"&amp;'Age + Action'!$C$4&amp;":"&amp;'Age + Action'!$C$4),"&lt;=24"))</f>
        <v>#REF!</v>
      </c>
      <c r="F12" s="69" t="e">
        <f ca="1">Table39[[#This Row],[Party Count2]]/Table39[[#Totals],[Party Count2]]</f>
        <v>#REF!</v>
      </c>
      <c r="G12" s="57" t="e">
        <f t="array" aca="1" ref="G12" ca="1">SUM(COUNTIFS(INDIRECT("Party!"&amp;'Age + Action'!$C$3&amp;":"&amp;'Age + Action'!$C$3),{"Pedalcyclist","Pedalcyclist towing an object, other participant"},INDIRECT("Party!"&amp;'Age + Action'!$C$4&amp;":"&amp;'Age + Action'!$C$4),"&gt;=18",INDIRECT("Party!"&amp;'Age + Action'!$C$4&amp;":"&amp;'Age + Action'!$C$4),"&lt;=24"))</f>
        <v>#REF!</v>
      </c>
      <c r="H12" s="69" t="e">
        <f ca="1">Table39[[#This Row],[Party Count3]]/Table39[[#Totals],[Party Count3]]</f>
        <v>#REF!</v>
      </c>
    </row>
    <row r="13" spans="2:8" x14ac:dyDescent="0.25">
      <c r="B13" t="s">
        <v>439</v>
      </c>
      <c r="C13" s="57" t="e">
        <f ca="1">SUM(COUNTIFS(INDIRECT("Party!"&amp;'Age + Action'!$C$3&amp;":"&amp;'Age + Action'!$C$3),C$9,INDIRECT("Party!"&amp;'Age + Action'!$C$4&amp;":"&amp;'Age + Action'!$C$4),"&gt;=25",INDIRECT("Party!"&amp;'Age + Action'!$C$4&amp;":"&amp;'Age + Action'!$C$4),"&lt;=44"))</f>
        <v>#REF!</v>
      </c>
      <c r="D13" s="69" t="e">
        <f ca="1">Table39[[#This Row],[Party Count]]/Table39[[#Totals],[Party Count]]</f>
        <v>#REF!</v>
      </c>
      <c r="E13" s="57" t="e">
        <f t="array" aca="1" ref="E13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Action'!$C$4),"&gt;=25",INDIRECT("Party!"&amp;'Age + Action'!$C$4&amp;":"&amp;'Age + Action'!$C$4),"&lt;=44"))</f>
        <v>#REF!</v>
      </c>
      <c r="F13" s="69" t="e">
        <f ca="1">Table39[[#This Row],[Party Count2]]/Table39[[#Totals],[Party Count2]]</f>
        <v>#REF!</v>
      </c>
      <c r="G13" s="57" t="e">
        <f t="array" aca="1" ref="G13" ca="1">SUM(COUNTIFS(INDIRECT("Party!"&amp;'Age + Action'!$C$3&amp;":"&amp;'Age + Action'!$C$3),{"Pedalcyclist","Pedalcyclist towing an object, other participant"},INDIRECT("Party!"&amp;'Age + Action'!$C$4&amp;":"&amp;'Age + Action'!$C$4),"&gt;=25",INDIRECT("Party!"&amp;'Age + Action'!$C$4&amp;":"&amp;'Age + Action'!$C$4),"&lt;=44"))</f>
        <v>#REF!</v>
      </c>
      <c r="H13" s="69" t="e">
        <f ca="1">Table39[[#This Row],[Party Count3]]/Table39[[#Totals],[Party Count3]]</f>
        <v>#REF!</v>
      </c>
    </row>
    <row r="14" spans="2:8" x14ac:dyDescent="0.25">
      <c r="B14" t="s">
        <v>440</v>
      </c>
      <c r="C14" s="57" t="e">
        <f ca="1">SUM(COUNTIFS(INDIRECT("Party!"&amp;'Age + Action'!$C$3&amp;":"&amp;'Age + Action'!$C$3),C$9,INDIRECT("Party!"&amp;'Age + Action'!$C$4&amp;":"&amp;'Age + Action'!$C$4),"&gt;=45",INDIRECT("Party!"&amp;'Age + Action'!$C$4&amp;":"&amp;'Age + Action'!$C$4),"&lt;=64"))</f>
        <v>#REF!</v>
      </c>
      <c r="D14" s="69" t="e">
        <f ca="1">Table39[[#This Row],[Party Count]]/Table39[[#Totals],[Party Count]]</f>
        <v>#REF!</v>
      </c>
      <c r="E14" s="57" t="e">
        <f t="array" aca="1" ref="E14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Action'!$C$4),"&gt;=45",INDIRECT("Party!"&amp;'Age + Action'!$C$4&amp;":"&amp;'Age + Action'!$C$4),"&lt;=64"))</f>
        <v>#REF!</v>
      </c>
      <c r="F14" s="69" t="e">
        <f ca="1">Table39[[#This Row],[Party Count2]]/Table39[[#Totals],[Party Count2]]</f>
        <v>#REF!</v>
      </c>
      <c r="G14" s="57" t="e">
        <f t="array" aca="1" ref="G14" ca="1">SUM(COUNTIFS(INDIRECT("Party!"&amp;'Age + Action'!$C$3&amp;":"&amp;'Age + Action'!$C$3),{"Pedalcyclist","Pedalcyclist towing an object, other participant"},INDIRECT("Party!"&amp;'Age + Action'!$C$4&amp;":"&amp;'Age + Action'!$C$4),"&gt;=45",INDIRECT("Party!"&amp;'Age + Action'!$C$4&amp;":"&amp;'Age + Action'!$C$4),"&lt;=64"))</f>
        <v>#REF!</v>
      </c>
      <c r="H14" s="69" t="e">
        <f ca="1">Table39[[#This Row],[Party Count3]]/Table39[[#Totals],[Party Count3]]</f>
        <v>#REF!</v>
      </c>
    </row>
    <row r="15" spans="2:8" x14ac:dyDescent="0.25">
      <c r="B15" t="s">
        <v>441</v>
      </c>
      <c r="C15" s="57" t="e">
        <f ca="1">SUM(COUNTIFS(INDIRECT("Party!"&amp;'Age + Action'!$C$3&amp;":"&amp;'Age + Action'!$C$3),C$9,INDIRECT("Party!"&amp;'Age + Action'!$C$4&amp;":"&amp;'Age + Action'!$C$4),"&gt;=65"))</f>
        <v>#REF!</v>
      </c>
      <c r="D15" s="69" t="e">
        <f ca="1">Table39[[#This Row],[Party Count]]/Table39[[#Totals],[Party Count]]</f>
        <v>#REF!</v>
      </c>
      <c r="E15" s="57" t="e">
        <f t="array" aca="1" ref="E15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Action'!$C$4),"&gt;=65"))</f>
        <v>#REF!</v>
      </c>
      <c r="F15" s="69" t="e">
        <f ca="1">Table39[[#This Row],[Party Count2]]/Table39[[#Totals],[Party Count2]]</f>
        <v>#REF!</v>
      </c>
      <c r="G15" s="57" t="e">
        <f t="array" aca="1" ref="G15" ca="1">SUM(COUNTIFS(INDIRECT("Party!"&amp;'Age + Action'!$C$3&amp;":"&amp;'Age + Action'!$C$3),{"Pedalcyclist","Pedalcyclist towing an object, other participant"},INDIRECT("Party!"&amp;'Age + Action'!$C$4&amp;":"&amp;'Age + Action'!$C$4),"&gt;=65"))</f>
        <v>#REF!</v>
      </c>
      <c r="H15" s="69" t="e">
        <f ca="1">Table39[[#This Row],[Party Count3]]/Table39[[#Totals],[Party Count3]]</f>
        <v>#REF!</v>
      </c>
    </row>
    <row r="16" spans="2:8" s="75" customFormat="1" x14ac:dyDescent="0.25">
      <c r="B16" s="75" t="s">
        <v>442</v>
      </c>
      <c r="C16" s="73" t="e">
        <f ca="1">SUM(COUNTIFS(INDIRECT("Party!"&amp;'Age + Action'!$C$3&amp;":"&amp;'Age + Action'!$C$3),C$9,INDIRECT("Party!"&amp;'Age + Action'!$C$4&amp;":"&amp;'Age + Action'!$C$4),"0"))</f>
        <v>#REF!</v>
      </c>
      <c r="D16" s="74" t="e">
        <f ca="1">Table39[[#This Row],[Party Count]]/Table39[[#Totals],[Party Count]]</f>
        <v>#REF!</v>
      </c>
      <c r="E16" s="73" t="e">
        <f t="array" aca="1" ref="E16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Action'!$C$4),"0"))</f>
        <v>#REF!</v>
      </c>
      <c r="F16" s="74" t="e">
        <f ca="1">Table39[[#This Row],[Party Count2]]/Table39[[#Totals],[Party Count2]]</f>
        <v>#REF!</v>
      </c>
      <c r="G16" s="73" t="e">
        <f t="array" aca="1" ref="G16" ca="1">SUM(COUNTIFS(INDIRECT("Party!"&amp;'Age + Action'!$C$3&amp;":"&amp;'Age + Action'!$C$3),{"Pedalcyclist","Pedalcyclist towing an object, other participant"},INDIRECT("Party!"&amp;'Age + Action'!$C$4&amp;":"&amp;'Age + Action'!$C$4),"0"))</f>
        <v>#REF!</v>
      </c>
      <c r="H16" s="74" t="e">
        <f ca="1">Table39[[#This Row],[Party Count3]]/Table39[[#Totals],[Party Count3]]</f>
        <v>#REF!</v>
      </c>
    </row>
    <row r="17" spans="2:8" x14ac:dyDescent="0.25">
      <c r="B17" t="s">
        <v>53</v>
      </c>
      <c r="C17" s="58" t="e">
        <f ca="1">SUBTOTAL(109,Table39[Party Count])</f>
        <v>#REF!</v>
      </c>
      <c r="D17" s="82" t="e">
        <f ca="1">SUBTOTAL(109,Table39[Party Share])</f>
        <v>#REF!</v>
      </c>
      <c r="E17" s="58" t="e">
        <f ca="1">SUBTOTAL(109,Table39[Party Count2])</f>
        <v>#REF!</v>
      </c>
      <c r="F17" s="82" t="e">
        <f ca="1">SUBTOTAL(109,Table39[Party Share2])</f>
        <v>#REF!</v>
      </c>
      <c r="G17" s="58" t="e">
        <f ca="1">SUBTOTAL(109,Table39[Party Count3])</f>
        <v>#REF!</v>
      </c>
      <c r="H17" s="82" t="e">
        <f ca="1">SUBTOTAL(109,Table39[Party Share3])</f>
        <v>#REF!</v>
      </c>
    </row>
    <row r="19" spans="2:8" x14ac:dyDescent="0.25">
      <c r="B19" s="80" t="s">
        <v>443</v>
      </c>
    </row>
    <row r="20" spans="2:8" x14ac:dyDescent="0.25">
      <c r="B20" s="80"/>
    </row>
    <row r="21" spans="2:8" x14ac:dyDescent="0.25">
      <c r="B21" s="106" t="s">
        <v>444</v>
      </c>
      <c r="C21" s="105"/>
      <c r="D21" s="105"/>
      <c r="E21" s="105"/>
    </row>
    <row r="22" spans="2:8" x14ac:dyDescent="0.25">
      <c r="C22" s="104" t="s">
        <v>72</v>
      </c>
      <c r="D22" s="105"/>
      <c r="E22" s="104" t="s">
        <v>82</v>
      </c>
      <c r="F22" s="105"/>
    </row>
    <row r="23" spans="2:8" x14ac:dyDescent="0.25">
      <c r="B23" s="53" t="s">
        <v>445</v>
      </c>
      <c r="C23" s="5" t="s">
        <v>431</v>
      </c>
      <c r="D23" s="5" t="s">
        <v>432</v>
      </c>
      <c r="E23" s="5" t="s">
        <v>433</v>
      </c>
      <c r="F23" s="5" t="s">
        <v>434</v>
      </c>
      <c r="G23" s="5" t="s">
        <v>71</v>
      </c>
      <c r="H23" s="5"/>
    </row>
    <row r="24" spans="2:8" ht="30" customHeight="1" x14ac:dyDescent="0.25">
      <c r="B24" t="s">
        <v>446</v>
      </c>
      <c r="C24" s="57" t="e">
        <f t="array" aca="1" ref="C24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4" s="69" t="e">
        <f ca="1">Table3923[[#This Row],[Party Count]]/Table3923[[#Totals],[Party Count]]</f>
        <v>#REF!</v>
      </c>
      <c r="E24" s="57" t="e">
        <f t="array" aca="1" ref="E24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4" s="69" t="e">
        <f ca="1">Table3923[[#This Row],[Party Count2]]/Table3923[[#Totals],[Party Count2]]</f>
        <v>#REF!</v>
      </c>
      <c r="G24" s="86" t="s">
        <v>447</v>
      </c>
      <c r="H24" s="69"/>
    </row>
    <row r="25" spans="2:8" ht="60" customHeight="1" x14ac:dyDescent="0.25">
      <c r="B25" t="s">
        <v>448</v>
      </c>
      <c r="C25" s="57" t="e">
        <f t="array" aca="1" ref="C25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5" s="69" t="e">
        <f ca="1">Table3923[[#This Row],[Party Count]]/Table3923[[#Totals],[Party Count]]</f>
        <v>#REF!</v>
      </c>
      <c r="E25" s="57" t="e">
        <f t="array" aca="1" ref="E25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5" s="69" t="e">
        <f ca="1">Table3923[[#This Row],[Party Count2]]/Table3923[[#Totals],[Party Count2]]</f>
        <v>#REF!</v>
      </c>
      <c r="G25" s="86" t="s">
        <v>448</v>
      </c>
      <c r="H25" s="69"/>
    </row>
    <row r="26" spans="2:8" x14ac:dyDescent="0.25">
      <c r="B26" t="s">
        <v>449</v>
      </c>
      <c r="C26" s="57" t="e">
        <f t="array" aca="1" ref="C26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6" s="69" t="e">
        <f ca="1">Table3923[[#This Row],[Party Count]]/Table3923[[#Totals],[Party Count]]</f>
        <v>#REF!</v>
      </c>
      <c r="E26" s="57" t="e">
        <f t="array" aca="1" ref="E26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6" s="69" t="e">
        <f ca="1">Table3923[[#This Row],[Party Count2]]/Table3923[[#Totals],[Party Count2]]</f>
        <v>#REF!</v>
      </c>
      <c r="G26" s="86" t="s">
        <v>449</v>
      </c>
      <c r="H26" s="69"/>
    </row>
    <row r="27" spans="2:8" ht="30" customHeight="1" x14ac:dyDescent="0.25">
      <c r="B27" t="s">
        <v>450</v>
      </c>
      <c r="C27" s="57" t="e">
        <f t="array" aca="1" ref="C27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7" s="69" t="e">
        <f ca="1">Table3923[[#This Row],[Party Count]]/Table3923[[#Totals],[Party Count]]</f>
        <v>#REF!</v>
      </c>
      <c r="E27" s="57" t="e">
        <f t="array" aca="1" ref="E27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7" s="69" t="e">
        <f ca="1">Table3923[[#This Row],[Party Count2]]/Table3923[[#Totals],[Party Count2]]</f>
        <v>#REF!</v>
      </c>
      <c r="G27" s="86" t="s">
        <v>450</v>
      </c>
      <c r="H27" s="69"/>
    </row>
    <row r="28" spans="2:8" ht="30" customHeight="1" x14ac:dyDescent="0.25">
      <c r="B28" t="s">
        <v>451</v>
      </c>
      <c r="C28" s="57" t="e">
        <f t="array" aca="1" ref="C28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8" s="69" t="e">
        <f ca="1">Table3923[[#This Row],[Party Count]]/Table3923[[#Totals],[Party Count]]</f>
        <v>#REF!</v>
      </c>
      <c r="E28" s="57" t="e">
        <f t="array" aca="1" ref="E28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8" s="69" t="e">
        <f ca="1">Table3923[[#This Row],[Party Count2]]/Table3923[[#Totals],[Party Count2]]</f>
        <v>#REF!</v>
      </c>
      <c r="G28" s="86" t="s">
        <v>451</v>
      </c>
      <c r="H28" s="69"/>
    </row>
    <row r="29" spans="2:8" ht="30" customHeight="1" x14ac:dyDescent="0.25">
      <c r="B29" s="75" t="s">
        <v>452</v>
      </c>
      <c r="C29" s="57" t="e">
        <f t="array" aca="1" ref="C29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9" s="74" t="e">
        <f ca="1">Table3923[[#This Row],[Party Count]]/Table3923[[#Totals],[Party Count]]</f>
        <v>#REF!</v>
      </c>
      <c r="E29" s="57" t="e">
        <f t="array" aca="1" ref="E29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9" s="74" t="e">
        <f ca="1">Table3923[[#This Row],[Party Count2]]/Table3923[[#Totals],[Party Count2]]</f>
        <v>#REF!</v>
      </c>
      <c r="G29" s="94" t="s">
        <v>452</v>
      </c>
      <c r="H29" s="74"/>
    </row>
    <row r="30" spans="2:8" ht="30" customHeight="1" x14ac:dyDescent="0.25">
      <c r="B30" t="s">
        <v>453</v>
      </c>
      <c r="C30" s="57" t="e">
        <f t="array" aca="1" ref="C30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0" s="69" t="e">
        <f ca="1">Table3923[[#This Row],[Party Count]]/Table3923[[#Totals],[Party Count]]</f>
        <v>#REF!</v>
      </c>
      <c r="E30" s="57" t="e">
        <f t="array" aca="1" ref="E30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0" s="69" t="e">
        <f ca="1">Table3923[[#This Row],[Party Count2]]/Table3923[[#Totals],[Party Count2]]</f>
        <v>#REF!</v>
      </c>
      <c r="G30" s="86" t="s">
        <v>453</v>
      </c>
      <c r="H30" s="82"/>
    </row>
    <row r="31" spans="2:8" ht="30" customHeight="1" x14ac:dyDescent="0.25">
      <c r="B31" t="s">
        <v>454</v>
      </c>
      <c r="C31" s="57" t="e">
        <f t="array" aca="1" ref="C31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1" s="69" t="e">
        <f ca="1">Table3923[[#This Row],[Party Count]]/Table3923[[#Totals],[Party Count]]</f>
        <v>#REF!</v>
      </c>
      <c r="E31" s="57" t="e">
        <f t="array" aca="1" ref="E31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1" s="69" t="e">
        <f ca="1">Table3923[[#This Row],[Party Count2]]/Table3923[[#Totals],[Party Count2]]</f>
        <v>#REF!</v>
      </c>
      <c r="G31" s="86" t="s">
        <v>454</v>
      </c>
    </row>
    <row r="32" spans="2:8" x14ac:dyDescent="0.25">
      <c r="B32" t="s">
        <v>455</v>
      </c>
      <c r="C32" s="57" t="e">
        <f t="array" aca="1" ref="C32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2" s="69" t="e">
        <f ca="1">Table3923[[#This Row],[Party Count]]/Table3923[[#Totals],[Party Count]]</f>
        <v>#REF!</v>
      </c>
      <c r="E32" s="57" t="e">
        <f t="array" aca="1" ref="E32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2" s="69" t="e">
        <f ca="1">Table3923[[#This Row],[Party Count2]]/Table3923[[#Totals],[Party Count2]]</f>
        <v>#REF!</v>
      </c>
      <c r="G32" s="86" t="s">
        <v>455</v>
      </c>
    </row>
    <row r="33" spans="2:7" ht="30" customHeight="1" x14ac:dyDescent="0.25">
      <c r="B33" t="s">
        <v>456</v>
      </c>
      <c r="C33" s="57" t="e">
        <f t="array" aca="1" ref="C33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3" s="69" t="e">
        <f ca="1">Table3923[[#This Row],[Party Count]]/Table3923[[#Totals],[Party Count]]</f>
        <v>#REF!</v>
      </c>
      <c r="E33" s="57" t="e">
        <f t="array" aca="1" ref="E33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3" s="69" t="e">
        <f ca="1">Table3923[[#This Row],[Party Count2]]/Table3923[[#Totals],[Party Count2]]</f>
        <v>#REF!</v>
      </c>
      <c r="G33" s="86" t="s">
        <v>456</v>
      </c>
    </row>
    <row r="34" spans="2:7" ht="30" customHeight="1" x14ac:dyDescent="0.25">
      <c r="B34" t="s">
        <v>457</v>
      </c>
      <c r="C34" s="57" t="e">
        <f t="array" aca="1" ref="C34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4" s="69" t="e">
        <f ca="1">Table3923[[#This Row],[Party Count]]/Table3923[[#Totals],[Party Count]]</f>
        <v>#REF!</v>
      </c>
      <c r="E34" s="57" t="e">
        <f t="array" aca="1" ref="E34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4" s="69" t="e">
        <f ca="1">Table3923[[#This Row],[Party Count2]]/Table3923[[#Totals],[Party Count2]]</f>
        <v>#REF!</v>
      </c>
      <c r="G34" s="86" t="s">
        <v>457</v>
      </c>
    </row>
    <row r="35" spans="2:7" ht="45" customHeight="1" x14ac:dyDescent="0.25">
      <c r="B35" t="s">
        <v>458</v>
      </c>
      <c r="C35" s="57" t="e">
        <f t="array" aca="1" ref="C35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5" s="69" t="e">
        <f ca="1">Table3923[[#This Row],[Party Count]]/Table3923[[#Totals],[Party Count]]</f>
        <v>#REF!</v>
      </c>
      <c r="E35" s="57" t="e">
        <f t="array" aca="1" ref="E35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5" s="69" t="e">
        <f ca="1">Table3923[[#This Row],[Party Count2]]/Table3923[[#Totals],[Party Count2]]</f>
        <v>#REF!</v>
      </c>
      <c r="G35" s="86" t="s">
        <v>458</v>
      </c>
    </row>
    <row r="36" spans="2:7" ht="45" customHeight="1" x14ac:dyDescent="0.25">
      <c r="B36" t="s">
        <v>459</v>
      </c>
      <c r="C36" s="57" t="e">
        <f t="array" aca="1" ref="C36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6" s="69" t="e">
        <f ca="1">Table3923[[#This Row],[Party Count]]/Table3923[[#Totals],[Party Count]]</f>
        <v>#REF!</v>
      </c>
      <c r="E36" s="57" t="e">
        <f t="array" aca="1" ref="E36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6" s="69" t="e">
        <f ca="1">Table3923[[#This Row],[Party Count2]]/Table3923[[#Totals],[Party Count2]]</f>
        <v>#REF!</v>
      </c>
      <c r="G36" s="86" t="s">
        <v>459</v>
      </c>
    </row>
    <row r="37" spans="2:7" x14ac:dyDescent="0.25">
      <c r="B37" t="s">
        <v>460</v>
      </c>
      <c r="C37" s="57" t="e">
        <f t="array" aca="1" ref="C37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7" s="69" t="e">
        <f ca="1">Table3923[[#This Row],[Party Count]]/Table3923[[#Totals],[Party Count]]</f>
        <v>#REF!</v>
      </c>
      <c r="E37" s="57" t="e">
        <f t="array" aca="1" ref="E37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7" s="69" t="e">
        <f ca="1">Table3923[[#This Row],[Party Count2]]/Table3923[[#Totals],[Party Count2]]</f>
        <v>#REF!</v>
      </c>
      <c r="G37" s="86" t="s">
        <v>460</v>
      </c>
    </row>
    <row r="38" spans="2:7" x14ac:dyDescent="0.25">
      <c r="B38" t="s">
        <v>461</v>
      </c>
      <c r="C38" s="57" t="e">
        <f t="array" aca="1" ref="C38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8" s="69" t="e">
        <f ca="1">Table3923[[#This Row],[Party Count]]/Table3923[[#Totals],[Party Count]]</f>
        <v>#REF!</v>
      </c>
      <c r="E38" s="57" t="e">
        <f t="array" aca="1" ref="E38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8" s="69" t="e">
        <f ca="1">Table3923[[#This Row],[Party Count2]]/Table3923[[#Totals],[Party Count2]]</f>
        <v>#REF!</v>
      </c>
      <c r="G38" s="86" t="s">
        <v>461</v>
      </c>
    </row>
    <row r="39" spans="2:7" x14ac:dyDescent="0.25">
      <c r="B39" t="s">
        <v>462</v>
      </c>
      <c r="C39" s="57" t="e">
        <f t="array" aca="1" ref="C39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9" s="69" t="e">
        <f ca="1">Table3923[[#This Row],[Party Count]]/Table3923[[#Totals],[Party Count]]</f>
        <v>#REF!</v>
      </c>
      <c r="E39" s="57" t="e">
        <f t="array" aca="1" ref="E39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9" s="69" t="e">
        <f ca="1">Table3923[[#This Row],[Party Count2]]/Table3923[[#Totals],[Party Count2]]</f>
        <v>#REF!</v>
      </c>
      <c r="G39" s="86" t="s">
        <v>462</v>
      </c>
    </row>
    <row r="40" spans="2:7" x14ac:dyDescent="0.25">
      <c r="B40" t="s">
        <v>463</v>
      </c>
      <c r="C40" s="57" t="e">
        <f t="array" aca="1" ref="C40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40" s="69" t="e">
        <f ca="1">Table3923[[#This Row],[Party Count]]/Table3923[[#Totals],[Party Count]]</f>
        <v>#REF!</v>
      </c>
      <c r="E40" s="57" t="e">
        <f t="array" aca="1" ref="E40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40" s="69" t="e">
        <f ca="1">Table3923[[#This Row],[Party Count2]]/Table3923[[#Totals],[Party Count2]]</f>
        <v>#REF!</v>
      </c>
      <c r="G40" s="86" t="s">
        <v>463</v>
      </c>
    </row>
    <row r="41" spans="2:7" x14ac:dyDescent="0.25">
      <c r="B41" t="s">
        <v>53</v>
      </c>
      <c r="C41" s="58" t="e">
        <f ca="1">SUBTOTAL(109,Table3923[Party Count])</f>
        <v>#REF!</v>
      </c>
      <c r="D41" s="82" t="e">
        <f ca="1">SUBTOTAL(109,Table3923[Party Share])</f>
        <v>#REF!</v>
      </c>
      <c r="E41" s="58" t="e">
        <f ca="1">SUBTOTAL(109,Table3923[Party Count2])</f>
        <v>#REF!</v>
      </c>
      <c r="F41" s="82" t="e">
        <f ca="1">SUBTOTAL(109,Table3923[Party Share2])</f>
        <v>#REF!</v>
      </c>
    </row>
  </sheetData>
  <mergeCells count="6">
    <mergeCell ref="C22:D22"/>
    <mergeCell ref="E22:F22"/>
    <mergeCell ref="C9:D9"/>
    <mergeCell ref="E9:F9"/>
    <mergeCell ref="G9:H9"/>
    <mergeCell ref="B21:E2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L31" sqref="L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B5"/>
  <sheetViews>
    <sheetView workbookViewId="0">
      <selection activeCell="D17" sqref="D17"/>
    </sheetView>
  </sheetViews>
  <sheetFormatPr defaultRowHeight="15" x14ac:dyDescent="0.25"/>
  <sheetData>
    <row r="2" spans="2:2" x14ac:dyDescent="0.25">
      <c r="B2" s="97" t="s">
        <v>464</v>
      </c>
    </row>
    <row r="3" spans="2:2" x14ac:dyDescent="0.25">
      <c r="B3" s="98" t="s">
        <v>38</v>
      </c>
    </row>
    <row r="4" spans="2:2" x14ac:dyDescent="0.25">
      <c r="B4" s="98" t="s">
        <v>35</v>
      </c>
    </row>
    <row r="5" spans="2:2" x14ac:dyDescent="0.25">
      <c r="B5" s="98" t="s">
        <v>465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9" sqref="F9"/>
    </sheetView>
  </sheetViews>
  <sheetFormatPr defaultRowHeight="15" x14ac:dyDescent="0.25"/>
  <cols>
    <col min="6" max="6" width="34" customWidth="1"/>
    <col min="7" max="7" width="22" customWidth="1"/>
    <col min="9" max="9" width="26.7109375" customWidth="1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J1" zoomScale="85" zoomScaleNormal="85" workbookViewId="0">
      <selection activeCell="AR22" sqref="AR22"/>
    </sheetView>
  </sheetViews>
  <sheetFormatPr defaultRowHeight="15" x14ac:dyDescent="0.25"/>
  <cols>
    <col min="2" max="2" width="28.85546875" customWidth="1"/>
    <col min="3" max="3" width="41.7109375" bestFit="1" customWidth="1"/>
    <col min="5" max="5" width="42.140625" bestFit="1" customWidth="1"/>
    <col min="50" max="50" width="40.42578125" bestFit="1" customWidth="1"/>
    <col min="51" max="51" width="43.42578125" bestFit="1" customWidth="1"/>
    <col min="90" max="90" width="51" customWidth="1"/>
    <col min="93" max="93" width="57.42578125" customWidth="1"/>
    <col min="104" max="104" width="38.5703125" bestFit="1" customWidth="1"/>
    <col min="105" max="105" width="40" bestFit="1" customWidth="1"/>
    <col min="119" max="119" width="41.28515625" bestFit="1" customWidth="1"/>
    <col min="121" max="121" width="40.28515625" bestFit="1" customWidth="1"/>
    <col min="124" max="124" width="40.28515625" bestFit="1" customWidth="1"/>
    <col min="129" max="129" width="26.140625" customWidth="1"/>
    <col min="130" max="130" width="18.140625" customWidth="1"/>
    <col min="133" max="133" width="40" bestFit="1" customWidth="1"/>
    <col min="134" max="134" width="40.42578125" bestFit="1" customWidth="1"/>
    <col min="165" max="165" width="53.7109375" bestFit="1" customWidth="1"/>
    <col min="166" max="167" width="64.85546875" bestFit="1" customWidth="1"/>
    <col min="168" max="168" width="50.85546875" bestFit="1" customWidth="1"/>
    <col min="192" max="940" width="9.140625" customWidth="1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I13" sqref="I13"/>
    </sheetView>
  </sheetViews>
  <sheetFormatPr defaultRowHeight="15" x14ac:dyDescent="0.25"/>
  <cols>
    <col min="1" max="1" width="25.5703125" customWidth="1"/>
    <col min="2" max="2" width="32.42578125" customWidth="1"/>
    <col min="3" max="3" width="33.85546875" customWidth="1"/>
    <col min="4" max="4" width="48" customWidth="1"/>
    <col min="5" max="5" width="22.855468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Severity</vt:lpstr>
      <vt:lpstr>Type</vt:lpstr>
      <vt:lpstr>Cause</vt:lpstr>
      <vt:lpstr>Event</vt:lpstr>
      <vt:lpstr>Temporal</vt:lpstr>
      <vt:lpstr>Road User</vt:lpstr>
      <vt:lpstr>Drvr Cond</vt:lpstr>
      <vt:lpstr>Rdwy Cond</vt:lpstr>
      <vt:lpstr>Location</vt:lpstr>
      <vt:lpstr>Age + Action</vt:lpstr>
      <vt:lpstr>&lt;&lt;---Outputs</vt:lpstr>
      <vt:lpstr>Inputs---&gt;&gt;</vt:lpstr>
      <vt:lpstr>Party</vt:lpstr>
      <vt:lpstr>Collision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Barrios</dc:creator>
  <cp:lastModifiedBy>Aishwarya Sharma</cp:lastModifiedBy>
  <dcterms:created xsi:type="dcterms:W3CDTF">2016-07-06T15:12:56Z</dcterms:created>
  <dcterms:modified xsi:type="dcterms:W3CDTF">2024-10-01T14:12:05Z</dcterms:modified>
</cp:coreProperties>
</file>