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o\Desktop\"/>
    </mc:Choice>
  </mc:AlternateContent>
  <xr:revisionPtr revIDLastSave="0" documentId="13_ncr:1_{630DDDA0-411F-449C-93B0-19800FDEF2DD}" xr6:coauthVersionLast="47" xr6:coauthVersionMax="47" xr10:uidLastSave="{00000000-0000-0000-0000-000000000000}"/>
  <bookViews>
    <workbookView xWindow="-120" yWindow="-120" windowWidth="29040" windowHeight="15840" firstSheet="5" activeTab="5" xr2:uid="{00000000-000D-0000-FFFF-FFFF00000000}"/>
  </bookViews>
  <sheets>
    <sheet name="Linearna_reg" sheetId="6" r:id="rId1"/>
    <sheet name="PODACI" sheetId="1" r:id="rId2"/>
    <sheet name="Sheet1" sheetId="9" r:id="rId3"/>
    <sheet name="Sheet2" sheetId="13" r:id="rId4"/>
    <sheet name="Sheet3" sheetId="14" r:id="rId5"/>
    <sheet name="UMS Podaci" sheetId="8" r:id="rId6"/>
    <sheet name="Sheet8" sheetId="19" r:id="rId7"/>
    <sheet name="Sheet9" sheetId="20" r:id="rId8"/>
    <sheet name="Sheet10" sheetId="21" r:id="rId9"/>
    <sheet name="Sheet7" sheetId="1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8" l="1"/>
  <c r="M26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29" i="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G3" i="18"/>
  <c r="H3" i="18"/>
  <c r="F3" i="18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27" i="19"/>
  <c r="E26" i="19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26" i="8"/>
  <c r="F3" i="14" l="1"/>
  <c r="F4" i="14"/>
  <c r="E4" i="14"/>
  <c r="O55" i="8"/>
  <c r="O54" i="8"/>
  <c r="O53" i="8"/>
  <c r="O52" i="8"/>
  <c r="O51" i="8"/>
  <c r="O50" i="8"/>
  <c r="O49" i="8"/>
  <c r="O48" i="8"/>
  <c r="O47" i="8"/>
  <c r="O46" i="8"/>
  <c r="O45" i="8"/>
  <c r="O44" i="8"/>
  <c r="O27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26" i="8"/>
  <c r="N26" i="8" l="1"/>
  <c r="H39" i="8"/>
  <c r="G66" i="8"/>
  <c r="I66" i="8" s="1"/>
  <c r="G67" i="8"/>
  <c r="H67" i="8" s="1"/>
  <c r="G63" i="8"/>
  <c r="H63" i="8" s="1"/>
  <c r="G64" i="8"/>
  <c r="I64" i="8" s="1"/>
  <c r="G60" i="8"/>
  <c r="H60" i="8" s="1"/>
  <c r="G61" i="8"/>
  <c r="H61" i="8" s="1"/>
  <c r="G57" i="8"/>
  <c r="I57" i="8" s="1"/>
  <c r="G58" i="8"/>
  <c r="H58" i="8" s="1"/>
  <c r="G54" i="8"/>
  <c r="I54" i="8" s="1"/>
  <c r="G55" i="8"/>
  <c r="I55" i="8" s="1"/>
  <c r="G51" i="8"/>
  <c r="H51" i="8" s="1"/>
  <c r="G52" i="8"/>
  <c r="H52" i="8" s="1"/>
  <c r="G49" i="8"/>
  <c r="H49" i="8" s="1"/>
  <c r="G48" i="8"/>
  <c r="I48" i="8" s="1"/>
  <c r="G45" i="8"/>
  <c r="H45" i="8" s="1"/>
  <c r="G46" i="8"/>
  <c r="H46" i="8" s="1"/>
  <c r="G42" i="8"/>
  <c r="H42" i="8" s="1"/>
  <c r="G43" i="8"/>
  <c r="H43" i="8" s="1"/>
  <c r="G39" i="8"/>
  <c r="I39" i="8" s="1"/>
  <c r="G40" i="8"/>
  <c r="I40" i="8" s="1"/>
  <c r="G36" i="8"/>
  <c r="I36" i="8" s="1"/>
  <c r="G37" i="8"/>
  <c r="I37" i="8" s="1"/>
  <c r="G33" i="8"/>
  <c r="H33" i="8" s="1"/>
  <c r="G34" i="8"/>
  <c r="H34" i="8" s="1"/>
  <c r="G30" i="8"/>
  <c r="H30" i="8" s="1"/>
  <c r="G31" i="8"/>
  <c r="H31" i="8" s="1"/>
  <c r="G27" i="8"/>
  <c r="I27" i="8" s="1"/>
  <c r="G28" i="8"/>
  <c r="I28" i="8" s="1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T26" i="8"/>
  <c r="S26" i="8"/>
  <c r="V26" i="8"/>
  <c r="G65" i="8"/>
  <c r="I65" i="8" s="1"/>
  <c r="G59" i="8"/>
  <c r="H59" i="8" s="1"/>
  <c r="N27" i="8" l="1"/>
  <c r="O28" i="8" s="1"/>
  <c r="H37" i="8"/>
  <c r="H65" i="8"/>
  <c r="H57" i="8"/>
  <c r="H55" i="8"/>
  <c r="I45" i="8"/>
  <c r="I43" i="8"/>
  <c r="I33" i="8"/>
  <c r="I52" i="8"/>
  <c r="H40" i="8"/>
  <c r="H28" i="8"/>
  <c r="I46" i="8"/>
  <c r="I34" i="8"/>
  <c r="I63" i="8"/>
  <c r="I51" i="8"/>
  <c r="H66" i="8"/>
  <c r="H54" i="8"/>
  <c r="I61" i="8"/>
  <c r="I49" i="8"/>
  <c r="I31" i="8"/>
  <c r="I60" i="8"/>
  <c r="H27" i="8"/>
  <c r="H36" i="8"/>
  <c r="H64" i="8"/>
  <c r="I42" i="8"/>
  <c r="I30" i="8"/>
  <c r="I59" i="8"/>
  <c r="I58" i="8"/>
  <c r="H48" i="8"/>
  <c r="I67" i="8"/>
  <c r="W26" i="8"/>
  <c r="X26" i="8" s="1"/>
  <c r="Y26" i="8" s="1"/>
  <c r="G29" i="8" l="1"/>
  <c r="G32" i="8"/>
  <c r="G35" i="8"/>
  <c r="G38" i="8"/>
  <c r="G41" i="8"/>
  <c r="G44" i="8"/>
  <c r="G47" i="8"/>
  <c r="G50" i="8"/>
  <c r="G53" i="8"/>
  <c r="G56" i="8"/>
  <c r="G62" i="8"/>
  <c r="G26" i="8"/>
  <c r="D32" i="8"/>
  <c r="D33" i="8"/>
  <c r="D34" i="8"/>
  <c r="C16" i="8"/>
  <c r="C17" i="8" s="1"/>
  <c r="D57" i="8"/>
  <c r="D58" i="8"/>
  <c r="D59" i="8"/>
  <c r="D60" i="8"/>
  <c r="D61" i="8"/>
  <c r="D62" i="8"/>
  <c r="D63" i="8"/>
  <c r="D64" i="8"/>
  <c r="D65" i="8"/>
  <c r="D66" i="8"/>
  <c r="D67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I53" i="8" l="1"/>
  <c r="H53" i="8"/>
  <c r="H62" i="8"/>
  <c r="I62" i="8"/>
  <c r="I47" i="8"/>
  <c r="H47" i="8"/>
  <c r="I41" i="8"/>
  <c r="H41" i="8"/>
  <c r="I56" i="8"/>
  <c r="H56" i="8"/>
  <c r="H44" i="8"/>
  <c r="I44" i="8"/>
  <c r="I38" i="8"/>
  <c r="H38" i="8"/>
  <c r="H26" i="8"/>
  <c r="I26" i="8"/>
  <c r="H50" i="8"/>
  <c r="I50" i="8"/>
  <c r="H35" i="8"/>
  <c r="I35" i="8"/>
  <c r="H32" i="8"/>
  <c r="I32" i="8"/>
  <c r="I29" i="8"/>
  <c r="H29" i="8"/>
  <c r="D40" i="8"/>
  <c r="D39" i="8"/>
  <c r="D38" i="8"/>
  <c r="D37" i="8"/>
  <c r="D36" i="8"/>
  <c r="D35" i="8"/>
  <c r="D31" i="8"/>
  <c r="D30" i="8"/>
  <c r="D29" i="8"/>
  <c r="D28" i="8"/>
  <c r="D27" i="8"/>
  <c r="D26" i="8"/>
  <c r="E31" i="1"/>
  <c r="J37" i="1"/>
  <c r="J38" i="1"/>
  <c r="J30" i="1"/>
  <c r="J29" i="1"/>
  <c r="J28" i="1"/>
  <c r="J27" i="1"/>
  <c r="J26" i="1"/>
  <c r="L29" i="1" l="1"/>
  <c r="L30" i="1"/>
  <c r="L26" i="1"/>
  <c r="L27" i="1"/>
  <c r="L28" i="1"/>
  <c r="E26" i="1" l="1"/>
  <c r="K26" i="1" s="1"/>
  <c r="M26" i="1" s="1"/>
  <c r="E27" i="1"/>
  <c r="E28" i="1"/>
  <c r="E29" i="1"/>
  <c r="K27" i="1" s="1"/>
  <c r="M27" i="1" s="1"/>
  <c r="E30" i="1"/>
  <c r="E32" i="1"/>
  <c r="E33" i="1"/>
  <c r="K28" i="1" s="1"/>
  <c r="M28" i="1" s="1"/>
  <c r="E34" i="1"/>
  <c r="C40" i="1"/>
  <c r="E40" i="1" s="1"/>
  <c r="C39" i="1"/>
  <c r="E39" i="1" s="1"/>
  <c r="C38" i="1"/>
  <c r="E38" i="1" s="1"/>
  <c r="K30" i="1" s="1"/>
  <c r="M30" i="1" s="1"/>
  <c r="C37" i="1"/>
  <c r="E37" i="1" s="1"/>
  <c r="C36" i="1"/>
  <c r="E36" i="1" s="1"/>
  <c r="C35" i="1"/>
  <c r="E35" i="1" s="1"/>
  <c r="K29" i="1" s="1"/>
  <c r="M29" i="1" s="1"/>
  <c r="N26" i="1" l="1"/>
  <c r="O26" i="1" s="1"/>
  <c r="P26" i="1" s="1"/>
</calcChain>
</file>

<file path=xl/sharedStrings.xml><?xml version="1.0" encoding="utf-8"?>
<sst xmlns="http://schemas.openxmlformats.org/spreadsheetml/2006/main" count="255" uniqueCount="76">
  <si>
    <t>MJERENJE 1</t>
  </si>
  <si>
    <t>MJERENJE 2</t>
  </si>
  <si>
    <t>MJERENJE 3</t>
  </si>
  <si>
    <t>MASA UTEGA [kg]</t>
  </si>
  <si>
    <t>SILA UTEGA [N]</t>
  </si>
  <si>
    <t>GUSTOĆA UTEGA :</t>
  </si>
  <si>
    <t>GUSTOĆA ZRAKA :</t>
  </si>
  <si>
    <t>g :</t>
  </si>
  <si>
    <t>JEDNADŽBA KALIBRACIJE :</t>
  </si>
  <si>
    <t>OČITANA SILA (OTKLON) [N]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</si>
  <si>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</si>
  <si>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</si>
  <si>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</si>
  <si>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</si>
  <si>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</si>
  <si>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</si>
  <si>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</si>
  <si>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</si>
  <si>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</si>
  <si>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</si>
  <si>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</si>
  <si>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</si>
  <si>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</si>
  <si>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</si>
  <si>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</si>
  <si>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</si>
  <si>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</si>
  <si>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</si>
  <si>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</si>
  <si>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</si>
  <si>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</si>
  <si>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</si>
  <si>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</si>
  <si>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</si>
  <si>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</si>
  <si>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RESIDUAL OUTPUT</t>
  </si>
  <si>
    <t>Observation</t>
  </si>
  <si>
    <t>Predicted Y</t>
  </si>
  <si>
    <t>Residuals</t>
  </si>
  <si>
    <t>PROSJEČNI OTKLON</t>
  </si>
  <si>
    <t>LLF</t>
  </si>
  <si>
    <t>LFL</t>
  </si>
  <si>
    <t xml:space="preserve">STVARNE SILE </t>
  </si>
  <si>
    <t>PODACI IZ JJEDNADŽBE</t>
  </si>
  <si>
    <t>KOEFICIJENTI REGRESIJA</t>
  </si>
  <si>
    <t>LINEARNA</t>
  </si>
  <si>
    <t>KVADRATNA</t>
  </si>
  <si>
    <t>KMS - GRIP</t>
  </si>
  <si>
    <t>RAZLIKA (dn)</t>
  </si>
  <si>
    <t>STD. DEV (Sn)</t>
  </si>
  <si>
    <t>GRAVITACIJSKA SILA (PO NORMI) :</t>
  </si>
  <si>
    <t>STANDARDNA DEVIJACIJA, LLF I LFL ZA LINEARNU REGRESIJU :</t>
  </si>
  <si>
    <t>GRAFIČKI PRIKAZ KALIBRACIJSKE JEDNADŽBE :</t>
  </si>
  <si>
    <t>masa stabilizatora</t>
  </si>
  <si>
    <t>sila stabilizatora</t>
  </si>
  <si>
    <t>SILA NA NULI [N]</t>
  </si>
  <si>
    <t>Otklon</t>
  </si>
  <si>
    <t>Stvarni otklon</t>
  </si>
  <si>
    <t>Uteg</t>
  </si>
  <si>
    <t>Lower 95.0%</t>
  </si>
  <si>
    <t>Upper 95.0%</t>
  </si>
  <si>
    <t>Predicted Uteg</t>
  </si>
  <si>
    <t>Standard Residuals</t>
  </si>
  <si>
    <t>Stdev</t>
  </si>
  <si>
    <t>Residuals°2</t>
  </si>
  <si>
    <t>Stjupanj</t>
  </si>
  <si>
    <t>Otklon^2</t>
  </si>
  <si>
    <t>Otklon^3</t>
  </si>
  <si>
    <t>stvarni^2</t>
  </si>
  <si>
    <t>stvarni^3</t>
  </si>
  <si>
    <t>Predicted SILA UTEGA [N]</t>
  </si>
  <si>
    <t>Rezidual</t>
  </si>
  <si>
    <t>Rezidual ^2</t>
  </si>
  <si>
    <t>STVARNI OTKLON [N]</t>
  </si>
  <si>
    <t>Sila</t>
  </si>
  <si>
    <t>stvarni^4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</si>
</sst>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0"/>
    <numFmt numFmtId="166" formatCode="0.000"/>
  </numFmts>
  <fonts count="7" x14ac:knownFonts="1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b/>
      <sz val="24"/>
      <color rgb="FFFF0000"/>
      <name val="Calibri"/>
      <family val="2"/>
      <charset val="238"/>
    </font>
    <font>
      <b/>
      <sz val="11"/>
      <color rgb="FF3F3F3F"/>
      <name val="Calibri"/>
      <family val="2"/>
      <scheme val="minor"/>
    </font>
    <font>
      <sz val="8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0">
    <border>
      <left/>
      <right/>
      <top/>
      <bottom/>
      <diagonal/>
    </border>
    <border>
      <left style="medium">
        <color rgb="FF548235"/>
      </left>
      <right style="medium">
        <color rgb="FF548235"/>
      </right>
      <top style="medium">
        <color rgb="FF548235"/>
      </top>
      <bottom style="medium">
        <color rgb="FF548235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medium">
        <color theme="9"/>
      </right>
      <top/>
      <bottom style="thin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 style="thin">
        <color theme="9"/>
      </right>
      <top style="medium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/>
      <bottom style="thin">
        <color theme="9"/>
      </bottom>
      <diagonal/>
    </border>
    <border>
      <left/>
      <right style="medium">
        <color theme="9"/>
      </right>
      <top style="thin">
        <color theme="9"/>
      </top>
      <bottom style="thin">
        <color theme="9"/>
      </bottom>
      <diagonal/>
    </border>
    <border>
      <left/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medium">
        <color theme="9"/>
      </left>
      <right style="medium">
        <color theme="9"/>
      </right>
      <top/>
      <bottom style="medium">
        <color theme="9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theme="9"/>
      </bottom>
      <diagonal/>
    </border>
    <border>
      <left style="medium">
        <color theme="9" tint="-0.249977111117893"/>
      </left>
      <right style="medium">
        <color theme="9" tint="-0.249977111117893"/>
      </right>
      <top style="thin">
        <color theme="9"/>
      </top>
      <bottom style="thin">
        <color theme="9"/>
      </bottom>
      <diagonal/>
    </border>
    <border>
      <left style="medium">
        <color theme="9" tint="-0.249977111117893"/>
      </left>
      <right style="medium">
        <color theme="9" tint="-0.249977111117893"/>
      </right>
      <top style="thin">
        <color theme="9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5" fillId="2" borderId="29" applyNumberFormat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2" fillId="0" borderId="0" xfId="0" applyFont="1" applyAlignment="1">
      <alignment horizontal="center" vertical="center"/>
    </xf>
    <xf numFmtId="3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164" fontId="0" fillId="0" borderId="0" xfId="0" applyNumberFormat="1"/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2" fillId="0" borderId="0" xfId="0" applyFont="1" applyAlignment="1">
      <alignment vertical="center"/>
    </xf>
    <xf numFmtId="11" fontId="0" fillId="0" borderId="1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0" fillId="0" borderId="9" xfId="0" applyNumberFormat="1" applyBorder="1"/>
    <xf numFmtId="0" fontId="0" fillId="0" borderId="0" xfId="0" applyAlignment="1">
      <alignment vertical="center"/>
    </xf>
    <xf numFmtId="0" fontId="1" fillId="0" borderId="0" xfId="0" applyFont="1"/>
    <xf numFmtId="166" fontId="0" fillId="0" borderId="0" xfId="0" applyNumberFormat="1"/>
    <xf numFmtId="9" fontId="0" fillId="0" borderId="0" xfId="0" applyNumberFormat="1"/>
    <xf numFmtId="10" fontId="0" fillId="0" borderId="0" xfId="0" applyNumberFormat="1"/>
    <xf numFmtId="0" fontId="3" fillId="0" borderId="0" xfId="0" applyFont="1" applyAlignment="1">
      <alignment horizontal="center"/>
    </xf>
    <xf numFmtId="0" fontId="5" fillId="2" borderId="29" xfId="1"/>
    <xf numFmtId="166" fontId="5" fillId="2" borderId="29" xfId="1" applyNumberFormat="1" applyAlignment="1"/>
    <xf numFmtId="166" fontId="5" fillId="2" borderId="29" xfId="1" applyNumberForma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</cellXfs>
  <cellStyles count="2">
    <cellStyle name="Normal" xfId="0" builtinId="0" customBuiltin="1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PODACI!$J$26:$J$30</c:f>
              <c:numCache>
                <c:formatCode>0.0000000</c:formatCode>
                <c:ptCount val="5"/>
                <c:pt idx="0">
                  <c:v>0.13333333333333333</c:v>
                </c:pt>
                <c:pt idx="1">
                  <c:v>3.9</c:v>
                </c:pt>
                <c:pt idx="2">
                  <c:v>5.6333333333333329</c:v>
                </c:pt>
                <c:pt idx="3">
                  <c:v>93.266666666666666</c:v>
                </c:pt>
                <c:pt idx="4">
                  <c:v>185.30000000000004</c:v>
                </c:pt>
              </c:numCache>
            </c:numRef>
          </c:xVal>
          <c:yVal>
            <c:numRef>
              <c:f>Linearna_reg!$C$25:$C$29</c:f>
              <c:numCache>
                <c:formatCode>General</c:formatCode>
                <c:ptCount val="5"/>
                <c:pt idx="0">
                  <c:v>-0.62275908432180604</c:v>
                </c:pt>
                <c:pt idx="1">
                  <c:v>0.32937513587546174</c:v>
                </c:pt>
                <c:pt idx="2">
                  <c:v>0.47245805136446961</c:v>
                </c:pt>
                <c:pt idx="3">
                  <c:v>-0.31857358670086455</c:v>
                </c:pt>
                <c:pt idx="4">
                  <c:v>0.13949948378277099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2E-4D46-B3E5-8ECAA870A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20720"/>
        <c:axId val="664821048"/>
      </c:scatterChart>
      <c:valAx>
        <c:axId val="66482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X Variable 1</a:t>
                </a:r>
              </a:p>
            </c:rich>
          </c:tx>
          <c:overlay val="0"/>
        </c:title>
        <c:numFmt formatCode="0.0000000" sourceLinked="1"/>
        <c:majorTickMark val="out"/>
        <c:minorTickMark val="none"/>
        <c:tickLblPos val="nextTo"/>
        <c:crossAx val="664821048"/>
        <c:crosses val="autoZero"/>
        <c:crossBetween val="midCat"/>
      </c:valAx>
      <c:valAx>
        <c:axId val="664821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4820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PODACI!$J$26:$J$30</c:f>
              <c:numCache>
                <c:formatCode>0.0000000</c:formatCode>
                <c:ptCount val="5"/>
                <c:pt idx="0">
                  <c:v>0.13333333333333333</c:v>
                </c:pt>
                <c:pt idx="1">
                  <c:v>3.9</c:v>
                </c:pt>
                <c:pt idx="2">
                  <c:v>5.6333333333333329</c:v>
                </c:pt>
                <c:pt idx="3">
                  <c:v>93.266666666666666</c:v>
                </c:pt>
                <c:pt idx="4">
                  <c:v>185.30000000000004</c:v>
                </c:pt>
              </c:numCache>
            </c:numRef>
          </c:xVal>
          <c:yVal>
            <c:numRef>
              <c:f>PODACI!$K$26:$K$30</c:f>
              <c:numCache>
                <c:formatCode>0.0000000</c:formatCode>
                <c:ptCount val="5"/>
                <c:pt idx="0">
                  <c:v>0</c:v>
                </c:pt>
                <c:pt idx="1">
                  <c:v>4.9033249999999997</c:v>
                </c:pt>
                <c:pt idx="2">
                  <c:v>6.8646549999999991</c:v>
                </c:pt>
                <c:pt idx="3">
                  <c:v>98</c:v>
                </c:pt>
                <c:pt idx="4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93-4521-BA56-1D36B8D99D3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PODACI!$J$26:$J$30</c:f>
              <c:numCache>
                <c:formatCode>0.0000000</c:formatCode>
                <c:ptCount val="5"/>
                <c:pt idx="0">
                  <c:v>0.13333333333333333</c:v>
                </c:pt>
                <c:pt idx="1">
                  <c:v>3.9</c:v>
                </c:pt>
                <c:pt idx="2">
                  <c:v>5.6333333333333329</c:v>
                </c:pt>
                <c:pt idx="3">
                  <c:v>93.266666666666666</c:v>
                </c:pt>
                <c:pt idx="4">
                  <c:v>185.30000000000004</c:v>
                </c:pt>
              </c:numCache>
            </c:numRef>
          </c:xVal>
          <c:yVal>
            <c:numRef>
              <c:f>Linearna_reg!$B$25:$B$29</c:f>
              <c:numCache>
                <c:formatCode>General</c:formatCode>
                <c:ptCount val="5"/>
                <c:pt idx="0">
                  <c:v>0.62275908432180604</c:v>
                </c:pt>
                <c:pt idx="1">
                  <c:v>4.573949864124538</c:v>
                </c:pt>
                <c:pt idx="2">
                  <c:v>6.3921969486355295</c:v>
                </c:pt>
                <c:pt idx="3">
                  <c:v>98.318573586700865</c:v>
                </c:pt>
                <c:pt idx="4">
                  <c:v>194.86050051621723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93-4521-BA56-1D36B8D99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61432"/>
        <c:axId val="321263400"/>
      </c:scatterChart>
      <c:valAx>
        <c:axId val="32126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X Variable 1</a:t>
                </a:r>
              </a:p>
            </c:rich>
          </c:tx>
          <c:overlay val="0"/>
        </c:title>
        <c:numFmt formatCode="0.0000000" sourceLinked="1"/>
        <c:majorTickMark val="out"/>
        <c:minorTickMark val="none"/>
        <c:tickLblPos val="nextTo"/>
        <c:crossAx val="321263400"/>
        <c:crosses val="autoZero"/>
        <c:crossBetween val="midCat"/>
      </c:valAx>
      <c:valAx>
        <c:axId val="321263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Y</a:t>
                </a:r>
              </a:p>
            </c:rich>
          </c:tx>
          <c:overlay val="0"/>
        </c:title>
        <c:numFmt formatCode="0.0000000" sourceLinked="1"/>
        <c:majorTickMark val="out"/>
        <c:minorTickMark val="none"/>
        <c:tickLblPos val="nextTo"/>
        <c:crossAx val="321261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KALIBRACIJSKA JEDNADŽBA -</a:t>
            </a:r>
            <a:r>
              <a:rPr lang="hr-HR" baseline="0"/>
              <a:t> Polinom 2. stupnja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0.1694337626401351"/>
          <c:y val="0.11391231028667792"/>
          <c:w val="0.75769336972413337"/>
          <c:h val="0.76752864787348463"/>
        </c:manualLayout>
      </c:layout>
      <c:scatterChart>
        <c:scatterStyle val="lineMarker"/>
        <c:varyColors val="0"/>
        <c:ser>
          <c:idx val="0"/>
          <c:order val="0"/>
          <c:tx>
            <c:v>RWGRESUIJA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r-Latn-RS"/>
                </a:p>
              </c:txPr>
            </c:trendlineLbl>
          </c:trendline>
          <c:xVal>
            <c:numRef>
              <c:f>PODACI!$J$26:$J$30</c:f>
              <c:numCache>
                <c:formatCode>0.0000000</c:formatCode>
                <c:ptCount val="5"/>
                <c:pt idx="0">
                  <c:v>0.13333333333333333</c:v>
                </c:pt>
                <c:pt idx="1">
                  <c:v>3.9</c:v>
                </c:pt>
                <c:pt idx="2">
                  <c:v>5.6333333333333329</c:v>
                </c:pt>
                <c:pt idx="3">
                  <c:v>93.266666666666666</c:v>
                </c:pt>
                <c:pt idx="4">
                  <c:v>185.30000000000004</c:v>
                </c:pt>
              </c:numCache>
            </c:numRef>
          </c:xVal>
          <c:yVal>
            <c:numRef>
              <c:f>PODACI!$K$26:$K$30</c:f>
              <c:numCache>
                <c:formatCode>0.0000000</c:formatCode>
                <c:ptCount val="5"/>
                <c:pt idx="0">
                  <c:v>0</c:v>
                </c:pt>
                <c:pt idx="1">
                  <c:v>4.9033249999999997</c:v>
                </c:pt>
                <c:pt idx="2">
                  <c:v>6.8646549999999991</c:v>
                </c:pt>
                <c:pt idx="3">
                  <c:v>98</c:v>
                </c:pt>
                <c:pt idx="4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B-4A83-9FA4-9799B29A0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26136"/>
        <c:axId val="415023840"/>
      </c:scatterChart>
      <c:valAx>
        <c:axId val="415026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OČITANA SILA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5023840"/>
        <c:crosses val="autoZero"/>
        <c:crossBetween val="midCat"/>
      </c:valAx>
      <c:valAx>
        <c:axId val="415023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SILA</a:t>
                </a:r>
                <a:r>
                  <a:rPr lang="hr-HR" baseline="0"/>
                  <a:t> UTEGA [N]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5026136"/>
        <c:crosses val="autoZero"/>
        <c:crossBetween val="midCat"/>
      </c:valAx>
      <c:spPr>
        <a:noFill/>
        <a:ln>
          <a:solidFill>
            <a:schemeClr val="accent1">
              <a:lumMod val="60000"/>
              <a:lumOff val="4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KALIBRACIJSKA JEDNAŽBA - Linearna regresja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279920670864791"/>
                  <c:y val="-5.63448256435501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r-Latn-RS"/>
                </a:p>
              </c:txPr>
            </c:trendlineLbl>
          </c:trendline>
          <c:xVal>
            <c:numRef>
              <c:f>PODACI!$J$26:$J$30</c:f>
              <c:numCache>
                <c:formatCode>0.0000000</c:formatCode>
                <c:ptCount val="5"/>
                <c:pt idx="0">
                  <c:v>0.13333333333333333</c:v>
                </c:pt>
                <c:pt idx="1">
                  <c:v>3.9</c:v>
                </c:pt>
                <c:pt idx="2">
                  <c:v>5.6333333333333329</c:v>
                </c:pt>
                <c:pt idx="3">
                  <c:v>93.266666666666666</c:v>
                </c:pt>
                <c:pt idx="4">
                  <c:v>185.30000000000004</c:v>
                </c:pt>
              </c:numCache>
            </c:numRef>
          </c:xVal>
          <c:yVal>
            <c:numRef>
              <c:f>PODACI!$K$26:$K$30</c:f>
              <c:numCache>
                <c:formatCode>0.0000000</c:formatCode>
                <c:ptCount val="5"/>
                <c:pt idx="0">
                  <c:v>0</c:v>
                </c:pt>
                <c:pt idx="1">
                  <c:v>4.9033249999999997</c:v>
                </c:pt>
                <c:pt idx="2">
                  <c:v>6.8646549999999991</c:v>
                </c:pt>
                <c:pt idx="3">
                  <c:v>98</c:v>
                </c:pt>
                <c:pt idx="4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C-4592-8A9D-CCB9D95ED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17072"/>
        <c:axId val="659610840"/>
        <c:extLst/>
      </c:scatterChart>
      <c:valAx>
        <c:axId val="65961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OČITANA SILA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59610840"/>
        <c:crosses val="autoZero"/>
        <c:crossBetween val="midCat"/>
      </c:valAx>
      <c:valAx>
        <c:axId val="659610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SILA UTEGA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5961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Otklon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'UMS Podaci'!$R$26:$R$39</c:f>
              <c:numCache>
                <c:formatCode>General</c:formatCode>
                <c:ptCount val="14"/>
                <c:pt idx="0">
                  <c:v>0</c:v>
                </c:pt>
                <c:pt idx="1">
                  <c:v>4.09</c:v>
                </c:pt>
                <c:pt idx="2">
                  <c:v>17.47</c:v>
                </c:pt>
                <c:pt idx="3">
                  <c:v>45.31</c:v>
                </c:pt>
                <c:pt idx="4">
                  <c:v>89.35</c:v>
                </c:pt>
                <c:pt idx="5">
                  <c:v>135.58000000000001</c:v>
                </c:pt>
                <c:pt idx="6">
                  <c:v>181.92000000000002</c:v>
                </c:pt>
                <c:pt idx="7">
                  <c:v>223.65</c:v>
                </c:pt>
                <c:pt idx="8">
                  <c:v>268.09999999999997</c:v>
                </c:pt>
                <c:pt idx="9">
                  <c:v>310.3</c:v>
                </c:pt>
                <c:pt idx="10">
                  <c:v>360.21999999999997</c:v>
                </c:pt>
                <c:pt idx="11">
                  <c:v>403.95</c:v>
                </c:pt>
                <c:pt idx="12">
                  <c:v>451.67</c:v>
                </c:pt>
                <c:pt idx="13">
                  <c:v>498.13</c:v>
                </c:pt>
              </c:numCache>
            </c:numRef>
          </c:xVal>
          <c:yVal>
            <c:numRef>
              <c:f>Sheet1!$C$25:$C$38</c:f>
              <c:numCache>
                <c:formatCode>General</c:formatCode>
                <c:ptCount val="14"/>
                <c:pt idx="0">
                  <c:v>-0.61274371476918077</c:v>
                </c:pt>
                <c:pt idx="1">
                  <c:v>-0.15837507757742308</c:v>
                </c:pt>
                <c:pt idx="2">
                  <c:v>-2.6876409941181123E-3</c:v>
                </c:pt>
                <c:pt idx="3">
                  <c:v>-0.86609831106294166</c:v>
                </c:pt>
                <c:pt idx="4">
                  <c:v>0.2620078703368165</c:v>
                </c:pt>
                <c:pt idx="5">
                  <c:v>-0.99208996649082337</c:v>
                </c:pt>
                <c:pt idx="6">
                  <c:v>-2.365841886425784</c:v>
                </c:pt>
                <c:pt idx="7">
                  <c:v>1.2750000402275248</c:v>
                </c:pt>
                <c:pt idx="8">
                  <c:v>1.9571228209546234</c:v>
                </c:pt>
                <c:pt idx="9">
                  <c:v>5.0867154834220401</c:v>
                </c:pt>
                <c:pt idx="10">
                  <c:v>-0.18123295945991913</c:v>
                </c:pt>
                <c:pt idx="11">
                  <c:v>1.2840801834241233</c:v>
                </c:pt>
                <c:pt idx="12">
                  <c:v>-1.5907865973117055</c:v>
                </c:pt>
                <c:pt idx="13">
                  <c:v>-3.095070244272847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D2-4FDB-BEB9-B1BDAA62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412224"/>
        <c:axId val="1192410144"/>
      </c:scatterChart>
      <c:valAx>
        <c:axId val="119241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Otklon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2410144"/>
        <c:crosses val="autoZero"/>
        <c:crossBetween val="midCat"/>
      </c:valAx>
      <c:valAx>
        <c:axId val="119241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2412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Otklon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Uteg</c:v>
          </c:tx>
          <c:spPr>
            <a:ln w="19050">
              <a:noFill/>
            </a:ln>
          </c:spPr>
          <c:xVal>
            <c:numRef>
              <c:f>'UMS Podaci'!$R$26:$R$39</c:f>
              <c:numCache>
                <c:formatCode>General</c:formatCode>
                <c:ptCount val="14"/>
                <c:pt idx="0">
                  <c:v>0</c:v>
                </c:pt>
                <c:pt idx="1">
                  <c:v>4.09</c:v>
                </c:pt>
                <c:pt idx="2">
                  <c:v>17.47</c:v>
                </c:pt>
                <c:pt idx="3">
                  <c:v>45.31</c:v>
                </c:pt>
                <c:pt idx="4">
                  <c:v>89.35</c:v>
                </c:pt>
                <c:pt idx="5">
                  <c:v>135.58000000000001</c:v>
                </c:pt>
                <c:pt idx="6">
                  <c:v>181.92000000000002</c:v>
                </c:pt>
                <c:pt idx="7">
                  <c:v>223.65</c:v>
                </c:pt>
                <c:pt idx="8">
                  <c:v>268.09999999999997</c:v>
                </c:pt>
                <c:pt idx="9">
                  <c:v>310.3</c:v>
                </c:pt>
                <c:pt idx="10">
                  <c:v>360.21999999999997</c:v>
                </c:pt>
                <c:pt idx="11">
                  <c:v>403.95</c:v>
                </c:pt>
                <c:pt idx="12">
                  <c:v>451.67</c:v>
                </c:pt>
                <c:pt idx="13">
                  <c:v>498.13</c:v>
                </c:pt>
              </c:numCache>
            </c:numRef>
          </c:xVal>
          <c:yVal>
            <c:numRef>
              <c:f>'UMS Podaci'!$Q$26:$Q$39</c:f>
              <c:numCache>
                <c:formatCode>0.000000000</c:formatCode>
                <c:ptCount val="14"/>
                <c:pt idx="0">
                  <c:v>0</c:v>
                </c:pt>
                <c:pt idx="1">
                  <c:v>4.9033249999999997</c:v>
                </c:pt>
                <c:pt idx="2">
                  <c:v>19.613299999999999</c:v>
                </c:pt>
                <c:pt idx="3">
                  <c:v>49.033249999999995</c:v>
                </c:pt>
                <c:pt idx="4">
                  <c:v>98.066499999999991</c:v>
                </c:pt>
                <c:pt idx="5">
                  <c:v>147.09975</c:v>
                </c:pt>
                <c:pt idx="6">
                  <c:v>196.13299999999998</c:v>
                </c:pt>
                <c:pt idx="7">
                  <c:v>245.16624999999999</c:v>
                </c:pt>
                <c:pt idx="8">
                  <c:v>294.1995</c:v>
                </c:pt>
                <c:pt idx="9">
                  <c:v>343.23274999999995</c:v>
                </c:pt>
                <c:pt idx="10">
                  <c:v>392.26599999999996</c:v>
                </c:pt>
                <c:pt idx="11">
                  <c:v>441.29924999999997</c:v>
                </c:pt>
                <c:pt idx="12">
                  <c:v>490.33249999999998</c:v>
                </c:pt>
                <c:pt idx="13">
                  <c:v>539.36574999999993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65-4E0D-8393-377B3B430A24}"/>
            </c:ext>
          </c:extLst>
        </c:ser>
        <c:ser>
          <c:idx val="1"/>
          <c:order val="1"/>
          <c:tx>
            <c:v>Predicted Uteg</c:v>
          </c:tx>
          <c:spPr>
            <a:ln w="19050">
              <a:noFill/>
            </a:ln>
          </c:spPr>
          <c:xVal>
            <c:numRef>
              <c:f>'UMS Podaci'!$R$26:$R$39</c:f>
              <c:numCache>
                <c:formatCode>General</c:formatCode>
                <c:ptCount val="14"/>
                <c:pt idx="0">
                  <c:v>0</c:v>
                </c:pt>
                <c:pt idx="1">
                  <c:v>4.09</c:v>
                </c:pt>
                <c:pt idx="2">
                  <c:v>17.47</c:v>
                </c:pt>
                <c:pt idx="3">
                  <c:v>45.31</c:v>
                </c:pt>
                <c:pt idx="4">
                  <c:v>89.35</c:v>
                </c:pt>
                <c:pt idx="5">
                  <c:v>135.58000000000001</c:v>
                </c:pt>
                <c:pt idx="6">
                  <c:v>181.92000000000002</c:v>
                </c:pt>
                <c:pt idx="7">
                  <c:v>223.65</c:v>
                </c:pt>
                <c:pt idx="8">
                  <c:v>268.09999999999997</c:v>
                </c:pt>
                <c:pt idx="9">
                  <c:v>310.3</c:v>
                </c:pt>
                <c:pt idx="10">
                  <c:v>360.21999999999997</c:v>
                </c:pt>
                <c:pt idx="11">
                  <c:v>403.95</c:v>
                </c:pt>
                <c:pt idx="12">
                  <c:v>451.67</c:v>
                </c:pt>
                <c:pt idx="13">
                  <c:v>498.13</c:v>
                </c:pt>
              </c:numCache>
            </c:numRef>
          </c:xVal>
          <c:yVal>
            <c:numRef>
              <c:f>Sheet1!$B$25:$B$38</c:f>
              <c:numCache>
                <c:formatCode>General</c:formatCode>
                <c:ptCount val="14"/>
                <c:pt idx="0">
                  <c:v>0.61274371476918077</c:v>
                </c:pt>
                <c:pt idx="1">
                  <c:v>5.0617000775774228</c:v>
                </c:pt>
                <c:pt idx="2">
                  <c:v>19.615987640994117</c:v>
                </c:pt>
                <c:pt idx="3">
                  <c:v>49.899348311062937</c:v>
                </c:pt>
                <c:pt idx="4">
                  <c:v>97.804492129663174</c:v>
                </c:pt>
                <c:pt idx="5">
                  <c:v>148.09183996649082</c:v>
                </c:pt>
                <c:pt idx="6">
                  <c:v>198.49884188642577</c:v>
                </c:pt>
                <c:pt idx="7">
                  <c:v>243.89124995977247</c:v>
                </c:pt>
                <c:pt idx="8">
                  <c:v>292.24237717904538</c:v>
                </c:pt>
                <c:pt idx="9">
                  <c:v>338.14603451657791</c:v>
                </c:pt>
                <c:pt idx="10">
                  <c:v>392.44723295945988</c:v>
                </c:pt>
                <c:pt idx="11">
                  <c:v>440.01516981657585</c:v>
                </c:pt>
                <c:pt idx="12">
                  <c:v>491.92328659731169</c:v>
                </c:pt>
                <c:pt idx="13">
                  <c:v>542.46082024427278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65-4E0D-8393-377B3B430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408064"/>
        <c:axId val="1192405152"/>
      </c:scatterChart>
      <c:valAx>
        <c:axId val="119240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Otklon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2405152"/>
        <c:crosses val="autoZero"/>
        <c:crossBetween val="midCat"/>
      </c:valAx>
      <c:valAx>
        <c:axId val="119240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Uteg</a:t>
                </a:r>
              </a:p>
            </c:rich>
          </c:tx>
          <c:overlay val="0"/>
        </c:title>
        <c:numFmt formatCode="0.000000000" sourceLinked="1"/>
        <c:majorTickMark val="out"/>
        <c:minorTickMark val="none"/>
        <c:tickLblPos val="nextTo"/>
        <c:crossAx val="11924080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>
                <a:latin typeface="Times New Roman" panose="02020603050405020304" pitchFamily="18" charset="0"/>
                <a:cs typeface="Times New Roman" panose="02020603050405020304" pitchFamily="18" charset="0"/>
              </a:rPr>
              <a:t>Jednadžba kalibracije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hr-HR">
                <a:latin typeface="Times New Roman" panose="02020603050405020304" pitchFamily="18" charset="0"/>
                <a:cs typeface="Times New Roman" panose="02020603050405020304" pitchFamily="18" charset="0"/>
              </a:rPr>
              <a:t>- 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Polinomna</a:t>
            </a:r>
            <a:r>
              <a:rPr lang="hr-HR">
                <a:latin typeface="Times New Roman" panose="02020603050405020304" pitchFamily="18" charset="0"/>
                <a:cs typeface="Times New Roman" panose="02020603050405020304" pitchFamily="18" charset="0"/>
              </a:rPr>
              <a:t> regresija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0804445446457485"/>
          <c:y val="1.7226193942528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'UMS Podaci'!$D$25</c:f>
              <c:strCache>
                <c:ptCount val="1"/>
                <c:pt idx="0">
                  <c:v>SILA UTEGA [N]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3.8251762588480696E-2"/>
                  <c:y val="-6.379795528242819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latin typeface="Cambria Math" panose="020405030504060302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a:t>y = -1,736E-09x</a:t>
                    </a:r>
                    <a:r>
                      <a:rPr lang="en-US" sz="1200" baseline="30000">
                        <a:latin typeface="Cambria Math" panose="020405030504060302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200" baseline="0">
                        <a:latin typeface="Cambria Math" panose="020405030504060302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a:t> + 1,416E-06x</a:t>
                    </a:r>
                    <a:r>
                      <a:rPr lang="en-US" sz="1200" baseline="30000">
                        <a:latin typeface="Cambria Math" panose="020405030504060302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200" baseline="0">
                        <a:latin typeface="Cambria Math" panose="020405030504060302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a:t> </a:t>
                    </a:r>
                    <a:r>
                      <a:rPr lang="hr-HR" sz="1200" b="0" i="0" u="none" strike="noStrike" baseline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a:t>-0,000302</a:t>
                    </a:r>
                    <a:r>
                      <a:rPr lang="en-US" sz="1200" baseline="0">
                        <a:latin typeface="Cambria Math" panose="020405030504060302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a:t>x</a:t>
                    </a:r>
                    <a:r>
                      <a:rPr lang="en-US" sz="1200" baseline="30000">
                        <a:latin typeface="Cambria Math" panose="020405030504060302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200" baseline="0">
                        <a:latin typeface="Cambria Math" panose="020405030504060302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a:t> + </a:t>
                    </a:r>
                    <a:r>
                      <a:rPr lang="hr-HR" sz="1200" b="0" i="0" u="none" strike="noStrike" baseline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a:t>1,09</a:t>
                    </a:r>
                    <a:r>
                      <a:rPr lang="en-US" sz="1200" b="0" i="0" u="none" strike="noStrike" baseline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a:t>6</a:t>
                    </a:r>
                    <a:r>
                      <a:rPr lang="en-US" sz="1200" baseline="0">
                        <a:latin typeface="Cambria Math" panose="020405030504060302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a:t>x </a:t>
                    </a:r>
                    <a:endParaRPr lang="en-US" sz="1200">
                      <a:latin typeface="Cambria Math" panose="02040503050406030204" pitchFamily="18" charset="0"/>
                      <a:ea typeface="Cambria Math" panose="020405030504060302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r-Latn-RS"/>
                </a:p>
              </c:txPr>
            </c:trendlineLbl>
          </c:trendline>
          <c:xVal>
            <c:numRef>
              <c:f>'UMS Podaci'!$G$26:$G$67</c:f>
              <c:numCache>
                <c:formatCode>0.000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4.09</c:v>
                </c:pt>
                <c:pt idx="4">
                  <c:v>4.01</c:v>
                </c:pt>
                <c:pt idx="5">
                  <c:v>4.09</c:v>
                </c:pt>
                <c:pt idx="6">
                  <c:v>17.47</c:v>
                </c:pt>
                <c:pt idx="7">
                  <c:v>17.29</c:v>
                </c:pt>
                <c:pt idx="8">
                  <c:v>17.810000000000002</c:v>
                </c:pt>
                <c:pt idx="9">
                  <c:v>45.31</c:v>
                </c:pt>
                <c:pt idx="10">
                  <c:v>47.9</c:v>
                </c:pt>
                <c:pt idx="11">
                  <c:v>47.970000000000006</c:v>
                </c:pt>
                <c:pt idx="12">
                  <c:v>89.35</c:v>
                </c:pt>
                <c:pt idx="13">
                  <c:v>90.4</c:v>
                </c:pt>
                <c:pt idx="14">
                  <c:v>89.050000000000011</c:v>
                </c:pt>
                <c:pt idx="15">
                  <c:v>135.58000000000001</c:v>
                </c:pt>
                <c:pt idx="16">
                  <c:v>136.94999999999999</c:v>
                </c:pt>
                <c:pt idx="17">
                  <c:v>136.04</c:v>
                </c:pt>
                <c:pt idx="18">
                  <c:v>181.92000000000002</c:v>
                </c:pt>
                <c:pt idx="19">
                  <c:v>184.35</c:v>
                </c:pt>
                <c:pt idx="20">
                  <c:v>182.87</c:v>
                </c:pt>
                <c:pt idx="21">
                  <c:v>223.65</c:v>
                </c:pt>
                <c:pt idx="22">
                  <c:v>225.65</c:v>
                </c:pt>
                <c:pt idx="23">
                  <c:v>227.60000000000002</c:v>
                </c:pt>
                <c:pt idx="24">
                  <c:v>268.09999999999997</c:v>
                </c:pt>
                <c:pt idx="25">
                  <c:v>272.14999999999998</c:v>
                </c:pt>
                <c:pt idx="26">
                  <c:v>272.7</c:v>
                </c:pt>
                <c:pt idx="27">
                  <c:v>310.3</c:v>
                </c:pt>
                <c:pt idx="28">
                  <c:v>313.7</c:v>
                </c:pt>
                <c:pt idx="29">
                  <c:v>315.8</c:v>
                </c:pt>
                <c:pt idx="30">
                  <c:v>360.21999999999997</c:v>
                </c:pt>
                <c:pt idx="31">
                  <c:v>361.2</c:v>
                </c:pt>
                <c:pt idx="32">
                  <c:v>362.82</c:v>
                </c:pt>
                <c:pt idx="33">
                  <c:v>403.95</c:v>
                </c:pt>
                <c:pt idx="34">
                  <c:v>399.8</c:v>
                </c:pt>
                <c:pt idx="35">
                  <c:v>405.8</c:v>
                </c:pt>
                <c:pt idx="36">
                  <c:v>451.67</c:v>
                </c:pt>
                <c:pt idx="37">
                  <c:v>449.82</c:v>
                </c:pt>
                <c:pt idx="38">
                  <c:v>450.5</c:v>
                </c:pt>
                <c:pt idx="39">
                  <c:v>498.13</c:v>
                </c:pt>
                <c:pt idx="40">
                  <c:v>498.9</c:v>
                </c:pt>
                <c:pt idx="41">
                  <c:v>499.27</c:v>
                </c:pt>
              </c:numCache>
            </c:numRef>
          </c:xVal>
          <c:yVal>
            <c:numRef>
              <c:f>'UMS Podaci'!$D$26:$D$67</c:f>
              <c:numCache>
                <c:formatCode>0.000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4.9033249999999997</c:v>
                </c:pt>
                <c:pt idx="4">
                  <c:v>4.9033249999999997</c:v>
                </c:pt>
                <c:pt idx="5">
                  <c:v>4.9033249999999997</c:v>
                </c:pt>
                <c:pt idx="6">
                  <c:v>19.613299999999999</c:v>
                </c:pt>
                <c:pt idx="7">
                  <c:v>19.613299999999999</c:v>
                </c:pt>
                <c:pt idx="8">
                  <c:v>19.613299999999999</c:v>
                </c:pt>
                <c:pt idx="9">
                  <c:v>49.033249999999995</c:v>
                </c:pt>
                <c:pt idx="10">
                  <c:v>49.033249999999995</c:v>
                </c:pt>
                <c:pt idx="11">
                  <c:v>49.033249999999995</c:v>
                </c:pt>
                <c:pt idx="12">
                  <c:v>98.066499999999991</c:v>
                </c:pt>
                <c:pt idx="13">
                  <c:v>98.066499999999991</c:v>
                </c:pt>
                <c:pt idx="14">
                  <c:v>98.066499999999991</c:v>
                </c:pt>
                <c:pt idx="15">
                  <c:v>147.09975</c:v>
                </c:pt>
                <c:pt idx="16">
                  <c:v>147.09975</c:v>
                </c:pt>
                <c:pt idx="17">
                  <c:v>147.09975</c:v>
                </c:pt>
                <c:pt idx="18">
                  <c:v>196.13299999999998</c:v>
                </c:pt>
                <c:pt idx="19">
                  <c:v>196.13299999999998</c:v>
                </c:pt>
                <c:pt idx="20">
                  <c:v>196.13299999999998</c:v>
                </c:pt>
                <c:pt idx="21">
                  <c:v>245.16624999999999</c:v>
                </c:pt>
                <c:pt idx="22">
                  <c:v>245.16624999999999</c:v>
                </c:pt>
                <c:pt idx="23">
                  <c:v>245.16624999999999</c:v>
                </c:pt>
                <c:pt idx="24">
                  <c:v>294.1995</c:v>
                </c:pt>
                <c:pt idx="25">
                  <c:v>294.1995</c:v>
                </c:pt>
                <c:pt idx="26">
                  <c:v>294.1995</c:v>
                </c:pt>
                <c:pt idx="27">
                  <c:v>343.23274999999995</c:v>
                </c:pt>
                <c:pt idx="28">
                  <c:v>343.23274999999995</c:v>
                </c:pt>
                <c:pt idx="29">
                  <c:v>343.23274999999995</c:v>
                </c:pt>
                <c:pt idx="30">
                  <c:v>392.26599999999996</c:v>
                </c:pt>
                <c:pt idx="31">
                  <c:v>392.26599999999996</c:v>
                </c:pt>
                <c:pt idx="32">
                  <c:v>392.26599999999996</c:v>
                </c:pt>
                <c:pt idx="33">
                  <c:v>441.29924999999997</c:v>
                </c:pt>
                <c:pt idx="34">
                  <c:v>441.29924999999997</c:v>
                </c:pt>
                <c:pt idx="35">
                  <c:v>441.29924999999997</c:v>
                </c:pt>
                <c:pt idx="36">
                  <c:v>490.33249999999998</c:v>
                </c:pt>
                <c:pt idx="37">
                  <c:v>490.33249999999998</c:v>
                </c:pt>
                <c:pt idx="38">
                  <c:v>490.33249999999998</c:v>
                </c:pt>
                <c:pt idx="39">
                  <c:v>539.36574999999993</c:v>
                </c:pt>
                <c:pt idx="40">
                  <c:v>539.36574999999993</c:v>
                </c:pt>
                <c:pt idx="41">
                  <c:v>539.36574999999993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8E3-4D8F-8662-B3DE48475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85648"/>
        <c:axId val="1237983984"/>
      </c:scatterChart>
      <c:valAx>
        <c:axId val="12379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Očitana</a:t>
                </a:r>
                <a:r>
                  <a:rPr lang="hr-HR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sila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 baseline="0"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rPr>
                  <a:t>[N]</a:t>
                </a:r>
                <a:endParaRPr lang="en-US" sz="120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37983984"/>
        <c:crosses val="autoZero"/>
        <c:crossBetween val="midCat"/>
      </c:valAx>
      <c:valAx>
        <c:axId val="12379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Stvarna sila</a:t>
                </a: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rPr>
                  <a:t>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  <a:alpha val="97000"/>
              </a:schemeClr>
            </a:solidFill>
            <a:round/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379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1</xdr:row>
      <xdr:rowOff>15240</xdr:rowOff>
    </xdr:from>
    <xdr:to>
      <xdr:col>17</xdr:col>
      <xdr:colOff>381000</xdr:colOff>
      <xdr:row>14</xdr:row>
      <xdr:rowOff>114300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5F3AFCFA-D32A-D2A3-D581-3D8C4D356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16</xdr:row>
      <xdr:rowOff>45720</xdr:rowOff>
    </xdr:from>
    <xdr:to>
      <xdr:col>18</xdr:col>
      <xdr:colOff>434340</xdr:colOff>
      <xdr:row>32</xdr:row>
      <xdr:rowOff>99060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C2D0E8D3-2ED8-1894-90B9-1D789D8F9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442651</xdr:colOff>
      <xdr:row>52</xdr:row>
      <xdr:rowOff>172836</xdr:rowOff>
    </xdr:from>
    <xdr:to>
      <xdr:col>8</xdr:col>
      <xdr:colOff>1003726</xdr:colOff>
      <xdr:row>74</xdr:row>
      <xdr:rowOff>151386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AB1356EC-DA86-EA1F-2388-5D54698BE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387754</xdr:colOff>
      <xdr:row>52</xdr:row>
      <xdr:rowOff>168159</xdr:rowOff>
    </xdr:from>
    <xdr:to>
      <xdr:col>15</xdr:col>
      <xdr:colOff>786904</xdr:colOff>
      <xdr:row>74</xdr:row>
      <xdr:rowOff>146709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58E7622F-57D7-DA44-9331-EE2189C70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613D6-44DA-BCEC-BA34-EA99CA027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68580</xdr:colOff>
      <xdr:row>12</xdr:row>
      <xdr:rowOff>91440</xdr:rowOff>
    </xdr:from>
    <xdr:to>
      <xdr:col>20</xdr:col>
      <xdr:colOff>68580</xdr:colOff>
      <xdr:row>22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AEB4F-3097-891C-1710-FA697D1A1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71</xdr:row>
      <xdr:rowOff>23813</xdr:rowOff>
    </xdr:from>
    <xdr:to>
      <xdr:col>8</xdr:col>
      <xdr:colOff>152400</xdr:colOff>
      <xdr:row>94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4738-295E-A793-F832-27FD43154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5AE81-B207-40E0-97CE-BD5316F66125}">
  <dimension ref="A1:I29"/>
  <sheetViews>
    <sheetView workbookViewId="0">
      <selection activeCell="B29" sqref="B29"/>
    </sheetView>
  </sheetViews>
  <sheetFormatPr defaultRowHeight="15" x14ac:dyDescent="0.25"/>
  <cols>
    <col min="1" max="1" width="15.5703125" customWidth="1"/>
    <col min="2" max="2" width="14.7109375" customWidth="1"/>
    <col min="3" max="3" width="14" customWidth="1"/>
    <col min="6" max="6" width="12.42578125" customWidth="1"/>
    <col min="7" max="7" width="12.140625" customWidth="1"/>
    <col min="8" max="8" width="12.5703125" customWidth="1"/>
    <col min="9" max="9" width="14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0.99998557024616996</v>
      </c>
    </row>
    <row r="5" spans="1:9" x14ac:dyDescent="0.25">
      <c r="A5" t="s">
        <v>13</v>
      </c>
      <c r="B5">
        <v>0.99997114070055781</v>
      </c>
    </row>
    <row r="6" spans="1:9" x14ac:dyDescent="0.25">
      <c r="A6" t="s">
        <v>14</v>
      </c>
      <c r="B6">
        <v>0.99996152093407709</v>
      </c>
    </row>
    <row r="7" spans="1:9" x14ac:dyDescent="0.25">
      <c r="A7" t="s">
        <v>15</v>
      </c>
      <c r="B7">
        <v>0.52930227773820115</v>
      </c>
    </row>
    <row r="8" spans="1:9" ht="15.75" thickBot="1" x14ac:dyDescent="0.3">
      <c r="A8" s="8" t="s">
        <v>16</v>
      </c>
      <c r="B8" s="8">
        <v>5</v>
      </c>
    </row>
    <row r="10" spans="1:9" ht="15.75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1</v>
      </c>
      <c r="C12">
        <v>29122.621274964909</v>
      </c>
      <c r="D12">
        <v>29122.621274964909</v>
      </c>
      <c r="E12">
        <v>103949.62733295809</v>
      </c>
      <c r="F12">
        <v>6.579930411625462E-8</v>
      </c>
    </row>
    <row r="13" spans="1:9" x14ac:dyDescent="0.25">
      <c r="A13" t="s">
        <v>19</v>
      </c>
      <c r="B13">
        <v>3</v>
      </c>
      <c r="C13">
        <v>0.84048270365654343</v>
      </c>
      <c r="D13">
        <v>0.28016090121884779</v>
      </c>
    </row>
    <row r="14" spans="1:9" ht="15.75" thickBot="1" x14ac:dyDescent="0.3">
      <c r="A14" s="8" t="s">
        <v>20</v>
      </c>
      <c r="B14" s="8">
        <v>4</v>
      </c>
      <c r="C14" s="8">
        <v>29123.461757668567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0.48289392397480668</v>
      </c>
      <c r="C17">
        <v>0.30200968763176028</v>
      </c>
      <c r="D17">
        <v>1.5989352121829885</v>
      </c>
      <c r="E17">
        <v>0.20813278274714672</v>
      </c>
      <c r="F17">
        <v>-0.47823569058877591</v>
      </c>
      <c r="G17">
        <v>1.4440235385383893</v>
      </c>
      <c r="H17">
        <v>-0.47823569058877591</v>
      </c>
      <c r="I17">
        <v>1.4440235385383893</v>
      </c>
    </row>
    <row r="18" spans="1:9" ht="15.75" thickBot="1" x14ac:dyDescent="0.3">
      <c r="A18" s="8" t="s">
        <v>34</v>
      </c>
      <c r="B18" s="8">
        <v>1.0489887026024953</v>
      </c>
      <c r="C18" s="8">
        <v>3.2535639143103411E-3</v>
      </c>
      <c r="D18" s="8">
        <v>322.4122009678884</v>
      </c>
      <c r="E18" s="8">
        <v>6.5799304116254858E-8</v>
      </c>
      <c r="F18" s="8">
        <v>1.0386344101443941</v>
      </c>
      <c r="G18" s="8">
        <v>1.0593429950605966</v>
      </c>
      <c r="H18" s="8">
        <v>1.0386344101443941</v>
      </c>
      <c r="I18" s="8">
        <v>1.0593429950605966</v>
      </c>
    </row>
    <row r="22" spans="1:9" x14ac:dyDescent="0.25">
      <c r="A22" t="s">
        <v>35</v>
      </c>
    </row>
    <row r="23" spans="1:9" ht="15.75" thickBot="1" x14ac:dyDescent="0.3"/>
    <row r="24" spans="1:9" x14ac:dyDescent="0.25">
      <c r="A24" s="9" t="s">
        <v>36</v>
      </c>
      <c r="B24" s="9" t="s">
        <v>37</v>
      </c>
      <c r="C24" s="9" t="s">
        <v>38</v>
      </c>
    </row>
    <row r="25" spans="1:9" x14ac:dyDescent="0.25">
      <c r="A25">
        <v>1</v>
      </c>
      <c r="B25">
        <v>0.62275908432180604</v>
      </c>
      <c r="C25">
        <v>-0.62275908432180604</v>
      </c>
    </row>
    <row r="26" spans="1:9" x14ac:dyDescent="0.25">
      <c r="A26">
        <v>2</v>
      </c>
      <c r="B26">
        <v>4.573949864124538</v>
      </c>
      <c r="C26">
        <v>0.32937513587546174</v>
      </c>
    </row>
    <row r="27" spans="1:9" x14ac:dyDescent="0.25">
      <c r="A27">
        <v>3</v>
      </c>
      <c r="B27">
        <v>6.3921969486355295</v>
      </c>
      <c r="C27">
        <v>0.47245805136446961</v>
      </c>
    </row>
    <row r="28" spans="1:9" x14ac:dyDescent="0.25">
      <c r="A28">
        <v>4</v>
      </c>
      <c r="B28">
        <v>98.318573586700865</v>
      </c>
      <c r="C28">
        <v>-0.31857358670086455</v>
      </c>
    </row>
    <row r="29" spans="1:9" ht="15.75" thickBot="1" x14ac:dyDescent="0.3">
      <c r="A29" s="8">
        <v>5</v>
      </c>
      <c r="B29" s="8">
        <v>194.86050051621723</v>
      </c>
      <c r="C29" s="8">
        <v>0.13949948378277099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41A23-7658-4BF2-A30C-EBA02299C4D2}">
  <dimension ref="B2:H39"/>
  <sheetViews>
    <sheetView workbookViewId="0">
      <selection activeCell="I3" sqref="I3"/>
    </sheetView>
  </sheetViews>
  <sheetFormatPr defaultRowHeight="15" x14ac:dyDescent="0.25"/>
  <cols>
    <col min="2" max="2" width="14.42578125" bestFit="1" customWidth="1"/>
    <col min="5" max="5" width="13" customWidth="1"/>
  </cols>
  <sheetData>
    <row r="2" spans="2:8" x14ac:dyDescent="0.25">
      <c r="B2" t="s">
        <v>4</v>
      </c>
      <c r="C2" t="s">
        <v>9</v>
      </c>
      <c r="D2" t="s">
        <v>55</v>
      </c>
      <c r="E2" t="s">
        <v>73</v>
      </c>
      <c r="F2" t="s">
        <v>68</v>
      </c>
      <c r="G2" t="s">
        <v>69</v>
      </c>
      <c r="H2" t="s">
        <v>75</v>
      </c>
    </row>
    <row r="3" spans="2:8" x14ac:dyDescent="0.25">
      <c r="B3">
        <v>0</v>
      </c>
      <c r="C3">
        <v>0</v>
      </c>
      <c r="D3">
        <v>0</v>
      </c>
      <c r="E3">
        <v>0</v>
      </c>
      <c r="F3">
        <f>E3^2</f>
        <v>0</v>
      </c>
      <c r="G3">
        <f>E3^3</f>
        <v>0</v>
      </c>
      <c r="H3">
        <f>E3^4</f>
        <v>0</v>
      </c>
    </row>
    <row r="4" spans="2:8" x14ac:dyDescent="0.25">
      <c r="B4">
        <v>0</v>
      </c>
      <c r="C4">
        <v>0.01</v>
      </c>
      <c r="D4">
        <v>0.01</v>
      </c>
      <c r="E4">
        <v>0</v>
      </c>
      <c r="F4">
        <f t="shared" ref="F4:F39" si="0">E4^2</f>
        <v>0</v>
      </c>
      <c r="G4">
        <f t="shared" ref="G4:G39" si="1">E4^3</f>
        <v>0</v>
      </c>
      <c r="H4">
        <f t="shared" ref="H4:H39" si="2">E4^4</f>
        <v>0</v>
      </c>
    </row>
    <row r="5" spans="2:8" x14ac:dyDescent="0.25">
      <c r="B5">
        <v>0</v>
      </c>
      <c r="C5">
        <v>0.01</v>
      </c>
      <c r="D5">
        <v>0.01</v>
      </c>
      <c r="E5">
        <v>0</v>
      </c>
      <c r="F5">
        <f t="shared" si="0"/>
        <v>0</v>
      </c>
      <c r="G5">
        <f t="shared" si="1"/>
        <v>0</v>
      </c>
      <c r="H5">
        <f t="shared" si="2"/>
        <v>0</v>
      </c>
    </row>
    <row r="6" spans="2:8" x14ac:dyDescent="0.25">
      <c r="B6">
        <v>4.9033249999999997</v>
      </c>
      <c r="C6">
        <v>4.09</v>
      </c>
      <c r="D6">
        <v>0</v>
      </c>
      <c r="E6">
        <v>4.09</v>
      </c>
      <c r="F6">
        <f t="shared" si="0"/>
        <v>16.728099999999998</v>
      </c>
      <c r="G6">
        <f t="shared" si="1"/>
        <v>68.417928999999987</v>
      </c>
      <c r="H6">
        <f t="shared" si="2"/>
        <v>279.82932960999995</v>
      </c>
    </row>
    <row r="7" spans="2:8" x14ac:dyDescent="0.25">
      <c r="B7">
        <v>4.9033249999999997</v>
      </c>
      <c r="C7">
        <v>4.0199999999999996</v>
      </c>
      <c r="D7">
        <v>0.01</v>
      </c>
      <c r="E7">
        <v>4.01</v>
      </c>
      <c r="F7">
        <f t="shared" si="0"/>
        <v>16.080099999999998</v>
      </c>
      <c r="G7">
        <f t="shared" si="1"/>
        <v>64.481200999999984</v>
      </c>
      <c r="H7">
        <f t="shared" si="2"/>
        <v>258.56961600999995</v>
      </c>
    </row>
    <row r="8" spans="2:8" x14ac:dyDescent="0.25">
      <c r="B8">
        <v>4.9033249999999997</v>
      </c>
      <c r="C8">
        <v>4.0999999999999996</v>
      </c>
      <c r="D8">
        <v>0.01</v>
      </c>
      <c r="E8">
        <v>4.09</v>
      </c>
      <c r="F8">
        <f t="shared" si="0"/>
        <v>16.728099999999998</v>
      </c>
      <c r="G8">
        <f t="shared" si="1"/>
        <v>68.417928999999987</v>
      </c>
      <c r="H8">
        <f t="shared" si="2"/>
        <v>279.82932960999995</v>
      </c>
    </row>
    <row r="9" spans="2:8" x14ac:dyDescent="0.25">
      <c r="B9">
        <v>19.613299999999999</v>
      </c>
      <c r="C9">
        <v>17.48</v>
      </c>
      <c r="D9">
        <v>0.01</v>
      </c>
      <c r="E9">
        <v>17.47</v>
      </c>
      <c r="F9">
        <f t="shared" si="0"/>
        <v>305.20089999999993</v>
      </c>
      <c r="G9">
        <f t="shared" si="1"/>
        <v>5331.8597229999987</v>
      </c>
      <c r="H9">
        <f t="shared" si="2"/>
        <v>93147.589360809958</v>
      </c>
    </row>
    <row r="10" spans="2:8" x14ac:dyDescent="0.25">
      <c r="B10">
        <v>19.613299999999999</v>
      </c>
      <c r="C10">
        <v>17.3</v>
      </c>
      <c r="D10">
        <v>0.01</v>
      </c>
      <c r="E10">
        <v>17.29</v>
      </c>
      <c r="F10">
        <f t="shared" si="0"/>
        <v>298.94409999999999</v>
      </c>
      <c r="G10">
        <f t="shared" si="1"/>
        <v>5168.7434889999995</v>
      </c>
      <c r="H10">
        <f t="shared" si="2"/>
        <v>89367.574924809989</v>
      </c>
    </row>
    <row r="11" spans="2:8" x14ac:dyDescent="0.25">
      <c r="B11">
        <v>19.613299999999999</v>
      </c>
      <c r="C11">
        <v>17.850000000000001</v>
      </c>
      <c r="D11">
        <v>0.04</v>
      </c>
      <c r="E11">
        <v>17.810000000000002</v>
      </c>
      <c r="F11">
        <f t="shared" si="0"/>
        <v>317.19610000000006</v>
      </c>
      <c r="G11">
        <f t="shared" si="1"/>
        <v>5649.2625410000019</v>
      </c>
      <c r="H11">
        <f t="shared" si="2"/>
        <v>100613.36585521004</v>
      </c>
    </row>
    <row r="12" spans="2:8" x14ac:dyDescent="0.25">
      <c r="B12">
        <v>49.033249999999995</v>
      </c>
      <c r="C12">
        <v>45.35</v>
      </c>
      <c r="D12">
        <v>0.04</v>
      </c>
      <c r="E12">
        <v>45.31</v>
      </c>
      <c r="F12">
        <f t="shared" si="0"/>
        <v>2052.9961000000003</v>
      </c>
      <c r="G12">
        <f t="shared" si="1"/>
        <v>93021.253291000015</v>
      </c>
      <c r="H12">
        <f t="shared" si="2"/>
        <v>4214792.9866152108</v>
      </c>
    </row>
    <row r="13" spans="2:8" x14ac:dyDescent="0.25">
      <c r="B13">
        <v>49.033249999999995</v>
      </c>
      <c r="C13">
        <v>48.05</v>
      </c>
      <c r="D13">
        <v>0.15</v>
      </c>
      <c r="E13">
        <v>47.9</v>
      </c>
      <c r="F13">
        <f t="shared" si="0"/>
        <v>2294.41</v>
      </c>
      <c r="G13">
        <f t="shared" si="1"/>
        <v>109902.23899999999</v>
      </c>
      <c r="H13">
        <f t="shared" si="2"/>
        <v>5264317.2480999995</v>
      </c>
    </row>
    <row r="14" spans="2:8" x14ac:dyDescent="0.25">
      <c r="B14">
        <v>49.033249999999995</v>
      </c>
      <c r="C14">
        <v>48.13</v>
      </c>
      <c r="D14">
        <v>0.16</v>
      </c>
      <c r="E14">
        <v>47.970000000000006</v>
      </c>
      <c r="F14">
        <f t="shared" si="0"/>
        <v>2301.1209000000003</v>
      </c>
      <c r="G14">
        <f t="shared" si="1"/>
        <v>110384.76957300003</v>
      </c>
      <c r="H14">
        <f t="shared" si="2"/>
        <v>5295157.3964168113</v>
      </c>
    </row>
    <row r="15" spans="2:8" x14ac:dyDescent="0.25">
      <c r="B15">
        <v>98.066499999999991</v>
      </c>
      <c r="C15">
        <v>89.35</v>
      </c>
      <c r="D15">
        <v>0</v>
      </c>
      <c r="E15">
        <v>89.35</v>
      </c>
      <c r="F15">
        <f t="shared" si="0"/>
        <v>7983.4224999999988</v>
      </c>
      <c r="G15">
        <f t="shared" si="1"/>
        <v>713318.80037499988</v>
      </c>
      <c r="H15">
        <f t="shared" si="2"/>
        <v>63735034.813506231</v>
      </c>
    </row>
    <row r="16" spans="2:8" x14ac:dyDescent="0.25">
      <c r="B16">
        <v>98.066499999999991</v>
      </c>
      <c r="C16">
        <v>90.5</v>
      </c>
      <c r="D16">
        <v>0.1</v>
      </c>
      <c r="E16">
        <v>90.4</v>
      </c>
      <c r="F16">
        <f t="shared" si="0"/>
        <v>8172.1600000000008</v>
      </c>
      <c r="G16">
        <f t="shared" si="1"/>
        <v>738763.26400000008</v>
      </c>
      <c r="H16">
        <f t="shared" si="2"/>
        <v>66784199.065600015</v>
      </c>
    </row>
    <row r="17" spans="2:8" x14ac:dyDescent="0.25">
      <c r="B17">
        <v>98.066499999999991</v>
      </c>
      <c r="C17">
        <v>89.15</v>
      </c>
      <c r="D17">
        <v>0.1</v>
      </c>
      <c r="E17">
        <v>89.050000000000011</v>
      </c>
      <c r="F17">
        <f t="shared" si="0"/>
        <v>7929.902500000002</v>
      </c>
      <c r="G17">
        <f t="shared" si="1"/>
        <v>706157.81762500026</v>
      </c>
      <c r="H17">
        <f t="shared" si="2"/>
        <v>62883353.659506284</v>
      </c>
    </row>
    <row r="18" spans="2:8" x14ac:dyDescent="0.25">
      <c r="B18">
        <v>147.09975</v>
      </c>
      <c r="C18">
        <v>135.55000000000001</v>
      </c>
      <c r="D18">
        <v>-0.03</v>
      </c>
      <c r="E18">
        <v>135.58000000000001</v>
      </c>
      <c r="F18">
        <f t="shared" si="0"/>
        <v>18381.936400000002</v>
      </c>
      <c r="G18">
        <f t="shared" si="1"/>
        <v>2492222.9371120008</v>
      </c>
      <c r="H18">
        <f t="shared" si="2"/>
        <v>337895585.81364506</v>
      </c>
    </row>
    <row r="19" spans="2:8" x14ac:dyDescent="0.25">
      <c r="B19">
        <v>147.09975</v>
      </c>
      <c r="C19">
        <v>137.1</v>
      </c>
      <c r="D19">
        <v>0.15</v>
      </c>
      <c r="E19">
        <v>136.94999999999999</v>
      </c>
      <c r="F19">
        <f t="shared" si="0"/>
        <v>18755.302499999998</v>
      </c>
      <c r="G19">
        <f t="shared" si="1"/>
        <v>2568538.6773749995</v>
      </c>
      <c r="H19">
        <f t="shared" si="2"/>
        <v>351761371.86650616</v>
      </c>
    </row>
    <row r="20" spans="2:8" x14ac:dyDescent="0.25">
      <c r="B20">
        <v>147.09975</v>
      </c>
      <c r="C20">
        <v>136.4</v>
      </c>
      <c r="D20">
        <v>0.36</v>
      </c>
      <c r="E20">
        <v>136.04</v>
      </c>
      <c r="F20">
        <f t="shared" si="0"/>
        <v>18506.881599999997</v>
      </c>
      <c r="G20">
        <f t="shared" si="1"/>
        <v>2517676.1728639994</v>
      </c>
      <c r="H20">
        <f t="shared" si="2"/>
        <v>342504666.55641842</v>
      </c>
    </row>
    <row r="21" spans="2:8" x14ac:dyDescent="0.25">
      <c r="B21">
        <v>196.13299999999998</v>
      </c>
      <c r="C21">
        <v>181.9</v>
      </c>
      <c r="D21">
        <v>-0.02</v>
      </c>
      <c r="E21">
        <v>181.92000000000002</v>
      </c>
      <c r="F21">
        <f t="shared" si="0"/>
        <v>33094.886400000003</v>
      </c>
      <c r="G21">
        <f t="shared" si="1"/>
        <v>6020621.7338880012</v>
      </c>
      <c r="H21">
        <f t="shared" si="2"/>
        <v>1095271505.8289051</v>
      </c>
    </row>
    <row r="22" spans="2:8" x14ac:dyDescent="0.25">
      <c r="B22">
        <v>196.13299999999998</v>
      </c>
      <c r="C22">
        <v>184.5</v>
      </c>
      <c r="D22">
        <v>0.15</v>
      </c>
      <c r="E22">
        <v>184.35</v>
      </c>
      <c r="F22">
        <f t="shared" si="0"/>
        <v>33984.922500000001</v>
      </c>
      <c r="G22">
        <f t="shared" si="1"/>
        <v>6265120.4628750002</v>
      </c>
      <c r="H22">
        <f t="shared" si="2"/>
        <v>1154974957.3310063</v>
      </c>
    </row>
    <row r="23" spans="2:8" x14ac:dyDescent="0.25">
      <c r="B23">
        <v>196.13299999999998</v>
      </c>
      <c r="C23">
        <v>183.1</v>
      </c>
      <c r="D23">
        <v>0.23</v>
      </c>
      <c r="E23">
        <v>182.87</v>
      </c>
      <c r="F23">
        <f t="shared" si="0"/>
        <v>33441.436900000001</v>
      </c>
      <c r="G23">
        <f t="shared" si="1"/>
        <v>6115435.5659030005</v>
      </c>
      <c r="H23">
        <f t="shared" si="2"/>
        <v>1118329701.9366817</v>
      </c>
    </row>
    <row r="24" spans="2:8" x14ac:dyDescent="0.25">
      <c r="B24">
        <v>245.16624999999999</v>
      </c>
      <c r="C24">
        <v>226</v>
      </c>
      <c r="D24">
        <v>0.35</v>
      </c>
      <c r="E24">
        <v>225.65</v>
      </c>
      <c r="F24">
        <f t="shared" si="0"/>
        <v>50917.922500000001</v>
      </c>
      <c r="G24">
        <f t="shared" si="1"/>
        <v>11489629.212125</v>
      </c>
      <c r="H24">
        <f t="shared" si="2"/>
        <v>2592634831.7160063</v>
      </c>
    </row>
    <row r="25" spans="2:8" x14ac:dyDescent="0.25">
      <c r="B25">
        <v>245.16624999999999</v>
      </c>
      <c r="C25">
        <v>227.8</v>
      </c>
      <c r="D25">
        <v>0.2</v>
      </c>
      <c r="E25">
        <v>227.60000000000002</v>
      </c>
      <c r="F25">
        <f t="shared" si="0"/>
        <v>51801.760000000009</v>
      </c>
      <c r="G25">
        <f t="shared" si="1"/>
        <v>11790080.576000003</v>
      </c>
      <c r="H25">
        <f t="shared" si="2"/>
        <v>2683422339.0976009</v>
      </c>
    </row>
    <row r="26" spans="2:8" x14ac:dyDescent="0.25">
      <c r="B26">
        <v>294.1995</v>
      </c>
      <c r="C26">
        <v>272.39999999999998</v>
      </c>
      <c r="D26">
        <v>0.25</v>
      </c>
      <c r="E26">
        <v>272.14999999999998</v>
      </c>
      <c r="F26">
        <f t="shared" si="0"/>
        <v>74065.622499999983</v>
      </c>
      <c r="G26">
        <f t="shared" si="1"/>
        <v>20156959.163374994</v>
      </c>
      <c r="H26">
        <f t="shared" si="2"/>
        <v>5485716436.3125038</v>
      </c>
    </row>
    <row r="27" spans="2:8" x14ac:dyDescent="0.25">
      <c r="B27">
        <v>294.1995</v>
      </c>
      <c r="C27">
        <v>273</v>
      </c>
      <c r="D27">
        <v>0.3</v>
      </c>
      <c r="E27">
        <v>272.7</v>
      </c>
      <c r="F27">
        <f t="shared" si="0"/>
        <v>74365.289999999994</v>
      </c>
      <c r="G27">
        <f t="shared" si="1"/>
        <v>20279414.582999997</v>
      </c>
      <c r="H27">
        <f t="shared" si="2"/>
        <v>5530196356.7840986</v>
      </c>
    </row>
    <row r="28" spans="2:8" x14ac:dyDescent="0.25">
      <c r="B28">
        <v>343.23274999999995</v>
      </c>
      <c r="C28">
        <v>314</v>
      </c>
      <c r="D28">
        <v>0.3</v>
      </c>
      <c r="E28">
        <v>313.7</v>
      </c>
      <c r="F28">
        <f t="shared" si="0"/>
        <v>98407.689999999988</v>
      </c>
      <c r="G28">
        <f t="shared" si="1"/>
        <v>30870492.352999996</v>
      </c>
      <c r="H28">
        <f t="shared" si="2"/>
        <v>9684073451.136097</v>
      </c>
    </row>
    <row r="29" spans="2:8" x14ac:dyDescent="0.25">
      <c r="B29">
        <v>343.23274999999995</v>
      </c>
      <c r="C29">
        <v>316.10000000000002</v>
      </c>
      <c r="D29">
        <v>0.3</v>
      </c>
      <c r="E29">
        <v>315.8</v>
      </c>
      <c r="F29">
        <f t="shared" si="0"/>
        <v>99729.640000000014</v>
      </c>
      <c r="G29">
        <f t="shared" si="1"/>
        <v>31494620.312000006</v>
      </c>
      <c r="H29">
        <f t="shared" si="2"/>
        <v>9946001094.5296021</v>
      </c>
    </row>
    <row r="30" spans="2:8" x14ac:dyDescent="0.25">
      <c r="B30">
        <v>392.26599999999996</v>
      </c>
      <c r="C30">
        <v>360.2</v>
      </c>
      <c r="D30">
        <v>-0.02</v>
      </c>
      <c r="E30">
        <v>360.21999999999997</v>
      </c>
      <c r="F30">
        <f t="shared" si="0"/>
        <v>129758.44839999998</v>
      </c>
      <c r="G30">
        <f t="shared" si="1"/>
        <v>46741588.28264799</v>
      </c>
      <c r="H30">
        <f t="shared" si="2"/>
        <v>16837254931.175457</v>
      </c>
    </row>
    <row r="31" spans="2:8" x14ac:dyDescent="0.25">
      <c r="B31">
        <v>392.26599999999996</v>
      </c>
      <c r="C31">
        <v>362</v>
      </c>
      <c r="D31">
        <v>0.8</v>
      </c>
      <c r="E31">
        <v>361.2</v>
      </c>
      <c r="F31">
        <f t="shared" si="0"/>
        <v>130465.43999999999</v>
      </c>
      <c r="G31">
        <f t="shared" si="1"/>
        <v>47124116.927999996</v>
      </c>
      <c r="H31">
        <f t="shared" si="2"/>
        <v>17021231034.393597</v>
      </c>
    </row>
    <row r="32" spans="2:8" x14ac:dyDescent="0.25">
      <c r="B32">
        <v>441.29924999999997</v>
      </c>
      <c r="C32">
        <v>403.8</v>
      </c>
      <c r="D32">
        <v>-0.15</v>
      </c>
      <c r="E32">
        <v>403.95</v>
      </c>
      <c r="F32">
        <f t="shared" si="0"/>
        <v>163175.60249999998</v>
      </c>
      <c r="G32">
        <f t="shared" si="1"/>
        <v>65914784.629874989</v>
      </c>
      <c r="H32">
        <f t="shared" si="2"/>
        <v>26626277251.237999</v>
      </c>
    </row>
    <row r="33" spans="2:8" x14ac:dyDescent="0.25">
      <c r="B33">
        <v>441.29924999999997</v>
      </c>
      <c r="C33">
        <v>406.5</v>
      </c>
      <c r="D33">
        <v>0.7</v>
      </c>
      <c r="E33">
        <v>405.8</v>
      </c>
      <c r="F33">
        <f t="shared" si="0"/>
        <v>164673.64000000001</v>
      </c>
      <c r="G33">
        <f t="shared" si="1"/>
        <v>66824563.112000011</v>
      </c>
      <c r="H33">
        <f t="shared" si="2"/>
        <v>27117407710.849606</v>
      </c>
    </row>
    <row r="34" spans="2:8" x14ac:dyDescent="0.25">
      <c r="B34">
        <v>490.33249999999998</v>
      </c>
      <c r="C34">
        <v>451.5</v>
      </c>
      <c r="D34">
        <v>-0.17</v>
      </c>
      <c r="E34">
        <v>451.67</v>
      </c>
      <c r="F34">
        <f t="shared" si="0"/>
        <v>204005.78890000001</v>
      </c>
      <c r="G34">
        <f t="shared" si="1"/>
        <v>92143294.672463015</v>
      </c>
      <c r="H34">
        <f t="shared" si="2"/>
        <v>41618361904.711372</v>
      </c>
    </row>
    <row r="35" spans="2:8" x14ac:dyDescent="0.25">
      <c r="B35">
        <v>490.33249999999998</v>
      </c>
      <c r="C35">
        <v>450</v>
      </c>
      <c r="D35">
        <v>0.18</v>
      </c>
      <c r="E35">
        <v>449.82</v>
      </c>
      <c r="F35">
        <f t="shared" si="0"/>
        <v>202338.0324</v>
      </c>
      <c r="G35">
        <f t="shared" si="1"/>
        <v>91015693.734167993</v>
      </c>
      <c r="H35">
        <f t="shared" si="2"/>
        <v>40940679355.503448</v>
      </c>
    </row>
    <row r="36" spans="2:8" x14ac:dyDescent="0.25">
      <c r="B36">
        <v>490.33249999999998</v>
      </c>
      <c r="C36">
        <v>451</v>
      </c>
      <c r="D36">
        <v>0.5</v>
      </c>
      <c r="E36">
        <v>450.5</v>
      </c>
      <c r="F36">
        <f t="shared" si="0"/>
        <v>202950.25</v>
      </c>
      <c r="G36">
        <f t="shared" si="1"/>
        <v>91429087.625</v>
      </c>
      <c r="H36">
        <f t="shared" si="2"/>
        <v>41188803975.0625</v>
      </c>
    </row>
    <row r="37" spans="2:8" x14ac:dyDescent="0.25">
      <c r="B37">
        <v>539.36574999999993</v>
      </c>
      <c r="C37">
        <v>498</v>
      </c>
      <c r="D37">
        <v>-0.13</v>
      </c>
      <c r="E37">
        <v>498.13</v>
      </c>
      <c r="F37">
        <f t="shared" si="0"/>
        <v>248133.4969</v>
      </c>
      <c r="G37">
        <f t="shared" si="1"/>
        <v>123602738.81079699</v>
      </c>
      <c r="H37">
        <f t="shared" si="2"/>
        <v>61570232283.822311</v>
      </c>
    </row>
    <row r="38" spans="2:8" x14ac:dyDescent="0.25">
      <c r="B38">
        <v>539.36574999999993</v>
      </c>
      <c r="C38">
        <v>499.4</v>
      </c>
      <c r="D38">
        <v>0.5</v>
      </c>
      <c r="E38">
        <v>498.9</v>
      </c>
      <c r="F38">
        <f t="shared" si="0"/>
        <v>248901.21</v>
      </c>
      <c r="G38">
        <f t="shared" si="1"/>
        <v>124176813.66899998</v>
      </c>
      <c r="H38">
        <f t="shared" si="2"/>
        <v>61951812339.464096</v>
      </c>
    </row>
    <row r="39" spans="2:8" x14ac:dyDescent="0.25">
      <c r="B39">
        <v>539.36574999999993</v>
      </c>
      <c r="C39">
        <v>500</v>
      </c>
      <c r="D39">
        <v>0.73</v>
      </c>
      <c r="E39">
        <v>499.27</v>
      </c>
      <c r="F39">
        <f t="shared" si="0"/>
        <v>249270.53289999999</v>
      </c>
      <c r="G39">
        <f t="shared" si="1"/>
        <v>124453298.96098299</v>
      </c>
      <c r="H39">
        <f t="shared" si="2"/>
        <v>62135798572.249977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7"/>
  <sheetViews>
    <sheetView zoomScale="80" zoomScaleNormal="80" workbookViewId="0">
      <selection activeCell="N26" sqref="N26:N30"/>
    </sheetView>
  </sheetViews>
  <sheetFormatPr defaultRowHeight="15" x14ac:dyDescent="0.25"/>
  <cols>
    <col min="1" max="1" width="11.7109375" customWidth="1"/>
    <col min="2" max="2" width="22.5703125" customWidth="1"/>
    <col min="3" max="3" width="14.7109375" customWidth="1"/>
    <col min="4" max="4" width="8.7109375" customWidth="1"/>
    <col min="5" max="5" width="16.28515625" customWidth="1"/>
    <col min="6" max="6" width="8.85546875" customWidth="1"/>
    <col min="7" max="7" width="16.85546875" customWidth="1"/>
    <col min="8" max="8" width="8.85546875" customWidth="1"/>
    <col min="9" max="9" width="17.28515625" customWidth="1"/>
    <col min="10" max="10" width="18.28515625" customWidth="1"/>
    <col min="11" max="11" width="17.7109375" customWidth="1"/>
    <col min="12" max="12" width="21.85546875" customWidth="1"/>
    <col min="13" max="13" width="14" customWidth="1"/>
    <col min="14" max="14" width="12.28515625" customWidth="1"/>
    <col min="15" max="16" width="15" customWidth="1"/>
    <col min="17" max="18" width="8.85546875" customWidth="1"/>
    <col min="19" max="19" width="18.5703125" customWidth="1"/>
    <col min="20" max="20" width="14.42578125" customWidth="1"/>
    <col min="21" max="21" width="8.85546875" customWidth="1"/>
    <col min="22" max="22" width="10.28515625" customWidth="1"/>
    <col min="23" max="23" width="8.85546875" customWidth="1"/>
    <col min="24" max="24" width="9.7109375" customWidth="1"/>
    <col min="25" max="25" width="8.85546875" customWidth="1"/>
    <col min="26" max="26" width="10.28515625" customWidth="1"/>
    <col min="27" max="27" width="19.42578125" customWidth="1"/>
    <col min="28" max="28" width="8.85546875" customWidth="1"/>
  </cols>
  <sheetData>
    <row r="1" spans="1:26" ht="15.75" thickBot="1" x14ac:dyDescent="0.3"/>
    <row r="2" spans="1:26" ht="15.75" thickBot="1" x14ac:dyDescent="0.3">
      <c r="U2" s="37" t="s">
        <v>0</v>
      </c>
      <c r="V2" s="37"/>
      <c r="W2" s="37" t="s">
        <v>1</v>
      </c>
      <c r="X2" s="37"/>
      <c r="Y2" s="37" t="s">
        <v>2</v>
      </c>
      <c r="Z2" s="37"/>
    </row>
    <row r="3" spans="1:26" x14ac:dyDescent="0.25">
      <c r="E3" s="45" t="s">
        <v>47</v>
      </c>
      <c r="F3" s="46"/>
      <c r="G3" s="46"/>
      <c r="H3" s="46"/>
      <c r="I3" s="46"/>
      <c r="J3" s="46"/>
      <c r="K3" s="46"/>
    </row>
    <row r="4" spans="1:26" x14ac:dyDescent="0.25">
      <c r="E4" s="46"/>
      <c r="F4" s="46"/>
      <c r="G4" s="46"/>
      <c r="H4" s="46"/>
      <c r="I4" s="46"/>
      <c r="J4" s="46"/>
      <c r="K4" s="46"/>
    </row>
    <row r="5" spans="1:26" x14ac:dyDescent="0.25">
      <c r="E5" s="46"/>
      <c r="F5" s="46"/>
      <c r="G5" s="46"/>
      <c r="H5" s="46"/>
      <c r="I5" s="46"/>
      <c r="J5" s="46"/>
      <c r="K5" s="46"/>
    </row>
    <row r="6" spans="1:26" x14ac:dyDescent="0.25">
      <c r="E6" s="46"/>
      <c r="F6" s="46"/>
      <c r="G6" s="46"/>
      <c r="H6" s="46"/>
      <c r="I6" s="46"/>
      <c r="J6" s="46"/>
      <c r="K6" s="46"/>
    </row>
    <row r="7" spans="1:26" x14ac:dyDescent="0.25">
      <c r="E7" s="46"/>
      <c r="F7" s="46"/>
      <c r="G7" s="46"/>
      <c r="H7" s="46"/>
      <c r="I7" s="46"/>
      <c r="J7" s="46"/>
      <c r="K7" s="46"/>
    </row>
    <row r="8" spans="1:26" x14ac:dyDescent="0.25">
      <c r="E8" s="46"/>
      <c r="F8" s="46"/>
      <c r="G8" s="46"/>
      <c r="H8" s="46"/>
      <c r="I8" s="46"/>
      <c r="J8" s="46"/>
      <c r="K8" s="46"/>
    </row>
    <row r="9" spans="1:26" x14ac:dyDescent="0.25">
      <c r="E9" s="1"/>
    </row>
    <row r="10" spans="1:26" x14ac:dyDescent="0.25">
      <c r="A10" s="39" t="s">
        <v>5</v>
      </c>
      <c r="B10" s="39"/>
      <c r="C10" s="2">
        <v>2300</v>
      </c>
      <c r="E10" s="1"/>
    </row>
    <row r="11" spans="1:26" x14ac:dyDescent="0.25">
      <c r="A11" s="39" t="s">
        <v>6</v>
      </c>
      <c r="B11" s="39"/>
      <c r="C11" s="2">
        <v>1.2</v>
      </c>
      <c r="E11" s="1"/>
    </row>
    <row r="12" spans="1:26" x14ac:dyDescent="0.25">
      <c r="A12" s="39" t="s">
        <v>50</v>
      </c>
      <c r="B12" s="39"/>
      <c r="C12" s="1">
        <v>9.8066499999999994</v>
      </c>
      <c r="D12" s="4"/>
      <c r="E12" s="1"/>
    </row>
    <row r="13" spans="1:26" x14ac:dyDescent="0.25">
      <c r="A13" s="39" t="s">
        <v>7</v>
      </c>
      <c r="B13" s="39"/>
      <c r="C13" s="2">
        <v>9.81</v>
      </c>
      <c r="E13" s="1"/>
    </row>
    <row r="14" spans="1:26" x14ac:dyDescent="0.25">
      <c r="E14" s="1"/>
    </row>
    <row r="15" spans="1:26" x14ac:dyDescent="0.25">
      <c r="E15" s="1"/>
    </row>
    <row r="16" spans="1:26" x14ac:dyDescent="0.25">
      <c r="D16" s="2"/>
      <c r="E16" s="2"/>
      <c r="F16" s="3"/>
      <c r="G16" s="3"/>
      <c r="M16" s="1"/>
      <c r="N16" s="1"/>
      <c r="O16" s="1"/>
    </row>
    <row r="17" spans="1:26" x14ac:dyDescent="0.25">
      <c r="P17" s="2"/>
      <c r="Q17" s="2"/>
      <c r="R17" s="2"/>
      <c r="S17" s="2"/>
      <c r="U17" s="2"/>
      <c r="V17" s="2"/>
      <c r="W17" s="2"/>
      <c r="X17" s="2"/>
      <c r="Y17" s="2"/>
      <c r="Z17" s="2"/>
    </row>
    <row r="19" spans="1:26" x14ac:dyDescent="0.25">
      <c r="F19" s="4"/>
    </row>
    <row r="22" spans="1:26" x14ac:dyDescent="0.25">
      <c r="A22" s="38" t="s">
        <v>8</v>
      </c>
      <c r="B22" s="38"/>
      <c r="D22" s="6"/>
      <c r="I22" s="38" t="s">
        <v>51</v>
      </c>
      <c r="J22" s="44"/>
      <c r="K22" s="44"/>
    </row>
    <row r="23" spans="1:26" x14ac:dyDescent="0.25">
      <c r="A23" s="38"/>
      <c r="B23" s="38"/>
      <c r="I23" s="44"/>
      <c r="J23" s="44"/>
      <c r="K23" s="44"/>
    </row>
    <row r="24" spans="1:26" ht="15.75" thickBot="1" x14ac:dyDescent="0.3">
      <c r="E24" s="3"/>
      <c r="F24" s="3"/>
      <c r="G24" s="2"/>
      <c r="H24" s="2"/>
    </row>
    <row r="25" spans="1:26" ht="15.75" thickBot="1" x14ac:dyDescent="0.3">
      <c r="C25" s="52" t="s">
        <v>3</v>
      </c>
      <c r="D25" s="53"/>
      <c r="E25" s="52" t="s">
        <v>4</v>
      </c>
      <c r="F25" s="53"/>
      <c r="G25" s="52" t="s">
        <v>9</v>
      </c>
      <c r="H25" s="53"/>
      <c r="J25" s="15" t="s">
        <v>39</v>
      </c>
      <c r="K25" s="15" t="s">
        <v>42</v>
      </c>
      <c r="L25" s="15" t="s">
        <v>43</v>
      </c>
      <c r="M25" s="15" t="s">
        <v>48</v>
      </c>
      <c r="N25" s="15" t="s">
        <v>49</v>
      </c>
      <c r="O25" s="15" t="s">
        <v>40</v>
      </c>
      <c r="P25" s="15" t="s">
        <v>41</v>
      </c>
    </row>
    <row r="26" spans="1:26" x14ac:dyDescent="0.25">
      <c r="C26" s="47">
        <v>0</v>
      </c>
      <c r="D26" s="48"/>
      <c r="E26" s="47">
        <f>C26*C12</f>
        <v>0</v>
      </c>
      <c r="F26" s="48"/>
      <c r="G26" s="47">
        <v>0.1</v>
      </c>
      <c r="H26" s="48"/>
      <c r="J26" s="16">
        <f>AVERAGE(G26:H28)</f>
        <v>0.13333333333333333</v>
      </c>
      <c r="K26" s="16">
        <f>E26</f>
        <v>0</v>
      </c>
      <c r="L26" s="16">
        <f>$J$37*J26+$J$38</f>
        <v>0.62275908432180604</v>
      </c>
      <c r="M26" s="16">
        <f>L26-K26</f>
        <v>0.62275908432180604</v>
      </c>
      <c r="N26" s="49">
        <f>SQRT((M26^2+M27^2+M28^2+M29^2+M30^2)/(COUNT(M26:M30)-2))</f>
        <v>0.52930227773819938</v>
      </c>
      <c r="O26" s="49">
        <f>2.4*N26</f>
        <v>1.2703254665716786</v>
      </c>
      <c r="P26" s="49">
        <f>400*O26</f>
        <v>508.13018662867142</v>
      </c>
    </row>
    <row r="27" spans="1:26" x14ac:dyDescent="0.25">
      <c r="C27" s="40">
        <v>0</v>
      </c>
      <c r="D27" s="41"/>
      <c r="E27" s="40">
        <f>C27*C12</f>
        <v>0</v>
      </c>
      <c r="F27" s="41"/>
      <c r="G27" s="40">
        <v>0.3</v>
      </c>
      <c r="H27" s="41"/>
      <c r="J27" s="17">
        <f>AVERAGE(G29:H31)</f>
        <v>3.9</v>
      </c>
      <c r="K27" s="17">
        <f>E29</f>
        <v>4.9033249999999997</v>
      </c>
      <c r="L27" s="17">
        <f>$J$37*J27+$J$38</f>
        <v>4.573949864124538</v>
      </c>
      <c r="M27" s="17">
        <f>L27-K27</f>
        <v>-0.32937513587546174</v>
      </c>
      <c r="N27" s="50"/>
      <c r="O27" s="50"/>
      <c r="P27" s="50"/>
    </row>
    <row r="28" spans="1:26" x14ac:dyDescent="0.25">
      <c r="C28" s="40">
        <v>0</v>
      </c>
      <c r="D28" s="41"/>
      <c r="E28" s="40">
        <f>C28*C12</f>
        <v>0</v>
      </c>
      <c r="F28" s="41"/>
      <c r="G28" s="40">
        <v>0</v>
      </c>
      <c r="H28" s="41"/>
      <c r="J28" s="17">
        <f>AVERAGE(G32:H34)</f>
        <v>5.6333333333333329</v>
      </c>
      <c r="K28" s="17">
        <f>E33</f>
        <v>6.8646549999999991</v>
      </c>
      <c r="L28" s="17">
        <f>$J$37*J28+$J$38</f>
        <v>6.3921969486355295</v>
      </c>
      <c r="M28" s="17">
        <f>L28-K28</f>
        <v>-0.47245805136446961</v>
      </c>
      <c r="N28" s="50"/>
      <c r="O28" s="50"/>
      <c r="P28" s="50"/>
    </row>
    <row r="29" spans="1:26" x14ac:dyDescent="0.25">
      <c r="C29" s="40">
        <v>0.5</v>
      </c>
      <c r="D29" s="41"/>
      <c r="E29" s="40">
        <f>C29*C12</f>
        <v>4.9033249999999997</v>
      </c>
      <c r="F29" s="41"/>
      <c r="G29" s="40">
        <v>3.9</v>
      </c>
      <c r="H29" s="41"/>
      <c r="J29" s="17">
        <f>AVERAGE(G35:H37)</f>
        <v>93.266666666666666</v>
      </c>
      <c r="K29" s="17">
        <f>E35</f>
        <v>98</v>
      </c>
      <c r="L29" s="17">
        <f>$J$37*J29+$J$38</f>
        <v>98.318573586700865</v>
      </c>
      <c r="M29" s="17">
        <f>L29-K29</f>
        <v>0.31857358670086455</v>
      </c>
      <c r="N29" s="50"/>
      <c r="O29" s="50"/>
      <c r="P29" s="50"/>
    </row>
    <row r="30" spans="1:26" ht="15.75" thickBot="1" x14ac:dyDescent="0.3">
      <c r="C30" s="40">
        <v>0.5</v>
      </c>
      <c r="D30" s="41"/>
      <c r="E30" s="40">
        <f>C30*C12</f>
        <v>4.9033249999999997</v>
      </c>
      <c r="F30" s="41"/>
      <c r="G30" s="40">
        <v>3.8</v>
      </c>
      <c r="H30" s="41"/>
      <c r="J30" s="18">
        <f>AVERAGE(G38:H40)</f>
        <v>185.30000000000004</v>
      </c>
      <c r="K30" s="18">
        <f>E38</f>
        <v>195</v>
      </c>
      <c r="L30" s="18">
        <f>$J$37*J30+$J$38</f>
        <v>194.86050051621723</v>
      </c>
      <c r="M30" s="18">
        <f>L30-K30</f>
        <v>-0.13949948378277099</v>
      </c>
      <c r="N30" s="51"/>
      <c r="O30" s="51"/>
      <c r="P30" s="51"/>
    </row>
    <row r="31" spans="1:26" x14ac:dyDescent="0.25">
      <c r="C31" s="40">
        <v>0.5</v>
      </c>
      <c r="D31" s="41"/>
      <c r="E31" s="40">
        <f>C31*C12</f>
        <v>4.9033249999999997</v>
      </c>
      <c r="F31" s="41"/>
      <c r="G31" s="40">
        <v>4</v>
      </c>
      <c r="H31" s="41"/>
    </row>
    <row r="32" spans="1:26" x14ac:dyDescent="0.25">
      <c r="C32" s="40">
        <v>0.7</v>
      </c>
      <c r="D32" s="41"/>
      <c r="E32" s="40">
        <f>C32*C12</f>
        <v>6.8646549999999991</v>
      </c>
      <c r="F32" s="41"/>
      <c r="G32" s="40">
        <v>5.6</v>
      </c>
      <c r="H32" s="41"/>
    </row>
    <row r="33" spans="1:11" x14ac:dyDescent="0.25">
      <c r="C33" s="40">
        <v>0.7</v>
      </c>
      <c r="D33" s="41"/>
      <c r="E33" s="40">
        <f t="shared" ref="E33:E40" si="0">C33*9.80665</f>
        <v>6.8646549999999991</v>
      </c>
      <c r="F33" s="41"/>
      <c r="G33" s="40">
        <v>5.5</v>
      </c>
      <c r="H33" s="41"/>
    </row>
    <row r="34" spans="1:11" ht="15.75" thickBot="1" x14ac:dyDescent="0.3">
      <c r="C34" s="40">
        <v>0.7</v>
      </c>
      <c r="D34" s="41"/>
      <c r="E34" s="40">
        <f t="shared" si="0"/>
        <v>6.8646549999999991</v>
      </c>
      <c r="F34" s="41"/>
      <c r="G34" s="40">
        <v>5.8</v>
      </c>
      <c r="H34" s="41"/>
    </row>
    <row r="35" spans="1:11" ht="15.75" thickBot="1" x14ac:dyDescent="0.3">
      <c r="C35" s="40">
        <f>98/C12</f>
        <v>9.9932188871836978</v>
      </c>
      <c r="D35" s="41"/>
      <c r="E35" s="40">
        <f t="shared" si="0"/>
        <v>98</v>
      </c>
      <c r="F35" s="41"/>
      <c r="G35" s="40">
        <v>91.4</v>
      </c>
      <c r="H35" s="41"/>
      <c r="J35" s="42" t="s">
        <v>44</v>
      </c>
      <c r="K35" s="43"/>
    </row>
    <row r="36" spans="1:11" ht="15.75" thickBot="1" x14ac:dyDescent="0.3">
      <c r="C36" s="40">
        <f>98/C12</f>
        <v>9.9932188871836978</v>
      </c>
      <c r="D36" s="41"/>
      <c r="E36" s="40">
        <f t="shared" si="0"/>
        <v>98</v>
      </c>
      <c r="F36" s="41"/>
      <c r="G36" s="40">
        <v>93.7</v>
      </c>
      <c r="H36" s="41"/>
      <c r="J36" s="24" t="s">
        <v>45</v>
      </c>
      <c r="K36" s="12" t="s">
        <v>46</v>
      </c>
    </row>
    <row r="37" spans="1:11" x14ac:dyDescent="0.25">
      <c r="C37" s="40">
        <f>98/C12</f>
        <v>9.9932188871836978</v>
      </c>
      <c r="D37" s="41"/>
      <c r="E37" s="40">
        <f t="shared" si="0"/>
        <v>98</v>
      </c>
      <c r="F37" s="41"/>
      <c r="G37" s="40">
        <v>94.7</v>
      </c>
      <c r="H37" s="41"/>
      <c r="J37" s="21">
        <f>Linearna_reg!$B$18</f>
        <v>1.0489887026024953</v>
      </c>
      <c r="K37" s="20">
        <v>4.0000000000000003E-5</v>
      </c>
    </row>
    <row r="38" spans="1:11" x14ac:dyDescent="0.25">
      <c r="C38" s="40">
        <f>(97+98)/C12</f>
        <v>19.884466153069603</v>
      </c>
      <c r="D38" s="41"/>
      <c r="E38" s="40">
        <f t="shared" si="0"/>
        <v>195</v>
      </c>
      <c r="F38" s="41"/>
      <c r="G38" s="40">
        <v>187.3</v>
      </c>
      <c r="H38" s="41"/>
      <c r="J38" s="22">
        <f>Linearna_reg!$B$17</f>
        <v>0.48289392397480668</v>
      </c>
      <c r="K38" s="13">
        <v>1.0421</v>
      </c>
    </row>
    <row r="39" spans="1:11" ht="15.75" thickBot="1" x14ac:dyDescent="0.3">
      <c r="C39" s="40">
        <f>(97+98)/C12</f>
        <v>19.884466153069603</v>
      </c>
      <c r="D39" s="41"/>
      <c r="E39" s="40">
        <f t="shared" si="0"/>
        <v>195</v>
      </c>
      <c r="F39" s="41"/>
      <c r="G39" s="40">
        <v>185.9</v>
      </c>
      <c r="H39" s="41"/>
      <c r="J39" s="23"/>
      <c r="K39" s="14">
        <v>0.54549999999999998</v>
      </c>
    </row>
    <row r="40" spans="1:11" ht="15.75" thickBot="1" x14ac:dyDescent="0.3">
      <c r="C40" s="54">
        <f>(97+98)/C12</f>
        <v>19.884466153069603</v>
      </c>
      <c r="D40" s="55"/>
      <c r="E40" s="54">
        <f t="shared" si="0"/>
        <v>195</v>
      </c>
      <c r="F40" s="55"/>
      <c r="G40" s="54">
        <v>182.7</v>
      </c>
      <c r="H40" s="55"/>
    </row>
    <row r="48" spans="1:11" x14ac:dyDescent="0.25">
      <c r="A48" s="38" t="s">
        <v>52</v>
      </c>
      <c r="B48" s="44"/>
      <c r="C48" s="44"/>
    </row>
    <row r="49" spans="1:8" x14ac:dyDescent="0.25">
      <c r="A49" s="44"/>
      <c r="B49" s="44"/>
      <c r="C49" s="44"/>
    </row>
    <row r="51" spans="1:8" x14ac:dyDescent="0.25">
      <c r="C51" s="7"/>
      <c r="D51" s="7"/>
      <c r="E51" s="7"/>
      <c r="F51" s="7"/>
      <c r="G51" s="7"/>
      <c r="H51" s="7"/>
    </row>
    <row r="54" spans="1:8" x14ac:dyDescent="0.25">
      <c r="A54" s="19"/>
      <c r="B54" s="19"/>
    </row>
    <row r="55" spans="1:8" x14ac:dyDescent="0.25">
      <c r="A55" s="19"/>
      <c r="B55" s="19"/>
    </row>
    <row r="56" spans="1:8" x14ac:dyDescent="0.25">
      <c r="A56" s="5"/>
    </row>
    <row r="57" spans="1:8" x14ac:dyDescent="0.25">
      <c r="A57" s="5"/>
    </row>
    <row r="58" spans="1:8" x14ac:dyDescent="0.25">
      <c r="A58" s="5"/>
    </row>
    <row r="67" spans="6:20" x14ac:dyDescent="0.25">
      <c r="M67" s="11"/>
    </row>
    <row r="68" spans="6:20" x14ac:dyDescent="0.25">
      <c r="F68" s="11"/>
      <c r="I68" s="11"/>
      <c r="K68" s="11"/>
    </row>
    <row r="71" spans="6:20" x14ac:dyDescent="0.25">
      <c r="I71" s="11"/>
    </row>
    <row r="72" spans="6:20" x14ac:dyDescent="0.25">
      <c r="I72" s="11"/>
    </row>
    <row r="73" spans="6:20" x14ac:dyDescent="0.25">
      <c r="I73" s="11"/>
    </row>
    <row r="74" spans="6:20" x14ac:dyDescent="0.25">
      <c r="I74" s="11"/>
    </row>
    <row r="75" spans="6:20" x14ac:dyDescent="0.25">
      <c r="I75" s="11"/>
    </row>
    <row r="77" spans="6:20" x14ac:dyDescent="0.25">
      <c r="S77" s="11"/>
      <c r="T77" s="11"/>
    </row>
  </sheetData>
  <mergeCells count="63">
    <mergeCell ref="A48:C49"/>
    <mergeCell ref="N26:N30"/>
    <mergeCell ref="O26:O30"/>
    <mergeCell ref="P26:P30"/>
    <mergeCell ref="G25:H25"/>
    <mergeCell ref="E25:F25"/>
    <mergeCell ref="C25:D25"/>
    <mergeCell ref="G28:H28"/>
    <mergeCell ref="G27:H27"/>
    <mergeCell ref="G26:H26"/>
    <mergeCell ref="C39:D39"/>
    <mergeCell ref="E39:F39"/>
    <mergeCell ref="G39:H39"/>
    <mergeCell ref="C40:D40"/>
    <mergeCell ref="E40:F40"/>
    <mergeCell ref="G40:H40"/>
    <mergeCell ref="C30:D30"/>
    <mergeCell ref="C29:D29"/>
    <mergeCell ref="C28:D28"/>
    <mergeCell ref="C27:D27"/>
    <mergeCell ref="C26:D26"/>
    <mergeCell ref="J35:K35"/>
    <mergeCell ref="I22:K23"/>
    <mergeCell ref="E3:K8"/>
    <mergeCell ref="E30:F30"/>
    <mergeCell ref="E29:F29"/>
    <mergeCell ref="E28:F28"/>
    <mergeCell ref="E26:F26"/>
    <mergeCell ref="E27:F27"/>
    <mergeCell ref="G30:H30"/>
    <mergeCell ref="G29:H29"/>
    <mergeCell ref="C37:D37"/>
    <mergeCell ref="E37:F37"/>
    <mergeCell ref="G37:H37"/>
    <mergeCell ref="C38:D38"/>
    <mergeCell ref="E38:F38"/>
    <mergeCell ref="G38:H38"/>
    <mergeCell ref="C35:D35"/>
    <mergeCell ref="E35:F35"/>
    <mergeCell ref="G35:H35"/>
    <mergeCell ref="C36:D36"/>
    <mergeCell ref="E36:F36"/>
    <mergeCell ref="G36:H36"/>
    <mergeCell ref="C33:D33"/>
    <mergeCell ref="E33:F33"/>
    <mergeCell ref="G33:H33"/>
    <mergeCell ref="C34:D34"/>
    <mergeCell ref="E34:F34"/>
    <mergeCell ref="G34:H34"/>
    <mergeCell ref="C31:D31"/>
    <mergeCell ref="E31:F31"/>
    <mergeCell ref="G31:H31"/>
    <mergeCell ref="C32:D32"/>
    <mergeCell ref="E32:F32"/>
    <mergeCell ref="G32:H32"/>
    <mergeCell ref="W2:X2"/>
    <mergeCell ref="Y2:Z2"/>
    <mergeCell ref="A22:B23"/>
    <mergeCell ref="A11:B11"/>
    <mergeCell ref="A13:B13"/>
    <mergeCell ref="A10:B10"/>
    <mergeCell ref="U2:V2"/>
    <mergeCell ref="A12:B12"/>
  </mergeCells>
  <pageMargins left="0.70000000000000007" right="0.70000000000000007" top="0.75" bottom="0.75" header="0.30000000000000004" footer="0.30000000000000004"/>
  <pageSetup paperSize="9" fitToWidth="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0327-4200-4306-B604-83EF8D45CC5F}">
  <dimension ref="A1:I38"/>
  <sheetViews>
    <sheetView topLeftCell="A6" workbookViewId="0">
      <selection activeCell="E42" sqref="E42"/>
    </sheetView>
  </sheetViews>
  <sheetFormatPr defaultRowHeight="15" x14ac:dyDescent="0.25"/>
  <sheetData>
    <row r="1" spans="1:9" x14ac:dyDescent="0.25">
      <c r="A1" t="s">
        <v>10</v>
      </c>
    </row>
    <row r="2" spans="1:9" ht="15.75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0.99994216114871359</v>
      </c>
    </row>
    <row r="5" spans="1:9" x14ac:dyDescent="0.25">
      <c r="A5" t="s">
        <v>13</v>
      </c>
      <c r="B5">
        <v>0.99988432564275986</v>
      </c>
    </row>
    <row r="6" spans="1:9" x14ac:dyDescent="0.25">
      <c r="A6" t="s">
        <v>14</v>
      </c>
      <c r="B6">
        <v>0.9998746861129898</v>
      </c>
    </row>
    <row r="7" spans="1:9" x14ac:dyDescent="0.25">
      <c r="A7" t="s">
        <v>15</v>
      </c>
      <c r="B7">
        <v>2.1000628533593586</v>
      </c>
    </row>
    <row r="8" spans="1:9" ht="15.75" thickBot="1" x14ac:dyDescent="0.3">
      <c r="A8" s="8" t="s">
        <v>16</v>
      </c>
      <c r="B8" s="8">
        <v>14</v>
      </c>
    </row>
    <row r="10" spans="1:9" ht="15.75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1</v>
      </c>
      <c r="C12">
        <v>457465.65847265918</v>
      </c>
      <c r="D12">
        <v>457465.65847265918</v>
      </c>
      <c r="E12">
        <v>103727.50014765127</v>
      </c>
      <c r="F12">
        <v>5.4045075037973645E-25</v>
      </c>
    </row>
    <row r="13" spans="1:9" x14ac:dyDescent="0.25">
      <c r="A13" t="s">
        <v>19</v>
      </c>
      <c r="B13">
        <v>12</v>
      </c>
      <c r="C13">
        <v>52.923167856718209</v>
      </c>
      <c r="D13">
        <v>4.4102639880598504</v>
      </c>
    </row>
    <row r="14" spans="1:9" ht="15.75" thickBot="1" x14ac:dyDescent="0.3">
      <c r="A14" s="8" t="s">
        <v>20</v>
      </c>
      <c r="B14" s="8">
        <v>13</v>
      </c>
      <c r="C14" s="8">
        <v>457518.58164051588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59</v>
      </c>
      <c r="I16" s="9" t="s">
        <v>60</v>
      </c>
    </row>
    <row r="17" spans="1:9" x14ac:dyDescent="0.25">
      <c r="A17" t="s">
        <v>21</v>
      </c>
      <c r="B17">
        <v>0.61274371476918077</v>
      </c>
      <c r="C17">
        <v>0.91391369846609349</v>
      </c>
      <c r="D17">
        <v>0.6704612435480567</v>
      </c>
      <c r="E17">
        <v>0.51526028470434804</v>
      </c>
      <c r="F17">
        <v>-1.3785031766573705</v>
      </c>
      <c r="G17">
        <v>2.6039906061957323</v>
      </c>
      <c r="H17">
        <v>-1.3785031766573705</v>
      </c>
      <c r="I17">
        <v>2.6039906061957323</v>
      </c>
    </row>
    <row r="18" spans="1:9" ht="15.75" thickBot="1" x14ac:dyDescent="0.3">
      <c r="A18" s="8" t="s">
        <v>56</v>
      </c>
      <c r="B18" s="8">
        <v>1.0877643918846558</v>
      </c>
      <c r="C18" s="8">
        <v>3.3774418645139007E-3</v>
      </c>
      <c r="D18" s="8">
        <v>322.06753972986968</v>
      </c>
      <c r="E18" s="8">
        <v>5.4045075037973645E-25</v>
      </c>
      <c r="F18" s="8">
        <v>1.0804055782187978</v>
      </c>
      <c r="G18" s="8">
        <v>1.0951232055505138</v>
      </c>
      <c r="H18" s="8">
        <v>1.0804055782187978</v>
      </c>
      <c r="I18" s="8">
        <v>1.0951232055505138</v>
      </c>
    </row>
    <row r="22" spans="1:9" x14ac:dyDescent="0.25">
      <c r="A22" t="s">
        <v>35</v>
      </c>
    </row>
    <row r="23" spans="1:9" ht="15.75" thickBot="1" x14ac:dyDescent="0.3"/>
    <row r="24" spans="1:9" x14ac:dyDescent="0.25">
      <c r="A24" s="9" t="s">
        <v>36</v>
      </c>
      <c r="B24" s="9" t="s">
        <v>61</v>
      </c>
      <c r="C24" s="9" t="s">
        <v>38</v>
      </c>
      <c r="D24" s="9" t="s">
        <v>62</v>
      </c>
    </row>
    <row r="25" spans="1:9" x14ac:dyDescent="0.25">
      <c r="A25">
        <v>1</v>
      </c>
      <c r="B25">
        <v>0.61274371476918077</v>
      </c>
      <c r="C25">
        <v>-0.61274371476918077</v>
      </c>
      <c r="D25">
        <v>-0.3036879956666983</v>
      </c>
    </row>
    <row r="26" spans="1:9" x14ac:dyDescent="0.25">
      <c r="A26">
        <v>2</v>
      </c>
      <c r="B26">
        <v>5.0617000775774228</v>
      </c>
      <c r="C26">
        <v>-0.15837507757742308</v>
      </c>
      <c r="D26">
        <v>-7.8493844512404917E-2</v>
      </c>
    </row>
    <row r="27" spans="1:9" x14ac:dyDescent="0.25">
      <c r="A27">
        <v>3</v>
      </c>
      <c r="B27">
        <v>19.615987640994117</v>
      </c>
      <c r="C27">
        <v>-2.6876409941181123E-3</v>
      </c>
      <c r="D27">
        <v>-1.3320484354259665E-3</v>
      </c>
    </row>
    <row r="28" spans="1:9" x14ac:dyDescent="0.25">
      <c r="A28">
        <v>4</v>
      </c>
      <c r="B28">
        <v>49.899348311062937</v>
      </c>
      <c r="C28">
        <v>-0.86609831106294166</v>
      </c>
      <c r="D28">
        <v>-0.42925558238667172</v>
      </c>
    </row>
    <row r="29" spans="1:9" x14ac:dyDescent="0.25">
      <c r="A29">
        <v>5</v>
      </c>
      <c r="B29">
        <v>97.804492129663174</v>
      </c>
      <c r="C29">
        <v>0.2620078703368165</v>
      </c>
      <c r="D29">
        <v>0.12985632177632586</v>
      </c>
    </row>
    <row r="30" spans="1:9" x14ac:dyDescent="0.25">
      <c r="A30">
        <v>6</v>
      </c>
      <c r="B30">
        <v>148.09183996649082</v>
      </c>
      <c r="C30">
        <v>-0.99208996649082337</v>
      </c>
      <c r="D30">
        <v>-0.49169955755177958</v>
      </c>
    </row>
    <row r="31" spans="1:9" x14ac:dyDescent="0.25">
      <c r="A31">
        <v>7</v>
      </c>
      <c r="B31">
        <v>198.49884188642577</v>
      </c>
      <c r="C31">
        <v>-2.365841886425784</v>
      </c>
      <c r="D31">
        <v>-1.1725583849091228</v>
      </c>
    </row>
    <row r="32" spans="1:9" x14ac:dyDescent="0.25">
      <c r="A32">
        <v>8</v>
      </c>
      <c r="B32">
        <v>243.89124995977247</v>
      </c>
      <c r="C32">
        <v>1.2750000402275248</v>
      </c>
      <c r="D32">
        <v>0.63191542786777488</v>
      </c>
    </row>
    <row r="33" spans="1:4" x14ac:dyDescent="0.25">
      <c r="A33">
        <v>9</v>
      </c>
      <c r="B33">
        <v>292.24237717904538</v>
      </c>
      <c r="C33">
        <v>1.9571228209546234</v>
      </c>
      <c r="D33">
        <v>0.96998907119456323</v>
      </c>
    </row>
    <row r="34" spans="1:4" x14ac:dyDescent="0.25">
      <c r="A34">
        <v>10</v>
      </c>
      <c r="B34">
        <v>338.14603451657791</v>
      </c>
      <c r="C34">
        <v>5.0867154834220401</v>
      </c>
      <c r="D34">
        <v>2.5210775605737754</v>
      </c>
    </row>
    <row r="35" spans="1:4" x14ac:dyDescent="0.25">
      <c r="A35">
        <v>11</v>
      </c>
      <c r="B35">
        <v>392.44723295945988</v>
      </c>
      <c r="C35">
        <v>-0.18123295945991913</v>
      </c>
      <c r="D35">
        <v>-8.9822666280403432E-2</v>
      </c>
    </row>
    <row r="36" spans="1:4" x14ac:dyDescent="0.25">
      <c r="A36">
        <v>12</v>
      </c>
      <c r="B36">
        <v>440.01516981657585</v>
      </c>
      <c r="C36">
        <v>1.2840801834241233</v>
      </c>
      <c r="D36">
        <v>0.63641572778318145</v>
      </c>
    </row>
    <row r="37" spans="1:4" x14ac:dyDescent="0.25">
      <c r="A37">
        <v>13</v>
      </c>
      <c r="B37">
        <v>491.92328659731169</v>
      </c>
      <c r="C37">
        <v>-1.5907865973117055</v>
      </c>
      <c r="D37">
        <v>-0.78842553848638453</v>
      </c>
    </row>
    <row r="38" spans="1:4" ht="15.75" thickBot="1" x14ac:dyDescent="0.3">
      <c r="A38" s="8">
        <v>14</v>
      </c>
      <c r="B38" s="8">
        <v>542.46082024427278</v>
      </c>
      <c r="C38" s="8">
        <v>-3.095070244272847</v>
      </c>
      <c r="D38" s="8">
        <v>-1.5339784909665388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E5298-3949-4B55-9EB1-10AFD6455198}">
  <dimension ref="A1:I66"/>
  <sheetViews>
    <sheetView topLeftCell="A9" workbookViewId="0">
      <selection activeCell="E25" sqref="E25"/>
    </sheetView>
  </sheetViews>
  <sheetFormatPr defaultRowHeight="15" x14ac:dyDescent="0.25"/>
  <cols>
    <col min="1" max="1" width="17.42578125" bestFit="1" customWidth="1"/>
    <col min="2" max="2" width="22.7109375" bestFit="1" customWidth="1"/>
    <col min="3" max="3" width="13.42578125" bestFit="1" customWidth="1"/>
    <col min="4" max="4" width="17" bestFit="1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0.99992694645864055</v>
      </c>
    </row>
    <row r="5" spans="1:9" x14ac:dyDescent="0.25">
      <c r="A5" t="s">
        <v>13</v>
      </c>
      <c r="B5">
        <v>0.99985389825410098</v>
      </c>
    </row>
    <row r="6" spans="1:9" x14ac:dyDescent="0.25">
      <c r="A6" t="s">
        <v>14</v>
      </c>
      <c r="B6">
        <v>0.99985024571045356</v>
      </c>
    </row>
    <row r="7" spans="1:9" x14ac:dyDescent="0.25">
      <c r="A7" t="s">
        <v>15</v>
      </c>
      <c r="B7">
        <v>2.2390443869909622</v>
      </c>
    </row>
    <row r="8" spans="1:9" ht="15.75" thickBot="1" x14ac:dyDescent="0.3">
      <c r="A8" s="8" t="s">
        <v>16</v>
      </c>
      <c r="B8" s="8">
        <v>42</v>
      </c>
    </row>
    <row r="10" spans="1:9" ht="15.75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1</v>
      </c>
      <c r="C12">
        <v>1372355.2121308709</v>
      </c>
      <c r="D12">
        <v>1372355.2121308709</v>
      </c>
      <c r="E12">
        <v>273741.80701327254</v>
      </c>
      <c r="F12">
        <v>2.4622624353633957E-78</v>
      </c>
    </row>
    <row r="13" spans="1:9" x14ac:dyDescent="0.25">
      <c r="A13" t="s">
        <v>19</v>
      </c>
      <c r="B13">
        <v>40</v>
      </c>
      <c r="C13">
        <v>200.5327906766293</v>
      </c>
      <c r="D13">
        <v>5.0133197669157328</v>
      </c>
    </row>
    <row r="14" spans="1:9" ht="15.75" thickBot="1" x14ac:dyDescent="0.3">
      <c r="A14" s="8" t="s">
        <v>20</v>
      </c>
      <c r="B14" s="8">
        <v>41</v>
      </c>
      <c r="C14" s="8">
        <v>1372555.7449215476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59</v>
      </c>
      <c r="I16" s="9" t="s">
        <v>60</v>
      </c>
    </row>
    <row r="17" spans="1:9" x14ac:dyDescent="0.25">
      <c r="A17" t="s">
        <v>21</v>
      </c>
      <c r="B17">
        <v>-0.26333803291117874</v>
      </c>
      <c r="C17">
        <v>0.56389568977564331</v>
      </c>
      <c r="D17">
        <v>-0.46699777580487062</v>
      </c>
      <c r="E17">
        <v>0.6430353528864845</v>
      </c>
      <c r="F17">
        <v>-1.4030137342165125</v>
      </c>
      <c r="G17">
        <v>0.87633766839415506</v>
      </c>
      <c r="H17">
        <v>-1.4030137342165125</v>
      </c>
      <c r="I17">
        <v>0.87633766839415506</v>
      </c>
    </row>
    <row r="18" spans="1:9" ht="15.75" thickBot="1" x14ac:dyDescent="0.3">
      <c r="A18" s="8" t="s">
        <v>57</v>
      </c>
      <c r="B18" s="8">
        <v>1.0876274766144469</v>
      </c>
      <c r="C18" s="8">
        <v>2.0787851498192079E-3</v>
      </c>
      <c r="D18" s="8">
        <v>523.20340883185452</v>
      </c>
      <c r="E18" s="8">
        <v>2.4622624353633957E-78</v>
      </c>
      <c r="F18" s="8">
        <v>1.0834260951064132</v>
      </c>
      <c r="G18" s="8">
        <v>1.0918288581224806</v>
      </c>
      <c r="H18" s="8">
        <v>1.0834260951064132</v>
      </c>
      <c r="I18" s="8">
        <v>1.0918288581224806</v>
      </c>
    </row>
    <row r="22" spans="1:9" x14ac:dyDescent="0.25">
      <c r="A22" t="s">
        <v>35</v>
      </c>
    </row>
    <row r="23" spans="1:9" ht="15.75" thickBot="1" x14ac:dyDescent="0.3"/>
    <row r="24" spans="1:9" x14ac:dyDescent="0.25">
      <c r="A24" s="9" t="s">
        <v>36</v>
      </c>
      <c r="B24" s="9" t="s">
        <v>70</v>
      </c>
      <c r="C24" s="9" t="s">
        <v>38</v>
      </c>
      <c r="D24" s="9" t="s">
        <v>62</v>
      </c>
    </row>
    <row r="25" spans="1:9" x14ac:dyDescent="0.25">
      <c r="A25">
        <v>1</v>
      </c>
      <c r="B25">
        <v>-0.26333803291117874</v>
      </c>
      <c r="C25">
        <v>0.26333803291117874</v>
      </c>
      <c r="D25">
        <v>0.1190728686776486</v>
      </c>
    </row>
    <row r="26" spans="1:9" x14ac:dyDescent="0.25">
      <c r="A26">
        <v>2</v>
      </c>
      <c r="B26">
        <v>-0.26333803291117874</v>
      </c>
      <c r="C26">
        <v>0.26333803291117874</v>
      </c>
      <c r="D26">
        <v>0.1190728686776486</v>
      </c>
    </row>
    <row r="27" spans="1:9" x14ac:dyDescent="0.25">
      <c r="A27">
        <v>3</v>
      </c>
      <c r="B27">
        <v>-0.26333803291117874</v>
      </c>
      <c r="C27">
        <v>0.26333803291117874</v>
      </c>
      <c r="D27">
        <v>0.1190728686776486</v>
      </c>
    </row>
    <row r="28" spans="1:9" x14ac:dyDescent="0.25">
      <c r="A28">
        <v>4</v>
      </c>
      <c r="B28">
        <v>4.1850583464419087</v>
      </c>
      <c r="C28">
        <v>0.71826665355809105</v>
      </c>
      <c r="D28">
        <v>0.32477675164948078</v>
      </c>
    </row>
    <row r="29" spans="1:9" x14ac:dyDescent="0.25">
      <c r="A29">
        <v>5</v>
      </c>
      <c r="B29">
        <v>4.0980481483127535</v>
      </c>
      <c r="C29">
        <v>0.80527685168724616</v>
      </c>
      <c r="D29">
        <v>0.36411992506394758</v>
      </c>
    </row>
    <row r="30" spans="1:9" x14ac:dyDescent="0.25">
      <c r="A30">
        <v>6</v>
      </c>
      <c r="B30">
        <v>4.1850583464419087</v>
      </c>
      <c r="C30">
        <v>0.71826665355809105</v>
      </c>
      <c r="D30">
        <v>0.32477675164948078</v>
      </c>
    </row>
    <row r="31" spans="1:9" x14ac:dyDescent="0.25">
      <c r="A31">
        <v>7</v>
      </c>
      <c r="B31">
        <v>18.737513983543209</v>
      </c>
      <c r="C31">
        <v>0.87578601645678944</v>
      </c>
      <c r="D31">
        <v>0.39600186943924531</v>
      </c>
    </row>
    <row r="32" spans="1:9" x14ac:dyDescent="0.25">
      <c r="A32">
        <v>8</v>
      </c>
      <c r="B32">
        <v>18.541741037752608</v>
      </c>
      <c r="C32">
        <v>1.0715589622473907</v>
      </c>
      <c r="D32">
        <v>0.48452400962179665</v>
      </c>
    </row>
    <row r="33" spans="1:4" x14ac:dyDescent="0.25">
      <c r="A33">
        <v>9</v>
      </c>
      <c r="B33">
        <v>19.107307325592124</v>
      </c>
      <c r="C33">
        <v>0.50599267440787443</v>
      </c>
      <c r="D33">
        <v>0.22879338242775876</v>
      </c>
    </row>
    <row r="34" spans="1:4" x14ac:dyDescent="0.25">
      <c r="A34">
        <v>10</v>
      </c>
      <c r="B34">
        <v>49.017062932489416</v>
      </c>
      <c r="C34">
        <v>1.6187067510578856E-2</v>
      </c>
      <c r="D34">
        <v>7.3192639234663636E-3</v>
      </c>
    </row>
    <row r="35" spans="1:4" x14ac:dyDescent="0.25">
      <c r="A35">
        <v>11</v>
      </c>
      <c r="B35">
        <v>51.834018096920829</v>
      </c>
      <c r="C35">
        <v>-2.8007680969208337</v>
      </c>
      <c r="D35">
        <v>-1.2664159753699038</v>
      </c>
    </row>
    <row r="36" spans="1:4" x14ac:dyDescent="0.25">
      <c r="A36">
        <v>12</v>
      </c>
      <c r="B36">
        <v>51.910152020283846</v>
      </c>
      <c r="C36">
        <v>-2.8769020202838504</v>
      </c>
      <c r="D36">
        <v>-1.300841252107565</v>
      </c>
    </row>
    <row r="37" spans="1:4" x14ac:dyDescent="0.25">
      <c r="A37">
        <v>13</v>
      </c>
      <c r="B37">
        <v>96.916177002589649</v>
      </c>
      <c r="C37">
        <v>1.1503229974103419</v>
      </c>
      <c r="D37">
        <v>0.5201385371239563</v>
      </c>
    </row>
    <row r="38" spans="1:4" x14ac:dyDescent="0.25">
      <c r="A38">
        <v>14</v>
      </c>
      <c r="B38">
        <v>98.058185853034828</v>
      </c>
      <c r="C38">
        <v>8.3141469651621946E-3</v>
      </c>
      <c r="D38">
        <v>3.7593860590708602E-3</v>
      </c>
    </row>
    <row r="39" spans="1:4" x14ac:dyDescent="0.25">
      <c r="A39">
        <v>15</v>
      </c>
      <c r="B39">
        <v>96.58988875960533</v>
      </c>
      <c r="C39">
        <v>1.4766112403946607</v>
      </c>
      <c r="D39">
        <v>0.66767543742820101</v>
      </c>
    </row>
    <row r="40" spans="1:4" x14ac:dyDescent="0.25">
      <c r="A40">
        <v>16</v>
      </c>
      <c r="B40">
        <v>147.19719524647556</v>
      </c>
      <c r="C40">
        <v>-9.7445246475558633E-2</v>
      </c>
      <c r="D40">
        <v>-4.406156189660191E-2</v>
      </c>
    </row>
    <row r="41" spans="1:4" x14ac:dyDescent="0.25">
      <c r="A41">
        <v>17</v>
      </c>
      <c r="B41">
        <v>148.68724488943732</v>
      </c>
      <c r="C41">
        <v>-1.5874948894373233</v>
      </c>
      <c r="D41">
        <v>-0.71781340661933846</v>
      </c>
    </row>
    <row r="42" spans="1:4" x14ac:dyDescent="0.25">
      <c r="A42">
        <v>18</v>
      </c>
      <c r="B42">
        <v>147.69750388571816</v>
      </c>
      <c r="C42">
        <v>-0.59775388571816279</v>
      </c>
      <c r="D42">
        <v>-0.27028480902976898</v>
      </c>
    </row>
    <row r="43" spans="1:4" x14ac:dyDescent="0.25">
      <c r="A43">
        <v>19</v>
      </c>
      <c r="B43">
        <v>197.59785251278902</v>
      </c>
      <c r="C43">
        <v>-1.4648525127890366</v>
      </c>
      <c r="D43">
        <v>-0.66235852436204701</v>
      </c>
    </row>
    <row r="44" spans="1:4" x14ac:dyDescent="0.25">
      <c r="A44">
        <v>20</v>
      </c>
      <c r="B44">
        <v>200.24078728096211</v>
      </c>
      <c r="C44">
        <v>-4.1077872809621283</v>
      </c>
      <c r="D44">
        <v>-1.8574074168264787</v>
      </c>
    </row>
    <row r="45" spans="1:4" x14ac:dyDescent="0.25">
      <c r="A45">
        <v>21</v>
      </c>
      <c r="B45">
        <v>198.63109861557274</v>
      </c>
      <c r="C45">
        <v>-2.4980986155727578</v>
      </c>
      <c r="D45">
        <v>-1.1295587086588423</v>
      </c>
    </row>
    <row r="46" spans="1:4" x14ac:dyDescent="0.25">
      <c r="A46">
        <v>22</v>
      </c>
      <c r="B46">
        <v>242.98454711190988</v>
      </c>
      <c r="C46">
        <v>2.1817028880901148</v>
      </c>
      <c r="D46">
        <v>0.98649488118118756</v>
      </c>
    </row>
    <row r="47" spans="1:4" x14ac:dyDescent="0.25">
      <c r="A47">
        <v>23</v>
      </c>
      <c r="B47">
        <v>245.15980206513876</v>
      </c>
      <c r="C47">
        <v>6.4479348612280774E-3</v>
      </c>
      <c r="D47">
        <v>2.9155458195133008E-3</v>
      </c>
    </row>
    <row r="48" spans="1:4" x14ac:dyDescent="0.25">
      <c r="A48">
        <v>24</v>
      </c>
      <c r="B48">
        <v>247.28067564453696</v>
      </c>
      <c r="C48">
        <v>-2.1144256445369649</v>
      </c>
      <c r="D48">
        <v>-0.95607430615813194</v>
      </c>
    </row>
    <row r="49" spans="1:4" x14ac:dyDescent="0.25">
      <c r="A49">
        <v>25</v>
      </c>
      <c r="B49">
        <v>291.329588447422</v>
      </c>
      <c r="C49">
        <v>2.869911552578003</v>
      </c>
      <c r="D49">
        <v>1.2976803906325554</v>
      </c>
    </row>
    <row r="50" spans="1:4" x14ac:dyDescent="0.25">
      <c r="A50">
        <v>26</v>
      </c>
      <c r="B50">
        <v>295.73447972771055</v>
      </c>
      <c r="C50">
        <v>-1.5349797277105495</v>
      </c>
      <c r="D50">
        <v>-0.69406776347486066</v>
      </c>
    </row>
    <row r="51" spans="1:4" x14ac:dyDescent="0.25">
      <c r="A51">
        <v>27</v>
      </c>
      <c r="B51">
        <v>296.33267483984849</v>
      </c>
      <c r="C51">
        <v>-2.1331748398484933</v>
      </c>
      <c r="D51">
        <v>-0.96455208069932097</v>
      </c>
    </row>
    <row r="52" spans="1:4" x14ac:dyDescent="0.25">
      <c r="A52">
        <v>28</v>
      </c>
      <c r="B52">
        <v>337.22746796055173</v>
      </c>
      <c r="C52">
        <v>6.0052820394482183</v>
      </c>
      <c r="D52">
        <v>2.7153926523657299</v>
      </c>
    </row>
    <row r="53" spans="1:4" x14ac:dyDescent="0.25">
      <c r="A53">
        <v>29</v>
      </c>
      <c r="B53">
        <v>340.92540138104079</v>
      </c>
      <c r="C53">
        <v>2.3073486189591677</v>
      </c>
      <c r="D53">
        <v>1.0433077822509091</v>
      </c>
    </row>
    <row r="54" spans="1:4" x14ac:dyDescent="0.25">
      <c r="A54">
        <v>30</v>
      </c>
      <c r="B54">
        <v>343.20941908193117</v>
      </c>
      <c r="C54">
        <v>2.3330918068779738E-2</v>
      </c>
      <c r="D54">
        <v>1.0549480121125561E-2</v>
      </c>
    </row>
    <row r="55" spans="1:4" x14ac:dyDescent="0.25">
      <c r="A55">
        <v>31</v>
      </c>
      <c r="B55">
        <v>391.52183159314484</v>
      </c>
      <c r="C55">
        <v>0.74416840685512398</v>
      </c>
      <c r="D55">
        <v>0.33648867960292883</v>
      </c>
    </row>
    <row r="56" spans="1:4" x14ac:dyDescent="0.25">
      <c r="A56">
        <v>32</v>
      </c>
      <c r="B56">
        <v>392.58770652022702</v>
      </c>
      <c r="C56">
        <v>-0.32170652022705326</v>
      </c>
      <c r="D56">
        <v>-0.14546519472430181</v>
      </c>
    </row>
    <row r="57" spans="1:4" x14ac:dyDescent="0.25">
      <c r="A57">
        <v>33</v>
      </c>
      <c r="B57">
        <v>394.34966303234245</v>
      </c>
      <c r="C57">
        <v>-2.0836630323424856</v>
      </c>
      <c r="D57">
        <v>-0.94216445636727342</v>
      </c>
    </row>
    <row r="58" spans="1:4" x14ac:dyDescent="0.25">
      <c r="A58">
        <v>34</v>
      </c>
      <c r="B58">
        <v>439.08378114549464</v>
      </c>
      <c r="C58">
        <v>2.2154688545053318</v>
      </c>
      <c r="D58">
        <v>1.0017627497844634</v>
      </c>
    </row>
    <row r="59" spans="1:4" x14ac:dyDescent="0.25">
      <c r="A59">
        <v>35</v>
      </c>
      <c r="B59">
        <v>434.5701271175447</v>
      </c>
      <c r="C59">
        <v>6.7291228824552718</v>
      </c>
      <c r="D59">
        <v>3.0426898706599377</v>
      </c>
    </row>
    <row r="60" spans="1:4" x14ac:dyDescent="0.25">
      <c r="A60">
        <v>36</v>
      </c>
      <c r="B60">
        <v>441.09589197723142</v>
      </c>
      <c r="C60">
        <v>0.20335802276855475</v>
      </c>
      <c r="D60">
        <v>9.1951864574889089E-2</v>
      </c>
    </row>
    <row r="61" spans="1:4" x14ac:dyDescent="0.25">
      <c r="A61">
        <v>37</v>
      </c>
      <c r="B61">
        <v>490.98536432953608</v>
      </c>
      <c r="C61">
        <v>-0.65286432953610074</v>
      </c>
      <c r="D61">
        <v>-0.29520395408054717</v>
      </c>
    </row>
    <row r="62" spans="1:4" x14ac:dyDescent="0.25">
      <c r="A62">
        <v>38</v>
      </c>
      <c r="B62">
        <v>488.97325349779931</v>
      </c>
      <c r="C62">
        <v>1.3592465022006763</v>
      </c>
      <c r="D62">
        <v>0.6146069311290272</v>
      </c>
    </row>
    <row r="63" spans="1:4" x14ac:dyDescent="0.25">
      <c r="A63">
        <v>39</v>
      </c>
      <c r="B63">
        <v>489.71284018189715</v>
      </c>
      <c r="C63">
        <v>0.61965981810283211</v>
      </c>
      <c r="D63">
        <v>0.28018995710604772</v>
      </c>
    </row>
    <row r="64" spans="1:4" x14ac:dyDescent="0.25">
      <c r="A64">
        <v>40</v>
      </c>
      <c r="B64">
        <v>541.51653689304328</v>
      </c>
      <c r="C64">
        <v>-2.150786893043346</v>
      </c>
      <c r="D64">
        <v>-0.97251567666770811</v>
      </c>
    </row>
    <row r="65" spans="1:4" x14ac:dyDescent="0.25">
      <c r="A65">
        <v>41</v>
      </c>
      <c r="B65">
        <v>542.35401005003632</v>
      </c>
      <c r="C65">
        <v>-2.9882600500363878</v>
      </c>
      <c r="D65">
        <v>-1.3511937207819167</v>
      </c>
    </row>
    <row r="66" spans="1:4" ht="15.75" thickBot="1" x14ac:dyDescent="0.3">
      <c r="A66" s="8">
        <v>42</v>
      </c>
      <c r="B66" s="8">
        <v>542.7564322163837</v>
      </c>
      <c r="C66" s="8">
        <v>-3.390682216383766</v>
      </c>
      <c r="D66" s="8">
        <v>-1.533155897823842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23E03-1189-464D-9409-259562A53A97}">
  <dimension ref="C2:F4"/>
  <sheetViews>
    <sheetView workbookViewId="0">
      <selection activeCell="F4" sqref="F4"/>
    </sheetView>
  </sheetViews>
  <sheetFormatPr defaultRowHeight="15" x14ac:dyDescent="0.25"/>
  <sheetData>
    <row r="2" spans="3:6" x14ac:dyDescent="0.25">
      <c r="E2" t="s">
        <v>74</v>
      </c>
    </row>
    <row r="3" spans="3:6" x14ac:dyDescent="0.25">
      <c r="C3">
        <v>1</v>
      </c>
      <c r="E3">
        <v>200</v>
      </c>
      <c r="F3">
        <f>E3*C3</f>
        <v>200</v>
      </c>
    </row>
    <row r="4" spans="3:6" x14ac:dyDescent="0.25">
      <c r="C4">
        <v>6.0000000000000001E-3</v>
      </c>
      <c r="E4">
        <f>E3^2</f>
        <v>40000</v>
      </c>
      <c r="F4">
        <f>C4*E4</f>
        <v>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4785-38A7-4B80-9992-043DFD773FFD}">
  <dimension ref="A1:AB157"/>
  <sheetViews>
    <sheetView tabSelected="1" topLeftCell="E16" zoomScale="90" zoomScaleNormal="90" workbookViewId="0">
      <selection activeCell="O29" sqref="O29"/>
    </sheetView>
  </sheetViews>
  <sheetFormatPr defaultRowHeight="15" x14ac:dyDescent="0.25"/>
  <cols>
    <col min="1" max="1" width="11.7109375" customWidth="1"/>
    <col min="2" max="2" width="22.5703125" customWidth="1"/>
    <col min="3" max="3" width="17.7109375" customWidth="1"/>
    <col min="4" max="4" width="15.7109375" customWidth="1"/>
    <col min="5" max="5" width="26.28515625" customWidth="1"/>
    <col min="6" max="6" width="16.140625" customWidth="1"/>
    <col min="7" max="7" width="21.85546875" customWidth="1"/>
    <col min="8" max="8" width="18.28515625" customWidth="1"/>
    <col min="9" max="10" width="23.85546875" customWidth="1"/>
    <col min="11" max="13" width="17.7109375" customWidth="1"/>
    <col min="14" max="14" width="15.5703125" customWidth="1"/>
    <col min="15" max="15" width="20.140625" customWidth="1"/>
    <col min="16" max="16" width="12.28515625" customWidth="1"/>
    <col min="17" max="18" width="15" customWidth="1"/>
    <col min="19" max="20" width="8.85546875" customWidth="1"/>
    <col min="21" max="21" width="18.5703125" customWidth="1"/>
    <col min="22" max="22" width="14.42578125" customWidth="1"/>
    <col min="23" max="23" width="8.85546875" customWidth="1"/>
    <col min="24" max="24" width="10.28515625" customWidth="1"/>
    <col min="25" max="25" width="8.85546875" customWidth="1"/>
    <col min="26" max="26" width="9.7109375" customWidth="1"/>
    <col min="27" max="27" width="8.85546875" customWidth="1"/>
    <col min="28" max="28" width="10.28515625" customWidth="1"/>
    <col min="29" max="29" width="19.42578125" customWidth="1"/>
    <col min="30" max="30" width="8.85546875" customWidth="1"/>
  </cols>
  <sheetData>
    <row r="1" spans="1:28" ht="15.75" thickBot="1" x14ac:dyDescent="0.3"/>
    <row r="2" spans="1:28" ht="15.75" thickBot="1" x14ac:dyDescent="0.3">
      <c r="W2" s="37" t="s">
        <v>0</v>
      </c>
      <c r="X2" s="37"/>
      <c r="Y2" s="37" t="s">
        <v>1</v>
      </c>
      <c r="Z2" s="37"/>
      <c r="AA2" s="37" t="s">
        <v>2</v>
      </c>
      <c r="AB2" s="37"/>
    </row>
    <row r="3" spans="1:28" ht="14.45" customHeight="1" x14ac:dyDescent="0.25">
      <c r="D3" s="25" t="s">
        <v>47</v>
      </c>
      <c r="E3" s="26"/>
      <c r="F3" s="26"/>
      <c r="G3" s="26"/>
      <c r="H3" s="26"/>
      <c r="I3" s="26"/>
      <c r="J3" s="26"/>
      <c r="K3" s="26"/>
      <c r="L3" s="26"/>
      <c r="M3" s="26"/>
    </row>
    <row r="4" spans="1:28" x14ac:dyDescent="0.25"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28" x14ac:dyDescent="0.25"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28" x14ac:dyDescent="0.25">
      <c r="D6" s="26"/>
      <c r="E6" s="26"/>
      <c r="F6" s="26"/>
      <c r="G6" s="26"/>
      <c r="H6" s="26"/>
      <c r="I6" s="26"/>
      <c r="J6" s="26"/>
      <c r="K6" s="26"/>
      <c r="L6" s="26"/>
      <c r="M6" s="26"/>
    </row>
    <row r="7" spans="1:28" x14ac:dyDescent="0.25"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28" x14ac:dyDescent="0.25"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1:28" x14ac:dyDescent="0.25">
      <c r="D9" s="1"/>
    </row>
    <row r="10" spans="1:28" x14ac:dyDescent="0.25">
      <c r="A10" s="39" t="s">
        <v>5</v>
      </c>
      <c r="B10" s="39"/>
      <c r="C10" s="2">
        <v>2300</v>
      </c>
      <c r="D10" s="1"/>
    </row>
    <row r="11" spans="1:28" x14ac:dyDescent="0.25">
      <c r="A11" s="39" t="s">
        <v>6</v>
      </c>
      <c r="B11" s="39"/>
      <c r="C11" s="2">
        <v>1.2</v>
      </c>
      <c r="D11" s="1"/>
    </row>
    <row r="12" spans="1:28" x14ac:dyDescent="0.25">
      <c r="A12" s="39" t="s">
        <v>50</v>
      </c>
      <c r="B12" s="39"/>
      <c r="C12" s="1">
        <v>9.8066499999999994</v>
      </c>
      <c r="D12" s="1"/>
    </row>
    <row r="13" spans="1:28" x14ac:dyDescent="0.25">
      <c r="A13" s="39" t="s">
        <v>7</v>
      </c>
      <c r="B13" s="39"/>
      <c r="C13" s="2">
        <v>9.81</v>
      </c>
      <c r="D13" s="1"/>
    </row>
    <row r="14" spans="1:28" x14ac:dyDescent="0.25">
      <c r="D14" s="1"/>
    </row>
    <row r="15" spans="1:28" x14ac:dyDescent="0.25">
      <c r="D15" s="1"/>
    </row>
    <row r="16" spans="1:28" x14ac:dyDescent="0.25">
      <c r="B16" t="s">
        <v>53</v>
      </c>
      <c r="C16">
        <f>10.877*0.001</f>
        <v>1.0877000000000001E-2</v>
      </c>
      <c r="D16" s="2"/>
      <c r="E16" s="3"/>
      <c r="O16" s="1"/>
      <c r="P16" s="1"/>
      <c r="Q16" s="1"/>
    </row>
    <row r="17" spans="1:28" x14ac:dyDescent="0.25">
      <c r="B17" t="s">
        <v>54</v>
      </c>
      <c r="C17" s="4">
        <f>C12*C16</f>
        <v>0.10666693205000001</v>
      </c>
      <c r="R17" s="2"/>
      <c r="S17" s="2"/>
      <c r="T17" s="2"/>
      <c r="U17" s="2"/>
      <c r="W17" s="2"/>
      <c r="X17" s="2"/>
      <c r="Y17" s="2"/>
      <c r="Z17" s="2"/>
      <c r="AA17" s="2"/>
      <c r="AB17" s="2"/>
    </row>
    <row r="22" spans="1:28" x14ac:dyDescent="0.25">
      <c r="A22" s="38" t="s">
        <v>8</v>
      </c>
      <c r="B22" s="38"/>
      <c r="G22" s="19"/>
      <c r="H22" s="28"/>
      <c r="I22" s="28"/>
      <c r="J22" s="28"/>
      <c r="K22" s="28"/>
      <c r="L22" s="28"/>
      <c r="M22" s="28"/>
      <c r="S22" s="31">
        <v>0.95</v>
      </c>
      <c r="T22" s="31">
        <v>0.99</v>
      </c>
    </row>
    <row r="23" spans="1:28" x14ac:dyDescent="0.25">
      <c r="A23" s="38"/>
      <c r="B23" s="38"/>
      <c r="G23" s="28"/>
      <c r="H23" s="28"/>
      <c r="I23" s="28"/>
      <c r="J23" s="28"/>
      <c r="K23" s="28"/>
      <c r="L23" s="28"/>
      <c r="M23" s="28"/>
      <c r="O23" t="s">
        <v>65</v>
      </c>
      <c r="P23">
        <v>4</v>
      </c>
      <c r="S23" s="31">
        <v>0.01</v>
      </c>
      <c r="T23" s="32">
        <v>2.5000000000000001E-3</v>
      </c>
    </row>
    <row r="24" spans="1:28" ht="15.75" thickBot="1" x14ac:dyDescent="0.3">
      <c r="D24" s="3"/>
      <c r="E24" s="2"/>
      <c r="F24" s="2"/>
    </row>
    <row r="25" spans="1:28" x14ac:dyDescent="0.25">
      <c r="C25" s="34" t="s">
        <v>3</v>
      </c>
      <c r="D25" s="34" t="s">
        <v>4</v>
      </c>
      <c r="E25" s="34" t="s">
        <v>9</v>
      </c>
      <c r="F25" s="34" t="s">
        <v>55</v>
      </c>
      <c r="G25" s="34" t="s">
        <v>73</v>
      </c>
      <c r="H25" s="29" t="s">
        <v>68</v>
      </c>
      <c r="I25" s="29" t="s">
        <v>69</v>
      </c>
      <c r="J25" s="29" t="s">
        <v>75</v>
      </c>
      <c r="K25" s="9" t="s">
        <v>71</v>
      </c>
      <c r="L25" s="33" t="s">
        <v>72</v>
      </c>
      <c r="M25" s="29" t="s">
        <v>63</v>
      </c>
      <c r="N25" s="9" t="s">
        <v>40</v>
      </c>
      <c r="O25" s="29" t="s">
        <v>41</v>
      </c>
      <c r="Q25" s="29" t="s">
        <v>58</v>
      </c>
      <c r="R25" s="29" t="s">
        <v>56</v>
      </c>
      <c r="S25" s="29" t="s">
        <v>66</v>
      </c>
      <c r="T25" s="29" t="s">
        <v>67</v>
      </c>
      <c r="U25" t="s">
        <v>38</v>
      </c>
      <c r="V25" s="29" t="s">
        <v>64</v>
      </c>
      <c r="W25" s="29" t="s">
        <v>63</v>
      </c>
    </row>
    <row r="26" spans="1:28" x14ac:dyDescent="0.25">
      <c r="C26" s="35">
        <v>0</v>
      </c>
      <c r="D26" s="35">
        <f>C26*C12</f>
        <v>0</v>
      </c>
      <c r="E26" s="35">
        <v>0</v>
      </c>
      <c r="F26" s="35">
        <v>0</v>
      </c>
      <c r="G26" s="36">
        <f>E26-F26</f>
        <v>0</v>
      </c>
      <c r="H26" s="11">
        <f>G26^2</f>
        <v>0</v>
      </c>
      <c r="I26" s="11">
        <f>G26^3</f>
        <v>0</v>
      </c>
      <c r="J26" s="11">
        <f>G26^4</f>
        <v>0</v>
      </c>
      <c r="K26">
        <v>0</v>
      </c>
      <c r="L26">
        <f>K26^2</f>
        <v>0</v>
      </c>
      <c r="M26">
        <f>SQRT(SUM(L26:L67)/(COUNT(L26:L67)-P23-1))</f>
        <v>1.2617862855572493</v>
      </c>
      <c r="N26">
        <f>M26*1.96</f>
        <v>2.4731011196922084</v>
      </c>
      <c r="O26">
        <f>25*N26</f>
        <v>61.827527992305207</v>
      </c>
      <c r="Q26" s="11">
        <v>0</v>
      </c>
      <c r="R26">
        <v>0</v>
      </c>
      <c r="S26">
        <f>R26^2</f>
        <v>0</v>
      </c>
      <c r="T26">
        <f>R26^3</f>
        <v>0</v>
      </c>
      <c r="U26" s="30">
        <v>-0.56778156448356754</v>
      </c>
      <c r="V26" s="30">
        <f>U26^2</f>
        <v>0.32237590496740753</v>
      </c>
      <c r="W26">
        <f>SQRT(SUM(V26:V39)/(COUNT(V26:V39)-P23-1))</f>
        <v>1.631164538720036</v>
      </c>
      <c r="X26">
        <f>1.94*W26</f>
        <v>3.1644592051168696</v>
      </c>
      <c r="Y26">
        <f>100*X26</f>
        <v>316.44592051168695</v>
      </c>
    </row>
    <row r="27" spans="1:28" x14ac:dyDescent="0.25">
      <c r="C27" s="35">
        <v>0</v>
      </c>
      <c r="D27" s="35">
        <f>C27*C12</f>
        <v>0</v>
      </c>
      <c r="E27" s="35">
        <v>0.01</v>
      </c>
      <c r="F27" s="35">
        <v>0.01</v>
      </c>
      <c r="G27" s="36">
        <f t="shared" ref="G27:G28" si="0">E27-F27</f>
        <v>0</v>
      </c>
      <c r="H27" s="11">
        <f>G27^2</f>
        <v>0</v>
      </c>
      <c r="I27" s="11">
        <f t="shared" ref="I27:I67" si="1">G27^3</f>
        <v>0</v>
      </c>
      <c r="J27" s="11">
        <f t="shared" ref="J27:J67" si="2">G27^4</f>
        <v>0</v>
      </c>
      <c r="K27">
        <v>0</v>
      </c>
      <c r="L27">
        <f t="shared" ref="L27:L62" si="3">K27^2</f>
        <v>0</v>
      </c>
      <c r="N27">
        <f>M26*1.96</f>
        <v>2.4731011196922084</v>
      </c>
      <c r="O27">
        <f>0.25*550</f>
        <v>137.5</v>
      </c>
      <c r="Q27" s="11">
        <v>4.9033249999999997</v>
      </c>
      <c r="R27">
        <v>4.09</v>
      </c>
      <c r="S27">
        <f t="shared" ref="S27:S39" si="4">R27^2</f>
        <v>16.728099999999998</v>
      </c>
      <c r="T27">
        <f t="shared" ref="T27:T39" si="5">R27^3</f>
        <v>68.417928999999987</v>
      </c>
      <c r="U27" s="30">
        <v>-2.3186243531814199E-3</v>
      </c>
      <c r="V27" s="30">
        <f t="shared" ref="V27:V39" si="6">U27^2</f>
        <v>5.3760188911659582E-6</v>
      </c>
      <c r="Y27">
        <v>40</v>
      </c>
    </row>
    <row r="28" spans="1:28" x14ac:dyDescent="0.25">
      <c r="C28" s="35">
        <v>0</v>
      </c>
      <c r="D28" s="35">
        <f>C28*C12</f>
        <v>0</v>
      </c>
      <c r="E28" s="35">
        <v>0.01</v>
      </c>
      <c r="F28" s="35">
        <v>0.01</v>
      </c>
      <c r="G28" s="36">
        <f t="shared" si="0"/>
        <v>0</v>
      </c>
      <c r="H28" s="11">
        <f t="shared" ref="H28:H67" si="7">G28^2</f>
        <v>0</v>
      </c>
      <c r="I28" s="11">
        <f t="shared" si="1"/>
        <v>0</v>
      </c>
      <c r="J28" s="11">
        <f t="shared" si="2"/>
        <v>0</v>
      </c>
      <c r="K28">
        <v>0</v>
      </c>
      <c r="L28">
        <f t="shared" si="3"/>
        <v>0</v>
      </c>
      <c r="O28">
        <f>N27*400</f>
        <v>989.24044787688331</v>
      </c>
      <c r="Q28" s="11">
        <v>19.613299999999999</v>
      </c>
      <c r="R28">
        <v>17.47</v>
      </c>
      <c r="S28">
        <f t="shared" si="4"/>
        <v>305.20089999999993</v>
      </c>
      <c r="T28">
        <f t="shared" si="5"/>
        <v>5331.8597229999987</v>
      </c>
      <c r="U28" s="30">
        <v>0.46550776406349925</v>
      </c>
      <c r="V28" s="30">
        <f t="shared" si="6"/>
        <v>0.21669747840339848</v>
      </c>
      <c r="Y28">
        <v>50</v>
      </c>
    </row>
    <row r="29" spans="1:28" x14ac:dyDescent="0.25">
      <c r="C29" s="35">
        <v>0.5</v>
      </c>
      <c r="D29" s="35">
        <f>C29*C12</f>
        <v>4.9033249999999997</v>
      </c>
      <c r="E29" s="35">
        <v>4.09</v>
      </c>
      <c r="F29" s="35">
        <v>0</v>
      </c>
      <c r="G29" s="36">
        <f>E29-F29</f>
        <v>4.09</v>
      </c>
      <c r="H29" s="11">
        <f t="shared" si="7"/>
        <v>16.728099999999998</v>
      </c>
      <c r="I29" s="11">
        <f t="shared" si="1"/>
        <v>68.417928999999987</v>
      </c>
      <c r="J29" s="11">
        <f t="shared" si="2"/>
        <v>279.82932960999995</v>
      </c>
      <c r="K29">
        <v>0.42750570984188929</v>
      </c>
      <c r="L29">
        <f t="shared" si="3"/>
        <v>0.18276113194741764</v>
      </c>
      <c r="M29">
        <f>$U$44*G29+$U$45*G29^2+$U$46*G29^3+$U$47*G29^4</f>
        <v>4.4758192901581104</v>
      </c>
      <c r="N29" s="30">
        <f>D29-M29</f>
        <v>0.42750570984188929</v>
      </c>
      <c r="Q29" s="11">
        <v>49.033249999999995</v>
      </c>
      <c r="R29">
        <v>45.31</v>
      </c>
      <c r="S29">
        <f t="shared" si="4"/>
        <v>2052.9961000000003</v>
      </c>
      <c r="T29">
        <f t="shared" si="5"/>
        <v>93021.253291000015</v>
      </c>
      <c r="U29" s="30">
        <v>1.915650460259144E-2</v>
      </c>
      <c r="V29" s="30">
        <f t="shared" si="6"/>
        <v>3.6697166858910705E-4</v>
      </c>
    </row>
    <row r="30" spans="1:28" x14ac:dyDescent="0.25">
      <c r="C30" s="35">
        <v>0.5</v>
      </c>
      <c r="D30" s="35">
        <f>C30*C12</f>
        <v>4.9033249999999997</v>
      </c>
      <c r="E30" s="35">
        <v>4.0199999999999996</v>
      </c>
      <c r="F30" s="35">
        <v>0.01</v>
      </c>
      <c r="G30" s="36">
        <f t="shared" ref="G30:G31" si="8">E30-F30</f>
        <v>4.01</v>
      </c>
      <c r="H30" s="11">
        <f t="shared" si="7"/>
        <v>16.080099999999998</v>
      </c>
      <c r="I30" s="11">
        <f t="shared" si="1"/>
        <v>64.481200999999984</v>
      </c>
      <c r="J30" s="11">
        <f t="shared" si="2"/>
        <v>258.56961600999995</v>
      </c>
      <c r="K30">
        <v>0.51495892239388308</v>
      </c>
      <c r="L30">
        <f t="shared" si="3"/>
        <v>0.2651826917530693</v>
      </c>
      <c r="M30">
        <f t="shared" ref="M30:M67" si="9">$U$44*G30+$U$45*G30^2+$U$46*G30^3+$U$47*G30^4</f>
        <v>4.3883660776061166</v>
      </c>
      <c r="N30" s="30">
        <f t="shared" ref="N30:N67" si="10">D30-M30</f>
        <v>0.51495892239388308</v>
      </c>
      <c r="Q30" s="11">
        <v>98.066499999999991</v>
      </c>
      <c r="R30">
        <v>89.35</v>
      </c>
      <c r="S30">
        <f t="shared" si="4"/>
        <v>7983.4224999999988</v>
      </c>
      <c r="T30">
        <f t="shared" si="5"/>
        <v>713318.80037499988</v>
      </c>
      <c r="U30" s="30">
        <v>1.2666407861768647</v>
      </c>
      <c r="V30" s="30">
        <f t="shared" si="6"/>
        <v>1.6043788812067459</v>
      </c>
    </row>
    <row r="31" spans="1:28" x14ac:dyDescent="0.25">
      <c r="C31" s="35">
        <v>0.5</v>
      </c>
      <c r="D31" s="35">
        <f>C31*C12</f>
        <v>4.9033249999999997</v>
      </c>
      <c r="E31" s="35">
        <v>4.0999999999999996</v>
      </c>
      <c r="F31" s="35">
        <v>0.01</v>
      </c>
      <c r="G31" s="36">
        <f t="shared" si="8"/>
        <v>4.09</v>
      </c>
      <c r="H31" s="11">
        <f t="shared" si="7"/>
        <v>16.728099999999998</v>
      </c>
      <c r="I31" s="11">
        <f t="shared" si="1"/>
        <v>68.417928999999987</v>
      </c>
      <c r="J31" s="11">
        <f t="shared" si="2"/>
        <v>279.82932960999995</v>
      </c>
      <c r="K31">
        <v>0.42750570984188929</v>
      </c>
      <c r="L31">
        <f t="shared" si="3"/>
        <v>0.18276113194741764</v>
      </c>
      <c r="M31">
        <f t="shared" si="9"/>
        <v>4.4758192901581104</v>
      </c>
      <c r="N31" s="30">
        <f t="shared" si="10"/>
        <v>0.42750570984188929</v>
      </c>
      <c r="Q31" s="11">
        <v>147.09975</v>
      </c>
      <c r="R31">
        <v>135.58000000000001</v>
      </c>
      <c r="S31">
        <f t="shared" si="4"/>
        <v>18381.936400000002</v>
      </c>
      <c r="T31">
        <f t="shared" si="5"/>
        <v>2492222.9371120008</v>
      </c>
      <c r="U31" s="30">
        <v>-0.39050575683208422</v>
      </c>
      <c r="V31" s="30">
        <f t="shared" si="6"/>
        <v>0.15249474611899888</v>
      </c>
    </row>
    <row r="32" spans="1:28" x14ac:dyDescent="0.25">
      <c r="C32" s="35">
        <v>2</v>
      </c>
      <c r="D32" s="35">
        <f t="shared" ref="D32:D67" si="11">C32*9.80665</f>
        <v>19.613299999999999</v>
      </c>
      <c r="E32" s="35">
        <v>17.48</v>
      </c>
      <c r="F32" s="35">
        <v>0.01</v>
      </c>
      <c r="G32" s="36">
        <f>E32-F32</f>
        <v>17.47</v>
      </c>
      <c r="H32" s="11">
        <f t="shared" si="7"/>
        <v>305.20089999999993</v>
      </c>
      <c r="I32" s="11">
        <f t="shared" si="1"/>
        <v>5331.8597229999987</v>
      </c>
      <c r="J32" s="11">
        <f t="shared" si="2"/>
        <v>93147.589360809958</v>
      </c>
      <c r="K32">
        <v>0.55903665059128471</v>
      </c>
      <c r="L32">
        <f t="shared" si="3"/>
        <v>0.31252197670432214</v>
      </c>
      <c r="M32">
        <f t="shared" si="9"/>
        <v>19.054263349408714</v>
      </c>
      <c r="N32" s="30">
        <f t="shared" si="10"/>
        <v>0.55903665059128471</v>
      </c>
      <c r="Q32" s="11">
        <v>196.13299999999998</v>
      </c>
      <c r="R32">
        <v>181.92000000000002</v>
      </c>
      <c r="S32">
        <f t="shared" si="4"/>
        <v>33094.886400000003</v>
      </c>
      <c r="T32">
        <f t="shared" si="5"/>
        <v>6020621.7338880012</v>
      </c>
      <c r="U32" s="30">
        <v>-2.4926194210062533</v>
      </c>
      <c r="V32" s="30">
        <f t="shared" si="6"/>
        <v>6.2131515779775492</v>
      </c>
    </row>
    <row r="33" spans="3:22" x14ac:dyDescent="0.25">
      <c r="C33" s="35">
        <v>2</v>
      </c>
      <c r="D33" s="35">
        <f t="shared" si="11"/>
        <v>19.613299999999999</v>
      </c>
      <c r="E33" s="35">
        <v>17.3</v>
      </c>
      <c r="F33" s="35">
        <v>0.01</v>
      </c>
      <c r="G33" s="36">
        <f t="shared" ref="G33:G34" si="12">E33-F33</f>
        <v>17.29</v>
      </c>
      <c r="H33" s="11">
        <f t="shared" si="7"/>
        <v>298.94409999999999</v>
      </c>
      <c r="I33" s="11">
        <f t="shared" si="1"/>
        <v>5168.7434889999995</v>
      </c>
      <c r="J33" s="11">
        <f t="shared" si="2"/>
        <v>89367.574924809989</v>
      </c>
      <c r="K33">
        <v>0.75456687537458222</v>
      </c>
      <c r="L33">
        <f t="shared" si="3"/>
        <v>0.56937116941256027</v>
      </c>
      <c r="M33">
        <f t="shared" si="9"/>
        <v>18.858733124625417</v>
      </c>
      <c r="N33" s="30">
        <f t="shared" si="10"/>
        <v>0.75456687537458222</v>
      </c>
      <c r="Q33" s="11">
        <v>245.16624999999999</v>
      </c>
      <c r="R33">
        <v>223.65</v>
      </c>
      <c r="S33">
        <f t="shared" si="4"/>
        <v>50019.322500000002</v>
      </c>
      <c r="T33">
        <f t="shared" si="5"/>
        <v>11186821.477125</v>
      </c>
      <c r="U33" s="30">
        <v>0.3986842027259172</v>
      </c>
      <c r="V33" s="30">
        <f t="shared" si="6"/>
        <v>0.15894909350320024</v>
      </c>
    </row>
    <row r="34" spans="3:22" x14ac:dyDescent="0.25">
      <c r="C34" s="35">
        <v>2</v>
      </c>
      <c r="D34" s="35">
        <f t="shared" si="11"/>
        <v>19.613299999999999</v>
      </c>
      <c r="E34" s="35">
        <v>17.850000000000001</v>
      </c>
      <c r="F34" s="35">
        <v>0.04</v>
      </c>
      <c r="G34" s="36">
        <f t="shared" si="12"/>
        <v>17.810000000000002</v>
      </c>
      <c r="H34" s="11">
        <f t="shared" si="7"/>
        <v>317.19610000000006</v>
      </c>
      <c r="I34" s="11">
        <f t="shared" si="1"/>
        <v>5649.2625410000019</v>
      </c>
      <c r="J34" s="11">
        <f t="shared" si="2"/>
        <v>100613.36585521004</v>
      </c>
      <c r="K34">
        <v>0.18974266279246876</v>
      </c>
      <c r="L34">
        <f t="shared" si="3"/>
        <v>3.6002278083576512E-2</v>
      </c>
      <c r="M34">
        <f t="shared" si="9"/>
        <v>19.42355733720753</v>
      </c>
      <c r="N34" s="30">
        <f t="shared" si="10"/>
        <v>0.18974266279246876</v>
      </c>
      <c r="Q34" s="11">
        <v>294.1995</v>
      </c>
      <c r="R34">
        <v>268.09999999999997</v>
      </c>
      <c r="S34">
        <f t="shared" si="4"/>
        <v>71877.609999999986</v>
      </c>
      <c r="T34">
        <f t="shared" si="5"/>
        <v>19270387.240999993</v>
      </c>
      <c r="U34" s="30">
        <v>0.37431945871281869</v>
      </c>
      <c r="V34" s="30">
        <f t="shared" si="6"/>
        <v>0.14011505717105757</v>
      </c>
    </row>
    <row r="35" spans="3:22" x14ac:dyDescent="0.25">
      <c r="C35" s="35">
        <v>5</v>
      </c>
      <c r="D35" s="35">
        <f t="shared" si="11"/>
        <v>49.033249999999995</v>
      </c>
      <c r="E35" s="35">
        <v>45.35</v>
      </c>
      <c r="F35" s="35">
        <v>0.04</v>
      </c>
      <c r="G35" s="36">
        <f>E35-F35</f>
        <v>45.31</v>
      </c>
      <c r="H35" s="11">
        <f t="shared" si="7"/>
        <v>2052.9961000000003</v>
      </c>
      <c r="I35" s="11">
        <f t="shared" si="1"/>
        <v>93021.253291000015</v>
      </c>
      <c r="J35" s="11">
        <f t="shared" si="2"/>
        <v>4214792.9866152108</v>
      </c>
      <c r="K35">
        <v>-0.10936848078169703</v>
      </c>
      <c r="L35">
        <f t="shared" si="3"/>
        <v>1.1961464588496432E-2</v>
      </c>
      <c r="M35">
        <f t="shared" si="9"/>
        <v>49.142618480781692</v>
      </c>
      <c r="N35" s="30">
        <f t="shared" si="10"/>
        <v>-0.10936848078169703</v>
      </c>
      <c r="Q35" s="11">
        <v>343.23274999999995</v>
      </c>
      <c r="R35">
        <v>310.3</v>
      </c>
      <c r="S35">
        <f t="shared" si="4"/>
        <v>96286.090000000011</v>
      </c>
      <c r="T35">
        <f t="shared" si="5"/>
        <v>29877573.727000006</v>
      </c>
      <c r="U35" s="30">
        <v>3.0961583313155643</v>
      </c>
      <c r="V35" s="30">
        <f t="shared" si="6"/>
        <v>9.5861964125747789</v>
      </c>
    </row>
    <row r="36" spans="3:22" x14ac:dyDescent="0.25">
      <c r="C36" s="35">
        <v>5</v>
      </c>
      <c r="D36" s="35">
        <f t="shared" si="11"/>
        <v>49.033249999999995</v>
      </c>
      <c r="E36" s="35">
        <v>48.05</v>
      </c>
      <c r="F36" s="35">
        <v>0.15</v>
      </c>
      <c r="G36" s="36">
        <f t="shared" ref="G36:G37" si="13">E36-F36</f>
        <v>47.9</v>
      </c>
      <c r="H36" s="11">
        <f t="shared" si="7"/>
        <v>2294.41</v>
      </c>
      <c r="I36" s="11">
        <f t="shared" si="1"/>
        <v>109902.23899999999</v>
      </c>
      <c r="J36" s="11">
        <f t="shared" si="2"/>
        <v>5264317.2480999995</v>
      </c>
      <c r="K36">
        <v>-2.8958917518740677</v>
      </c>
      <c r="L36">
        <f t="shared" si="3"/>
        <v>8.3861890385722564</v>
      </c>
      <c r="M36">
        <f t="shared" si="9"/>
        <v>51.929141751874063</v>
      </c>
      <c r="N36" s="30">
        <f t="shared" si="10"/>
        <v>-2.8958917518740677</v>
      </c>
      <c r="Q36" s="11">
        <v>392.26599999999996</v>
      </c>
      <c r="R36">
        <v>360.21999999999997</v>
      </c>
      <c r="S36">
        <f t="shared" si="4"/>
        <v>129758.44839999998</v>
      </c>
      <c r="T36">
        <f t="shared" si="5"/>
        <v>46741588.28264799</v>
      </c>
      <c r="U36" s="30">
        <v>-2.088973292923356</v>
      </c>
      <c r="V36" s="30">
        <f t="shared" si="6"/>
        <v>4.3638094185470493</v>
      </c>
    </row>
    <row r="37" spans="3:22" x14ac:dyDescent="0.25">
      <c r="C37" s="35">
        <v>5</v>
      </c>
      <c r="D37" s="35">
        <f t="shared" si="11"/>
        <v>49.033249999999995</v>
      </c>
      <c r="E37" s="35">
        <v>48.13</v>
      </c>
      <c r="F37" s="35">
        <v>0.16</v>
      </c>
      <c r="G37" s="36">
        <f t="shared" si="13"/>
        <v>47.970000000000006</v>
      </c>
      <c r="H37" s="11">
        <f t="shared" si="7"/>
        <v>2301.1209000000003</v>
      </c>
      <c r="I37" s="11">
        <f t="shared" si="1"/>
        <v>110384.76957300003</v>
      </c>
      <c r="J37" s="11">
        <f t="shared" si="2"/>
        <v>5295157.3964168113</v>
      </c>
      <c r="K37">
        <v>-2.9711797931519754</v>
      </c>
      <c r="L37">
        <f t="shared" si="3"/>
        <v>8.8279093632346157</v>
      </c>
      <c r="M37">
        <f t="shared" si="9"/>
        <v>52.004429793151971</v>
      </c>
      <c r="N37" s="30">
        <f t="shared" si="10"/>
        <v>-2.9711797931519754</v>
      </c>
      <c r="Q37" s="11">
        <v>441.29924999999997</v>
      </c>
      <c r="R37">
        <v>403.95</v>
      </c>
      <c r="S37">
        <f t="shared" si="4"/>
        <v>163175.60249999998</v>
      </c>
      <c r="T37">
        <f t="shared" si="5"/>
        <v>65914784.629874989</v>
      </c>
      <c r="U37" s="30">
        <v>0.15988122806396632</v>
      </c>
      <c r="V37" s="30">
        <f t="shared" si="6"/>
        <v>2.556200708724201E-2</v>
      </c>
    </row>
    <row r="38" spans="3:22" x14ac:dyDescent="0.25">
      <c r="C38" s="35">
        <v>10</v>
      </c>
      <c r="D38" s="35">
        <f t="shared" si="11"/>
        <v>98.066499999999991</v>
      </c>
      <c r="E38" s="35">
        <v>89.35</v>
      </c>
      <c r="F38" s="35">
        <v>0</v>
      </c>
      <c r="G38" s="36">
        <f>E38-F38</f>
        <v>89.35</v>
      </c>
      <c r="H38" s="11">
        <f t="shared" si="7"/>
        <v>7983.4224999999988</v>
      </c>
      <c r="I38" s="11">
        <f t="shared" si="1"/>
        <v>713318.80037499988</v>
      </c>
      <c r="J38" s="11">
        <f t="shared" si="2"/>
        <v>63735034.813506231</v>
      </c>
      <c r="K38">
        <v>1.694918629516863</v>
      </c>
      <c r="L38">
        <f t="shared" si="3"/>
        <v>2.8727491606833211</v>
      </c>
      <c r="M38">
        <f t="shared" si="9"/>
        <v>96.371581370483128</v>
      </c>
      <c r="N38" s="30">
        <f t="shared" si="10"/>
        <v>1.694918629516863</v>
      </c>
      <c r="Q38" s="11">
        <v>490.33249999999998</v>
      </c>
      <c r="R38">
        <v>451.67</v>
      </c>
      <c r="S38">
        <f t="shared" si="4"/>
        <v>204005.78890000001</v>
      </c>
      <c r="T38">
        <f t="shared" si="5"/>
        <v>92143294.672463015</v>
      </c>
      <c r="U38" s="30">
        <v>-0.87200881122771534</v>
      </c>
      <c r="V38" s="30">
        <f t="shared" si="6"/>
        <v>0.7603993668587733</v>
      </c>
    </row>
    <row r="39" spans="3:22" x14ac:dyDescent="0.25">
      <c r="C39" s="35">
        <v>10</v>
      </c>
      <c r="D39" s="35">
        <f t="shared" si="11"/>
        <v>98.066499999999991</v>
      </c>
      <c r="E39" s="35">
        <v>90.5</v>
      </c>
      <c r="F39" s="35">
        <v>0.1</v>
      </c>
      <c r="G39" s="36">
        <f t="shared" ref="G39:G40" si="14">E39-F39</f>
        <v>90.4</v>
      </c>
      <c r="H39" s="11">
        <f t="shared" si="7"/>
        <v>8172.1600000000008</v>
      </c>
      <c r="I39" s="11">
        <f t="shared" si="1"/>
        <v>738763.26400000008</v>
      </c>
      <c r="J39" s="11">
        <f t="shared" si="2"/>
        <v>66784199.065600015</v>
      </c>
      <c r="K39">
        <v>0.57095273923982859</v>
      </c>
      <c r="L39">
        <f t="shared" si="3"/>
        <v>0.32598703044546368</v>
      </c>
      <c r="M39">
        <f t="shared" si="9"/>
        <v>97.495547260760162</v>
      </c>
      <c r="N39" s="30">
        <f t="shared" si="10"/>
        <v>0.57095273923982859</v>
      </c>
      <c r="Q39" s="11">
        <v>539.36574999999993</v>
      </c>
      <c r="R39">
        <v>498.13</v>
      </c>
      <c r="S39">
        <f t="shared" si="4"/>
        <v>248133.4969</v>
      </c>
      <c r="T39">
        <f t="shared" si="5"/>
        <v>123602738.81079699</v>
      </c>
      <c r="U39" s="30">
        <v>0.63385919516565536</v>
      </c>
      <c r="V39" s="30">
        <f t="shared" si="6"/>
        <v>0.4017774792960524</v>
      </c>
    </row>
    <row r="40" spans="3:22" x14ac:dyDescent="0.25">
      <c r="C40" s="35">
        <v>10</v>
      </c>
      <c r="D40" s="35">
        <f t="shared" si="11"/>
        <v>98.066499999999991</v>
      </c>
      <c r="E40" s="35">
        <v>89.15</v>
      </c>
      <c r="F40" s="35">
        <v>0.1</v>
      </c>
      <c r="G40" s="36">
        <f t="shared" si="14"/>
        <v>89.050000000000011</v>
      </c>
      <c r="H40" s="11">
        <f t="shared" si="7"/>
        <v>7929.902500000002</v>
      </c>
      <c r="I40" s="11">
        <f t="shared" si="1"/>
        <v>706157.81762500026</v>
      </c>
      <c r="J40" s="11">
        <f t="shared" si="2"/>
        <v>62883353.659506284</v>
      </c>
      <c r="K40">
        <v>2.0160539907031279</v>
      </c>
      <c r="L40">
        <f t="shared" si="3"/>
        <v>4.0644736934300072</v>
      </c>
      <c r="M40">
        <f t="shared" si="9"/>
        <v>96.050446009296863</v>
      </c>
      <c r="N40" s="30">
        <f t="shared" si="10"/>
        <v>2.0160539907031279</v>
      </c>
    </row>
    <row r="41" spans="3:22" x14ac:dyDescent="0.25">
      <c r="C41" s="35">
        <v>15</v>
      </c>
      <c r="D41" s="35">
        <f t="shared" si="11"/>
        <v>147.09975</v>
      </c>
      <c r="E41" s="35">
        <v>135.55000000000001</v>
      </c>
      <c r="F41" s="35">
        <v>-0.03</v>
      </c>
      <c r="G41" s="36">
        <f>E41-F41</f>
        <v>135.58000000000001</v>
      </c>
      <c r="H41" s="11">
        <f t="shared" si="7"/>
        <v>18381.936400000002</v>
      </c>
      <c r="I41" s="11">
        <f t="shared" si="1"/>
        <v>2492222.9371120008</v>
      </c>
      <c r="J41" s="11">
        <f t="shared" si="2"/>
        <v>337895585.81364506</v>
      </c>
      <c r="K41">
        <v>1.1838091396340928</v>
      </c>
      <c r="L41">
        <f t="shared" si="3"/>
        <v>1.4014040790812112</v>
      </c>
      <c r="M41">
        <f t="shared" si="9"/>
        <v>145.91594086036591</v>
      </c>
      <c r="N41" s="30">
        <f t="shared" si="10"/>
        <v>1.1838091396340928</v>
      </c>
    </row>
    <row r="42" spans="3:22" x14ac:dyDescent="0.25">
      <c r="C42" s="35">
        <v>15</v>
      </c>
      <c r="D42" s="35">
        <f t="shared" si="11"/>
        <v>147.09975</v>
      </c>
      <c r="E42" s="35">
        <v>137.1</v>
      </c>
      <c r="F42" s="35">
        <v>0.15</v>
      </c>
      <c r="G42" s="36">
        <f t="shared" ref="G42:G43" si="15">E42-F42</f>
        <v>136.94999999999999</v>
      </c>
      <c r="H42" s="11">
        <f t="shared" si="7"/>
        <v>18755.302499999998</v>
      </c>
      <c r="I42" s="11">
        <f t="shared" si="1"/>
        <v>2568538.6773749995</v>
      </c>
      <c r="J42" s="11">
        <f t="shared" si="2"/>
        <v>351761371.86650616</v>
      </c>
      <c r="K42">
        <v>-0.2881266780298688</v>
      </c>
      <c r="L42">
        <f t="shared" si="3"/>
        <v>8.3016982592527683E-2</v>
      </c>
      <c r="M42">
        <f t="shared" si="9"/>
        <v>147.38787667802987</v>
      </c>
      <c r="N42" s="30">
        <f t="shared" si="10"/>
        <v>-0.2881266780298688</v>
      </c>
    </row>
    <row r="43" spans="3:22" x14ac:dyDescent="0.25">
      <c r="C43" s="35">
        <v>15</v>
      </c>
      <c r="D43" s="35">
        <f t="shared" si="11"/>
        <v>147.09975</v>
      </c>
      <c r="E43" s="35">
        <v>136.4</v>
      </c>
      <c r="F43" s="35">
        <v>0.36</v>
      </c>
      <c r="G43" s="36">
        <f t="shared" si="15"/>
        <v>136.04</v>
      </c>
      <c r="H43" s="11">
        <f t="shared" si="7"/>
        <v>18506.881599999997</v>
      </c>
      <c r="I43" s="11">
        <f t="shared" si="1"/>
        <v>2517676.1728639994</v>
      </c>
      <c r="J43" s="11">
        <f t="shared" si="2"/>
        <v>342504666.55641842</v>
      </c>
      <c r="K43">
        <v>0.68961714436122179</v>
      </c>
      <c r="L43">
        <f t="shared" si="3"/>
        <v>0.47557180579692621</v>
      </c>
      <c r="M43">
        <f t="shared" si="9"/>
        <v>146.41013285563878</v>
      </c>
      <c r="N43" s="30">
        <f t="shared" si="10"/>
        <v>0.68961714436122179</v>
      </c>
    </row>
    <row r="44" spans="3:22" x14ac:dyDescent="0.25">
      <c r="C44" s="35">
        <v>20</v>
      </c>
      <c r="D44" s="35">
        <f t="shared" si="11"/>
        <v>196.13299999999998</v>
      </c>
      <c r="E44" s="35">
        <v>181.9</v>
      </c>
      <c r="F44" s="35">
        <v>-0.02</v>
      </c>
      <c r="G44" s="36">
        <f>E44-F44</f>
        <v>181.92000000000002</v>
      </c>
      <c r="H44" s="11">
        <f t="shared" si="7"/>
        <v>33094.886400000003</v>
      </c>
      <c r="I44" s="11">
        <f t="shared" si="1"/>
        <v>6020621.7338880012</v>
      </c>
      <c r="J44" s="11">
        <f t="shared" si="2"/>
        <v>1095271505.8289051</v>
      </c>
      <c r="K44">
        <v>0.2193717534186419</v>
      </c>
      <c r="L44">
        <f t="shared" si="3"/>
        <v>4.8123966197969423E-2</v>
      </c>
      <c r="M44">
        <f t="shared" si="9"/>
        <v>195.91362824658134</v>
      </c>
      <c r="N44" s="30">
        <f t="shared" si="10"/>
        <v>0.2193717534186419</v>
      </c>
      <c r="O44" s="11">
        <f>AVERAGE(K29:K31)</f>
        <v>0.45665678069255389</v>
      </c>
      <c r="U44">
        <v>1.0955458055213672</v>
      </c>
    </row>
    <row r="45" spans="3:22" x14ac:dyDescent="0.25">
      <c r="C45" s="35">
        <v>20</v>
      </c>
      <c r="D45" s="35">
        <f t="shared" si="11"/>
        <v>196.13299999999998</v>
      </c>
      <c r="E45" s="35">
        <v>184.5</v>
      </c>
      <c r="F45" s="35">
        <v>0.15</v>
      </c>
      <c r="G45" s="36">
        <f t="shared" ref="G45:G46" si="16">E45-F45</f>
        <v>184.35</v>
      </c>
      <c r="H45" s="11">
        <f t="shared" si="7"/>
        <v>33984.922500000001</v>
      </c>
      <c r="I45" s="11">
        <f t="shared" si="1"/>
        <v>6265120.4628750002</v>
      </c>
      <c r="J45" s="11">
        <f t="shared" si="2"/>
        <v>1154974957.3310063</v>
      </c>
      <c r="K45">
        <v>-2.4160811232308674</v>
      </c>
      <c r="L45">
        <f t="shared" si="3"/>
        <v>5.8374479940325301</v>
      </c>
      <c r="M45">
        <f t="shared" si="9"/>
        <v>198.54908112323085</v>
      </c>
      <c r="N45" s="30">
        <f t="shared" si="10"/>
        <v>-2.4160811232308674</v>
      </c>
      <c r="O45" s="11">
        <f>AVERAGE(K32:K34)</f>
        <v>0.50111539625277857</v>
      </c>
      <c r="U45">
        <v>-3.0245063957462314E-4</v>
      </c>
    </row>
    <row r="46" spans="3:22" x14ac:dyDescent="0.25">
      <c r="C46" s="35">
        <v>20</v>
      </c>
      <c r="D46" s="35">
        <f t="shared" si="11"/>
        <v>196.13299999999998</v>
      </c>
      <c r="E46" s="35">
        <v>183.1</v>
      </c>
      <c r="F46" s="35">
        <v>0.23</v>
      </c>
      <c r="G46" s="36">
        <f t="shared" si="16"/>
        <v>182.87</v>
      </c>
      <c r="H46" s="11">
        <f t="shared" si="7"/>
        <v>33441.436900000001</v>
      </c>
      <c r="I46" s="11">
        <f t="shared" si="1"/>
        <v>6115435.5659030005</v>
      </c>
      <c r="J46" s="11">
        <f t="shared" si="2"/>
        <v>1118329701.9366817</v>
      </c>
      <c r="K46">
        <v>-0.81077231413971163</v>
      </c>
      <c r="L46">
        <f t="shared" si="3"/>
        <v>0.65735174537546326</v>
      </c>
      <c r="M46">
        <f t="shared" si="9"/>
        <v>196.94377231413969</v>
      </c>
      <c r="N46" s="30">
        <f t="shared" si="10"/>
        <v>-0.81077231413971163</v>
      </c>
      <c r="O46" s="11">
        <f>AVERAGE(K35:K37)</f>
        <v>-1.9921466752692467</v>
      </c>
      <c r="U46">
        <v>1.4156516811503471E-6</v>
      </c>
    </row>
    <row r="47" spans="3:22" ht="15.75" thickBot="1" x14ac:dyDescent="0.3">
      <c r="C47" s="35">
        <v>25</v>
      </c>
      <c r="D47" s="35">
        <f t="shared" si="11"/>
        <v>245.16624999999999</v>
      </c>
      <c r="E47" s="35">
        <v>223.5</v>
      </c>
      <c r="F47" s="35">
        <v>-0.15</v>
      </c>
      <c r="G47" s="36">
        <f>E47-F47</f>
        <v>223.65</v>
      </c>
      <c r="H47" s="11">
        <f t="shared" si="7"/>
        <v>50019.322500000002</v>
      </c>
      <c r="I47" s="11">
        <f t="shared" si="1"/>
        <v>11186821.477125</v>
      </c>
      <c r="J47" s="11">
        <f t="shared" si="2"/>
        <v>2501932623.3590064</v>
      </c>
      <c r="K47">
        <v>1.5924885517049745</v>
      </c>
      <c r="L47">
        <f t="shared" si="3"/>
        <v>2.5360197873114072</v>
      </c>
      <c r="M47">
        <f t="shared" si="9"/>
        <v>241.38325788543003</v>
      </c>
      <c r="N47" s="30">
        <f t="shared" si="10"/>
        <v>3.7829921145699643</v>
      </c>
      <c r="O47" s="11">
        <f>AVERAGE(K38:K40)</f>
        <v>1.4273084531532731</v>
      </c>
      <c r="U47" s="8">
        <v>-1.7361890677928571E-9</v>
      </c>
    </row>
    <row r="48" spans="3:22" x14ac:dyDescent="0.25">
      <c r="C48" s="35">
        <v>25</v>
      </c>
      <c r="D48" s="35">
        <f t="shared" si="11"/>
        <v>245.16624999999999</v>
      </c>
      <c r="E48" s="35">
        <v>226</v>
      </c>
      <c r="F48" s="35">
        <v>0.35</v>
      </c>
      <c r="G48" s="36">
        <f>E48-F48</f>
        <v>225.65</v>
      </c>
      <c r="H48" s="11">
        <f>G48^2</f>
        <v>50917.922500000001</v>
      </c>
      <c r="I48" s="11">
        <f t="shared" si="1"/>
        <v>11489629.212125</v>
      </c>
      <c r="J48" s="11">
        <f t="shared" si="2"/>
        <v>2592634831.7160063</v>
      </c>
      <c r="K48">
        <v>-0.54421875247214757</v>
      </c>
      <c r="L48">
        <f t="shared" si="3"/>
        <v>0.29617405054234064</v>
      </c>
      <c r="M48">
        <f t="shared" si="9"/>
        <v>243.57376144829502</v>
      </c>
      <c r="N48" s="30">
        <f t="shared" si="10"/>
        <v>1.5924885517049745</v>
      </c>
      <c r="O48" s="11">
        <f>AVERAGE(K41:K43)</f>
        <v>0.52843320198848198</v>
      </c>
    </row>
    <row r="49" spans="3:15" x14ac:dyDescent="0.25">
      <c r="C49" s="35">
        <v>25</v>
      </c>
      <c r="D49" s="35">
        <f t="shared" si="11"/>
        <v>245.16624999999999</v>
      </c>
      <c r="E49" s="35">
        <v>227.8</v>
      </c>
      <c r="F49" s="35">
        <v>0.2</v>
      </c>
      <c r="G49" s="36">
        <f>E49-F49</f>
        <v>227.60000000000002</v>
      </c>
      <c r="H49" s="11">
        <f t="shared" si="7"/>
        <v>51801.760000000009</v>
      </c>
      <c r="I49" s="11">
        <f>G49^3</f>
        <v>11790080.576000003</v>
      </c>
      <c r="J49" s="11">
        <f t="shared" si="2"/>
        <v>2683422339.0976009</v>
      </c>
      <c r="K49">
        <v>-0.56308829779578673</v>
      </c>
      <c r="L49">
        <f t="shared" si="3"/>
        <v>0.31706843111455663</v>
      </c>
      <c r="M49">
        <f t="shared" si="9"/>
        <v>245.71046875247214</v>
      </c>
      <c r="N49" s="30">
        <f t="shared" si="10"/>
        <v>-0.54421875247214757</v>
      </c>
      <c r="O49" s="11">
        <f>AVERAGE(K44:K46)</f>
        <v>-1.0024938946506456</v>
      </c>
    </row>
    <row r="50" spans="3:15" x14ac:dyDescent="0.25">
      <c r="C50" s="35">
        <v>30</v>
      </c>
      <c r="D50" s="35">
        <f t="shared" si="11"/>
        <v>294.1995</v>
      </c>
      <c r="E50" s="35">
        <v>268.2</v>
      </c>
      <c r="F50" s="35">
        <v>0.1</v>
      </c>
      <c r="G50" s="36">
        <f>E50-F50</f>
        <v>268.09999999999997</v>
      </c>
      <c r="H50" s="11">
        <f t="shared" si="7"/>
        <v>71877.609999999986</v>
      </c>
      <c r="I50" s="11">
        <f t="shared" si="1"/>
        <v>19270387.240999993</v>
      </c>
      <c r="J50" s="11">
        <f t="shared" si="2"/>
        <v>5166390819.3120975</v>
      </c>
      <c r="K50">
        <v>-1.1711325327968893</v>
      </c>
      <c r="L50">
        <f t="shared" si="3"/>
        <v>1.371551409375257</v>
      </c>
      <c r="M50">
        <f t="shared" si="9"/>
        <v>290.28672617838794</v>
      </c>
      <c r="N50" s="30">
        <f t="shared" si="10"/>
        <v>3.9127738216120633</v>
      </c>
      <c r="O50" s="11">
        <f>AVERAGE(K47:K49)</f>
        <v>0.16172716714568006</v>
      </c>
    </row>
    <row r="51" spans="3:15" x14ac:dyDescent="0.25">
      <c r="C51" s="35">
        <v>30</v>
      </c>
      <c r="D51" s="35">
        <f t="shared" si="11"/>
        <v>294.1995</v>
      </c>
      <c r="E51" s="35">
        <v>272.39999999999998</v>
      </c>
      <c r="F51" s="35">
        <v>0.25</v>
      </c>
      <c r="G51" s="36">
        <f t="shared" ref="G51:G52" si="17">E51-F51</f>
        <v>272.14999999999998</v>
      </c>
      <c r="H51" s="11">
        <f t="shared" si="7"/>
        <v>74065.622499999983</v>
      </c>
      <c r="I51" s="11">
        <f t="shared" si="1"/>
        <v>20156959.163374994</v>
      </c>
      <c r="J51" s="11">
        <f t="shared" si="2"/>
        <v>5485716436.3125038</v>
      </c>
      <c r="K51">
        <v>2.4350176476104934</v>
      </c>
      <c r="L51">
        <f t="shared" si="3"/>
        <v>5.9293109441745413</v>
      </c>
      <c r="M51">
        <f t="shared" si="9"/>
        <v>294.76258829779579</v>
      </c>
      <c r="N51" s="30">
        <f t="shared" si="10"/>
        <v>-0.56308829779578673</v>
      </c>
      <c r="O51" s="11">
        <f>AVERAGE(K50:K52)</f>
        <v>0.45642977013869768</v>
      </c>
    </row>
    <row r="52" spans="3:15" x14ac:dyDescent="0.25">
      <c r="C52" s="35">
        <v>30</v>
      </c>
      <c r="D52" s="35">
        <f t="shared" si="11"/>
        <v>294.1995</v>
      </c>
      <c r="E52" s="35">
        <v>273</v>
      </c>
      <c r="F52" s="35">
        <v>0.3</v>
      </c>
      <c r="G52" s="36">
        <f t="shared" si="17"/>
        <v>272.7</v>
      </c>
      <c r="H52" s="11">
        <f t="shared" si="7"/>
        <v>74365.289999999994</v>
      </c>
      <c r="I52" s="11">
        <f t="shared" si="1"/>
        <v>20279414.582999997</v>
      </c>
      <c r="J52" s="11">
        <f t="shared" si="2"/>
        <v>5530196356.7840986</v>
      </c>
      <c r="K52">
        <v>0.10540419560248893</v>
      </c>
      <c r="L52">
        <f t="shared" si="3"/>
        <v>1.1110044450607745E-2</v>
      </c>
      <c r="M52">
        <f t="shared" si="9"/>
        <v>295.37063253279689</v>
      </c>
      <c r="N52" s="30">
        <f t="shared" si="10"/>
        <v>-1.1711325327968893</v>
      </c>
      <c r="O52">
        <f>AVERAGE(K53:K55)</f>
        <v>-6.2073578002866725E-2</v>
      </c>
    </row>
    <row r="53" spans="3:15" x14ac:dyDescent="0.25">
      <c r="C53" s="35">
        <v>35</v>
      </c>
      <c r="D53" s="35">
        <f t="shared" si="11"/>
        <v>343.23274999999995</v>
      </c>
      <c r="E53" s="35">
        <v>310.10000000000002</v>
      </c>
      <c r="F53" s="35">
        <v>-0.2</v>
      </c>
      <c r="G53" s="36">
        <f>E53-F53</f>
        <v>310.3</v>
      </c>
      <c r="H53" s="11">
        <f t="shared" si="7"/>
        <v>96286.090000000011</v>
      </c>
      <c r="I53" s="11">
        <f t="shared" si="1"/>
        <v>29877573.727000006</v>
      </c>
      <c r="J53" s="11">
        <f t="shared" si="2"/>
        <v>9271011127.488102</v>
      </c>
      <c r="K53">
        <v>-6.3134444935940337E-2</v>
      </c>
      <c r="L53">
        <f t="shared" si="3"/>
        <v>3.9859581373692821E-3</v>
      </c>
      <c r="M53">
        <f t="shared" si="9"/>
        <v>337.02608325903077</v>
      </c>
      <c r="N53" s="30">
        <f t="shared" si="10"/>
        <v>6.2066667409691831</v>
      </c>
      <c r="O53">
        <f>AVERAGE(K56:K58)</f>
        <v>-0.33260433031561359</v>
      </c>
    </row>
    <row r="54" spans="3:15" x14ac:dyDescent="0.25">
      <c r="C54" s="35">
        <v>35</v>
      </c>
      <c r="D54" s="35">
        <f t="shared" si="11"/>
        <v>343.23274999999995</v>
      </c>
      <c r="E54" s="35">
        <v>314</v>
      </c>
      <c r="F54" s="35">
        <v>0.3</v>
      </c>
      <c r="G54" s="36">
        <f t="shared" ref="G54:G55" si="18">E54-F54</f>
        <v>313.7</v>
      </c>
      <c r="H54" s="11">
        <f t="shared" si="7"/>
        <v>98407.689999999988</v>
      </c>
      <c r="I54" s="11">
        <f t="shared" si="1"/>
        <v>30870492.352999996</v>
      </c>
      <c r="J54" s="11">
        <f t="shared" si="2"/>
        <v>9684073451.136097</v>
      </c>
      <c r="K54">
        <v>-1.1450492934913541</v>
      </c>
      <c r="L54">
        <f t="shared" si="3"/>
        <v>1.3111378845250492</v>
      </c>
      <c r="M54">
        <f t="shared" si="9"/>
        <v>340.79773235238946</v>
      </c>
      <c r="N54" s="30">
        <f t="shared" si="10"/>
        <v>2.4350176476104934</v>
      </c>
      <c r="O54">
        <f>AVERAGE(K59:K61)</f>
        <v>0.23579036631133476</v>
      </c>
    </row>
    <row r="55" spans="3:15" x14ac:dyDescent="0.25">
      <c r="C55" s="35">
        <v>35</v>
      </c>
      <c r="D55" s="35">
        <f t="shared" si="11"/>
        <v>343.23274999999995</v>
      </c>
      <c r="E55" s="35">
        <v>316.10000000000002</v>
      </c>
      <c r="F55" s="35">
        <v>0.3</v>
      </c>
      <c r="G55" s="36">
        <f t="shared" si="18"/>
        <v>315.8</v>
      </c>
      <c r="H55" s="11">
        <f t="shared" si="7"/>
        <v>99729.640000000014</v>
      </c>
      <c r="I55" s="11">
        <f t="shared" si="1"/>
        <v>31494620.312000006</v>
      </c>
      <c r="J55" s="11">
        <f t="shared" si="2"/>
        <v>9946001094.5296021</v>
      </c>
      <c r="K55">
        <v>1.0219630044186943</v>
      </c>
      <c r="L55">
        <f t="shared" si="3"/>
        <v>1.0444083824004842</v>
      </c>
      <c r="M55">
        <f t="shared" si="9"/>
        <v>343.12734580439746</v>
      </c>
      <c r="N55" s="30">
        <f t="shared" si="10"/>
        <v>0.10540419560248893</v>
      </c>
      <c r="O55">
        <f>AVERAGE(K62:K64)</f>
        <v>-0.51839991904375893</v>
      </c>
    </row>
    <row r="56" spans="3:15" x14ac:dyDescent="0.25">
      <c r="C56" s="35">
        <v>40</v>
      </c>
      <c r="D56" s="35">
        <f t="shared" si="11"/>
        <v>392.26599999999996</v>
      </c>
      <c r="E56" s="35">
        <v>360.2</v>
      </c>
      <c r="F56" s="35">
        <v>-0.02</v>
      </c>
      <c r="G56" s="36">
        <f>E56-F56</f>
        <v>360.21999999999997</v>
      </c>
      <c r="H56" s="11">
        <f t="shared" si="7"/>
        <v>129758.44839999998</v>
      </c>
      <c r="I56" s="11">
        <f t="shared" si="1"/>
        <v>46741588.28264799</v>
      </c>
      <c r="J56" s="11">
        <f t="shared" si="2"/>
        <v>16837254931.175457</v>
      </c>
      <c r="K56">
        <v>-0.98694843867104964</v>
      </c>
      <c r="L56">
        <f t="shared" si="3"/>
        <v>0.97406722059522266</v>
      </c>
      <c r="M56">
        <f t="shared" si="9"/>
        <v>392.3291344449359</v>
      </c>
      <c r="N56" s="30">
        <f t="shared" si="10"/>
        <v>-6.3134444935940337E-2</v>
      </c>
    </row>
    <row r="57" spans="3:15" x14ac:dyDescent="0.25">
      <c r="C57" s="35">
        <v>40</v>
      </c>
      <c r="D57" s="35">
        <f t="shared" si="11"/>
        <v>392.26599999999996</v>
      </c>
      <c r="E57" s="35">
        <v>362</v>
      </c>
      <c r="F57" s="35">
        <v>0.8</v>
      </c>
      <c r="G57" s="36">
        <f t="shared" ref="G57:G58" si="19">E57-F57</f>
        <v>361.2</v>
      </c>
      <c r="H57" s="11">
        <f t="shared" si="7"/>
        <v>130465.43999999999</v>
      </c>
      <c r="I57" s="11">
        <f t="shared" si="1"/>
        <v>47124116.927999996</v>
      </c>
      <c r="J57" s="11">
        <f t="shared" si="2"/>
        <v>17021231034.393597</v>
      </c>
      <c r="K57">
        <v>-0.97645770150296585</v>
      </c>
      <c r="L57">
        <f t="shared" si="3"/>
        <v>0.95346964282445512</v>
      </c>
      <c r="M57">
        <f t="shared" si="9"/>
        <v>393.41104929349132</v>
      </c>
      <c r="N57" s="30">
        <f t="shared" si="10"/>
        <v>-1.1450492934913541</v>
      </c>
    </row>
    <row r="58" spans="3:15" x14ac:dyDescent="0.25">
      <c r="C58" s="35">
        <v>40</v>
      </c>
      <c r="D58" s="35">
        <f t="shared" si="11"/>
        <v>392.26599999999996</v>
      </c>
      <c r="E58" s="35">
        <v>363.4</v>
      </c>
      <c r="F58" s="35">
        <v>0.57999999999999996</v>
      </c>
      <c r="G58" s="36">
        <f t="shared" si="19"/>
        <v>362.82</v>
      </c>
      <c r="H58" s="11">
        <f t="shared" si="7"/>
        <v>131638.3524</v>
      </c>
      <c r="I58" s="11">
        <f t="shared" si="1"/>
        <v>47761027.017768003</v>
      </c>
      <c r="J58" s="11">
        <f t="shared" si="2"/>
        <v>17328655822.586586</v>
      </c>
      <c r="K58">
        <v>0.96559314922717476</v>
      </c>
      <c r="L58">
        <f t="shared" si="3"/>
        <v>0.932370129834453</v>
      </c>
      <c r="M58">
        <f t="shared" si="9"/>
        <v>395.19898067578339</v>
      </c>
      <c r="N58" s="30">
        <f t="shared" si="10"/>
        <v>-2.9329806757834262</v>
      </c>
    </row>
    <row r="59" spans="3:15" x14ac:dyDescent="0.25">
      <c r="C59" s="35">
        <v>45</v>
      </c>
      <c r="D59" s="35">
        <f t="shared" si="11"/>
        <v>441.29924999999997</v>
      </c>
      <c r="E59" s="35">
        <v>403.8</v>
      </c>
      <c r="F59" s="35">
        <v>-0.15</v>
      </c>
      <c r="G59" s="36">
        <f>E59-F59</f>
        <v>403.95</v>
      </c>
      <c r="H59" s="11">
        <f t="shared" si="7"/>
        <v>163175.60249999998</v>
      </c>
      <c r="I59" s="11">
        <f t="shared" si="1"/>
        <v>65914784.629874989</v>
      </c>
      <c r="J59" s="11">
        <f t="shared" si="2"/>
        <v>26626277251.237999</v>
      </c>
      <c r="K59">
        <v>0.25135710154654589</v>
      </c>
      <c r="L59">
        <f t="shared" si="3"/>
        <v>6.3180392497880586E-2</v>
      </c>
      <c r="M59">
        <f t="shared" si="9"/>
        <v>440.27728699558128</v>
      </c>
      <c r="N59" s="30">
        <f t="shared" si="10"/>
        <v>1.0219630044186943</v>
      </c>
    </row>
    <row r="60" spans="3:15" x14ac:dyDescent="0.25">
      <c r="C60" s="35">
        <v>45</v>
      </c>
      <c r="D60" s="35">
        <f t="shared" si="11"/>
        <v>441.29924999999997</v>
      </c>
      <c r="E60" s="35">
        <v>400</v>
      </c>
      <c r="F60" s="35">
        <v>0.2</v>
      </c>
      <c r="G60" s="36">
        <f t="shared" ref="G60:G61" si="20">E60-F60</f>
        <v>399.8</v>
      </c>
      <c r="H60" s="11">
        <f t="shared" si="7"/>
        <v>159840.04</v>
      </c>
      <c r="I60" s="11">
        <f t="shared" si="1"/>
        <v>63904047.992000006</v>
      </c>
      <c r="J60" s="11">
        <f t="shared" si="2"/>
        <v>25548838387.201603</v>
      </c>
      <c r="K60">
        <v>0.60879193328116799</v>
      </c>
      <c r="L60">
        <f t="shared" si="3"/>
        <v>0.37062761802822208</v>
      </c>
      <c r="M60">
        <f t="shared" si="9"/>
        <v>435.76374978933063</v>
      </c>
      <c r="N60" s="30">
        <f t="shared" si="10"/>
        <v>5.5355002106693405</v>
      </c>
    </row>
    <row r="61" spans="3:15" x14ac:dyDescent="0.25">
      <c r="C61" s="35">
        <v>45</v>
      </c>
      <c r="D61" s="35">
        <f t="shared" si="11"/>
        <v>441.29924999999997</v>
      </c>
      <c r="E61" s="35">
        <v>406.5</v>
      </c>
      <c r="F61" s="35">
        <v>0.7</v>
      </c>
      <c r="G61" s="36">
        <f t="shared" si="20"/>
        <v>405.8</v>
      </c>
      <c r="H61" s="11">
        <f t="shared" si="7"/>
        <v>164673.64000000001</v>
      </c>
      <c r="I61" s="11">
        <f t="shared" si="1"/>
        <v>66824563.112000011</v>
      </c>
      <c r="J61" s="11">
        <f t="shared" si="2"/>
        <v>27117407710.849606</v>
      </c>
      <c r="K61">
        <v>-0.15277793589370958</v>
      </c>
      <c r="L61">
        <f t="shared" si="3"/>
        <v>2.3341097695942434E-2</v>
      </c>
      <c r="M61">
        <f t="shared" si="9"/>
        <v>442.28619843867102</v>
      </c>
      <c r="N61" s="30">
        <f t="shared" si="10"/>
        <v>-0.98694843867104964</v>
      </c>
    </row>
    <row r="62" spans="3:15" x14ac:dyDescent="0.25">
      <c r="C62" s="35">
        <v>50</v>
      </c>
      <c r="D62" s="35">
        <f t="shared" si="11"/>
        <v>490.33249999999998</v>
      </c>
      <c r="E62" s="35">
        <v>451.5</v>
      </c>
      <c r="F62" s="35">
        <v>-0.17</v>
      </c>
      <c r="G62" s="36">
        <f>E62-F62</f>
        <v>451.67</v>
      </c>
      <c r="H62" s="11">
        <f t="shared" si="7"/>
        <v>204005.78890000001</v>
      </c>
      <c r="I62" s="11">
        <f t="shared" si="1"/>
        <v>92143294.672463015</v>
      </c>
      <c r="J62" s="11">
        <f t="shared" si="2"/>
        <v>41618361904.711372</v>
      </c>
      <c r="K62">
        <v>-0.51839991904375893</v>
      </c>
      <c r="L62">
        <f t="shared" si="3"/>
        <v>0.26873847606457579</v>
      </c>
      <c r="M62">
        <f t="shared" si="9"/>
        <v>491.30895770150295</v>
      </c>
      <c r="N62" s="30">
        <f t="shared" si="10"/>
        <v>-0.97645770150296585</v>
      </c>
    </row>
    <row r="63" spans="3:15" x14ac:dyDescent="0.25">
      <c r="C63" s="35">
        <v>50</v>
      </c>
      <c r="D63" s="35">
        <f t="shared" si="11"/>
        <v>490.33249999999998</v>
      </c>
      <c r="E63" s="35">
        <v>450</v>
      </c>
      <c r="F63" s="35">
        <v>0.18</v>
      </c>
      <c r="G63" s="36">
        <f t="shared" ref="G63:G64" si="21">E63-F63</f>
        <v>449.82</v>
      </c>
      <c r="H63" s="11">
        <f t="shared" si="7"/>
        <v>202338.0324</v>
      </c>
      <c r="I63" s="11">
        <f t="shared" si="1"/>
        <v>91015693.734167993</v>
      </c>
      <c r="J63" s="11">
        <f t="shared" si="2"/>
        <v>40940679355.503448</v>
      </c>
      <c r="M63">
        <f t="shared" si="9"/>
        <v>489.36690685077281</v>
      </c>
      <c r="N63" s="30">
        <f t="shared" si="10"/>
        <v>0.96559314922717476</v>
      </c>
    </row>
    <row r="64" spans="3:15" x14ac:dyDescent="0.25">
      <c r="C64" s="35">
        <v>50</v>
      </c>
      <c r="D64" s="35">
        <f t="shared" si="11"/>
        <v>490.33249999999998</v>
      </c>
      <c r="E64" s="35">
        <v>451</v>
      </c>
      <c r="F64" s="35">
        <v>0.5</v>
      </c>
      <c r="G64" s="36">
        <f t="shared" si="21"/>
        <v>450.5</v>
      </c>
      <c r="H64" s="11">
        <f t="shared" si="7"/>
        <v>202950.25</v>
      </c>
      <c r="I64" s="11">
        <f t="shared" si="1"/>
        <v>91429087.625</v>
      </c>
      <c r="J64" s="11">
        <f t="shared" si="2"/>
        <v>41188803975.0625</v>
      </c>
      <c r="M64">
        <f t="shared" si="9"/>
        <v>490.08114289845344</v>
      </c>
      <c r="N64" s="30">
        <f t="shared" si="10"/>
        <v>0.25135710154654589</v>
      </c>
    </row>
    <row r="65" spans="1:14" x14ac:dyDescent="0.25">
      <c r="C65" s="35">
        <v>55</v>
      </c>
      <c r="D65" s="35">
        <f t="shared" si="11"/>
        <v>539.36574999999993</v>
      </c>
      <c r="E65" s="35">
        <v>498</v>
      </c>
      <c r="F65" s="35">
        <v>-0.13</v>
      </c>
      <c r="G65" s="36">
        <f>E65-F65</f>
        <v>498.13</v>
      </c>
      <c r="H65" s="11">
        <f t="shared" si="7"/>
        <v>248133.4969</v>
      </c>
      <c r="I65" s="11">
        <f t="shared" si="1"/>
        <v>123602738.81079699</v>
      </c>
      <c r="J65" s="11">
        <f t="shared" si="2"/>
        <v>61570232283.822311</v>
      </c>
      <c r="M65">
        <f t="shared" si="9"/>
        <v>538.75695806671877</v>
      </c>
      <c r="N65" s="30">
        <f t="shared" si="10"/>
        <v>0.60879193328116799</v>
      </c>
    </row>
    <row r="66" spans="1:14" x14ac:dyDescent="0.25">
      <c r="C66" s="35">
        <v>55</v>
      </c>
      <c r="D66" s="35">
        <f t="shared" si="11"/>
        <v>539.36574999999993</v>
      </c>
      <c r="E66" s="35">
        <v>499.4</v>
      </c>
      <c r="F66" s="35">
        <v>0.5</v>
      </c>
      <c r="G66" s="36">
        <f t="shared" ref="G66:G67" si="22">E66-F66</f>
        <v>498.9</v>
      </c>
      <c r="H66" s="11">
        <f t="shared" si="7"/>
        <v>248901.21</v>
      </c>
      <c r="I66" s="11">
        <f t="shared" si="1"/>
        <v>124176813.66899998</v>
      </c>
      <c r="J66" s="11">
        <f t="shared" si="2"/>
        <v>61951812339.464096</v>
      </c>
      <c r="M66">
        <f t="shared" si="9"/>
        <v>539.51852793589364</v>
      </c>
      <c r="N66" s="30">
        <f t="shared" si="10"/>
        <v>-0.15277793589370958</v>
      </c>
    </row>
    <row r="67" spans="1:14" ht="15.75" thickBot="1" x14ac:dyDescent="0.3">
      <c r="C67" s="35">
        <v>55</v>
      </c>
      <c r="D67" s="35">
        <f t="shared" si="11"/>
        <v>539.36574999999993</v>
      </c>
      <c r="E67" s="35">
        <v>500</v>
      </c>
      <c r="F67" s="35">
        <v>0.73</v>
      </c>
      <c r="G67" s="36">
        <f t="shared" si="22"/>
        <v>499.27</v>
      </c>
      <c r="H67" s="11">
        <f t="shared" si="7"/>
        <v>249270.53289999999</v>
      </c>
      <c r="I67" s="11">
        <f t="shared" si="1"/>
        <v>124453298.96098299</v>
      </c>
      <c r="J67" s="11">
        <f t="shared" si="2"/>
        <v>62135798572.249977</v>
      </c>
      <c r="K67" s="8"/>
      <c r="M67">
        <f t="shared" si="9"/>
        <v>539.88414991904369</v>
      </c>
      <c r="N67" s="30">
        <f t="shared" si="10"/>
        <v>-0.51839991904375893</v>
      </c>
    </row>
    <row r="68" spans="1:14" x14ac:dyDescent="0.25">
      <c r="F68" s="27"/>
      <c r="G68" s="7"/>
    </row>
    <row r="69" spans="1:14" x14ac:dyDescent="0.25">
      <c r="C69" s="3"/>
    </row>
    <row r="70" spans="1:14" x14ac:dyDescent="0.25">
      <c r="C70" s="3"/>
    </row>
    <row r="71" spans="1:14" ht="15" customHeight="1" x14ac:dyDescent="0.25"/>
    <row r="72" spans="1:14" x14ac:dyDescent="0.25">
      <c r="A72" s="5" t="s">
        <v>52</v>
      </c>
      <c r="B72" s="3"/>
      <c r="C72" s="7"/>
      <c r="D72" s="7"/>
      <c r="E72" s="7"/>
      <c r="F72" s="7"/>
    </row>
    <row r="73" spans="1:14" x14ac:dyDescent="0.25">
      <c r="A73" s="3"/>
      <c r="B73" s="3"/>
    </row>
    <row r="75" spans="1:14" x14ac:dyDescent="0.25">
      <c r="J75">
        <v>1.0955458055213672</v>
      </c>
    </row>
    <row r="76" spans="1:14" x14ac:dyDescent="0.25">
      <c r="J76">
        <v>-3.0245063957462314E-4</v>
      </c>
    </row>
    <row r="77" spans="1:14" x14ac:dyDescent="0.25">
      <c r="J77">
        <v>1.4156516811503471E-6</v>
      </c>
    </row>
    <row r="78" spans="1:14" ht="15.75" thickBot="1" x14ac:dyDescent="0.3">
      <c r="A78" s="19"/>
      <c r="B78" s="19"/>
      <c r="J78" s="8">
        <v>-1.7361890677928571E-9</v>
      </c>
    </row>
    <row r="79" spans="1:14" x14ac:dyDescent="0.25">
      <c r="A79" s="19"/>
      <c r="B79" s="19"/>
    </row>
    <row r="80" spans="1:14" x14ac:dyDescent="0.25">
      <c r="A80" s="5"/>
    </row>
    <row r="81" spans="1:15" x14ac:dyDescent="0.25">
      <c r="A81" s="5"/>
    </row>
    <row r="82" spans="1:15" x14ac:dyDescent="0.25">
      <c r="A82" s="5"/>
    </row>
    <row r="89" spans="1:15" x14ac:dyDescent="0.25">
      <c r="G89" s="11"/>
    </row>
    <row r="91" spans="1:15" x14ac:dyDescent="0.25">
      <c r="O91" s="11"/>
    </row>
    <row r="92" spans="1:15" x14ac:dyDescent="0.25">
      <c r="G92" s="11"/>
      <c r="I92" s="11"/>
      <c r="J92" s="11"/>
      <c r="K92" s="11"/>
      <c r="L92" s="11"/>
      <c r="M92" s="11"/>
    </row>
    <row r="93" spans="1:15" x14ac:dyDescent="0.25">
      <c r="G93" s="11"/>
    </row>
    <row r="94" spans="1:15" x14ac:dyDescent="0.25">
      <c r="G94" s="11"/>
    </row>
    <row r="95" spans="1:15" x14ac:dyDescent="0.25">
      <c r="G95" s="11"/>
    </row>
    <row r="96" spans="1:15" x14ac:dyDescent="0.25">
      <c r="G96" s="11"/>
    </row>
    <row r="101" spans="5:22" x14ac:dyDescent="0.25">
      <c r="E101" s="4"/>
      <c r="U101" s="11"/>
      <c r="V101" s="11"/>
    </row>
    <row r="102" spans="5:22" x14ac:dyDescent="0.25">
      <c r="E102" s="4"/>
    </row>
    <row r="103" spans="5:22" x14ac:dyDescent="0.25">
      <c r="E103" s="4"/>
    </row>
    <row r="104" spans="5:22" x14ac:dyDescent="0.25">
      <c r="E104" s="4"/>
    </row>
    <row r="105" spans="5:22" x14ac:dyDescent="0.25">
      <c r="E105" s="4"/>
    </row>
    <row r="106" spans="5:22" x14ac:dyDescent="0.25">
      <c r="E106" s="4"/>
    </row>
    <row r="107" spans="5:22" x14ac:dyDescent="0.25">
      <c r="E107" s="4"/>
    </row>
    <row r="108" spans="5:22" x14ac:dyDescent="0.25">
      <c r="E108" s="4"/>
    </row>
    <row r="109" spans="5:22" x14ac:dyDescent="0.25">
      <c r="E109" s="4"/>
    </row>
    <row r="110" spans="5:22" x14ac:dyDescent="0.25">
      <c r="E110" s="4"/>
    </row>
    <row r="111" spans="5:22" x14ac:dyDescent="0.25">
      <c r="E111" s="4"/>
    </row>
    <row r="112" spans="5:22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</sheetData>
  <mergeCells count="8">
    <mergeCell ref="A13:B13"/>
    <mergeCell ref="A22:B23"/>
    <mergeCell ref="W2:X2"/>
    <mergeCell ref="Y2:Z2"/>
    <mergeCell ref="AA2:AB2"/>
    <mergeCell ref="A10:B10"/>
    <mergeCell ref="A11:B11"/>
    <mergeCell ref="A12:B12"/>
  </mergeCells>
  <phoneticPr fontId="6" type="noConversion"/>
  <pageMargins left="0.70000000000000007" right="0.70000000000000007" top="0.75" bottom="0.75" header="0.30000000000000004" footer="0.30000000000000004"/>
  <pageSetup paperSize="9" fitToWidth="0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D4E08-52EE-4584-ACE1-B1856DC0F6DC}">
  <dimension ref="A1:I63"/>
  <sheetViews>
    <sheetView topLeftCell="A6" workbookViewId="0">
      <selection activeCell="F24" sqref="F24"/>
    </sheetView>
  </sheetViews>
  <sheetFormatPr defaultRowHeight="15" x14ac:dyDescent="0.25"/>
  <cols>
    <col min="3" max="3" width="14.5703125" bestFit="1" customWidth="1"/>
    <col min="4" max="4" width="18.5703125" bestFit="1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0.99997487564188026</v>
      </c>
    </row>
    <row r="5" spans="1:9" x14ac:dyDescent="0.25">
      <c r="A5" t="s">
        <v>13</v>
      </c>
      <c r="B5">
        <v>0.99994975191499391</v>
      </c>
    </row>
    <row r="6" spans="1:9" x14ac:dyDescent="0.25">
      <c r="A6" t="s">
        <v>14</v>
      </c>
      <c r="B6">
        <v>0.99994518390726617</v>
      </c>
    </row>
    <row r="7" spans="1:9" x14ac:dyDescent="0.25">
      <c r="A7" t="s">
        <v>15</v>
      </c>
      <c r="B7">
        <v>1.3957616863322064</v>
      </c>
    </row>
    <row r="8" spans="1:9" ht="15.75" thickBot="1" x14ac:dyDescent="0.3">
      <c r="A8" s="8" t="s">
        <v>16</v>
      </c>
      <c r="B8" s="8">
        <v>37</v>
      </c>
    </row>
    <row r="10" spans="1:9" ht="15.75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3</v>
      </c>
      <c r="C12">
        <v>1279367.0087267316</v>
      </c>
      <c r="D12">
        <v>426455.66957557719</v>
      </c>
      <c r="E12">
        <v>218902.81529653334</v>
      </c>
      <c r="F12">
        <v>5.4869892974647295E-71</v>
      </c>
    </row>
    <row r="13" spans="1:9" x14ac:dyDescent="0.25">
      <c r="A13" t="s">
        <v>19</v>
      </c>
      <c r="B13">
        <v>33</v>
      </c>
      <c r="C13">
        <v>64.288972606086517</v>
      </c>
      <c r="D13">
        <v>1.9481506850329247</v>
      </c>
    </row>
    <row r="14" spans="1:9" ht="15.75" thickBot="1" x14ac:dyDescent="0.3">
      <c r="A14" s="8" t="s">
        <v>20</v>
      </c>
      <c r="B14" s="8">
        <v>36</v>
      </c>
      <c r="C14" s="8">
        <v>1279431.2976993378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0.64739905022838684</v>
      </c>
      <c r="C17">
        <v>0.48728368181086829</v>
      </c>
      <c r="D17">
        <v>1.3285875854132643</v>
      </c>
      <c r="E17">
        <v>0.19309883054327362</v>
      </c>
      <c r="F17">
        <v>-0.34398705461326129</v>
      </c>
      <c r="G17">
        <v>1.638785155070035</v>
      </c>
      <c r="H17">
        <v>-0.34398705461326129</v>
      </c>
      <c r="I17">
        <v>1.638785155070035</v>
      </c>
    </row>
    <row r="18" spans="1:9" x14ac:dyDescent="0.25">
      <c r="A18" t="s">
        <v>73</v>
      </c>
      <c r="B18">
        <v>1.0450990204600763</v>
      </c>
      <c r="C18">
        <v>1.132133006312943E-2</v>
      </c>
      <c r="D18">
        <v>92.312388617984624</v>
      </c>
      <c r="E18">
        <v>2.0624752877387056E-41</v>
      </c>
      <c r="F18">
        <v>1.0220656012591665</v>
      </c>
      <c r="G18">
        <v>1.0681324396609861</v>
      </c>
      <c r="H18">
        <v>1.0220656012591665</v>
      </c>
      <c r="I18">
        <v>1.0681324396609861</v>
      </c>
    </row>
    <row r="19" spans="1:9" x14ac:dyDescent="0.25">
      <c r="A19" t="s">
        <v>68</v>
      </c>
      <c r="B19">
        <v>2.2283223797131023E-4</v>
      </c>
      <c r="C19">
        <v>5.9225719347382018E-5</v>
      </c>
      <c r="D19">
        <v>3.7624234948386523</v>
      </c>
      <c r="E19">
        <v>6.5684690621230842E-4</v>
      </c>
      <c r="F19">
        <v>1.0233660595662019E-4</v>
      </c>
      <c r="G19">
        <v>3.4332786998600027E-4</v>
      </c>
      <c r="H19">
        <v>1.0233660595662019E-4</v>
      </c>
      <c r="I19">
        <v>3.4332786998600027E-4</v>
      </c>
    </row>
    <row r="20" spans="1:9" ht="15.75" thickBot="1" x14ac:dyDescent="0.3">
      <c r="A20" s="8" t="s">
        <v>69</v>
      </c>
      <c r="B20" s="8">
        <v>-2.9971653931733362E-7</v>
      </c>
      <c r="C20" s="8">
        <v>8.0848126926657556E-8</v>
      </c>
      <c r="D20" s="8">
        <v>-3.7071550165809706</v>
      </c>
      <c r="E20" s="8">
        <v>7.661569317434897E-4</v>
      </c>
      <c r="F20" s="8">
        <v>-4.6420329031974425E-7</v>
      </c>
      <c r="G20" s="8">
        <v>-1.3522978831492296E-7</v>
      </c>
      <c r="H20" s="8">
        <v>-4.6420329031974425E-7</v>
      </c>
      <c r="I20" s="8">
        <v>-1.3522978831492296E-7</v>
      </c>
    </row>
    <row r="22" spans="1:9" x14ac:dyDescent="0.25">
      <c r="E22">
        <v>0.05</v>
      </c>
    </row>
    <row r="24" spans="1:9" x14ac:dyDescent="0.25">
      <c r="A24" t="s">
        <v>35</v>
      </c>
    </row>
    <row r="25" spans="1:9" ht="15.75" thickBot="1" x14ac:dyDescent="0.3"/>
    <row r="26" spans="1:9" x14ac:dyDescent="0.25">
      <c r="A26" s="9" t="s">
        <v>36</v>
      </c>
      <c r="B26" s="9" t="s">
        <v>70</v>
      </c>
      <c r="C26" s="9" t="s">
        <v>38</v>
      </c>
      <c r="D26" s="9" t="s">
        <v>62</v>
      </c>
      <c r="E26">
        <f>_xlfn.STDEV.S(C27:C63)</f>
        <v>1.3363400744621516</v>
      </c>
    </row>
    <row r="27" spans="1:9" x14ac:dyDescent="0.25">
      <c r="A27">
        <v>1</v>
      </c>
      <c r="B27">
        <v>0.64739905022838684</v>
      </c>
      <c r="C27">
        <v>-0.64739905022838684</v>
      </c>
      <c r="D27">
        <v>-0.48445681050832151</v>
      </c>
      <c r="E27">
        <f>C27/$E$26</f>
        <v>-0.48445681050832151</v>
      </c>
    </row>
    <row r="28" spans="1:9" x14ac:dyDescent="0.25">
      <c r="A28">
        <v>2</v>
      </c>
      <c r="B28">
        <v>0.64739905022838684</v>
      </c>
      <c r="C28">
        <v>-0.64739905022838684</v>
      </c>
      <c r="D28">
        <v>-0.48445681050832151</v>
      </c>
      <c r="E28">
        <f t="shared" ref="E28:E63" si="0">C28/$E$26</f>
        <v>-0.48445681050832151</v>
      </c>
    </row>
    <row r="29" spans="1:9" x14ac:dyDescent="0.25">
      <c r="A29">
        <v>3</v>
      </c>
      <c r="B29">
        <v>0.64739905022838684</v>
      </c>
      <c r="C29">
        <v>-0.64739905022838684</v>
      </c>
      <c r="D29">
        <v>-0.48445681050832151</v>
      </c>
      <c r="E29">
        <f t="shared" si="0"/>
        <v>-0.48445681050832151</v>
      </c>
    </row>
    <row r="30" spans="1:9" x14ac:dyDescent="0.25">
      <c r="A30">
        <v>4</v>
      </c>
      <c r="B30">
        <v>4.9255610978851987</v>
      </c>
      <c r="C30">
        <v>-2.223609788519898E-2</v>
      </c>
      <c r="D30">
        <v>-1.6639550298713099E-2</v>
      </c>
      <c r="E30">
        <f t="shared" si="0"/>
        <v>-1.6639550298713099E-2</v>
      </c>
    </row>
    <row r="31" spans="1:9" x14ac:dyDescent="0.25">
      <c r="A31">
        <v>5</v>
      </c>
      <c r="B31">
        <v>4.8418099608606804</v>
      </c>
      <c r="C31">
        <v>6.1515039139319327E-2</v>
      </c>
      <c r="D31">
        <v>4.6032473555863256E-2</v>
      </c>
      <c r="E31">
        <f t="shared" si="0"/>
        <v>4.6032473555863256E-2</v>
      </c>
    </row>
    <row r="32" spans="1:9" x14ac:dyDescent="0.25">
      <c r="A32">
        <v>6</v>
      </c>
      <c r="B32">
        <v>4.9255610978851987</v>
      </c>
      <c r="C32">
        <v>-2.223609788519898E-2</v>
      </c>
      <c r="D32">
        <v>-1.6639550298713099E-2</v>
      </c>
      <c r="E32">
        <f t="shared" si="0"/>
        <v>-1.6639550298713099E-2</v>
      </c>
    </row>
    <row r="33" spans="1:5" x14ac:dyDescent="0.25">
      <c r="A33">
        <v>7</v>
      </c>
      <c r="B33">
        <v>18.971689490699475</v>
      </c>
      <c r="C33">
        <v>0.64161050930052355</v>
      </c>
      <c r="D33">
        <v>0.48012517289714451</v>
      </c>
      <c r="E33">
        <f t="shared" si="0"/>
        <v>0.48012517289714451</v>
      </c>
    </row>
    <row r="34" spans="1:5" x14ac:dyDescent="0.25">
      <c r="A34">
        <v>8</v>
      </c>
      <c r="B34">
        <v>18.782226338903282</v>
      </c>
      <c r="C34">
        <v>0.83107366109671688</v>
      </c>
      <c r="D34">
        <v>0.62190282023174848</v>
      </c>
      <c r="E34">
        <f t="shared" si="0"/>
        <v>0.62190282023174848</v>
      </c>
    </row>
    <row r="35" spans="1:5" x14ac:dyDescent="0.25">
      <c r="A35">
        <v>9</v>
      </c>
      <c r="B35">
        <v>19.329600944042635</v>
      </c>
      <c r="C35">
        <v>0.28369905595736356</v>
      </c>
      <c r="D35">
        <v>0.21229555363857988</v>
      </c>
      <c r="E35">
        <f t="shared" si="0"/>
        <v>0.21229555363857988</v>
      </c>
    </row>
    <row r="36" spans="1:5" x14ac:dyDescent="0.25">
      <c r="A36">
        <v>10</v>
      </c>
      <c r="B36">
        <v>48.430429374664477</v>
      </c>
      <c r="C36">
        <v>0.60282062533551795</v>
      </c>
      <c r="D36">
        <v>0.45109821732925309</v>
      </c>
      <c r="E36">
        <f t="shared" si="0"/>
        <v>0.45109821732925309</v>
      </c>
    </row>
    <row r="37" spans="1:5" x14ac:dyDescent="0.25">
      <c r="A37">
        <v>11</v>
      </c>
      <c r="B37">
        <v>51.185971126653484</v>
      </c>
      <c r="C37">
        <v>-2.1527211266534891</v>
      </c>
      <c r="D37">
        <v>-1.6109081571320185</v>
      </c>
      <c r="E37">
        <f t="shared" si="0"/>
        <v>-1.6109081571320185</v>
      </c>
    </row>
    <row r="38" spans="1:5" x14ac:dyDescent="0.25">
      <c r="A38">
        <v>12</v>
      </c>
      <c r="B38">
        <v>51.260478840558044</v>
      </c>
      <c r="C38">
        <v>-2.2272288405580483</v>
      </c>
      <c r="D38">
        <v>-1.6666632117984341</v>
      </c>
      <c r="E38">
        <f t="shared" si="0"/>
        <v>-1.6666632117984341</v>
      </c>
    </row>
    <row r="39" spans="1:5" x14ac:dyDescent="0.25">
      <c r="A39">
        <v>13</v>
      </c>
      <c r="B39">
        <v>95.592166988403321</v>
      </c>
      <c r="C39">
        <v>2.47433301159667</v>
      </c>
      <c r="D39">
        <v>1.8515743551225434</v>
      </c>
      <c r="E39">
        <f t="shared" si="0"/>
        <v>1.8515743551225434</v>
      </c>
    </row>
    <row r="40" spans="1:5" x14ac:dyDescent="0.25">
      <c r="A40">
        <v>14</v>
      </c>
      <c r="B40">
        <v>96.723951632818057</v>
      </c>
      <c r="C40">
        <v>1.3425483671819336</v>
      </c>
      <c r="D40">
        <v>1.0046457431296301</v>
      </c>
      <c r="E40">
        <f t="shared" si="0"/>
        <v>1.0046457431296301</v>
      </c>
    </row>
    <row r="41" spans="1:5" x14ac:dyDescent="0.25">
      <c r="A41">
        <v>15</v>
      </c>
      <c r="B41">
        <v>95.268857565857047</v>
      </c>
      <c r="C41">
        <v>2.7976424341429436</v>
      </c>
      <c r="D41">
        <v>2.0935108417435844</v>
      </c>
      <c r="E41">
        <f t="shared" si="0"/>
        <v>2.0935108417435844</v>
      </c>
    </row>
    <row r="42" spans="1:5" x14ac:dyDescent="0.25">
      <c r="A42">
        <v>16</v>
      </c>
      <c r="B42">
        <v>145.69105183654534</v>
      </c>
      <c r="C42">
        <v>1.4086981634546589</v>
      </c>
      <c r="D42">
        <v>1.0541464634454145</v>
      </c>
      <c r="E42">
        <f t="shared" si="0"/>
        <v>1.0541464634454145</v>
      </c>
    </row>
    <row r="43" spans="1:5" x14ac:dyDescent="0.25">
      <c r="A43">
        <v>17</v>
      </c>
      <c r="B43">
        <v>147.1831624086542</v>
      </c>
      <c r="C43">
        <v>-8.3412408654197634E-2</v>
      </c>
      <c r="D43">
        <v>-6.2418549176390857E-2</v>
      </c>
      <c r="E43">
        <f t="shared" si="0"/>
        <v>-6.2418549176390857E-2</v>
      </c>
    </row>
    <row r="44" spans="1:5" x14ac:dyDescent="0.25">
      <c r="A44">
        <v>18</v>
      </c>
      <c r="B44">
        <v>146.19201044876272</v>
      </c>
      <c r="C44">
        <v>0.90773955123728456</v>
      </c>
      <c r="D44">
        <v>0.6792728651818889</v>
      </c>
      <c r="E44">
        <f t="shared" si="0"/>
        <v>0.6792728651818889</v>
      </c>
    </row>
    <row r="45" spans="1:5" x14ac:dyDescent="0.25">
      <c r="A45">
        <v>19</v>
      </c>
      <c r="B45">
        <v>196.34194054362413</v>
      </c>
      <c r="C45">
        <v>-0.20894054362415204</v>
      </c>
      <c r="D45">
        <v>-0.15635282336963977</v>
      </c>
      <c r="E45">
        <f t="shared" si="0"/>
        <v>-0.15635282336963977</v>
      </c>
    </row>
    <row r="46" spans="1:5" x14ac:dyDescent="0.25">
      <c r="A46">
        <v>20</v>
      </c>
      <c r="B46">
        <v>199.0065795864609</v>
      </c>
      <c r="C46">
        <v>-2.8735795864609202</v>
      </c>
      <c r="D46">
        <v>-2.1503355630620256</v>
      </c>
      <c r="E46">
        <f t="shared" si="0"/>
        <v>-2.1503355630620256</v>
      </c>
    </row>
    <row r="47" spans="1:5" x14ac:dyDescent="0.25">
      <c r="A47">
        <v>21</v>
      </c>
      <c r="B47">
        <v>197.3835899629353</v>
      </c>
      <c r="C47">
        <v>-1.2505899629353223</v>
      </c>
      <c r="D47">
        <v>-0.93583211851119419</v>
      </c>
      <c r="E47">
        <f t="shared" si="0"/>
        <v>-0.93583211851119419</v>
      </c>
    </row>
    <row r="48" spans="1:5" x14ac:dyDescent="0.25">
      <c r="A48">
        <v>22</v>
      </c>
      <c r="B48">
        <v>244.37651573507191</v>
      </c>
      <c r="C48">
        <v>0.78973426492808585</v>
      </c>
      <c r="D48">
        <v>0.59096803277858523</v>
      </c>
      <c r="E48">
        <f t="shared" si="0"/>
        <v>0.59096803277858523</v>
      </c>
    </row>
    <row r="49" spans="1:5" x14ac:dyDescent="0.25">
      <c r="A49">
        <v>23</v>
      </c>
      <c r="B49">
        <v>246.52135607008324</v>
      </c>
      <c r="C49">
        <v>-1.3551060700832522</v>
      </c>
      <c r="D49">
        <v>-1.0140428293513937</v>
      </c>
      <c r="E49">
        <f t="shared" si="0"/>
        <v>-1.0140428293513937</v>
      </c>
    </row>
    <row r="50" spans="1:5" x14ac:dyDescent="0.25">
      <c r="A50">
        <v>24</v>
      </c>
      <c r="B50">
        <v>295.53393184324381</v>
      </c>
      <c r="C50">
        <v>-1.3344318432438058</v>
      </c>
      <c r="D50">
        <v>-0.99857204670067701</v>
      </c>
      <c r="E50">
        <f t="shared" si="0"/>
        <v>-0.99857204670067701</v>
      </c>
    </row>
    <row r="51" spans="1:5" x14ac:dyDescent="0.25">
      <c r="A51">
        <v>25</v>
      </c>
      <c r="B51">
        <v>296.13880996957852</v>
      </c>
      <c r="C51">
        <v>-1.9393099695785168</v>
      </c>
      <c r="D51">
        <v>-1.4512099177741471</v>
      </c>
      <c r="E51">
        <f t="shared" si="0"/>
        <v>-1.4512099177741471</v>
      </c>
    </row>
    <row r="52" spans="1:5" x14ac:dyDescent="0.25">
      <c r="A52">
        <v>26</v>
      </c>
      <c r="B52">
        <v>341.17097042977792</v>
      </c>
      <c r="C52">
        <v>2.0617795702220292</v>
      </c>
      <c r="D52">
        <v>1.5428554524579767</v>
      </c>
      <c r="E52">
        <f t="shared" si="0"/>
        <v>1.5428554524579767</v>
      </c>
    </row>
    <row r="53" spans="1:5" x14ac:dyDescent="0.25">
      <c r="A53">
        <v>27</v>
      </c>
      <c r="B53">
        <v>343.47318997776756</v>
      </c>
      <c r="C53">
        <v>-0.24043997776760762</v>
      </c>
      <c r="D53">
        <v>-0.17992424410708446</v>
      </c>
      <c r="E53">
        <f t="shared" si="0"/>
        <v>-0.17992424410708446</v>
      </c>
    </row>
    <row r="54" spans="1:5" x14ac:dyDescent="0.25">
      <c r="A54">
        <v>28</v>
      </c>
      <c r="B54">
        <v>392.01810657074293</v>
      </c>
      <c r="C54">
        <v>0.24789342925703295</v>
      </c>
      <c r="D54">
        <v>0.18550175512532224</v>
      </c>
      <c r="E54">
        <f t="shared" si="0"/>
        <v>0.18550175512532224</v>
      </c>
    </row>
    <row r="55" spans="1:5" x14ac:dyDescent="0.25">
      <c r="A55">
        <v>29</v>
      </c>
      <c r="B55">
        <v>393.08519396947406</v>
      </c>
      <c r="C55">
        <v>-0.8191939694740995</v>
      </c>
      <c r="D55">
        <v>-0.61301309833412543</v>
      </c>
      <c r="E55">
        <f t="shared" si="0"/>
        <v>-0.61301309833412543</v>
      </c>
    </row>
    <row r="56" spans="1:5" x14ac:dyDescent="0.25">
      <c r="A56">
        <v>30</v>
      </c>
      <c r="B56">
        <v>439.42018191335461</v>
      </c>
      <c r="C56">
        <v>1.8790680866453613</v>
      </c>
      <c r="D56">
        <v>1.4061301629389855</v>
      </c>
      <c r="E56">
        <f t="shared" si="0"/>
        <v>1.4061301629389855</v>
      </c>
    </row>
    <row r="57" spans="1:5" x14ac:dyDescent="0.25">
      <c r="A57">
        <v>31</v>
      </c>
      <c r="B57">
        <v>441.41475049168781</v>
      </c>
      <c r="C57">
        <v>-0.11550049168783971</v>
      </c>
      <c r="D57">
        <v>-8.6430463244414932E-2</v>
      </c>
      <c r="E57">
        <f t="shared" si="0"/>
        <v>-8.6430463244414932E-2</v>
      </c>
    </row>
    <row r="58" spans="1:5" x14ac:dyDescent="0.25">
      <c r="A58">
        <v>32</v>
      </c>
      <c r="B58">
        <v>490.52947072059283</v>
      </c>
      <c r="C58">
        <v>-0.19697072059284437</v>
      </c>
      <c r="D58">
        <v>-0.14739565501103519</v>
      </c>
      <c r="E58">
        <f t="shared" si="0"/>
        <v>-0.14739565501103519</v>
      </c>
    </row>
    <row r="59" spans="1:5" x14ac:dyDescent="0.25">
      <c r="A59">
        <v>33</v>
      </c>
      <c r="B59">
        <v>488.56236827041226</v>
      </c>
      <c r="C59">
        <v>1.7701317295877175</v>
      </c>
      <c r="D59">
        <v>1.3246117237785882</v>
      </c>
      <c r="E59">
        <f t="shared" si="0"/>
        <v>1.3246117237785882</v>
      </c>
    </row>
    <row r="60" spans="1:5" x14ac:dyDescent="0.25">
      <c r="A60">
        <v>34</v>
      </c>
      <c r="B60">
        <v>489.28555643592341</v>
      </c>
      <c r="C60">
        <v>1.046943564076571</v>
      </c>
      <c r="D60">
        <v>0.78344096991773848</v>
      </c>
      <c r="E60">
        <f t="shared" si="0"/>
        <v>0.78344096991773848</v>
      </c>
    </row>
    <row r="61" spans="1:5" x14ac:dyDescent="0.25">
      <c r="A61">
        <v>35</v>
      </c>
      <c r="B61">
        <v>539.48893141536405</v>
      </c>
      <c r="C61">
        <v>-0.12318141536411531</v>
      </c>
      <c r="D61">
        <v>-9.2178194546543996E-2</v>
      </c>
      <c r="E61">
        <f t="shared" si="0"/>
        <v>-9.2178194546543996E-2</v>
      </c>
    </row>
    <row r="62" spans="1:5" x14ac:dyDescent="0.25">
      <c r="A62">
        <v>36</v>
      </c>
      <c r="B62">
        <v>540.29266915950143</v>
      </c>
      <c r="C62">
        <v>-0.92691915950149451</v>
      </c>
      <c r="D62">
        <v>-0.69362520604985944</v>
      </c>
      <c r="E62">
        <f t="shared" si="0"/>
        <v>-0.69362520604985944</v>
      </c>
    </row>
    <row r="63" spans="1:5" ht="15.75" thickBot="1" x14ac:dyDescent="0.3">
      <c r="A63" s="8">
        <v>37</v>
      </c>
      <c r="B63" s="8">
        <v>540.67878563052739</v>
      </c>
      <c r="C63" s="8">
        <v>-1.3130356305274518</v>
      </c>
      <c r="D63" s="8">
        <v>-0.98256099298370636</v>
      </c>
      <c r="E63">
        <f t="shared" si="0"/>
        <v>-0.98256099298370636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8A73-BFE6-4DCD-A4A6-9C5CEA856B33}">
  <dimension ref="A1:I63"/>
  <sheetViews>
    <sheetView topLeftCell="A6" workbookViewId="0">
      <selection activeCell="H43" sqref="H43"/>
    </sheetView>
  </sheetViews>
  <sheetFormatPr defaultRowHeight="15" x14ac:dyDescent="0.25"/>
  <sheetData>
    <row r="1" spans="1:9" x14ac:dyDescent="0.25">
      <c r="A1" t="s">
        <v>10</v>
      </c>
    </row>
    <row r="2" spans="1:9" ht="15.75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0.99998885246172975</v>
      </c>
    </row>
    <row r="5" spans="1:9" x14ac:dyDescent="0.25">
      <c r="A5" t="s">
        <v>13</v>
      </c>
      <c r="B5">
        <v>0.99997770504772721</v>
      </c>
    </row>
    <row r="6" spans="1:9" x14ac:dyDescent="0.25">
      <c r="A6" t="s">
        <v>14</v>
      </c>
      <c r="B6">
        <v>0.97056462887406403</v>
      </c>
    </row>
    <row r="7" spans="1:9" x14ac:dyDescent="0.25">
      <c r="A7" t="s">
        <v>15</v>
      </c>
      <c r="B7">
        <v>1.4113796024238248</v>
      </c>
    </row>
    <row r="8" spans="1:9" ht="15.75" thickBot="1" x14ac:dyDescent="0.3">
      <c r="A8" s="8" t="s">
        <v>16</v>
      </c>
      <c r="B8" s="8">
        <v>37</v>
      </c>
    </row>
    <row r="10" spans="1:9" ht="15.75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3</v>
      </c>
      <c r="C12">
        <v>3037738.3264832813</v>
      </c>
      <c r="D12">
        <v>1012579.4421610938</v>
      </c>
      <c r="E12">
        <v>508324.95708355971</v>
      </c>
      <c r="F12">
        <v>5.039164923555298E-77</v>
      </c>
    </row>
    <row r="13" spans="1:9" x14ac:dyDescent="0.25">
      <c r="A13" t="s">
        <v>19</v>
      </c>
      <c r="B13">
        <v>34</v>
      </c>
      <c r="C13">
        <v>67.727740992693143</v>
      </c>
      <c r="D13">
        <v>1.9919923821380336</v>
      </c>
    </row>
    <row r="14" spans="1:9" ht="15.75" thickBot="1" x14ac:dyDescent="0.3">
      <c r="A14" s="8" t="s">
        <v>20</v>
      </c>
      <c r="B14" s="8">
        <v>37</v>
      </c>
      <c r="C14" s="8">
        <v>3037806.0542242741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0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</row>
    <row r="18" spans="1:9" x14ac:dyDescent="0.25">
      <c r="A18" t="s">
        <v>73</v>
      </c>
      <c r="B18">
        <v>1.055511680290115</v>
      </c>
      <c r="C18">
        <v>8.2613518193366334E-3</v>
      </c>
      <c r="D18">
        <v>127.76500787916693</v>
      </c>
      <c r="E18">
        <v>3.4293271210777796E-47</v>
      </c>
      <c r="F18">
        <v>1.0387225934157263</v>
      </c>
      <c r="G18">
        <v>1.0723007671645037</v>
      </c>
      <c r="H18">
        <v>1.0387225934157263</v>
      </c>
      <c r="I18">
        <v>1.0723007671645037</v>
      </c>
    </row>
    <row r="19" spans="1:9" x14ac:dyDescent="0.25">
      <c r="A19" t="s">
        <v>68</v>
      </c>
      <c r="B19">
        <v>1.8056896653616497E-4</v>
      </c>
      <c r="C19">
        <v>5.051665080947945E-5</v>
      </c>
      <c r="D19">
        <v>3.5744445374490503</v>
      </c>
      <c r="E19">
        <v>1.0755812829817473E-3</v>
      </c>
      <c r="F19">
        <v>7.7906780299479852E-5</v>
      </c>
      <c r="G19">
        <v>2.8323115277285009E-4</v>
      </c>
      <c r="H19">
        <v>7.7906780299479852E-5</v>
      </c>
      <c r="I19">
        <v>2.8323115277285009E-4</v>
      </c>
    </row>
    <row r="20" spans="1:9" ht="15.75" thickBot="1" x14ac:dyDescent="0.3">
      <c r="A20" s="8" t="s">
        <v>69</v>
      </c>
      <c r="B20" s="8">
        <v>-2.5083269407883342E-7</v>
      </c>
      <c r="C20" s="8">
        <v>7.2796043537026561E-8</v>
      </c>
      <c r="D20" s="8">
        <v>-3.4456913025946432</v>
      </c>
      <c r="E20" s="8">
        <v>1.5330311891641462E-3</v>
      </c>
      <c r="F20" s="8">
        <v>-3.9877205385700925E-7</v>
      </c>
      <c r="G20" s="8">
        <v>-1.0289333430065756E-7</v>
      </c>
      <c r="H20" s="8">
        <v>-3.9877205385700925E-7</v>
      </c>
      <c r="I20" s="8">
        <v>-1.0289333430065756E-7</v>
      </c>
    </row>
    <row r="24" spans="1:9" x14ac:dyDescent="0.25">
      <c r="A24" t="s">
        <v>35</v>
      </c>
    </row>
    <row r="25" spans="1:9" ht="15.75" thickBot="1" x14ac:dyDescent="0.3"/>
    <row r="26" spans="1:9" x14ac:dyDescent="0.25">
      <c r="A26" s="9" t="s">
        <v>36</v>
      </c>
      <c r="B26" s="9" t="s">
        <v>70</v>
      </c>
      <c r="C26" s="9" t="s">
        <v>38</v>
      </c>
    </row>
    <row r="27" spans="1:9" x14ac:dyDescent="0.25">
      <c r="A27">
        <v>1</v>
      </c>
      <c r="B27">
        <v>0</v>
      </c>
      <c r="C27">
        <v>0</v>
      </c>
    </row>
    <row r="28" spans="1:9" x14ac:dyDescent="0.25">
      <c r="A28">
        <v>2</v>
      </c>
      <c r="B28">
        <v>0</v>
      </c>
      <c r="C28">
        <v>0</v>
      </c>
    </row>
    <row r="29" spans="1:9" x14ac:dyDescent="0.25">
      <c r="A29">
        <v>3</v>
      </c>
      <c r="B29">
        <v>0</v>
      </c>
      <c r="C29">
        <v>0</v>
      </c>
    </row>
    <row r="30" spans="1:9" x14ac:dyDescent="0.25">
      <c r="A30">
        <v>4</v>
      </c>
      <c r="B30">
        <v>4.3200461866622293</v>
      </c>
      <c r="C30">
        <v>0.58327881333777043</v>
      </c>
    </row>
    <row r="31" spans="1:9" x14ac:dyDescent="0.25">
      <c r="A31">
        <v>5</v>
      </c>
      <c r="B31">
        <v>4.2354892310087946</v>
      </c>
      <c r="C31">
        <v>0.66783576899120511</v>
      </c>
    </row>
    <row r="32" spans="1:9" x14ac:dyDescent="0.25">
      <c r="A32">
        <v>6</v>
      </c>
      <c r="B32">
        <v>4.3200461866622293</v>
      </c>
      <c r="C32">
        <v>0.58327881333777043</v>
      </c>
    </row>
    <row r="33" spans="1:3" x14ac:dyDescent="0.25">
      <c r="A33">
        <v>7</v>
      </c>
      <c r="B33">
        <v>18.493561461028445</v>
      </c>
      <c r="C33">
        <v>1.1197385389715535</v>
      </c>
    </row>
    <row r="34" spans="1:3" x14ac:dyDescent="0.25">
      <c r="A34">
        <v>8</v>
      </c>
      <c r="B34">
        <v>18.302480489550824</v>
      </c>
      <c r="C34">
        <v>1.3108195104491749</v>
      </c>
    </row>
    <row r="35" spans="1:3" x14ac:dyDescent="0.25">
      <c r="A35">
        <v>9</v>
      </c>
      <c r="B35">
        <v>18.854521778190534</v>
      </c>
      <c r="C35">
        <v>0.75877822180946453</v>
      </c>
    </row>
    <row r="36" spans="1:3" x14ac:dyDescent="0.25">
      <c r="A36">
        <v>10</v>
      </c>
      <c r="B36">
        <v>48.172608846455319</v>
      </c>
      <c r="C36">
        <v>0.86064115354467674</v>
      </c>
    </row>
    <row r="37" spans="1:3" x14ac:dyDescent="0.25">
      <c r="A37">
        <v>11</v>
      </c>
      <c r="B37">
        <v>50.945741653713085</v>
      </c>
      <c r="C37">
        <v>-1.91249165371309</v>
      </c>
    </row>
    <row r="38" spans="1:3" x14ac:dyDescent="0.25">
      <c r="A38">
        <v>12</v>
      </c>
      <c r="B38">
        <v>51.020718217167328</v>
      </c>
      <c r="C38">
        <v>-1.9874682171673328</v>
      </c>
    </row>
    <row r="39" spans="1:3" x14ac:dyDescent="0.25">
      <c r="A39">
        <v>13</v>
      </c>
      <c r="B39">
        <v>95.572603307733189</v>
      </c>
      <c r="C39">
        <v>2.4938966922668016</v>
      </c>
    </row>
    <row r="40" spans="1:3" x14ac:dyDescent="0.25">
      <c r="A40">
        <v>14</v>
      </c>
      <c r="B40">
        <v>96.708588403999002</v>
      </c>
      <c r="C40">
        <v>1.3579115960009887</v>
      </c>
    </row>
    <row r="41" spans="1:3" x14ac:dyDescent="0.25">
      <c r="A41">
        <v>15</v>
      </c>
      <c r="B41">
        <v>95.248081961152593</v>
      </c>
      <c r="C41">
        <v>2.8184180388473976</v>
      </c>
    </row>
    <row r="42" spans="1:3" x14ac:dyDescent="0.25">
      <c r="A42">
        <v>16</v>
      </c>
      <c r="B42">
        <v>145.80034987885443</v>
      </c>
      <c r="C42">
        <v>1.2994001211455668</v>
      </c>
    </row>
    <row r="43" spans="1:3" x14ac:dyDescent="0.25">
      <c r="A43">
        <v>17</v>
      </c>
      <c r="B43">
        <v>147.29467672893773</v>
      </c>
      <c r="C43">
        <v>-0.19492672893773033</v>
      </c>
    </row>
    <row r="44" spans="1:3" x14ac:dyDescent="0.25">
      <c r="A44">
        <v>18</v>
      </c>
      <c r="B44">
        <v>146.30206197372885</v>
      </c>
      <c r="C44">
        <v>0.7976880262711461</v>
      </c>
    </row>
    <row r="45" spans="1:3" x14ac:dyDescent="0.25">
      <c r="A45">
        <v>19</v>
      </c>
      <c r="B45">
        <v>196.48442554371681</v>
      </c>
      <c r="C45">
        <v>-0.35142554371682877</v>
      </c>
    </row>
    <row r="46" spans="1:3" x14ac:dyDescent="0.25">
      <c r="A46">
        <v>20</v>
      </c>
      <c r="B46">
        <v>199.148703550688</v>
      </c>
      <c r="C46">
        <v>-3.0157035506880163</v>
      </c>
    </row>
    <row r="47" spans="1:3" x14ac:dyDescent="0.25">
      <c r="A47">
        <v>21</v>
      </c>
      <c r="B47">
        <v>197.52595549670974</v>
      </c>
      <c r="C47">
        <v>-1.3929554967097602</v>
      </c>
    </row>
    <row r="48" spans="1:3" x14ac:dyDescent="0.25">
      <c r="A48">
        <v>22</v>
      </c>
      <c r="B48">
        <v>244.48843265221382</v>
      </c>
      <c r="C48">
        <v>0.6778173477861742</v>
      </c>
    </row>
    <row r="49" spans="1:3" x14ac:dyDescent="0.25">
      <c r="A49">
        <v>23</v>
      </c>
      <c r="B49">
        <v>246.63091102770002</v>
      </c>
      <c r="C49">
        <v>-1.464661027700032</v>
      </c>
    </row>
    <row r="50" spans="1:3" x14ac:dyDescent="0.25">
      <c r="A50">
        <v>24</v>
      </c>
      <c r="B50">
        <v>295.57543233025109</v>
      </c>
      <c r="C50">
        <v>-1.3759323302510893</v>
      </c>
    </row>
    <row r="51" spans="1:3" x14ac:dyDescent="0.25">
      <c r="A51">
        <v>25</v>
      </c>
      <c r="B51">
        <v>296.17935858238104</v>
      </c>
      <c r="C51">
        <v>-1.9798585823810413</v>
      </c>
    </row>
    <row r="52" spans="1:3" x14ac:dyDescent="0.25">
      <c r="A52">
        <v>26</v>
      </c>
      <c r="B52">
        <v>341.14006022507732</v>
      </c>
      <c r="C52">
        <v>2.0926897749226328</v>
      </c>
    </row>
    <row r="53" spans="1:3" x14ac:dyDescent="0.25">
      <c r="A53">
        <v>27</v>
      </c>
      <c r="B53">
        <v>343.43878620159319</v>
      </c>
      <c r="C53">
        <v>-0.20603620159323555</v>
      </c>
    </row>
    <row r="54" spans="1:3" x14ac:dyDescent="0.25">
      <c r="A54">
        <v>28</v>
      </c>
      <c r="B54">
        <v>391.92244788656927</v>
      </c>
      <c r="C54">
        <v>0.34355211343068959</v>
      </c>
    </row>
    <row r="55" spans="1:3" x14ac:dyDescent="0.25">
      <c r="A55">
        <v>29</v>
      </c>
      <c r="B55">
        <v>392.98855938513935</v>
      </c>
      <c r="C55">
        <v>-0.722559385139391</v>
      </c>
    </row>
    <row r="56" spans="1:3" x14ac:dyDescent="0.25">
      <c r="A56">
        <v>30</v>
      </c>
      <c r="B56">
        <v>439.30481015219539</v>
      </c>
      <c r="C56">
        <v>1.9944398478045855</v>
      </c>
    </row>
    <row r="57" spans="1:3" x14ac:dyDescent="0.25">
      <c r="A57">
        <v>31</v>
      </c>
      <c r="B57">
        <v>441.29980365625318</v>
      </c>
      <c r="C57">
        <v>-5.5365625320291656E-4</v>
      </c>
    </row>
    <row r="58" spans="1:3" x14ac:dyDescent="0.25">
      <c r="A58">
        <v>32</v>
      </c>
      <c r="B58">
        <v>490.46752426171054</v>
      </c>
      <c r="C58">
        <v>-0.13502426171055504</v>
      </c>
    </row>
    <row r="59" spans="1:3" x14ac:dyDescent="0.25">
      <c r="A59">
        <v>33</v>
      </c>
      <c r="B59">
        <v>488.49652176673317</v>
      </c>
      <c r="C59">
        <v>1.8359782332668146</v>
      </c>
    </row>
    <row r="60" spans="1:3" x14ac:dyDescent="0.25">
      <c r="A60">
        <v>34</v>
      </c>
      <c r="B60">
        <v>489.22112450530472</v>
      </c>
      <c r="C60">
        <v>1.1113754946952668</v>
      </c>
    </row>
    <row r="61" spans="1:3" x14ac:dyDescent="0.25">
      <c r="A61">
        <v>35</v>
      </c>
      <c r="B61">
        <v>539.58363442971813</v>
      </c>
      <c r="C61">
        <v>-0.21788442971819677</v>
      </c>
    </row>
    <row r="62" spans="1:3" x14ac:dyDescent="0.25">
      <c r="A62">
        <v>36</v>
      </c>
      <c r="B62">
        <v>540.3910068413187</v>
      </c>
      <c r="C62">
        <v>-1.0252568413187646</v>
      </c>
    </row>
    <row r="63" spans="1:3" ht="15.75" thickBot="1" x14ac:dyDescent="0.3">
      <c r="A63" s="8">
        <v>37</v>
      </c>
      <c r="B63" s="8">
        <v>540.7788828667359</v>
      </c>
      <c r="C63" s="8">
        <v>-1.4131328667359639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EB796-B382-4351-9B42-33A73C16BF3A}">
  <dimension ref="A1:I64"/>
  <sheetViews>
    <sheetView topLeftCell="A6" workbookViewId="0">
      <selection activeCell="C31" sqref="C31"/>
    </sheetView>
  </sheetViews>
  <sheetFormatPr defaultRowHeight="15" x14ac:dyDescent="0.25"/>
  <cols>
    <col min="2" max="2" width="26.5703125" customWidth="1"/>
    <col min="3" max="3" width="14.5703125" bestFit="1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0.99999161441499618</v>
      </c>
    </row>
    <row r="5" spans="1:9" x14ac:dyDescent="0.25">
      <c r="A5" t="s">
        <v>13</v>
      </c>
      <c r="B5">
        <v>0.99998322890031033</v>
      </c>
    </row>
    <row r="6" spans="1:9" x14ac:dyDescent="0.25">
      <c r="A6" t="s">
        <v>14</v>
      </c>
      <c r="B6">
        <v>0.9696786739518537</v>
      </c>
    </row>
    <row r="7" spans="1:9" x14ac:dyDescent="0.25">
      <c r="A7" t="s">
        <v>15</v>
      </c>
      <c r="B7">
        <v>1.2425212414921276</v>
      </c>
    </row>
    <row r="8" spans="1:9" ht="15.75" thickBot="1" x14ac:dyDescent="0.3">
      <c r="A8" s="8" t="s">
        <v>16</v>
      </c>
      <c r="B8" s="8">
        <v>37</v>
      </c>
    </row>
    <row r="10" spans="1:9" ht="15.75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4</v>
      </c>
      <c r="C12">
        <v>3037755.1068761009</v>
      </c>
      <c r="D12">
        <v>759438.77671902522</v>
      </c>
      <c r="E12">
        <v>491909.40314313082</v>
      </c>
      <c r="F12">
        <v>4.0701186308597684E-76</v>
      </c>
    </row>
    <row r="13" spans="1:9" x14ac:dyDescent="0.25">
      <c r="A13" t="s">
        <v>19</v>
      </c>
      <c r="B13">
        <v>33</v>
      </c>
      <c r="C13">
        <v>50.947348173451559</v>
      </c>
      <c r="D13">
        <v>1.5438590355591382</v>
      </c>
    </row>
    <row r="14" spans="1:9" ht="15.75" thickBot="1" x14ac:dyDescent="0.3">
      <c r="A14" s="8" t="s">
        <v>20</v>
      </c>
      <c r="B14" s="8">
        <v>37</v>
      </c>
      <c r="C14" s="8">
        <v>3037806.0542242741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0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</row>
    <row r="18" spans="1:9" x14ac:dyDescent="0.25">
      <c r="A18" t="s">
        <v>73</v>
      </c>
      <c r="B18">
        <v>1.0955458055213672</v>
      </c>
      <c r="C18">
        <v>1.4154617617965831E-2</v>
      </c>
      <c r="D18">
        <v>77.39847412980194</v>
      </c>
      <c r="E18">
        <v>6.7369399627454425E-39</v>
      </c>
      <c r="F18">
        <v>1.0667480194480699</v>
      </c>
      <c r="G18">
        <v>1.1243435915946645</v>
      </c>
      <c r="H18">
        <v>1.0667480194480699</v>
      </c>
      <c r="I18">
        <v>1.1243435915946645</v>
      </c>
    </row>
    <row r="19" spans="1:9" x14ac:dyDescent="0.25">
      <c r="A19" t="s">
        <v>68</v>
      </c>
      <c r="B19">
        <v>-3.0245063957462314E-4</v>
      </c>
      <c r="C19">
        <v>1.5311118657335013E-4</v>
      </c>
      <c r="D19">
        <v>-1.9753660483176374</v>
      </c>
      <c r="E19">
        <v>5.6639405419624159E-2</v>
      </c>
      <c r="F19">
        <v>-6.1395769086872393E-4</v>
      </c>
      <c r="G19">
        <v>9.0564117194776462E-6</v>
      </c>
      <c r="H19">
        <v>-6.1395769086872393E-4</v>
      </c>
      <c r="I19">
        <v>9.0564117194776462E-6</v>
      </c>
    </row>
    <row r="20" spans="1:9" x14ac:dyDescent="0.25">
      <c r="A20" t="s">
        <v>69</v>
      </c>
      <c r="B20">
        <v>1.4156516811503471E-6</v>
      </c>
      <c r="C20">
        <v>5.0952641502024308E-7</v>
      </c>
      <c r="D20">
        <v>2.7783675966909476</v>
      </c>
      <c r="E20">
        <v>8.9439095595025154E-3</v>
      </c>
      <c r="F20">
        <v>3.7901239533714162E-7</v>
      </c>
      <c r="G20">
        <v>2.4522909669635523E-6</v>
      </c>
      <c r="H20">
        <v>3.7901239533714162E-7</v>
      </c>
      <c r="I20">
        <v>2.4522909669635523E-6</v>
      </c>
    </row>
    <row r="21" spans="1:9" ht="15.75" thickBot="1" x14ac:dyDescent="0.3">
      <c r="A21" s="8" t="s">
        <v>75</v>
      </c>
      <c r="B21" s="8">
        <v>-1.7361890677928571E-9</v>
      </c>
      <c r="C21" s="8">
        <v>5.2662294524740008E-10</v>
      </c>
      <c r="D21" s="8">
        <v>-3.2968352090644659</v>
      </c>
      <c r="E21" s="8">
        <v>2.3455617448069903E-3</v>
      </c>
      <c r="F21" s="8">
        <v>-2.8076115058865188E-9</v>
      </c>
      <c r="G21" s="8">
        <v>-6.6476662969919562E-10</v>
      </c>
      <c r="H21" s="8">
        <v>-2.8076115058865188E-9</v>
      </c>
      <c r="I21" s="8">
        <v>-6.6476662969919562E-10</v>
      </c>
    </row>
    <row r="23" spans="1:9" x14ac:dyDescent="0.25">
      <c r="E23">
        <v>0.05</v>
      </c>
    </row>
    <row r="25" spans="1:9" x14ac:dyDescent="0.25">
      <c r="A25" t="s">
        <v>35</v>
      </c>
    </row>
    <row r="26" spans="1:9" ht="15.75" thickBot="1" x14ac:dyDescent="0.3"/>
    <row r="27" spans="1:9" x14ac:dyDescent="0.25">
      <c r="A27" s="9" t="s">
        <v>36</v>
      </c>
      <c r="B27" s="9" t="s">
        <v>70</v>
      </c>
      <c r="C27" s="9" t="s">
        <v>38</v>
      </c>
    </row>
    <row r="28" spans="1:9" x14ac:dyDescent="0.25">
      <c r="A28">
        <v>1</v>
      </c>
      <c r="B28">
        <v>0</v>
      </c>
      <c r="C28">
        <v>0</v>
      </c>
    </row>
    <row r="29" spans="1:9" x14ac:dyDescent="0.25">
      <c r="A29">
        <v>2</v>
      </c>
      <c r="B29">
        <v>0</v>
      </c>
      <c r="C29">
        <v>0</v>
      </c>
    </row>
    <row r="30" spans="1:9" x14ac:dyDescent="0.25">
      <c r="A30">
        <v>3</v>
      </c>
      <c r="B30">
        <v>0</v>
      </c>
      <c r="C30">
        <v>0</v>
      </c>
    </row>
    <row r="31" spans="1:9" x14ac:dyDescent="0.25">
      <c r="A31">
        <v>4</v>
      </c>
      <c r="B31">
        <v>4.4758192901581104</v>
      </c>
      <c r="C31">
        <v>0.42750570984188929</v>
      </c>
    </row>
    <row r="32" spans="1:9" x14ac:dyDescent="0.25">
      <c r="A32">
        <v>5</v>
      </c>
      <c r="B32">
        <v>4.3883660776061166</v>
      </c>
      <c r="C32">
        <v>0.51495892239388308</v>
      </c>
    </row>
    <row r="33" spans="1:3" x14ac:dyDescent="0.25">
      <c r="A33">
        <v>6</v>
      </c>
      <c r="B33">
        <v>4.4758192901581104</v>
      </c>
      <c r="C33">
        <v>0.42750570984188929</v>
      </c>
    </row>
    <row r="34" spans="1:3" x14ac:dyDescent="0.25">
      <c r="A34">
        <v>7</v>
      </c>
      <c r="B34">
        <v>19.054263349408714</v>
      </c>
      <c r="C34">
        <v>0.55903665059128471</v>
      </c>
    </row>
    <row r="35" spans="1:3" x14ac:dyDescent="0.25">
      <c r="A35">
        <v>8</v>
      </c>
      <c r="B35">
        <v>18.858733124625417</v>
      </c>
      <c r="C35">
        <v>0.75456687537458222</v>
      </c>
    </row>
    <row r="36" spans="1:3" x14ac:dyDescent="0.25">
      <c r="A36">
        <v>9</v>
      </c>
      <c r="B36">
        <v>19.42355733720753</v>
      </c>
      <c r="C36">
        <v>0.18974266279246876</v>
      </c>
    </row>
    <row r="37" spans="1:3" x14ac:dyDescent="0.25">
      <c r="A37">
        <v>10</v>
      </c>
      <c r="B37">
        <v>49.142618480781692</v>
      </c>
      <c r="C37">
        <v>-0.10936848078169703</v>
      </c>
    </row>
    <row r="38" spans="1:3" x14ac:dyDescent="0.25">
      <c r="A38">
        <v>11</v>
      </c>
      <c r="B38">
        <v>51.929141751874063</v>
      </c>
      <c r="C38">
        <v>-2.8958917518740677</v>
      </c>
    </row>
    <row r="39" spans="1:3" x14ac:dyDescent="0.25">
      <c r="A39">
        <v>12</v>
      </c>
      <c r="B39">
        <v>52.004429793151971</v>
      </c>
      <c r="C39">
        <v>-2.9711797931519754</v>
      </c>
    </row>
    <row r="40" spans="1:3" x14ac:dyDescent="0.25">
      <c r="A40">
        <v>13</v>
      </c>
      <c r="B40">
        <v>96.371581370483128</v>
      </c>
      <c r="C40">
        <v>1.694918629516863</v>
      </c>
    </row>
    <row r="41" spans="1:3" x14ac:dyDescent="0.25">
      <c r="A41">
        <v>14</v>
      </c>
      <c r="B41">
        <v>97.495547260760162</v>
      </c>
      <c r="C41">
        <v>0.57095273923982859</v>
      </c>
    </row>
    <row r="42" spans="1:3" x14ac:dyDescent="0.25">
      <c r="A42">
        <v>15</v>
      </c>
      <c r="B42">
        <v>96.050446009296863</v>
      </c>
      <c r="C42">
        <v>2.0160539907031279</v>
      </c>
    </row>
    <row r="43" spans="1:3" x14ac:dyDescent="0.25">
      <c r="A43">
        <v>16</v>
      </c>
      <c r="B43">
        <v>145.91594086036591</v>
      </c>
      <c r="C43">
        <v>1.1838091396340928</v>
      </c>
    </row>
    <row r="44" spans="1:3" x14ac:dyDescent="0.25">
      <c r="A44">
        <v>17</v>
      </c>
      <c r="B44">
        <v>147.38787667802987</v>
      </c>
      <c r="C44">
        <v>-0.2881266780298688</v>
      </c>
    </row>
    <row r="45" spans="1:3" x14ac:dyDescent="0.25">
      <c r="A45">
        <v>18</v>
      </c>
      <c r="B45">
        <v>146.41013285563878</v>
      </c>
      <c r="C45">
        <v>0.68961714436122179</v>
      </c>
    </row>
    <row r="46" spans="1:3" x14ac:dyDescent="0.25">
      <c r="A46">
        <v>19</v>
      </c>
      <c r="B46">
        <v>195.91362824658134</v>
      </c>
      <c r="C46">
        <v>0.2193717534186419</v>
      </c>
    </row>
    <row r="47" spans="1:3" x14ac:dyDescent="0.25">
      <c r="A47">
        <v>20</v>
      </c>
      <c r="B47">
        <v>198.54908112323085</v>
      </c>
      <c r="C47">
        <v>-2.4160811232308674</v>
      </c>
    </row>
    <row r="48" spans="1:3" x14ac:dyDescent="0.25">
      <c r="A48">
        <v>21</v>
      </c>
      <c r="B48">
        <v>196.94377231413969</v>
      </c>
      <c r="C48">
        <v>-0.81077231413971163</v>
      </c>
    </row>
    <row r="49" spans="1:3" x14ac:dyDescent="0.25">
      <c r="A49">
        <v>22</v>
      </c>
      <c r="B49">
        <v>243.57376144829502</v>
      </c>
      <c r="C49">
        <v>1.5924885517049745</v>
      </c>
    </row>
    <row r="50" spans="1:3" x14ac:dyDescent="0.25">
      <c r="A50">
        <v>23</v>
      </c>
      <c r="B50">
        <v>245.71046875247214</v>
      </c>
      <c r="C50">
        <v>-0.54421875247214757</v>
      </c>
    </row>
    <row r="51" spans="1:3" x14ac:dyDescent="0.25">
      <c r="A51">
        <v>24</v>
      </c>
      <c r="B51">
        <v>294.76258829779579</v>
      </c>
      <c r="C51">
        <v>-0.56308829779578673</v>
      </c>
    </row>
    <row r="52" spans="1:3" x14ac:dyDescent="0.25">
      <c r="A52">
        <v>25</v>
      </c>
      <c r="B52">
        <v>295.37063253279689</v>
      </c>
      <c r="C52">
        <v>-1.1711325327968893</v>
      </c>
    </row>
    <row r="53" spans="1:3" x14ac:dyDescent="0.25">
      <c r="A53">
        <v>26</v>
      </c>
      <c r="B53">
        <v>340.79773235238946</v>
      </c>
      <c r="C53">
        <v>2.4350176476104934</v>
      </c>
    </row>
    <row r="54" spans="1:3" x14ac:dyDescent="0.25">
      <c r="A54">
        <v>27</v>
      </c>
      <c r="B54">
        <v>343.12734580439746</v>
      </c>
      <c r="C54">
        <v>0.10540419560248893</v>
      </c>
    </row>
    <row r="55" spans="1:3" x14ac:dyDescent="0.25">
      <c r="A55">
        <v>28</v>
      </c>
      <c r="B55">
        <v>392.3291344449359</v>
      </c>
      <c r="C55">
        <v>-6.3134444935940337E-2</v>
      </c>
    </row>
    <row r="56" spans="1:3" x14ac:dyDescent="0.25">
      <c r="A56">
        <v>29</v>
      </c>
      <c r="B56">
        <v>393.41104929349132</v>
      </c>
      <c r="C56">
        <v>-1.1450492934913541</v>
      </c>
    </row>
    <row r="57" spans="1:3" x14ac:dyDescent="0.25">
      <c r="A57">
        <v>30</v>
      </c>
      <c r="B57">
        <v>440.27728699558128</v>
      </c>
      <c r="C57">
        <v>1.0219630044186943</v>
      </c>
    </row>
    <row r="58" spans="1:3" x14ac:dyDescent="0.25">
      <c r="A58">
        <v>31</v>
      </c>
      <c r="B58">
        <v>442.28619843867102</v>
      </c>
      <c r="C58">
        <v>-0.98694843867104964</v>
      </c>
    </row>
    <row r="59" spans="1:3" x14ac:dyDescent="0.25">
      <c r="A59">
        <v>32</v>
      </c>
      <c r="B59">
        <v>491.30895770150295</v>
      </c>
      <c r="C59">
        <v>-0.97645770150296585</v>
      </c>
    </row>
    <row r="60" spans="1:3" x14ac:dyDescent="0.25">
      <c r="A60">
        <v>33</v>
      </c>
      <c r="B60">
        <v>489.36690685077281</v>
      </c>
      <c r="C60">
        <v>0.96559314922717476</v>
      </c>
    </row>
    <row r="61" spans="1:3" x14ac:dyDescent="0.25">
      <c r="A61">
        <v>34</v>
      </c>
      <c r="B61">
        <v>490.08114289845344</v>
      </c>
      <c r="C61">
        <v>0.25135710154654589</v>
      </c>
    </row>
    <row r="62" spans="1:3" x14ac:dyDescent="0.25">
      <c r="A62">
        <v>35</v>
      </c>
      <c r="B62">
        <v>538.75695806671877</v>
      </c>
      <c r="C62">
        <v>0.60879193328116799</v>
      </c>
    </row>
    <row r="63" spans="1:3" x14ac:dyDescent="0.25">
      <c r="A63">
        <v>36</v>
      </c>
      <c r="B63">
        <v>539.51852793589364</v>
      </c>
      <c r="C63">
        <v>-0.15277793589370958</v>
      </c>
    </row>
    <row r="64" spans="1:3" ht="15.75" thickBot="1" x14ac:dyDescent="0.3">
      <c r="A64" s="8">
        <v>37</v>
      </c>
      <c r="B64" s="8">
        <v>539.88414991904369</v>
      </c>
      <c r="C64" s="8">
        <v>-0.51839991904375893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Linearna_reg</vt:lpstr>
      <vt:lpstr>PODACI</vt:lpstr>
      <vt:lpstr>Sheet1</vt:lpstr>
      <vt:lpstr>Sheet2</vt:lpstr>
      <vt:lpstr>Sheet3</vt:lpstr>
      <vt:lpstr>UMS Podaci</vt:lpstr>
      <vt:lpstr>Sheet8</vt:lpstr>
      <vt:lpstr>Sheet9</vt:lpstr>
      <vt:lpstr>Sheet10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Mato</cp:lastModifiedBy>
  <dcterms:created xsi:type="dcterms:W3CDTF">2022-05-23T10:01:52Z</dcterms:created>
  <dcterms:modified xsi:type="dcterms:W3CDTF">2023-02-15T20:24:17Z</dcterms:modified>
</cp:coreProperties>
</file>